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eptember 2024" sheetId="1" r:id="rId4"/>
    <sheet name="August 2024" sheetId="2" r:id="rId5"/>
    <sheet name="July 2024" sheetId="3" r:id="rId6"/>
    <sheet name="June 2024" sheetId="4" r:id="rId7"/>
    <sheet name="May 2024" sheetId="5" r:id="rId8"/>
    <sheet name="April 2024" sheetId="6" r:id="rId9"/>
    <sheet name="March 2024" sheetId="7" r:id="rId10"/>
    <sheet name="February 2024" sheetId="8" r:id="rId11"/>
    <sheet name="January 2024" sheetId="9" r:id="rId12"/>
    <sheet name="Accessories 2024" sheetId="10" r:id="rId13"/>
    <sheet name="Hose Sales 2024" sheetId="11" r:id="rId14"/>
    <sheet name="Controllers Sales 2024" sheetId="12" r:id="rId15"/>
    <sheet name="Jet Sales 2024" sheetId="13" r:id="rId16"/>
    <sheet name="Handheld Sales 2024" sheetId="14" r:id="rId17"/>
    <sheet name="Decemeber 2023" sheetId="15" r:id="rId18"/>
    <sheet name="November 2023" sheetId="16" r:id="rId19"/>
    <sheet name="October 2023" sheetId="17" r:id="rId20"/>
    <sheet name="September 2023" sheetId="18" r:id="rId21"/>
    <sheet name="August 2023" sheetId="19" r:id="rId22"/>
    <sheet name="July 2023" sheetId="20" r:id="rId23"/>
    <sheet name="June 2023" sheetId="21" r:id="rId24"/>
    <sheet name="May 2023" sheetId="22" r:id="rId25"/>
    <sheet name="April 2023" sheetId="23" r:id="rId26"/>
    <sheet name="March 2023" sheetId="24" r:id="rId27"/>
    <sheet name="February 2023" sheetId="25" r:id="rId28"/>
    <sheet name="January 2023" sheetId="26" r:id="rId29"/>
    <sheet name="Hose Sales 2023" sheetId="27" r:id="rId30"/>
    <sheet name="Accessories 2023" sheetId="28" r:id="rId31"/>
    <sheet name="Jet Sales 2023" sheetId="29" r:id="rId32"/>
    <sheet name="Controllers Sales 2023" sheetId="30" r:id="rId33"/>
    <sheet name="Handheld Sales 2023" sheetId="31" r:id="rId34"/>
  </sheets>
  <pivotCaches>
    <pivotCache cacheId="0" r:id="rId35"/>
    <pivotCache cacheId="1" r:id="rId36"/>
    <pivotCache cacheId="2" r:id="rId37"/>
    <pivotCache cacheId="3" r:id="rId38"/>
    <pivotCache cacheId="4" r:id="rId39"/>
    <pivotCache cacheId="5" r:id="rId40"/>
    <pivotCache cacheId="6" r:id="rId41"/>
    <pivotCache cacheId="7" r:id="rId42"/>
    <pivotCache cacheId="8" r:id="rId43"/>
    <pivotCache cacheId="9" r:id="rId44"/>
    <pivotCache cacheId="10" r:id="rId45"/>
    <pivotCache cacheId="11" r:id="rId46"/>
    <pivotCache cacheId="12" r:id="rId47"/>
    <pivotCache cacheId="13" r:id="rId48"/>
    <pivotCache cacheId="14" r:id="rId49"/>
    <pivotCache cacheId="15" r:id="rId50"/>
    <pivotCache cacheId="16" r:id="rId51"/>
    <pivotCache cacheId="17" r:id="rId52"/>
    <pivotCache cacheId="18" r:id="rId53"/>
    <pivotCache cacheId="19" r:id="rId54"/>
    <pivotCache cacheId="20" r:id="rId55"/>
    <pivotCache cacheId="21" r:id="rId56"/>
    <pivotCache cacheId="22" r:id="rId57"/>
    <pivotCache cacheId="23" r:id="rId58"/>
    <pivotCache cacheId="24" r:id="rId59"/>
    <pivotCache cacheId="25" r:id="rId60"/>
    <pivotCache cacheId="26" r:id="rId61"/>
    <pivotCache cacheId="27" r:id="rId62"/>
    <pivotCache cacheId="28" r:id="rId63"/>
    <pivotCache cacheId="29" r:id="rId64"/>
    <pivotCache cacheId="30" r:id="rId65"/>
    <pivotCache cacheId="31" r:id="rId66"/>
    <pivotCache cacheId="32" r:id="rId67"/>
    <pivotCache cacheId="33" r:id="rId68"/>
    <pivotCache cacheId="34" r:id="rId69"/>
    <pivotCache cacheId="35" r:id="rId70"/>
    <pivotCache cacheId="36" r:id="rId71"/>
    <pivotCache cacheId="37" r:id="rId72"/>
    <pivotCache cacheId="38" r:id="rId73"/>
    <pivotCache cacheId="39" r:id="rId74"/>
    <pivotCache cacheId="40" r:id="rId75"/>
    <pivotCache cacheId="41" r:id="rId76"/>
    <pivotCache cacheId="42" r:id="rId77"/>
    <pivotCache cacheId="43" r:id="rId78"/>
    <pivotCache cacheId="44" r:id="rId79"/>
    <pivotCache cacheId="45" r:id="rId80"/>
    <pivotCache cacheId="46" r:id="rId81"/>
    <pivotCache cacheId="47" r:id="rId82"/>
    <pivotCache cacheId="48" r:id="rId83"/>
    <pivotCache cacheId="49" r:id="rId84"/>
    <pivotCache cacheId="50" r:id="rId85"/>
    <pivotCache cacheId="51" r:id="rId86"/>
    <pivotCache cacheId="52" r:id="rId87"/>
    <pivotCache cacheId="53" r:id="rId88"/>
    <pivotCache cacheId="54" r:id="rId89"/>
    <pivotCache cacheId="55" r:id="rId90"/>
    <pivotCache cacheId="56" r:id="rId91"/>
    <pivotCache cacheId="57" r:id="rId92"/>
  </pivotCaches>
</workbook>
</file>

<file path=xl/sharedStrings.xml><?xml version="1.0" encoding="utf-8"?>
<sst xmlns="http://schemas.openxmlformats.org/spreadsheetml/2006/main" uniqueCount="6623">
  <si>
    <t>September 2024</t>
  </si>
  <si>
    <t>Sales Order</t>
  </si>
  <si>
    <t>Customer</t>
  </si>
  <si>
    <t>Ordered Date</t>
  </si>
  <si>
    <t>Line Item Name</t>
  </si>
  <si>
    <t>Line Item Description</t>
  </si>
  <si>
    <t>Order Quantity</t>
  </si>
  <si>
    <t>Unit Price</t>
  </si>
  <si>
    <t>Total Line Item $</t>
  </si>
  <si>
    <t>5720</t>
  </si>
  <si>
    <t>David Jenko</t>
  </si>
  <si>
    <t>CC-HCCMKII-15-NC</t>
  </si>
  <si>
    <t>Handheld CO2 Cannon MKII</t>
  </si>
  <si>
    <t>5717</t>
  </si>
  <si>
    <t>Michael Nappi</t>
  </si>
  <si>
    <t>CC-WASH-10</t>
  </si>
  <si>
    <t>CO2 Washers (10 pack)</t>
  </si>
  <si>
    <t>5715</t>
  </si>
  <si>
    <t>DEVIN MAGGIO</t>
  </si>
  <si>
    <t>CC-AC-CCL</t>
  </si>
  <si>
    <t>CO2 Cylinder Link</t>
  </si>
  <si>
    <t>5713</t>
  </si>
  <si>
    <t>Charlie Fisher</t>
  </si>
  <si>
    <t>CC-CH-15-STD</t>
  </si>
  <si>
    <t>Co2 Hose 15FT Standard Config</t>
  </si>
  <si>
    <t>5712</t>
  </si>
  <si>
    <t>Lorenzo Loche</t>
  </si>
  <si>
    <t>CC-VV-KIT</t>
  </si>
  <si>
    <t>Volt View - True1 voltage detection device</t>
  </si>
  <si>
    <t>5711</t>
  </si>
  <si>
    <t>Sammy McKamie</t>
  </si>
  <si>
    <t>CC-HCCMKII-15-TC</t>
  </si>
  <si>
    <t>Handheld MKII in travel case with 15ft hose</t>
  </si>
  <si>
    <t>5708</t>
  </si>
  <si>
    <t>Ephraim Vasquez</t>
  </si>
  <si>
    <t>CC-CTC-20</t>
  </si>
  <si>
    <t>CO2 Tank Covers - 20lb Cover</t>
  </si>
  <si>
    <t>5707</t>
  </si>
  <si>
    <t>Shamus Burns</t>
  </si>
  <si>
    <t>CC-CH-08-STD</t>
  </si>
  <si>
    <t>Co2 Hose 08FT Standard Config</t>
  </si>
  <si>
    <t>5714</t>
  </si>
  <si>
    <t>Pyrotek FX</t>
  </si>
  <si>
    <t>General Purpose Shipper</t>
  </si>
  <si>
    <t>Samples, courtesy, etc.</t>
  </si>
  <si>
    <t>5716</t>
  </si>
  <si>
    <t>Texas State University</t>
  </si>
  <si>
    <t>Shipping Fees</t>
  </si>
  <si>
    <t>CC-PROJ-5-110</t>
  </si>
  <si>
    <t>Pro Jet</t>
  </si>
  <si>
    <t>CC-NPTC-06-STD</t>
  </si>
  <si>
    <t>Neutrik PowerCON True1 Cords - 6FT, Standard (Included)</t>
  </si>
  <si>
    <t>CC-F-COT</t>
  </si>
  <si>
    <t xml:space="preserve"> CO2 Output Terminator (Included)</t>
  </si>
  <si>
    <t>CC-AC-CTAT</t>
  </si>
  <si>
    <t>Co2 Tank Attachment Tool (Included)</t>
  </si>
  <si>
    <t>Co2 Hose 15FT Standard Config (Included)</t>
  </si>
  <si>
    <t>CC-AC-LA2</t>
  </si>
  <si>
    <t>LED Attachment for DMX Jet, DMX Jet MKII, and Pro Jet.</t>
  </si>
  <si>
    <t>CC-SS-35</t>
  </si>
  <si>
    <t>ShoStarter DMX Controller with 3 &amp; 5 Pin Connectors in Box</t>
  </si>
  <si>
    <t>5709</t>
  </si>
  <si>
    <t>Sean Atkins</t>
  </si>
  <si>
    <t>Shipping Charges</t>
  </si>
  <si>
    <t>CC-HCCMKII-25-TC</t>
  </si>
  <si>
    <t>Handheld MKII in travel case with 25ft hose</t>
  </si>
  <si>
    <t>5710</t>
  </si>
  <si>
    <t>Joe Bunn</t>
  </si>
  <si>
    <t>5719</t>
  </si>
  <si>
    <t>ER Productions</t>
  </si>
  <si>
    <t>ShoStarter DMX Controller with 3 &amp; 5 Pin Connectors in Box - LOANER, TO BE RETURNED</t>
  </si>
  <si>
    <t>5706</t>
  </si>
  <si>
    <t>paul rozsa</t>
  </si>
  <si>
    <t>CC-TB-35</t>
  </si>
  <si>
    <t>The Button - with both 3 &amp; 5 pin DMX ports</t>
  </si>
  <si>
    <t>5705</t>
  </si>
  <si>
    <t>Lorenzo Gonzales</t>
  </si>
  <si>
    <t>CC-F-HEA</t>
  </si>
  <si>
    <t>Hose Extension Adapter</t>
  </si>
  <si>
    <t>5704</t>
  </si>
  <si>
    <t>Ethan Mercado</t>
  </si>
  <si>
    <t>CC-MJMKII-3-110</t>
  </si>
  <si>
    <t>Micro CO2 Jet MKII</t>
  </si>
  <si>
    <t>Neutrik PowerCON True1 Cords - 6FT, Standard</t>
  </si>
  <si>
    <t>CC-AC-OP</t>
  </si>
  <si>
    <t>CO2 Tank Tool + Documentation</t>
  </si>
  <si>
    <t>5703</t>
  </si>
  <si>
    <t>5702</t>
  </si>
  <si>
    <t>TJ Schlick</t>
  </si>
  <si>
    <t>CC-CTC-50</t>
  </si>
  <si>
    <t>CO2 Tank Covers - 50lb Cover</t>
  </si>
  <si>
    <t>5700</t>
  </si>
  <si>
    <t>Donald Hines</t>
  </si>
  <si>
    <t>Co2 Tank Attachment Tool</t>
  </si>
  <si>
    <t>5699</t>
  </si>
  <si>
    <t>CC-HCCMKII-08-NC</t>
  </si>
  <si>
    <t>5695</t>
  </si>
  <si>
    <t>Jeremy Glassman</t>
  </si>
  <si>
    <t>5693</t>
  </si>
  <si>
    <t>David Gillispie</t>
  </si>
  <si>
    <t>5692</t>
  </si>
  <si>
    <t>Sunsation Powerboats</t>
  </si>
  <si>
    <t>CC-CH-XX-EXT</t>
  </si>
  <si>
    <t>1/4" Co2 Hose - 26FT - FQC x FJIC6, Stainless crimp fittings</t>
  </si>
  <si>
    <t>12v DC Solenoid Coil</t>
  </si>
  <si>
    <t>12v DC Solenoid Coil for 1/4" CO2 Valve</t>
  </si>
  <si>
    <t>CC-F-CGA-FQC</t>
  </si>
  <si>
    <t>CGA-320 Female to 1/4" Female Quick Connect (316 Stainless, 1/4" QD, Teflon Seals)</t>
  </si>
  <si>
    <t>Hose Extension Adapter (1/4" 316 stainless male QC x stainless #6 JIC)</t>
  </si>
  <si>
    <t>1/4" Co2 Valve</t>
  </si>
  <si>
    <t>Solenoid Din Connector</t>
  </si>
  <si>
    <t>2FT CO2 Hose - 1/4" ID (JIC #6 x JIC #6)</t>
  </si>
  <si>
    <t>Special order CO2 Hose</t>
  </si>
  <si>
    <t>5691</t>
  </si>
  <si>
    <t>Joe Spray</t>
  </si>
  <si>
    <t xml:space="preserve"> CC-AC-CGAJIC-SET - 1</t>
  </si>
  <si>
    <t>CGA-320 to JIC adapter with nut and integrated o-ring</t>
  </si>
  <si>
    <t>5690</t>
  </si>
  <si>
    <t>Olyn Taylor</t>
  </si>
  <si>
    <t>CC-AC-ROR2</t>
  </si>
  <si>
    <t>Replacement O-Ring - 2023 Quick Connects. EPDM</t>
  </si>
  <si>
    <t>5694</t>
  </si>
  <si>
    <t>Special FX Rentals</t>
  </si>
  <si>
    <t>CC-AC-4PM</t>
  </si>
  <si>
    <t>4 Port Co2 Manifold - 4x JIC 3/8" Inlets, 1x JIC 3/8" Outlet with Truss Bracket</t>
  </si>
  <si>
    <t>CC-CH-02-MFD</t>
  </si>
  <si>
    <t>2FT CO2 Hose (CGA-320 x Female JIC 3/8") For use with Manifold</t>
  </si>
  <si>
    <t>5689</t>
  </si>
  <si>
    <t>Chris Martin</t>
  </si>
  <si>
    <t>5688</t>
  </si>
  <si>
    <t>Matt McCarty McCarty</t>
  </si>
  <si>
    <t>5687</t>
  </si>
  <si>
    <t>Francisco Ortiz</t>
  </si>
  <si>
    <t>CC-CH-25-STD</t>
  </si>
  <si>
    <t>Co2 Hose 25FT Standard Config</t>
  </si>
  <si>
    <t>5686</t>
  </si>
  <si>
    <t>Sox Sox</t>
  </si>
  <si>
    <t>5685</t>
  </si>
  <si>
    <t>Eliot Pirone</t>
  </si>
  <si>
    <t>CC-AC-CTS - 1</t>
  </si>
  <si>
    <t>CO2 Tank Splitter</t>
  </si>
  <si>
    <t>5684</t>
  </si>
  <si>
    <t>cesar cantu de la paz</t>
  </si>
  <si>
    <t>CC-SM-5</t>
  </si>
  <si>
    <t>ShoMaster Console</t>
  </si>
  <si>
    <t>5682</t>
  </si>
  <si>
    <t>CC-F-MFDCGAJIC</t>
  </si>
  <si>
    <t>Adapter for use with Manifold - to attach standard CGA-320 hose configuration</t>
  </si>
  <si>
    <t>5681</t>
  </si>
  <si>
    <t>Kaitlynn Bauman</t>
  </si>
  <si>
    <t>5680</t>
  </si>
  <si>
    <t>Miami Sound Rental</t>
  </si>
  <si>
    <t>5679</t>
  </si>
  <si>
    <t>Gus Ruggiero</t>
  </si>
  <si>
    <t>5678</t>
  </si>
  <si>
    <t>Joe Torres</t>
  </si>
  <si>
    <t>5677</t>
  </si>
  <si>
    <t>Ivan Sanchez</t>
  </si>
  <si>
    <t>5676</t>
  </si>
  <si>
    <t>Jarrod Conner</t>
  </si>
  <si>
    <t>5683</t>
  </si>
  <si>
    <t>AFX Pro / Jackie Johnson</t>
  </si>
  <si>
    <t>Confetti / Streamer Samples</t>
  </si>
  <si>
    <t>5675</t>
  </si>
  <si>
    <t>Javier Carlos</t>
  </si>
  <si>
    <t>CC-AC-BM-KIT</t>
  </si>
  <si>
    <t>Ball Mount Assembly for Cryo Clamp with 4x 10-32 x 3/8" socket head screws (Replacement)</t>
  </si>
  <si>
    <t>CC-AC-CLAMP-CC2-KIT</t>
  </si>
  <si>
    <t>Truss clamp for CC2 with 1/2-13 x 3/4” CS screw</t>
  </si>
  <si>
    <t>5674</t>
  </si>
  <si>
    <t>Stephen Escosio</t>
  </si>
  <si>
    <t>CC-HCCMKII-08-TC</t>
  </si>
  <si>
    <t>Handheld MKII in travel case with 8ft hose</t>
  </si>
  <si>
    <t>5673</t>
  </si>
  <si>
    <t>gus vivian</t>
  </si>
  <si>
    <t>5672</t>
  </si>
  <si>
    <t>Gary Alan Collins</t>
  </si>
  <si>
    <t>5671</t>
  </si>
  <si>
    <t>allen tauber</t>
  </si>
  <si>
    <t>CC-AC-RAA</t>
  </si>
  <si>
    <t>Right Angle Adapter</t>
  </si>
  <si>
    <t>5670</t>
  </si>
  <si>
    <t>Renton Reese</t>
  </si>
  <si>
    <t>5669</t>
  </si>
  <si>
    <t>Kenny Stacy</t>
  </si>
  <si>
    <t>5668</t>
  </si>
  <si>
    <t>Edgar Guerrero</t>
  </si>
  <si>
    <t>5667</t>
  </si>
  <si>
    <t>Estefania Urban</t>
  </si>
  <si>
    <t>5666</t>
  </si>
  <si>
    <t>Pablo Alejandro</t>
  </si>
  <si>
    <t>5665</t>
  </si>
  <si>
    <t>Leonardo Gomez</t>
  </si>
  <si>
    <t>5663</t>
  </si>
  <si>
    <t>Ronald Michel</t>
  </si>
  <si>
    <t>5659</t>
  </si>
  <si>
    <t>John Macaluso</t>
  </si>
  <si>
    <t>5658</t>
  </si>
  <si>
    <t>Josh Carbaugh</t>
  </si>
  <si>
    <t>5654</t>
  </si>
  <si>
    <t>kryspin gietkowski</t>
  </si>
  <si>
    <t>5653</t>
  </si>
  <si>
    <t>Bob Hickman</t>
  </si>
  <si>
    <t>5664</t>
  </si>
  <si>
    <t>Shipping upgrade to NDA</t>
  </si>
  <si>
    <t>5662</t>
  </si>
  <si>
    <t>Travis Johnson</t>
  </si>
  <si>
    <t>CO2 Valve Replacement Seal</t>
  </si>
  <si>
    <t>Teflon &amp; Brass seal for 1/4" CO2 Valve</t>
  </si>
  <si>
    <t>5657</t>
  </si>
  <si>
    <t>4WALL ENTERTAINMENT, INC.</t>
  </si>
  <si>
    <t>5660</t>
  </si>
  <si>
    <t>Dustin Raphael</t>
  </si>
  <si>
    <t>CC-CH-100-STD</t>
  </si>
  <si>
    <t>Co2 Hose 100FT Standard Config</t>
  </si>
  <si>
    <t>5661</t>
  </si>
  <si>
    <t>Jorge Torres</t>
  </si>
  <si>
    <t>5652</t>
  </si>
  <si>
    <t>Josh Blum</t>
  </si>
  <si>
    <t>5651</t>
  </si>
  <si>
    <t>5650</t>
  </si>
  <si>
    <t>5649</t>
  </si>
  <si>
    <t>Jeremy Thompson</t>
  </si>
  <si>
    <t>5644</t>
  </si>
  <si>
    <t>Zachary Rioux</t>
  </si>
  <si>
    <t>CC-CC2-110</t>
  </si>
  <si>
    <t>Cryo Clamp II, 110v, Weatherproof CO2 Jet</t>
  </si>
  <si>
    <t>CC-AC-CLAMP</t>
  </si>
  <si>
    <t>Truss Clamp</t>
  </si>
  <si>
    <t>5643</t>
  </si>
  <si>
    <t>Tabitha Oneill</t>
  </si>
  <si>
    <t>5642</t>
  </si>
  <si>
    <t>Kevin Solis</t>
  </si>
  <si>
    <t>5641</t>
  </si>
  <si>
    <t>Arturo Ramos</t>
  </si>
  <si>
    <t>5639</t>
  </si>
  <si>
    <t>Tyler Shawaf</t>
  </si>
  <si>
    <t>5638</t>
  </si>
  <si>
    <t>Alex Ranger</t>
  </si>
  <si>
    <t>CC-CH-05-STD - 01</t>
  </si>
  <si>
    <t>Co2 Hose 05FT Standard Config</t>
  </si>
  <si>
    <t>5637</t>
  </si>
  <si>
    <t>Jared Lopez</t>
  </si>
  <si>
    <t>5635</t>
  </si>
  <si>
    <t>Daniel Heape</t>
  </si>
  <si>
    <t>5633</t>
  </si>
  <si>
    <t>Alan Tudanger</t>
  </si>
  <si>
    <t>5636</t>
  </si>
  <si>
    <t>MagicFX StadiumShot III</t>
  </si>
  <si>
    <t>DMX Controlled Confetti Launcher</t>
  </si>
  <si>
    <t>MagicFX SFX Safety ARM Controller</t>
  </si>
  <si>
    <t>48v Safety Controller</t>
  </si>
  <si>
    <t>5640</t>
  </si>
  <si>
    <t>Tin Roof Bars</t>
  </si>
  <si>
    <t>Repair</t>
  </si>
  <si>
    <t>Repair of Handhelds - Serial# 003447 &amp; 003448 - 1.5 Hours Labor</t>
  </si>
  <si>
    <t>Wand Handle - 1</t>
  </si>
  <si>
    <t>For Handheld MKII Revision 1</t>
  </si>
  <si>
    <t>CC-F-MQCBSPPF</t>
  </si>
  <si>
    <t>3/8" Male Quick Connect Fitting BSPP thread female (Complementary)</t>
  </si>
  <si>
    <t>X-Profile O-Ring</t>
  </si>
  <si>
    <t>Dash Number 331 - 70A durometer (Complementary)</t>
  </si>
  <si>
    <t>1/4" NPTS Pipe Nipple (1")</t>
  </si>
  <si>
    <t>Fully threaded (Complementary)</t>
  </si>
  <si>
    <t>Square O-Ring</t>
  </si>
  <si>
    <t>Dash Number 112 - 70A durometer (Complementary)</t>
  </si>
  <si>
    <t>6-32 x 3/8" - CS, BSS</t>
  </si>
  <si>
    <t>Countersunk head, black stainless steel</t>
  </si>
  <si>
    <t>5632</t>
  </si>
  <si>
    <t>Orlando Hernandez</t>
  </si>
  <si>
    <t>5631</t>
  </si>
  <si>
    <t>Kevin Mignone</t>
  </si>
  <si>
    <t>5630</t>
  </si>
  <si>
    <t>Patrick Henry HS-ASB</t>
  </si>
  <si>
    <t>5629</t>
  </si>
  <si>
    <t>Collins Atuquayfio</t>
  </si>
  <si>
    <t>5628</t>
  </si>
  <si>
    <t>Andrew Wise</t>
  </si>
  <si>
    <t>5627</t>
  </si>
  <si>
    <t>William Brighton</t>
  </si>
  <si>
    <t>5626</t>
  </si>
  <si>
    <t>Dwayne Parker</t>
  </si>
  <si>
    <t>5624</t>
  </si>
  <si>
    <t>Kevin Celestino</t>
  </si>
  <si>
    <t>5623</t>
  </si>
  <si>
    <t>Donald Henry</t>
  </si>
  <si>
    <t>5622</t>
  </si>
  <si>
    <t>Mike Jimenez</t>
  </si>
  <si>
    <t>5621</t>
  </si>
  <si>
    <t>Jaideep Sharma</t>
  </si>
  <si>
    <t>5620</t>
  </si>
  <si>
    <t>Michael El Khoury</t>
  </si>
  <si>
    <t>5619</t>
  </si>
  <si>
    <t>Chris Hill</t>
  </si>
  <si>
    <t>5618</t>
  </si>
  <si>
    <t>Yosef Levy</t>
  </si>
  <si>
    <t>5616</t>
  </si>
  <si>
    <t>5625</t>
  </si>
  <si>
    <t>Manuel Diaz</t>
  </si>
  <si>
    <t>CC-CH-03.5-MFD</t>
  </si>
  <si>
    <t>3 1/2FT CO2 Hose (CGA-320 x Female JIC 3/8") For use with Manifold</t>
  </si>
  <si>
    <t>JIC Run Tee 6602-06-06-06</t>
  </si>
  <si>
    <t>Used to add an additional input to 4 port manifold</t>
  </si>
  <si>
    <t>5617</t>
  </si>
  <si>
    <t>5615</t>
  </si>
  <si>
    <t>Frankie Duong</t>
  </si>
  <si>
    <t>5614</t>
  </si>
  <si>
    <t>Kenneth Wong</t>
  </si>
  <si>
    <t>5612</t>
  </si>
  <si>
    <t>Christopher Harmon</t>
  </si>
  <si>
    <t>5610</t>
  </si>
  <si>
    <t>Conan Mastrangelo 728</t>
  </si>
  <si>
    <t>5609</t>
  </si>
  <si>
    <t>Brian Waltz</t>
  </si>
  <si>
    <t>5608</t>
  </si>
  <si>
    <t>CC-WASH-INT-01</t>
  </si>
  <si>
    <t>Single CO2 Washer - International</t>
  </si>
  <si>
    <t>CC-AC-CGANPT-INT-SET</t>
  </si>
  <si>
    <t>International CO2 fitting 1/4" NPT to DIN 477</t>
  </si>
  <si>
    <t>5606</t>
  </si>
  <si>
    <t>Lee Grillo</t>
  </si>
  <si>
    <t xml:space="preserve"> CO2 Output Terminator</t>
  </si>
  <si>
    <t>5605</t>
  </si>
  <si>
    <t>wilbur leonard</t>
  </si>
  <si>
    <t>5604</t>
  </si>
  <si>
    <t>Justin Icenroad</t>
  </si>
  <si>
    <t>5611</t>
  </si>
  <si>
    <t>Loaner ShoStarter - to be returned the week of 10/7</t>
  </si>
  <si>
    <t>5607</t>
  </si>
  <si>
    <t>Jorge Ayala</t>
  </si>
  <si>
    <t>CO2 Tank Tool + Documentation (Included)</t>
  </si>
  <si>
    <t>5613</t>
  </si>
  <si>
    <t>Felipe Moreno</t>
  </si>
  <si>
    <t>5603</t>
  </si>
  <si>
    <t>Emily Meister</t>
  </si>
  <si>
    <t>5601</t>
  </si>
  <si>
    <t>Clayton James</t>
  </si>
  <si>
    <t>5598</t>
  </si>
  <si>
    <t>Korben Feldstein</t>
  </si>
  <si>
    <t>5597</t>
  </si>
  <si>
    <t>Matthew Dickman</t>
  </si>
  <si>
    <t>CC-AC-CLAMP-MJMKII-KIT</t>
  </si>
  <si>
    <t>Truss Clamp for Micro Jet MKII w/ Hardware</t>
  </si>
  <si>
    <t>5596</t>
  </si>
  <si>
    <t>Justin Babbitt</t>
  </si>
  <si>
    <t>CC-AC-TC</t>
  </si>
  <si>
    <t>Travel Case</t>
  </si>
  <si>
    <t>5595</t>
  </si>
  <si>
    <t>5594</t>
  </si>
  <si>
    <t>Samuel Eufemia</t>
  </si>
  <si>
    <t>5593</t>
  </si>
  <si>
    <t>Edward Barajas</t>
  </si>
  <si>
    <t>5599</t>
  </si>
  <si>
    <t>LUIS SALGADO</t>
  </si>
  <si>
    <t>CC-CH-15-EXT</t>
  </si>
  <si>
    <t>Co2 Hose 15FT Extension Config</t>
  </si>
  <si>
    <t>Club Cannon Barrel Band</t>
  </si>
  <si>
    <t>5602</t>
  </si>
  <si>
    <t>5600</t>
  </si>
  <si>
    <t>CC-F-DCHA</t>
  </si>
  <si>
    <t>Daisy Chain Adapter</t>
  </si>
  <si>
    <t>5592</t>
  </si>
  <si>
    <t>Eddy Capitani</t>
  </si>
  <si>
    <t>5591</t>
  </si>
  <si>
    <t>Yazen Ayoub</t>
  </si>
  <si>
    <t>5590</t>
  </si>
  <si>
    <t>Michael Wheeler</t>
  </si>
  <si>
    <t>5589</t>
  </si>
  <si>
    <t>HUGO FELICIANO</t>
  </si>
  <si>
    <t>CC-AC-LGK</t>
  </si>
  <si>
    <t>Replacement Keys - Shomaster &amp; ShoStarter</t>
  </si>
  <si>
    <t>5588</t>
  </si>
  <si>
    <t>Whalen David</t>
  </si>
  <si>
    <t>5587</t>
  </si>
  <si>
    <t>Dimitri Fostinis</t>
  </si>
  <si>
    <t>5586</t>
  </si>
  <si>
    <t>Mario Vengoechea</t>
  </si>
  <si>
    <t>5585</t>
  </si>
  <si>
    <t>Taylor Iwaasa</t>
  </si>
  <si>
    <t>5584</t>
  </si>
  <si>
    <t>Dani Zadorian</t>
  </si>
  <si>
    <t>5580</t>
  </si>
  <si>
    <t>nick chiumento</t>
  </si>
  <si>
    <t>5578</t>
  </si>
  <si>
    <t>5577</t>
  </si>
  <si>
    <t>David Brooks</t>
  </si>
  <si>
    <t>5583</t>
  </si>
  <si>
    <t>Ultratec Special Effects</t>
  </si>
  <si>
    <t>Custom Programming Fee</t>
  </si>
  <si>
    <t>Develop a custom mode for The Button to operate Ultratec IceBlast in conjunction with the Club Cannon LED Attachment II.</t>
  </si>
  <si>
    <t>5581</t>
  </si>
  <si>
    <t>Dios Vazquez</t>
  </si>
  <si>
    <t>Ball Mount Assembly for Cryo Clamp with 4x 10-32 x 3/8" socket head screws</t>
  </si>
  <si>
    <t>Repair of Shostarter Serial #00070</t>
  </si>
  <si>
    <t>USB Panel Mount - 6"</t>
  </si>
  <si>
    <t>Short USB panel mount cable</t>
  </si>
  <si>
    <t>#4 x 3/8" Thread Forming Screws for Plastics (48-2) CS Steel Black</t>
  </si>
  <si>
    <t>#4 x 3/8" Thread Forming Screws for Plastics (48-2) CS Steel Black - Micro Jet XLR Fasteners</t>
  </si>
  <si>
    <t>M3 x 15mm CS BSS Screw</t>
  </si>
  <si>
    <t>Panel Componant Mounting Screw</t>
  </si>
  <si>
    <t>Controller 3/5 pin XLR PCB Assembly</t>
  </si>
  <si>
    <t>Controller XLR used for controllers with both 3 and 5-pin DMX with 8-pin IDD connector</t>
  </si>
  <si>
    <t>IDC Cable Clip</t>
  </si>
  <si>
    <t>3D printed clip to secure IDC Cable</t>
  </si>
  <si>
    <t>Large Key Lock Switch Assembly</t>
  </si>
  <si>
    <t>Large 2 Position Key switch with TE connector</t>
  </si>
  <si>
    <t>25mm RGB Halo Button</t>
  </si>
  <si>
    <t>25mm mounting diameter, 1NO1NC momentary type, RGB led 0V ring illuminated, Black aluminum</t>
  </si>
  <si>
    <t>5582</t>
  </si>
  <si>
    <t>Micro Jet MKII Main PCB</t>
  </si>
  <si>
    <t>5575</t>
  </si>
  <si>
    <t>Marc Silva</t>
  </si>
  <si>
    <t>CC-AC-ROR</t>
  </si>
  <si>
    <t>Replacement O-Ring</t>
  </si>
  <si>
    <t>5574</t>
  </si>
  <si>
    <t>Edwin Raymundo</t>
  </si>
  <si>
    <t>5573</t>
  </si>
  <si>
    <t>Zach Fiest</t>
  </si>
  <si>
    <t>5570</t>
  </si>
  <si>
    <t>Abdelaziz Idhamou</t>
  </si>
  <si>
    <t>5569</t>
  </si>
  <si>
    <t>Jack Hanson</t>
  </si>
  <si>
    <t>5568</t>
  </si>
  <si>
    <t>Joshua McClure</t>
  </si>
  <si>
    <t>5567</t>
  </si>
  <si>
    <t>Jose Luis Ayala</t>
  </si>
  <si>
    <t>5566</t>
  </si>
  <si>
    <t>Michael bramson</t>
  </si>
  <si>
    <t>5572</t>
  </si>
  <si>
    <t>5571</t>
  </si>
  <si>
    <t>Dean Entertainment</t>
  </si>
  <si>
    <t>5576</t>
  </si>
  <si>
    <t>Hector Bueno</t>
  </si>
  <si>
    <t>Replacement Handheld MKII, 15FT CO2 Hose</t>
  </si>
  <si>
    <t>5564</t>
  </si>
  <si>
    <t>Adam Rosen</t>
  </si>
  <si>
    <t>5562</t>
  </si>
  <si>
    <t>Jordan Solender</t>
  </si>
  <si>
    <t>5561</t>
  </si>
  <si>
    <t>Alexandru Grigorescu</t>
  </si>
  <si>
    <t>5565</t>
  </si>
  <si>
    <t>Ben Londo / Cal Poly Rodeo</t>
  </si>
  <si>
    <t>Discount</t>
  </si>
  <si>
    <t xml:space="preserve">JIC Elbow - 3/8" JIC male x 3/8" JIC Female </t>
  </si>
  <si>
    <t>6500-06-06-06</t>
  </si>
  <si>
    <t>MagicFX Red Button</t>
  </si>
  <si>
    <t>True1 In / Out momentary power controller</t>
  </si>
  <si>
    <t>CC-AC-TB</t>
  </si>
  <si>
    <t>Bracket that gets installed on 4 port manifold. Can also be used on Cryo Clamp</t>
  </si>
  <si>
    <t>1/2-13 x 3/4" PH SS</t>
  </si>
  <si>
    <t>Stainless screw for cryo clamp plate bracket</t>
  </si>
  <si>
    <t>1/2" ID Belleville Washer</t>
  </si>
  <si>
    <t>Used on 1/2" Brackets and clamps</t>
  </si>
  <si>
    <t>5563</t>
  </si>
  <si>
    <t>DMX Jet Trade-In Credit</t>
  </si>
  <si>
    <t>$200 credit for each DMX Jet trade-in</t>
  </si>
  <si>
    <t>5557</t>
  </si>
  <si>
    <t>Mario Auda</t>
  </si>
  <si>
    <t>5554</t>
  </si>
  <si>
    <t>Rolf Nagtzaam</t>
  </si>
  <si>
    <t>5553</t>
  </si>
  <si>
    <t>Steven Negron</t>
  </si>
  <si>
    <t>CC-CH-25-EXT</t>
  </si>
  <si>
    <t>Co2 Hose 25FT Extension Config</t>
  </si>
  <si>
    <t>5558</t>
  </si>
  <si>
    <t>Khalil Charif</t>
  </si>
  <si>
    <t>5560</t>
  </si>
  <si>
    <t>Morrie Silver</t>
  </si>
  <si>
    <t>CC-QJ-5-110</t>
  </si>
  <si>
    <t>Quad Jet 110v with 5 Pin DMX With Barrels</t>
  </si>
  <si>
    <t>CC-CH-35-STD</t>
  </si>
  <si>
    <t>Co2 Hose 35FT Standard Config (Upgrade from 15FT)</t>
  </si>
  <si>
    <t>5556</t>
  </si>
  <si>
    <t>PYROTECNICO</t>
  </si>
  <si>
    <t>5555</t>
  </si>
  <si>
    <t>5559</t>
  </si>
  <si>
    <t>Image Engineering</t>
  </si>
  <si>
    <t>T-Shirt Cannon Control Boxes x 18</t>
  </si>
  <si>
    <t>5552</t>
  </si>
  <si>
    <t>Scott Kuren</t>
  </si>
  <si>
    <t>5549</t>
  </si>
  <si>
    <t>5548</t>
  </si>
  <si>
    <t>Eyal Simkovits</t>
  </si>
  <si>
    <t>5546</t>
  </si>
  <si>
    <t>Gustavo adolfo Rodriguez</t>
  </si>
  <si>
    <t>5551</t>
  </si>
  <si>
    <t>Source Audio Systems</t>
  </si>
  <si>
    <t>CC-CH-08-DSY</t>
  </si>
  <si>
    <t>Co2 Hose 08FT Daisy Chain</t>
  </si>
  <si>
    <t>CC-RC-2430</t>
  </si>
  <si>
    <t>24x30 Road Case</t>
  </si>
  <si>
    <t>CC-RC-2430-PJI</t>
  </si>
  <si>
    <t>24x30 Road Case Insert - Pro Jet (Included)</t>
  </si>
  <si>
    <t>CC-RC-2430-TTI</t>
  </si>
  <si>
    <t>24x30 Road Case Insert - Top Tray Insert (Included)</t>
  </si>
  <si>
    <t>Truss clamp for CC2 with 1/2-13 x 3/4” CS screw (Included)</t>
  </si>
  <si>
    <t>Ball Mount Assembly for Cryo Clamp with 4x 10-32 x 3/8" socket head screws (Complementary)</t>
  </si>
  <si>
    <t>CC-F-FQCBSPF</t>
  </si>
  <si>
    <t>ISO-A Female Quick Connect - BSPP Thread</t>
  </si>
  <si>
    <t>5547</t>
  </si>
  <si>
    <t>CC-CH-03.5-EXT</t>
  </si>
  <si>
    <t>Co2 Hose 3.5FT Extension Config</t>
  </si>
  <si>
    <t>CGA-320 Female to Female Quick Connect</t>
  </si>
  <si>
    <t>5545</t>
  </si>
  <si>
    <t>Jackson Clark</t>
  </si>
  <si>
    <t>5544</t>
  </si>
  <si>
    <t>Eric Terzyan</t>
  </si>
  <si>
    <t>5543</t>
  </si>
  <si>
    <t>Jeremy Kalisz</t>
  </si>
  <si>
    <t>5541</t>
  </si>
  <si>
    <t>Cory Colwell</t>
  </si>
  <si>
    <t>5542</t>
  </si>
  <si>
    <t>Two Nickel Touring</t>
  </si>
  <si>
    <t>5540</t>
  </si>
  <si>
    <t>Rene Vazquez</t>
  </si>
  <si>
    <t>5539</t>
  </si>
  <si>
    <t>Bes Entertainment / Matt Besemer</t>
  </si>
  <si>
    <t>Co2 Hose 35FT Standard Config</t>
  </si>
  <si>
    <t>5538</t>
  </si>
  <si>
    <t>Steven Bryant</t>
  </si>
  <si>
    <t>5537</t>
  </si>
  <si>
    <t>Taylor Gunderson</t>
  </si>
  <si>
    <t>5536</t>
  </si>
  <si>
    <t>Misty Smith</t>
  </si>
  <si>
    <t>5535</t>
  </si>
  <si>
    <t>5534</t>
  </si>
  <si>
    <t>CC-TSC-5-110</t>
  </si>
  <si>
    <t>T-Shirt Cannon Control Box, 5 pin, 110v</t>
  </si>
  <si>
    <t>M8 3 Pin Male to M8 3 Pin Female Extension Cord - A Code, 4M (13.5FT)</t>
  </si>
  <si>
    <t>M8 pressure sensor, servo extension cable</t>
  </si>
  <si>
    <t>M8 Axial Field Wireable Connector</t>
  </si>
  <si>
    <t>M8 barrel 3-pin male axial connection</t>
  </si>
  <si>
    <t>M8 3 Pin Male to pigtail - A Code, 1M</t>
  </si>
  <si>
    <t>M8 3P male to stripped wire, 3FT</t>
  </si>
  <si>
    <t>M12 3 Pin to DIN, A Code, 5M, 16.5FT</t>
  </si>
  <si>
    <t>Solenoid to M12 cable harness</t>
  </si>
  <si>
    <t>M12 3 Pin to DIN Form B (11mm) - A Code, 4FT</t>
  </si>
  <si>
    <t>Solenoid type B to M12 cable harness</t>
  </si>
  <si>
    <t>5532</t>
  </si>
  <si>
    <t>5530</t>
  </si>
  <si>
    <t>Brian Farley</t>
  </si>
  <si>
    <t>5529</t>
  </si>
  <si>
    <t>Joseph Fraga</t>
  </si>
  <si>
    <t>5533</t>
  </si>
  <si>
    <t>5531</t>
  </si>
  <si>
    <t>Chris Valentin</t>
  </si>
  <si>
    <t>5524</t>
  </si>
  <si>
    <t>Daniel Barnett</t>
  </si>
  <si>
    <t>5522</t>
  </si>
  <si>
    <t>stephen taminosian</t>
  </si>
  <si>
    <t>5521</t>
  </si>
  <si>
    <t>Tim Cruz</t>
  </si>
  <si>
    <t>5520</t>
  </si>
  <si>
    <t>Scott Jordan</t>
  </si>
  <si>
    <t>5526</t>
  </si>
  <si>
    <t>Emerson Wellens</t>
  </si>
  <si>
    <t>The Button 3/5Pin Unpacked</t>
  </si>
  <si>
    <t>Single Button DMX controller with 3 and 5 pin DMX and 7-Segment Display without Packaging</t>
  </si>
  <si>
    <t>5527</t>
  </si>
  <si>
    <t>CC-WASH-01</t>
  </si>
  <si>
    <t>Single CO2 Washer</t>
  </si>
  <si>
    <t>5523</t>
  </si>
  <si>
    <t>5525</t>
  </si>
  <si>
    <t xml:space="preserve">Gear Club Direct </t>
  </si>
  <si>
    <t>5528</t>
  </si>
  <si>
    <t>Co2 Tank Attachment Tool (Complementary)</t>
  </si>
  <si>
    <t>5517</t>
  </si>
  <si>
    <t>Dustin Hensley</t>
  </si>
  <si>
    <t>5516</t>
  </si>
  <si>
    <t>Joshua Morris</t>
  </si>
  <si>
    <t>5515</t>
  </si>
  <si>
    <t>Walker White</t>
  </si>
  <si>
    <t>5514</t>
  </si>
  <si>
    <t>Ryan Competti</t>
  </si>
  <si>
    <t>5511</t>
  </si>
  <si>
    <t>Araceli Hernandez</t>
  </si>
  <si>
    <t>5510</t>
  </si>
  <si>
    <t>Jose Aguilar medina</t>
  </si>
  <si>
    <t>5507</t>
  </si>
  <si>
    <t>Guillermo Gonzalez</t>
  </si>
  <si>
    <t>5506</t>
  </si>
  <si>
    <t>Mickey Hamilton</t>
  </si>
  <si>
    <t>5505</t>
  </si>
  <si>
    <t>Steven Mather</t>
  </si>
  <si>
    <t>5519</t>
  </si>
  <si>
    <t>CC-CC2-110-JIC</t>
  </si>
  <si>
    <t>Cryo Clamp II, 110v, Weatherproof CO2 Jet with JIC Inlet</t>
  </si>
  <si>
    <t>CC-AC-TB-KIT</t>
  </si>
  <si>
    <t>Cryo Clamp wall mount bracket kit with included 1/2-13 x 3/4" stainless pan head screw</t>
  </si>
  <si>
    <t>CC-AC-SMK</t>
  </si>
  <si>
    <t>Replacement Keys - The Button</t>
  </si>
  <si>
    <t>5513</t>
  </si>
  <si>
    <t>Flutter Fetti</t>
  </si>
  <si>
    <t>220v Solenoid Coil</t>
  </si>
  <si>
    <t>CC-DIN-L620</t>
  </si>
  <si>
    <t>DIN cable with L6-20, 6FT</t>
  </si>
  <si>
    <t>5508</t>
  </si>
  <si>
    <t>University of Alabama</t>
  </si>
  <si>
    <t>CC-CCDINT1-16</t>
  </si>
  <si>
    <t>Top entry DIN cable with True1 connector, 5M / 16.5FT</t>
  </si>
  <si>
    <t>5512</t>
  </si>
  <si>
    <t>House of Music Productions</t>
  </si>
  <si>
    <t>CC-CH-50-STD</t>
  </si>
  <si>
    <t>Co2 Hose 50FT Standard Config (Upgrade from 15FT)</t>
  </si>
  <si>
    <t>5518</t>
  </si>
  <si>
    <t>Joshua Palace</t>
  </si>
  <si>
    <t>5509</t>
  </si>
  <si>
    <t>CC-F-DCHA-PYROTEK</t>
  </si>
  <si>
    <t>Daisy Chain Adapter (1/2" JIC)</t>
  </si>
  <si>
    <t>5504</t>
  </si>
  <si>
    <t>GREG ERMANN</t>
  </si>
  <si>
    <t>5503</t>
  </si>
  <si>
    <t>Christian Madrigal</t>
  </si>
  <si>
    <t>5502</t>
  </si>
  <si>
    <t>Kimberly Bertrand</t>
  </si>
  <si>
    <t>September 2024 Sales by Customer</t>
  </si>
  <si>
    <t>Ordered Date (YMD)</t>
  </si>
  <si>
    <t>Order Quantity (Sum)</t>
  </si>
  <si>
    <t>Unit Price (Sum)</t>
  </si>
  <si>
    <t>Total Line Item $ (Sum)</t>
  </si>
  <si>
    <t>Grand Total</t>
  </si>
  <si>
    <t>September 2024 Sales by SKU</t>
  </si>
  <si>
    <t>September 2024 Sales by SKU$</t>
  </si>
  <si>
    <t>August 2024</t>
  </si>
  <si>
    <t>5501</t>
  </si>
  <si>
    <t>Esteban Orjuela</t>
  </si>
  <si>
    <t>5500</t>
  </si>
  <si>
    <t>5497</t>
  </si>
  <si>
    <t>Faisal Mohammed</t>
  </si>
  <si>
    <t>5495</t>
  </si>
  <si>
    <t>Bikram Singh</t>
  </si>
  <si>
    <t>5492</t>
  </si>
  <si>
    <t>Keigo Fujinaga</t>
  </si>
  <si>
    <t>5491</t>
  </si>
  <si>
    <t>Hank Chang</t>
  </si>
  <si>
    <t>5496</t>
  </si>
  <si>
    <t>Munnerlyn Pyrotecnics</t>
  </si>
  <si>
    <t>Overnight Delivery to Charolette and Return Labels</t>
  </si>
  <si>
    <t>Co2 Hose 15FT Standard Config - LOANER, TO BE RETURNED</t>
  </si>
  <si>
    <t>Co2 Tank Attachment Tool - LOANER, TO BE RETURNED</t>
  </si>
  <si>
    <t>Quad Jet Foam Insert Pad</t>
  </si>
  <si>
    <t>rectangular quad jet packing piece</t>
  </si>
  <si>
    <t>Quad Jet Foam Set</t>
  </si>
  <si>
    <t>two perforated quad jet foam inserts</t>
  </si>
  <si>
    <t>5499</t>
  </si>
  <si>
    <t>MagicFX Switchpack II</t>
  </si>
  <si>
    <t>4 Channel True1 DMX Relay - Rainproof</t>
  </si>
  <si>
    <t>5498</t>
  </si>
  <si>
    <t>5490</t>
  </si>
  <si>
    <t>Malcolm Brinkley</t>
  </si>
  <si>
    <t>5489</t>
  </si>
  <si>
    <t>Joseph Hernandez</t>
  </si>
  <si>
    <t>5488</t>
  </si>
  <si>
    <t>Chris Miller</t>
  </si>
  <si>
    <t>5487</t>
  </si>
  <si>
    <t>Brent Schmidt</t>
  </si>
  <si>
    <t>5486</t>
  </si>
  <si>
    <t>Maheeb Jaouni</t>
  </si>
  <si>
    <t>5485</t>
  </si>
  <si>
    <t>LUIS DURAN</t>
  </si>
  <si>
    <t>CC-AC-PMA</t>
  </si>
  <si>
    <t>1/4" TS Power mode Adapter</t>
  </si>
  <si>
    <t>5484</t>
  </si>
  <si>
    <t>Tyler Vandenberg</t>
  </si>
  <si>
    <t>5483</t>
  </si>
  <si>
    <t>Brian Hartsock</t>
  </si>
  <si>
    <t>5482</t>
  </si>
  <si>
    <t>Taylor Schriber</t>
  </si>
  <si>
    <t>5481</t>
  </si>
  <si>
    <t>Mark Bova</t>
  </si>
  <si>
    <t>5480</t>
  </si>
  <si>
    <t>Carlton Gear</t>
  </si>
  <si>
    <t>5479</t>
  </si>
  <si>
    <t>Marcus Ketcham</t>
  </si>
  <si>
    <t>5478</t>
  </si>
  <si>
    <t>Hector Ramirez</t>
  </si>
  <si>
    <t>5477</t>
  </si>
  <si>
    <t>David Mosley</t>
  </si>
  <si>
    <t>5474</t>
  </si>
  <si>
    <t>Ismael Luna</t>
  </si>
  <si>
    <t>5470</t>
  </si>
  <si>
    <t>Joel Deslauriers</t>
  </si>
  <si>
    <t>CC-CH-35-DSY</t>
  </si>
  <si>
    <t>Co2 Hose 35FT Daisy Chain</t>
  </si>
  <si>
    <t>5467</t>
  </si>
  <si>
    <t>Ronald Martin</t>
  </si>
  <si>
    <t>Co2 Hose 50FT Standard Config</t>
  </si>
  <si>
    <t>5466</t>
  </si>
  <si>
    <t>CHRISTIAN DELA VEGA</t>
  </si>
  <si>
    <t>5468</t>
  </si>
  <si>
    <t>Truss clamp for CC2 with 1/2-13 x 3/4” CS screw (included)</t>
  </si>
  <si>
    <t>Obsidian RP2 Relay Pack</t>
  </si>
  <si>
    <t>2 Output DMX Relay with Timer</t>
  </si>
  <si>
    <t>5469</t>
  </si>
  <si>
    <t>CC-T1M-T1F-2X</t>
  </si>
  <si>
    <t>NAC3MX-W-TOP to 2x NAC3FX-W-TOP - True1 2 way splitter</t>
  </si>
  <si>
    <t>5471</t>
  </si>
  <si>
    <t>GERMAN VALENCIA</t>
  </si>
  <si>
    <t>CC-T1M-515F-08in</t>
  </si>
  <si>
    <t>True1 Male to Nema 5-15 Female Output Adapter 8in</t>
  </si>
  <si>
    <t>5475</t>
  </si>
  <si>
    <t>5476</t>
  </si>
  <si>
    <t>Chris Burma</t>
  </si>
  <si>
    <t>5473</t>
  </si>
  <si>
    <t>Monkey Wrench Productions</t>
  </si>
  <si>
    <t>110v Pro Jets x4 exchange for 220v units</t>
  </si>
  <si>
    <t>5465</t>
  </si>
  <si>
    <t>Morgan Rosser</t>
  </si>
  <si>
    <t>5463</t>
  </si>
  <si>
    <t>Don Henry</t>
  </si>
  <si>
    <t>5462</t>
  </si>
  <si>
    <t>5461</t>
  </si>
  <si>
    <t>5459</t>
  </si>
  <si>
    <t>Michael Nelson</t>
  </si>
  <si>
    <t>5458</t>
  </si>
  <si>
    <t>Jesse Landes</t>
  </si>
  <si>
    <t>5457</t>
  </si>
  <si>
    <t>kelvin lopez</t>
  </si>
  <si>
    <t>5454</t>
  </si>
  <si>
    <t>San Clemente High School Attn Matt Reid</t>
  </si>
  <si>
    <t>5464</t>
  </si>
  <si>
    <t>SFX Solutions</t>
  </si>
  <si>
    <t>CC-MJMKII-5-110</t>
  </si>
  <si>
    <t>Micro CO2 Jet MKII, 5 pin, 110v</t>
  </si>
  <si>
    <t>Cryo Clamp Valve Assembly</t>
  </si>
  <si>
    <t>CO2 valve with BSPP MQC x BSPP FQC w/ 6FT DIN to NEMA 5-15</t>
  </si>
  <si>
    <t>The Button Main PCB</t>
  </si>
  <si>
    <t>The Button Main PCB - Warranty</t>
  </si>
  <si>
    <t>Clip to secure IDC Cable from coming unplugged</t>
  </si>
  <si>
    <t>5455</t>
  </si>
  <si>
    <t>5456</t>
  </si>
  <si>
    <t>Edgar Rojas</t>
  </si>
  <si>
    <t>Repair of Handheld MKII</t>
  </si>
  <si>
    <t>5460</t>
  </si>
  <si>
    <t>5453</t>
  </si>
  <si>
    <t>Gurpreet Chana</t>
  </si>
  <si>
    <t>5452</t>
  </si>
  <si>
    <t>Jason Waugh</t>
  </si>
  <si>
    <t>5451</t>
  </si>
  <si>
    <t>Ron Allen</t>
  </si>
  <si>
    <t>5450</t>
  </si>
  <si>
    <t>Cole Walters</t>
  </si>
  <si>
    <t>5449</t>
  </si>
  <si>
    <t>Lile Lavaki</t>
  </si>
  <si>
    <t>5448</t>
  </si>
  <si>
    <t>Isaac Cervantez</t>
  </si>
  <si>
    <t>5447</t>
  </si>
  <si>
    <t>Eliahou Yazdi</t>
  </si>
  <si>
    <t>5446</t>
  </si>
  <si>
    <t>Gregory Garman</t>
  </si>
  <si>
    <t>5445</t>
  </si>
  <si>
    <t>Kristen Miner</t>
  </si>
  <si>
    <t>5441</t>
  </si>
  <si>
    <t>Adam Averback</t>
  </si>
  <si>
    <t>5437</t>
  </si>
  <si>
    <t>michael egan</t>
  </si>
  <si>
    <t>5436</t>
  </si>
  <si>
    <t>Stephen Gribble</t>
  </si>
  <si>
    <t>5435</t>
  </si>
  <si>
    <t>Braydon Lofstead</t>
  </si>
  <si>
    <t>5444</t>
  </si>
  <si>
    <t>Repair of The Button, Serial# 31444, RMA# 2939.</t>
  </si>
  <si>
    <t>The Button Key Assembly - 1</t>
  </si>
  <si>
    <t>Key Switch with Wires and JST Connector for The Button</t>
  </si>
  <si>
    <t>Flat Button Interior Overlay Assembly - 1</t>
  </si>
  <si>
    <t>3d printed white Plastic overlay window and grey Acrylic for display</t>
  </si>
  <si>
    <t>Flat Button Clear Top Lens</t>
  </si>
  <si>
    <t>Med Grey Clear top lens for 100mm Button</t>
  </si>
  <si>
    <t>5440</t>
  </si>
  <si>
    <t>CO2 Tank Backpack - B-Stock</t>
  </si>
  <si>
    <t>5438</t>
  </si>
  <si>
    <t>Warranty / T&amp;M</t>
  </si>
  <si>
    <t>CO2-T - BSPP</t>
  </si>
  <si>
    <t>Brass Center Pull Co2 passthrough with male BSPP</t>
  </si>
  <si>
    <t>3/8" Male Quick Connect Fitting BSPP thread female</t>
  </si>
  <si>
    <t>110v Solenoid Coil</t>
  </si>
  <si>
    <t>5443</t>
  </si>
  <si>
    <t>Subzero Contractors</t>
  </si>
  <si>
    <t>50FT CO2 HOSE - 3/8" (BSPP x JIC #6)</t>
  </si>
  <si>
    <t>50FT CO2 HOSE - 3/8" MALE BSPP x FEMALE JIC #6</t>
  </si>
  <si>
    <t>3/8” BSPP Bonding Washer Seal</t>
  </si>
  <si>
    <t>3/8" JIC Female Swivel x 3/8" BSPP Female</t>
  </si>
  <si>
    <t>Straight 06 JIC Female Swivel x 06 BSPP Female</t>
  </si>
  <si>
    <t>5439</t>
  </si>
  <si>
    <t>Hillsborough County Sheriffs Office</t>
  </si>
  <si>
    <t>5442</t>
  </si>
  <si>
    <t>5434</t>
  </si>
  <si>
    <t>Michael Clark</t>
  </si>
  <si>
    <t>5433</t>
  </si>
  <si>
    <t>Gregory Papageorge</t>
  </si>
  <si>
    <t>5432</t>
  </si>
  <si>
    <t>5431</t>
  </si>
  <si>
    <t>christian alary</t>
  </si>
  <si>
    <t>5430</t>
  </si>
  <si>
    <t>James Thompson</t>
  </si>
  <si>
    <t>5428</t>
  </si>
  <si>
    <t>5427</t>
  </si>
  <si>
    <t>Haroon Samuel</t>
  </si>
  <si>
    <t>5425</t>
  </si>
  <si>
    <t>Brian Buonassissi</t>
  </si>
  <si>
    <t>5424</t>
  </si>
  <si>
    <t>Thomas Kendall</t>
  </si>
  <si>
    <t>5429</t>
  </si>
  <si>
    <t>Monica Mundi</t>
  </si>
  <si>
    <t>5420</t>
  </si>
  <si>
    <t>Dale Robble</t>
  </si>
  <si>
    <t>Tax: 0%</t>
  </si>
  <si>
    <t>5419</t>
  </si>
  <si>
    <t>Jhonatan amaya</t>
  </si>
  <si>
    <t>5416</t>
  </si>
  <si>
    <t>Kelly Jacobsmeyer</t>
  </si>
  <si>
    <t>5415</t>
  </si>
  <si>
    <t>Carrie Pierce</t>
  </si>
  <si>
    <t>5414</t>
  </si>
  <si>
    <t>5413</t>
  </si>
  <si>
    <t>Craig Bailey</t>
  </si>
  <si>
    <t>5411</t>
  </si>
  <si>
    <t>5410</t>
  </si>
  <si>
    <t>Isaac Tellez</t>
  </si>
  <si>
    <t>5409</t>
  </si>
  <si>
    <t>5423</t>
  </si>
  <si>
    <t>CC-QJ-5-110-WP</t>
  </si>
  <si>
    <t>Quad Jet, 5 Pin DMX, 110v AC, Weatherproof</t>
  </si>
  <si>
    <t>Co2 Hose 25FT Extension Config (Upgrade from 15FT)</t>
  </si>
  <si>
    <t>CC-RC-2430-QJF</t>
  </si>
  <si>
    <t>24x30 Road Case Foam - Quad Jet (Included)</t>
  </si>
  <si>
    <t>5418</t>
  </si>
  <si>
    <t>martin cruz vargas</t>
  </si>
  <si>
    <t>CO2 Hose</t>
  </si>
  <si>
    <t>CO2 Tank Tool + Washers</t>
  </si>
  <si>
    <t>5422</t>
  </si>
  <si>
    <t>David Belogolovsky</t>
  </si>
  <si>
    <t>10A Fuse</t>
  </si>
  <si>
    <t>10A 250v 5x20 Fuse</t>
  </si>
  <si>
    <t>Panel Mount Fuse Holder</t>
  </si>
  <si>
    <t>5412</t>
  </si>
  <si>
    <t>5408</t>
  </si>
  <si>
    <t>5407</t>
  </si>
  <si>
    <t>Tyler Sherman</t>
  </si>
  <si>
    <t>5406</t>
  </si>
  <si>
    <t>Kevin Colby</t>
  </si>
  <si>
    <t>5404</t>
  </si>
  <si>
    <t>Jules Harrap</t>
  </si>
  <si>
    <t>5399</t>
  </si>
  <si>
    <t>Jean-Francois Laroche</t>
  </si>
  <si>
    <t>5398</t>
  </si>
  <si>
    <t>Cole Bibler</t>
  </si>
  <si>
    <t>5396</t>
  </si>
  <si>
    <t>Casey Cluett</t>
  </si>
  <si>
    <t>5395</t>
  </si>
  <si>
    <t>Robert Beavers</t>
  </si>
  <si>
    <t>5394</t>
  </si>
  <si>
    <t>Michael Russo</t>
  </si>
  <si>
    <t>5393</t>
  </si>
  <si>
    <t>SAHR BUNDOR</t>
  </si>
  <si>
    <t>5392</t>
  </si>
  <si>
    <t>Kevin Markey</t>
  </si>
  <si>
    <t>5390</t>
  </si>
  <si>
    <t>JAY PATEL</t>
  </si>
  <si>
    <t>5397</t>
  </si>
  <si>
    <t>Nadia Gonzalez</t>
  </si>
  <si>
    <t>Tax: CA Tax (8.75%)</t>
  </si>
  <si>
    <t>5387</t>
  </si>
  <si>
    <t>(Kevin Tinker) Me</t>
  </si>
  <si>
    <t>5385</t>
  </si>
  <si>
    <t>Hector Perez</t>
  </si>
  <si>
    <t>5383</t>
  </si>
  <si>
    <t>Britney Argueta</t>
  </si>
  <si>
    <t>5382</t>
  </si>
  <si>
    <t>Daniel Brock</t>
  </si>
  <si>
    <t>5381</t>
  </si>
  <si>
    <t>Patricia Ayala</t>
  </si>
  <si>
    <t>5380</t>
  </si>
  <si>
    <t>Kurt Davis</t>
  </si>
  <si>
    <t>5379</t>
  </si>
  <si>
    <t>Marcus Lindsay</t>
  </si>
  <si>
    <t>5378</t>
  </si>
  <si>
    <t>Shawn Balch</t>
  </si>
  <si>
    <t>5377</t>
  </si>
  <si>
    <t>Dade Nunnally</t>
  </si>
  <si>
    <t>5388</t>
  </si>
  <si>
    <t>V2 Productions</t>
  </si>
  <si>
    <t>CC-CH-05-MFD</t>
  </si>
  <si>
    <t>5FT CO2 Hose (CGA-320 x Female JIC 3/8") For use with Manifold</t>
  </si>
  <si>
    <t>5389</t>
  </si>
  <si>
    <t>Jeff Brown</t>
  </si>
  <si>
    <t>Co2 Tank Attachment Tool  (Included)</t>
  </si>
  <si>
    <t>CC-AC-CTS-1</t>
  </si>
  <si>
    <t>CO2 Tank Splitter with integrated o-ring</t>
  </si>
  <si>
    <t>5384</t>
  </si>
  <si>
    <t>Springfield Spartans</t>
  </si>
  <si>
    <t>5386</t>
  </si>
  <si>
    <t>MagicFX ARM SFX SAFETY TERMINATOR</t>
  </si>
  <si>
    <t>RJ45 Terminator - required for ARM System</t>
  </si>
  <si>
    <t>5376</t>
  </si>
  <si>
    <t>5371</t>
  </si>
  <si>
    <t>Image SFX</t>
  </si>
  <si>
    <t>CC-SS-STR15-SM</t>
  </si>
  <si>
    <t>SLINGSHOT Reloads, 15FT Streamers, Silver Mylar, Box of 12</t>
  </si>
  <si>
    <t>CC-SS-STR30-SM</t>
  </si>
  <si>
    <t>SLINGSHOT Reloads, 30FT Streamers, Silver Mylar, Box of 12</t>
  </si>
  <si>
    <t>5372</t>
  </si>
  <si>
    <t>25FT CO2 HOSE - 3/8" (BSPP x JIC #6)</t>
  </si>
  <si>
    <t>25FT CO2 HOSE - 3/8" MALE BSPP x FEMALE JIC #6</t>
  </si>
  <si>
    <t>100FT CO2 HOSE - 3/8" (BSPP x JIC #6)</t>
  </si>
  <si>
    <t>100FT CO2 HOSE - 3/8" MALE BSPP x FEMALE JIC #6</t>
  </si>
  <si>
    <t>6FJ-6SB</t>
  </si>
  <si>
    <t>#6 JIC Female Hose Crimp Fitting</t>
  </si>
  <si>
    <t>Custom Hose Charge</t>
  </si>
  <si>
    <t>Fee for cutting and crimping custom hoses</t>
  </si>
  <si>
    <t>5373</t>
  </si>
  <si>
    <t>Disney Cruise Line</t>
  </si>
  <si>
    <t>Pro Jet - 5-pin DMX, 110v (HTS: 8424.20.90)
Country of Origin: USA</t>
  </si>
  <si>
    <t>Neutrik PowerCON True1 Cords - 6FT, Standard (Included) (HTS: 8544.42.90)
Country of Origin: USA</t>
  </si>
  <si>
    <t xml:space="preserve"> CO2 Output Terminator (Included) (HTS: 7307.29)
Country of Origin: USA</t>
  </si>
  <si>
    <t>LED Attachment for DMX Jet, DMX Jet MKII, and Pro Jet. (HTS: 8539.51.00) 
Country of Origin: USA</t>
  </si>
  <si>
    <t>Daisy Chain Adapter (HTS: 7307.29)
Country of Origin: USA</t>
  </si>
  <si>
    <t>CGA-320 to JIC adapter with nut and integrated o-ring (HTS: 7412.20.0035)
Country of Origin: USA</t>
  </si>
  <si>
    <t>Co2 Tank Attachment Tool (HTS: 3926.90.25.00)
Country of Origin: USA</t>
  </si>
  <si>
    <t>5375</t>
  </si>
  <si>
    <t>5374</t>
  </si>
  <si>
    <t>5370</t>
  </si>
  <si>
    <t>Cooper Brown</t>
  </si>
  <si>
    <t>5369</t>
  </si>
  <si>
    <t>Edwin Lau</t>
  </si>
  <si>
    <t>5368</t>
  </si>
  <si>
    <t>5367</t>
  </si>
  <si>
    <t>Chris Jachimowicz</t>
  </si>
  <si>
    <t>5365</t>
  </si>
  <si>
    <t>Cory Barron</t>
  </si>
  <si>
    <t>5364</t>
  </si>
  <si>
    <t>Jeff Wicke</t>
  </si>
  <si>
    <t>5366</t>
  </si>
  <si>
    <t>CC-PROJ-5-220</t>
  </si>
  <si>
    <t>Pro Jet with 5- pin DMX and 220v Solenoid</t>
  </si>
  <si>
    <t>5363</t>
  </si>
  <si>
    <t>5361</t>
  </si>
  <si>
    <t>Ernesto Canas</t>
  </si>
  <si>
    <t>5358</t>
  </si>
  <si>
    <t>Chris McCabe</t>
  </si>
  <si>
    <t>5359</t>
  </si>
  <si>
    <t>Joey Jensen</t>
  </si>
  <si>
    <t>5362</t>
  </si>
  <si>
    <t>TMS Omaha</t>
  </si>
  <si>
    <t>Hose Extension Adapter (Complementary)</t>
  </si>
  <si>
    <t>5360</t>
  </si>
  <si>
    <t>Ernesto Blanco</t>
  </si>
  <si>
    <t>Co2 Hose Custom Length Extension (6FT)</t>
  </si>
  <si>
    <t>CC-CH-XX-DSY</t>
  </si>
  <si>
    <t>Co2 Hose Custom Length Daisy Chain (60FT)</t>
  </si>
  <si>
    <t>5357</t>
  </si>
  <si>
    <t>Paul Kelly</t>
  </si>
  <si>
    <t>5356</t>
  </si>
  <si>
    <t>Benjamin Sherrick</t>
  </si>
  <si>
    <t>5354</t>
  </si>
  <si>
    <t>Brian Quinones</t>
  </si>
  <si>
    <t>5353</t>
  </si>
  <si>
    <t>Brandon Spencer</t>
  </si>
  <si>
    <t>5351</t>
  </si>
  <si>
    <t>Juan Ramirez</t>
  </si>
  <si>
    <t>5350</t>
  </si>
  <si>
    <t>Morgan Carmona</t>
  </si>
  <si>
    <t>5352</t>
  </si>
  <si>
    <t>5355</t>
  </si>
  <si>
    <t>Starsound Audio Inc</t>
  </si>
  <si>
    <t>5343</t>
  </si>
  <si>
    <t>5342</t>
  </si>
  <si>
    <t>Cheng Lin</t>
  </si>
  <si>
    <t>5341</t>
  </si>
  <si>
    <t>John Kincaid</t>
  </si>
  <si>
    <t>5340</t>
  </si>
  <si>
    <t>Patrick Sweeney</t>
  </si>
  <si>
    <t>5339</t>
  </si>
  <si>
    <t>JOHN Riggs</t>
  </si>
  <si>
    <t>5338</t>
  </si>
  <si>
    <t>Adrian Arango</t>
  </si>
  <si>
    <t>5349</t>
  </si>
  <si>
    <t>CC-NPTC-10-DSY</t>
  </si>
  <si>
    <t>Neutrik PowerCON True1 Cords - 10FT, Daisy Chain</t>
  </si>
  <si>
    <t>CC-NPTC-25-DSY</t>
  </si>
  <si>
    <t>Neutrik PowerCON True1 Cords - 25FT, Daisy Chain</t>
  </si>
  <si>
    <t>5344</t>
  </si>
  <si>
    <t>CC-AC-4PM-QC</t>
  </si>
  <si>
    <t>4 Port Co2 Manifold with Quick Connects - 4x MQC Inlets, 1x FQC Outlet with Truss Bracket</t>
  </si>
  <si>
    <t>5346</t>
  </si>
  <si>
    <t>Tim Young</t>
  </si>
  <si>
    <t>5348</t>
  </si>
  <si>
    <t xml:space="preserve">W RENTALL Chile SPA </t>
  </si>
  <si>
    <t>5345</t>
  </si>
  <si>
    <t>Update of Shomaster console - Serial# 082450129</t>
  </si>
  <si>
    <t>5334</t>
  </si>
  <si>
    <t>Sean Manuel</t>
  </si>
  <si>
    <t>5332</t>
  </si>
  <si>
    <t>Alexander Linde</t>
  </si>
  <si>
    <t>5331</t>
  </si>
  <si>
    <t>Bradlee Skinner</t>
  </si>
  <si>
    <t>5336</t>
  </si>
  <si>
    <t>5333</t>
  </si>
  <si>
    <t>CC-PROJ-5-110-JIC</t>
  </si>
  <si>
    <t>Pro Jet - 5 Pin, 110v, JIC in/out</t>
  </si>
  <si>
    <t>2FT CO2 Hose (CGA-320 x Female JIC 3/8")</t>
  </si>
  <si>
    <t>5335</t>
  </si>
  <si>
    <t>Gina McKinney</t>
  </si>
  <si>
    <t>Co2 Hose 12" Daisy Chain</t>
  </si>
  <si>
    <t>5FT CO2 Hose 3/8" ID (CGA-320 x Female JIC 3/8") For use with Manifold</t>
  </si>
  <si>
    <t>5337</t>
  </si>
  <si>
    <t>niko alvertos</t>
  </si>
  <si>
    <t>3/8" NPT Female x 3/8" JIC Female 6506-06-06</t>
  </si>
  <si>
    <t>6506-06-06</t>
  </si>
  <si>
    <t>5330</t>
  </si>
  <si>
    <t>5329</t>
  </si>
  <si>
    <t>Austin Boyd</t>
  </si>
  <si>
    <t>5328</t>
  </si>
  <si>
    <t>Sarah Georgiou</t>
  </si>
  <si>
    <t>5327</t>
  </si>
  <si>
    <t>Martin Woytas</t>
  </si>
  <si>
    <t>5326</t>
  </si>
  <si>
    <t>Jennifer Larocco</t>
  </si>
  <si>
    <t>5325</t>
  </si>
  <si>
    <t>Daniel Cole</t>
  </si>
  <si>
    <t>5322</t>
  </si>
  <si>
    <t>Cory Leonardo</t>
  </si>
  <si>
    <t>5321</t>
  </si>
  <si>
    <t>Robert Chapman</t>
  </si>
  <si>
    <t>5320</t>
  </si>
  <si>
    <t>Julius Brown</t>
  </si>
  <si>
    <t>5319</t>
  </si>
  <si>
    <t>JOSE ANTONIO MAR HERNANDEZ</t>
  </si>
  <si>
    <t>5324</t>
  </si>
  <si>
    <t>5323</t>
  </si>
  <si>
    <t>Club Cannon Device Programmer - IDC</t>
  </si>
  <si>
    <t>Used for uploading bootloader onto Club Cannon products</t>
  </si>
  <si>
    <t>5316</t>
  </si>
  <si>
    <t>Gagandeep Singh</t>
  </si>
  <si>
    <t>5315</t>
  </si>
  <si>
    <t>Daniel LaPlante</t>
  </si>
  <si>
    <t>5314</t>
  </si>
  <si>
    <t>Anthony LoBosco</t>
  </si>
  <si>
    <t>5311</t>
  </si>
  <si>
    <t>5310</t>
  </si>
  <si>
    <t>Carrie Robertson</t>
  </si>
  <si>
    <t>5317</t>
  </si>
  <si>
    <t>5313</t>
  </si>
  <si>
    <t>Jim Meland</t>
  </si>
  <si>
    <t>Compressible-Stem Push-In Bumpers</t>
  </si>
  <si>
    <t>Compressible-Stem Push-In Bumpers - pro jet foot</t>
  </si>
  <si>
    <t>#12 x 1/2" High Low Thread Forming Screws / Phillips / Pan Head / Steel / Black Zinc</t>
  </si>
  <si>
    <t>Pro Jet feet screws (thread forming)</t>
  </si>
  <si>
    <t>Mocap 1/2” hole cap</t>
  </si>
  <si>
    <t>Mocap 1/2” hole cap - pro jet foot cap</t>
  </si>
  <si>
    <t>5318</t>
  </si>
  <si>
    <t>Straight 06 JIC Female Swivel x 06 BSPP Female (Complementary)</t>
  </si>
  <si>
    <t>5312</t>
  </si>
  <si>
    <t>Shadow Mountain Productions</t>
  </si>
  <si>
    <t>CC-CH-15-DSY</t>
  </si>
  <si>
    <t>Co2 Hose 15FT Daisy Chain</t>
  </si>
  <si>
    <t>Co2 Hose 50FT (FJIC6 x FQC)</t>
  </si>
  <si>
    <t>5309</t>
  </si>
  <si>
    <t>Jamey Bearb</t>
  </si>
  <si>
    <t>5308</t>
  </si>
  <si>
    <t>Cristian Cortes Gallardo</t>
  </si>
  <si>
    <t>5307</t>
  </si>
  <si>
    <t>James Manger</t>
  </si>
  <si>
    <t>5306</t>
  </si>
  <si>
    <t>Justin Thomas</t>
  </si>
  <si>
    <t>5305</t>
  </si>
  <si>
    <t>Gurjant Dhillon</t>
  </si>
  <si>
    <t>5304</t>
  </si>
  <si>
    <t>Brenden Chrisman</t>
  </si>
  <si>
    <t>CC-CH-05-DSY</t>
  </si>
  <si>
    <t>Co2 Hose 05FT Daisy Chain</t>
  </si>
  <si>
    <t>5303</t>
  </si>
  <si>
    <t>Patrick Day</t>
  </si>
  <si>
    <t>5300</t>
  </si>
  <si>
    <t>Gilbert Apodaca</t>
  </si>
  <si>
    <t>5299</t>
  </si>
  <si>
    <t>5298</t>
  </si>
  <si>
    <t>5297</t>
  </si>
  <si>
    <t>5302</t>
  </si>
  <si>
    <t>White Powder Coat</t>
  </si>
  <si>
    <t>Cryo Clamp II, 110v, Weatherproof CO2 Jet with JIC6 Inlet, NEMA 5-15 Tail, White</t>
  </si>
  <si>
    <t>Truss clamp for CC2 with 1/2-13 x 3/4” CS screw, White (Included)</t>
  </si>
  <si>
    <t>5301</t>
  </si>
  <si>
    <t>Co2 Hose 15FT Daisy Chain (Upgrade from 8FT)</t>
  </si>
  <si>
    <t>5296</t>
  </si>
  <si>
    <t>5295</t>
  </si>
  <si>
    <t>Sammy Muto</t>
  </si>
  <si>
    <t>5294</t>
  </si>
  <si>
    <t>Ella Karabedian</t>
  </si>
  <si>
    <t>5293</t>
  </si>
  <si>
    <t>Jon Batz-Owings</t>
  </si>
  <si>
    <t>5292</t>
  </si>
  <si>
    <t>Co2 Hose 15FT Standard Config (additional)</t>
  </si>
  <si>
    <t>24x30 Road Case Insert - Pro Jet  (Included)</t>
  </si>
  <si>
    <t>5291</t>
  </si>
  <si>
    <t>5in Nextion Screen Assembly</t>
  </si>
  <si>
    <t>5" Nextion screen with harness, battery, hex standoffs and spacers installed</t>
  </si>
  <si>
    <t>Emergency Stop Button Assembly</t>
  </si>
  <si>
    <t>ShoMaster Emergency Stop with harness and TE Connector, E-Stop</t>
  </si>
  <si>
    <t>5290</t>
  </si>
  <si>
    <t xml:space="preserve">5FT CO2 Hose 3/8" (CGA-320 x Female JIC 3/8") </t>
  </si>
  <si>
    <t>5289</t>
  </si>
  <si>
    <t>philip williams</t>
  </si>
  <si>
    <t>5287</t>
  </si>
  <si>
    <t>Tiffany Bindel</t>
  </si>
  <si>
    <t>5284</t>
  </si>
  <si>
    <t>Amier Sadegh</t>
  </si>
  <si>
    <t>5285</t>
  </si>
  <si>
    <t>Hans Rittinger</t>
  </si>
  <si>
    <t>5288</t>
  </si>
  <si>
    <t>Advanced Entertainment Services</t>
  </si>
  <si>
    <t>Neutrik PowerCON True1 Cords - 6FT, Standard (12AWG)</t>
  </si>
  <si>
    <t>5283</t>
  </si>
  <si>
    <t>Ken Duong</t>
  </si>
  <si>
    <t>5282</t>
  </si>
  <si>
    <t>5281</t>
  </si>
  <si>
    <t>PARVINDER SINGH</t>
  </si>
  <si>
    <t>5280</t>
  </si>
  <si>
    <t>Christian Wooldridge</t>
  </si>
  <si>
    <t>5279</t>
  </si>
  <si>
    <t>David Foster</t>
  </si>
  <si>
    <t>5276</t>
  </si>
  <si>
    <t>Brian Nolan</t>
  </si>
  <si>
    <t>5275</t>
  </si>
  <si>
    <t>danny ibraheem</t>
  </si>
  <si>
    <t>5277</t>
  </si>
  <si>
    <t>Brian Porter</t>
  </si>
  <si>
    <t>Swap of QC fitting + labor</t>
  </si>
  <si>
    <t>5278</t>
  </si>
  <si>
    <t>5271</t>
  </si>
  <si>
    <t>Christian Mendez</t>
  </si>
  <si>
    <t>5272</t>
  </si>
  <si>
    <t>Micro Jet Barrel Assembly</t>
  </si>
  <si>
    <t>Micro Jet Barrel with Right Angle - Replacement</t>
  </si>
  <si>
    <t>5273</t>
  </si>
  <si>
    <t>August 2024 Sales by Customer</t>
  </si>
  <si>
    <t>August 2024 Sales by SKU</t>
  </si>
  <si>
    <t>August 2024 Sales by SKU$</t>
  </si>
  <si>
    <t>July 2024</t>
  </si>
  <si>
    <t>5270</t>
  </si>
  <si>
    <t>Charlton Combs</t>
  </si>
  <si>
    <t>CC-AC-LA2 - 0</t>
  </si>
  <si>
    <t>5269</t>
  </si>
  <si>
    <t>5268</t>
  </si>
  <si>
    <t>Patrick Dugan</t>
  </si>
  <si>
    <t>5266</t>
  </si>
  <si>
    <t>5264</t>
  </si>
  <si>
    <t>Sam Luba</t>
  </si>
  <si>
    <t>5263</t>
  </si>
  <si>
    <t>Chris Marino</t>
  </si>
  <si>
    <t>5262</t>
  </si>
  <si>
    <t>Long Lasting Life</t>
  </si>
  <si>
    <t>5261</t>
  </si>
  <si>
    <t>Stephen Schrutt</t>
  </si>
  <si>
    <t>5265</t>
  </si>
  <si>
    <t>CC-QJ-5-110-JIC</t>
  </si>
  <si>
    <t>Quad Jet 110v with 5 Pin DMX, JIC Connections</t>
  </si>
  <si>
    <t>6FT CO2 HOSE- 3/8" (JIC #6 x JIC #6)</t>
  </si>
  <si>
    <t>6FT CO2 HOSE - 3/8" FEMALE JIC x FEMALE JIC (Included)</t>
  </si>
  <si>
    <t>6FT CO2 HOSE - 3/8" FEMALE JIC x FEMALE JIC</t>
  </si>
  <si>
    <t>CC-F-CGA-MQC</t>
  </si>
  <si>
    <t>CGA-320 Female to Male Quick Connect</t>
  </si>
  <si>
    <t>MBSPP-MJ90-6-6</t>
  </si>
  <si>
    <t>90DEG Elbow - 3/8 in Male British Standard Pipe Parallel x 3/8 in Male JIC 37° Flare</t>
  </si>
  <si>
    <t>24x30 Road Case Foam - Quad Jet</t>
  </si>
  <si>
    <t>5260</t>
  </si>
  <si>
    <t>Gleice Gillet</t>
  </si>
  <si>
    <t>5259</t>
  </si>
  <si>
    <t>William Milham</t>
  </si>
  <si>
    <t>5256</t>
  </si>
  <si>
    <t>Derek Harrison</t>
  </si>
  <si>
    <t>5255</t>
  </si>
  <si>
    <t>Livia Dibiase</t>
  </si>
  <si>
    <t>5253</t>
  </si>
  <si>
    <t>Karen Klasen</t>
  </si>
  <si>
    <t>5252</t>
  </si>
  <si>
    <t>Shawn Smith</t>
  </si>
  <si>
    <t>5251</t>
  </si>
  <si>
    <t>Endoscopy Center Of North Baltimore, Kelly</t>
  </si>
  <si>
    <t>5250</t>
  </si>
  <si>
    <t>Jeffrey Richardson</t>
  </si>
  <si>
    <t>5257</t>
  </si>
  <si>
    <t>5258</t>
  </si>
  <si>
    <t>5254</t>
  </si>
  <si>
    <t>Fred Tucker</t>
  </si>
  <si>
    <t>Maintenance for 4x Power Jet (Serial# 01017505, 01017506, 01017510, 0119341)</t>
  </si>
  <si>
    <t>1/2-13 x 3/4” CS screw</t>
  </si>
  <si>
    <t>1/4-20 x 3/4” CS screw</t>
  </si>
  <si>
    <t>5249</t>
  </si>
  <si>
    <t>Mike Jean Baptiste</t>
  </si>
  <si>
    <t>5248</t>
  </si>
  <si>
    <t>Sherman Whited</t>
  </si>
  <si>
    <t>5247</t>
  </si>
  <si>
    <t>daniel Page</t>
  </si>
  <si>
    <t>5246</t>
  </si>
  <si>
    <t>Kunal Dawar</t>
  </si>
  <si>
    <t>5244</t>
  </si>
  <si>
    <t>5243</t>
  </si>
  <si>
    <t>Nell Kirsten</t>
  </si>
  <si>
    <t>5245</t>
  </si>
  <si>
    <t>Reno Rosser / Flying U Rodeo</t>
  </si>
  <si>
    <t>CO2 valve with BSPP MQC x 1/4" NPS nipple</t>
  </si>
  <si>
    <t>6in Barrel Assembly Powdercoated</t>
  </si>
  <si>
    <t>6in Jet Barrel with powdercoating</t>
  </si>
  <si>
    <t>Valve Bracket</t>
  </si>
  <si>
    <t>Bracket used for attaching valve to clamp</t>
  </si>
  <si>
    <t>#10 Neoprene-Steel Sealing Washer</t>
  </si>
  <si>
    <t>Solenoid Neoprene Spacer/Washer</t>
  </si>
  <si>
    <t>5242</t>
  </si>
  <si>
    <t>Joseph Benvenisti</t>
  </si>
  <si>
    <t>5241</t>
  </si>
  <si>
    <t>5240</t>
  </si>
  <si>
    <t>Preston Abernathy</t>
  </si>
  <si>
    <t>5239</t>
  </si>
  <si>
    <t>5238</t>
  </si>
  <si>
    <t>James Woerly</t>
  </si>
  <si>
    <t>5237</t>
  </si>
  <si>
    <t>Joseph Bunn</t>
  </si>
  <si>
    <t>5236</t>
  </si>
  <si>
    <t>Martin Desriviere</t>
  </si>
  <si>
    <t>5235</t>
  </si>
  <si>
    <t>John Wagner</t>
  </si>
  <si>
    <t>5233</t>
  </si>
  <si>
    <t>1" x 30' Streamers (Black)</t>
  </si>
  <si>
    <t>MagicFX Streamers</t>
  </si>
  <si>
    <t>1" x 30' Streamers (Dark Blue)</t>
  </si>
  <si>
    <t>1" x 30' Streamers (Dark Green)</t>
  </si>
  <si>
    <t>1" x 30' Streamers (Multicolor)</t>
  </si>
  <si>
    <t>1" x 30' Streamers (Pink)</t>
  </si>
  <si>
    <t>1" x 30' Streamers (Purple)</t>
  </si>
  <si>
    <t>1" x 30' Streamers (Rainbow Colors)</t>
  </si>
  <si>
    <t>1" x 30' Streamers (Red)</t>
  </si>
  <si>
    <t>1" x 30' Streamers (White)</t>
  </si>
  <si>
    <t>2" x 30' Streamers (White)</t>
  </si>
  <si>
    <t>5234</t>
  </si>
  <si>
    <t>Charles Smith</t>
  </si>
  <si>
    <t>Small Key Lock Tool</t>
  </si>
  <si>
    <t>Used for installing / removing small key switch</t>
  </si>
  <si>
    <t>5231</t>
  </si>
  <si>
    <t>5230</t>
  </si>
  <si>
    <t>5229</t>
  </si>
  <si>
    <t>Brandon Firman</t>
  </si>
  <si>
    <t>5232</t>
  </si>
  <si>
    <t>12in Barrel Tube</t>
  </si>
  <si>
    <t>12in Barrel Tube - Raw</t>
  </si>
  <si>
    <t>Barrel Plug with Silencer</t>
  </si>
  <si>
    <t>Barrel Plug with Silencer - Raw</t>
  </si>
  <si>
    <t>4-40 1/8in Hex Screw</t>
  </si>
  <si>
    <t>4-40 1/8in Socket set screw cup point</t>
  </si>
  <si>
    <t>5226</t>
  </si>
  <si>
    <t>Julio Gonzalez</t>
  </si>
  <si>
    <t>5224</t>
  </si>
  <si>
    <t>Joseph Hackler Jr</t>
  </si>
  <si>
    <t>5219</t>
  </si>
  <si>
    <t>Daniel Soriano</t>
  </si>
  <si>
    <t>5223</t>
  </si>
  <si>
    <t>Scorpio RSVP</t>
  </si>
  <si>
    <t>CC-CH-XX-STD</t>
  </si>
  <si>
    <t>Co2 Hose Custom Length Standard (75FT, upgrade from standard 15FT)</t>
  </si>
  <si>
    <t>5220</t>
  </si>
  <si>
    <t>5221</t>
  </si>
  <si>
    <t>Raney Rex Balbuena</t>
  </si>
  <si>
    <t>Handheld MKII in travel case with 15ft hose (Trade for Media Content)</t>
  </si>
  <si>
    <t>5227</t>
  </si>
  <si>
    <t>Nema 5-15P to True1 4 way splitter</t>
  </si>
  <si>
    <t>Edison 5-15 to NAC3FX-W-TOP</t>
  </si>
  <si>
    <t>5225</t>
  </si>
  <si>
    <t>Single CO2 Washer (delivered in bags of 100)</t>
  </si>
  <si>
    <t>5218</t>
  </si>
  <si>
    <t>Melissa Ellingson</t>
  </si>
  <si>
    <t>5217</t>
  </si>
  <si>
    <t>Luke Frutig</t>
  </si>
  <si>
    <t>5214</t>
  </si>
  <si>
    <t>Kyle Simmons</t>
  </si>
  <si>
    <t>5213</t>
  </si>
  <si>
    <t>5212</t>
  </si>
  <si>
    <t>5211</t>
  </si>
  <si>
    <t>Gk Broncos</t>
  </si>
  <si>
    <t>5210</t>
  </si>
  <si>
    <t>5209</t>
  </si>
  <si>
    <t>Reed Hanke</t>
  </si>
  <si>
    <t>5215</t>
  </si>
  <si>
    <t>Confetti Sample</t>
  </si>
  <si>
    <t>5208</t>
  </si>
  <si>
    <t>Jimmy Shaba</t>
  </si>
  <si>
    <t>5201</t>
  </si>
  <si>
    <t>John Vassallo</t>
  </si>
  <si>
    <t>5200</t>
  </si>
  <si>
    <t>Aaron Brockmeier</t>
  </si>
  <si>
    <t>5207</t>
  </si>
  <si>
    <t>Euro to USD</t>
  </si>
  <si>
    <t>Exact conversion will be calculated at time of order.</t>
  </si>
  <si>
    <t>MFX-E2J-230</t>
  </si>
  <si>
    <t>Magic FX ECO2JET, 230v</t>
  </si>
  <si>
    <t>MFX-ECO2JET-BKT</t>
  </si>
  <si>
    <t>Magic FX ECO2JET Bracket</t>
  </si>
  <si>
    <t>MFX-E2J-2LFA</t>
  </si>
  <si>
    <t>Magic FX ECO2JET 2L Fluid Attachment</t>
  </si>
  <si>
    <t>MFX-E2J-F-ID</t>
  </si>
  <si>
    <t>Magic FX ECO2JET Indoor Fluid</t>
  </si>
  <si>
    <t>MFX-E2J-F-OD</t>
  </si>
  <si>
    <t>Magic FX ECO2JET Outdoor Fluid</t>
  </si>
  <si>
    <t>5203</t>
  </si>
  <si>
    <t>5204</t>
  </si>
  <si>
    <t>CC-AC-CGA6JIC</t>
  </si>
  <si>
    <t>CGA to 6JIC adapter</t>
  </si>
  <si>
    <t>CC-AC-CGAJIC - 1</t>
  </si>
  <si>
    <t>CGA-320 to 3/8in JIC with groove for integrated O-ring</t>
  </si>
  <si>
    <t>PTFE Teflon O-Ring -111</t>
  </si>
  <si>
    <t>CGA sealing O-ring (Teflon)</t>
  </si>
  <si>
    <t>5202</t>
  </si>
  <si>
    <t>LPH Ningbo Lipu Hydraulic Machinery Co.,Ltd.</t>
  </si>
  <si>
    <t>5205</t>
  </si>
  <si>
    <t>5199</t>
  </si>
  <si>
    <t>Thomas Gentilhomme</t>
  </si>
  <si>
    <t>5198</t>
  </si>
  <si>
    <t>Marcus Cummings</t>
  </si>
  <si>
    <t>5195</t>
  </si>
  <si>
    <t>Brandon Knight</t>
  </si>
  <si>
    <t>5194</t>
  </si>
  <si>
    <t>Owen Smith</t>
  </si>
  <si>
    <t>5192</t>
  </si>
  <si>
    <t>Javier Rojas</t>
  </si>
  <si>
    <t>5191</t>
  </si>
  <si>
    <t>John Colligan</t>
  </si>
  <si>
    <t>5190</t>
  </si>
  <si>
    <t>George Wainwright</t>
  </si>
  <si>
    <t>5197</t>
  </si>
  <si>
    <t>Neutrik PowerCON True1 Cords - 6FT, Standard (Complementary)</t>
  </si>
  <si>
    <t>ADJ Accu-Cable Power Bone T1T1</t>
  </si>
  <si>
    <t>True1 Power Distribution Box</t>
  </si>
  <si>
    <t>5193</t>
  </si>
  <si>
    <t>CC-AC-CGANPT-SET-F</t>
  </si>
  <si>
    <t>CGA-320 to 1/4" NPT adapter with nut and filter</t>
  </si>
  <si>
    <t>5196</t>
  </si>
  <si>
    <t>5188</t>
  </si>
  <si>
    <t>Michael Taylor</t>
  </si>
  <si>
    <t>5186</t>
  </si>
  <si>
    <t>Sean Thornton</t>
  </si>
  <si>
    <t>5187</t>
  </si>
  <si>
    <t>ShoStarter Serial #00002 (IDC unplugged, reinstalled and added clips to prevent future issues)</t>
  </si>
  <si>
    <t>LED Attachment II Serial #0923002 (Unit was in 5ch mode upon arrival. Changed to 9ch mode. Tested over 24 hours. Unable to replicate issue. If it happens again, we will replace main PCB).</t>
  </si>
  <si>
    <t>Clip to secure IDC Cable</t>
  </si>
  <si>
    <t>5189</t>
  </si>
  <si>
    <t>Co2 Hose 25FT Standard Config (Upgrade from 15FT)</t>
  </si>
  <si>
    <t>5183</t>
  </si>
  <si>
    <t>Alison Schmidt</t>
  </si>
  <si>
    <t>5180</t>
  </si>
  <si>
    <t>Talmage Collins</t>
  </si>
  <si>
    <t>5179</t>
  </si>
  <si>
    <t>Scott Burchill</t>
  </si>
  <si>
    <t>5177</t>
  </si>
  <si>
    <t>Ashley Hachenberger</t>
  </si>
  <si>
    <t>5185</t>
  </si>
  <si>
    <t>T-Shirt Cannon Control Box, 5 pin, 110v (Will need PCB retrofit)</t>
  </si>
  <si>
    <t>M12 3 Pin to DIN, A Code, 4FT</t>
  </si>
  <si>
    <t>4 Channel True1 DMX Relay - Rainproof (Loaner, to be returned)</t>
  </si>
  <si>
    <t>Top entry DIN cable with True1 connector, 5M / 16.5FT (Loaner, to be returned)</t>
  </si>
  <si>
    <t>5181</t>
  </si>
  <si>
    <t>Marco Mejia</t>
  </si>
  <si>
    <t>Prepaid Shipping Label</t>
  </si>
  <si>
    <t>Warranty Repair of Handheld MKII - Serial# 005027</t>
  </si>
  <si>
    <t>Handheld MKII Hose Box</t>
  </si>
  <si>
    <t>11 1/4 x 10 1/4 x 2 3/4</t>
  </si>
  <si>
    <t>Handheld MKII Outer Box</t>
  </si>
  <si>
    <t>22x11x6</t>
  </si>
  <si>
    <t>5184</t>
  </si>
  <si>
    <t>Pro Jet - 5 Pin, 110v, JIC in/out (No Hose)</t>
  </si>
  <si>
    <t>5182</t>
  </si>
  <si>
    <t>Pro Jet - 5 Pin, 110v, JIC in/out (No Hose</t>
  </si>
  <si>
    <t>5178</t>
  </si>
  <si>
    <t>Allyson GilliARD CORREIA DE MOURA</t>
  </si>
  <si>
    <t>5176</t>
  </si>
  <si>
    <t>Dan Riley</t>
  </si>
  <si>
    <t>5175</t>
  </si>
  <si>
    <t>Shehzaib Masih</t>
  </si>
  <si>
    <t>5174</t>
  </si>
  <si>
    <t>Brandon Flaum</t>
  </si>
  <si>
    <t>5173</t>
  </si>
  <si>
    <t>5172</t>
  </si>
  <si>
    <t>5171</t>
  </si>
  <si>
    <t>5168</t>
  </si>
  <si>
    <t>joseph miller</t>
  </si>
  <si>
    <t>5167</t>
  </si>
  <si>
    <t>5166</t>
  </si>
  <si>
    <t>Dennis Carollo</t>
  </si>
  <si>
    <t>5165</t>
  </si>
  <si>
    <t>Andrew Reina</t>
  </si>
  <si>
    <t>5170</t>
  </si>
  <si>
    <t>5169</t>
  </si>
  <si>
    <t>David Zamarripa</t>
  </si>
  <si>
    <t>5163</t>
  </si>
  <si>
    <t>JESSE TAYLOR</t>
  </si>
  <si>
    <t>5161</t>
  </si>
  <si>
    <t>TJC Screen 2.4</t>
  </si>
  <si>
    <t>TJC3224T124_011</t>
  </si>
  <si>
    <t>5155</t>
  </si>
  <si>
    <t>BRIANNE DEMMLER</t>
  </si>
  <si>
    <t>5154</t>
  </si>
  <si>
    <t>Douglas Kegler</t>
  </si>
  <si>
    <t>5160</t>
  </si>
  <si>
    <t>Pro Audio World</t>
  </si>
  <si>
    <t>Co2 Hose 25FT Standard Config (Upgrade from included 15FT)</t>
  </si>
  <si>
    <t>5157</t>
  </si>
  <si>
    <t>Arroyo High School</t>
  </si>
  <si>
    <t>5158</t>
  </si>
  <si>
    <t>Garrick Lewis</t>
  </si>
  <si>
    <t>CC-F-MQCMQC</t>
  </si>
  <si>
    <t>Male Quick Connect to Male Quick Connect</t>
  </si>
  <si>
    <t>5159</t>
  </si>
  <si>
    <t>Paul Scott</t>
  </si>
  <si>
    <t>5156</t>
  </si>
  <si>
    <t>Kaival Patel</t>
  </si>
  <si>
    <t>5151</t>
  </si>
  <si>
    <t>Troy Bednarz</t>
  </si>
  <si>
    <t>5153</t>
  </si>
  <si>
    <t>5150</t>
  </si>
  <si>
    <t>Groupe Royal Pyro</t>
  </si>
  <si>
    <t>Co2 Hose 15FT Daisy Chain (Included)</t>
  </si>
  <si>
    <t>CGA-320 to JIC adapter with nut and integrated o-ring (Complementary)</t>
  </si>
  <si>
    <t>5152</t>
  </si>
  <si>
    <t>5148</t>
  </si>
  <si>
    <t>Ricky Lorek</t>
  </si>
  <si>
    <t>5142</t>
  </si>
  <si>
    <t>Nishan Mahajan</t>
  </si>
  <si>
    <t>5145</t>
  </si>
  <si>
    <t>ESI Production</t>
  </si>
  <si>
    <t>5143</t>
  </si>
  <si>
    <t>Credit Card Processing Fee</t>
  </si>
  <si>
    <t>Domestic</t>
  </si>
  <si>
    <t>5149</t>
  </si>
  <si>
    <t>Romin Zandi</t>
  </si>
  <si>
    <t>5144</t>
  </si>
  <si>
    <t>5147</t>
  </si>
  <si>
    <t>5146</t>
  </si>
  <si>
    <t>5141</t>
  </si>
  <si>
    <t>5140</t>
  </si>
  <si>
    <t>Héctor Miguel Mercado</t>
  </si>
  <si>
    <t>5139</t>
  </si>
  <si>
    <t>Brent Archer</t>
  </si>
  <si>
    <t>5138</t>
  </si>
  <si>
    <t>Khazym Fontenelle</t>
  </si>
  <si>
    <t>5137</t>
  </si>
  <si>
    <t>Victoria Scherzer</t>
  </si>
  <si>
    <t>5136</t>
  </si>
  <si>
    <t>Perry Roper</t>
  </si>
  <si>
    <t>5135</t>
  </si>
  <si>
    <t>Ethan Chambers</t>
  </si>
  <si>
    <t>5134</t>
  </si>
  <si>
    <t>Omprakash Kuppusamy</t>
  </si>
  <si>
    <t>5133</t>
  </si>
  <si>
    <t>Vikram Bhalla</t>
  </si>
  <si>
    <t>5132</t>
  </si>
  <si>
    <t>Alon Amit</t>
  </si>
  <si>
    <t>CC-AC-CGANPT</t>
  </si>
  <si>
    <t>CGA-320 to 1/4in NPT</t>
  </si>
  <si>
    <t>CGA-320 Male x 1/4" NPT Female adapter / CO-2-1</t>
  </si>
  <si>
    <t xml:space="preserve">Western Enterprises CO-2-1 </t>
  </si>
  <si>
    <t>5124</t>
  </si>
  <si>
    <t>5122</t>
  </si>
  <si>
    <t>Kevin Chavez</t>
  </si>
  <si>
    <t>5126</t>
  </si>
  <si>
    <t>Warranty Repair of The Button - Serial# 31743 - RMA# 103719</t>
  </si>
  <si>
    <t>5125</t>
  </si>
  <si>
    <t>5123</t>
  </si>
  <si>
    <t>FX in Motion</t>
  </si>
  <si>
    <t>CC-HCCMKII-25-NC</t>
  </si>
  <si>
    <t>Handheld MKII in box with 25ft hose</t>
  </si>
  <si>
    <t>5121</t>
  </si>
  <si>
    <t>Anthony Sevdinoglou</t>
  </si>
  <si>
    <t>5119</t>
  </si>
  <si>
    <t>Jorge Gonzalez</t>
  </si>
  <si>
    <t>5115</t>
  </si>
  <si>
    <t>Christine Salerno</t>
  </si>
  <si>
    <t>5118</t>
  </si>
  <si>
    <t>Micro CO2 Jet MKII (No 15FT hoses included)</t>
  </si>
  <si>
    <t xml:space="preserve">Co2 Hose 35FT Standard Config </t>
  </si>
  <si>
    <t>Co2 Hose 55FT Custom Length Standard</t>
  </si>
  <si>
    <t xml:space="preserve">Co2 Hose 75 FT Custom Length Standard </t>
  </si>
  <si>
    <t>CC-CH-50-EXT</t>
  </si>
  <si>
    <t>Co2 Hose 50FT Extension Config</t>
  </si>
  <si>
    <t>5116</t>
  </si>
  <si>
    <t>Emergency Stop Button</t>
  </si>
  <si>
    <t>22mm emergency stop non- illuminated 3pins metal push button switch with hardness AWG22 406mm cables, E-Stop</t>
  </si>
  <si>
    <t xml:space="preserve">ShoMaster / ShoStarter </t>
  </si>
  <si>
    <t>5117</t>
  </si>
  <si>
    <t>Pro Jet Base Plate Assembly</t>
  </si>
  <si>
    <t>Pro Jet Base Plate, Feet and Yoke.</t>
  </si>
  <si>
    <t>5120</t>
  </si>
  <si>
    <t>5110</t>
  </si>
  <si>
    <t>simon wilson</t>
  </si>
  <si>
    <t>5108</t>
  </si>
  <si>
    <t>Jake Warner</t>
  </si>
  <si>
    <t>5105</t>
  </si>
  <si>
    <t>Kellon Marcelle</t>
  </si>
  <si>
    <t>5113</t>
  </si>
  <si>
    <t>5111</t>
  </si>
  <si>
    <t>Diana Weigel</t>
  </si>
  <si>
    <t>5112</t>
  </si>
  <si>
    <t>5107</t>
  </si>
  <si>
    <t xml:space="preserve">Pyro Spectaculars Industries, Inc. </t>
  </si>
  <si>
    <t>5114</t>
  </si>
  <si>
    <t>5109</t>
  </si>
  <si>
    <t>July 2024 Pivot</t>
  </si>
  <si>
    <t>Ordered Date (YM)</t>
  </si>
  <si>
    <t>July 2024 Sales by SKU$</t>
  </si>
  <si>
    <t>July 2024 Sales by SKU</t>
  </si>
  <si>
    <t>June 2024</t>
  </si>
  <si>
    <t>5100</t>
  </si>
  <si>
    <t>Jaime Ramirez Carranza</t>
  </si>
  <si>
    <t>5099</t>
  </si>
  <si>
    <t>Christian Acosta</t>
  </si>
  <si>
    <t>5098</t>
  </si>
  <si>
    <t>Art Wolfarth</t>
  </si>
  <si>
    <t>5096</t>
  </si>
  <si>
    <t>Vitali Feldman</t>
  </si>
  <si>
    <t>5095</t>
  </si>
  <si>
    <t>Shana McCullough Downing</t>
  </si>
  <si>
    <t>5093</t>
  </si>
  <si>
    <t>Marianne Frizzell</t>
  </si>
  <si>
    <t>5092</t>
  </si>
  <si>
    <t>Gary Green</t>
  </si>
  <si>
    <t>5091</t>
  </si>
  <si>
    <t>5090</t>
  </si>
  <si>
    <t>Nerya Cohen</t>
  </si>
  <si>
    <t>5089</t>
  </si>
  <si>
    <t>Brian Douglas</t>
  </si>
  <si>
    <t>5087</t>
  </si>
  <si>
    <t>Kennon Gilliard</t>
  </si>
  <si>
    <t>5086</t>
  </si>
  <si>
    <t>Raju dhariwal</t>
  </si>
  <si>
    <t>5085</t>
  </si>
  <si>
    <t>Chintan Sethiya</t>
  </si>
  <si>
    <t>5084</t>
  </si>
  <si>
    <t>David Francis</t>
  </si>
  <si>
    <t>5088</t>
  </si>
  <si>
    <t>Brett Henrichsen</t>
  </si>
  <si>
    <t>5083</t>
  </si>
  <si>
    <t>5080</t>
  </si>
  <si>
    <t>Matthew Wisdom</t>
  </si>
  <si>
    <t>5079</t>
  </si>
  <si>
    <t>Jakub Rzepka</t>
  </si>
  <si>
    <t>5077</t>
  </si>
  <si>
    <t>Jorge Uribe Ibarra</t>
  </si>
  <si>
    <t>5078</t>
  </si>
  <si>
    <t>11:11 Media</t>
  </si>
  <si>
    <t>Custom Service</t>
  </si>
  <si>
    <t>Powder coat all items matte pink</t>
  </si>
  <si>
    <t>5082</t>
  </si>
  <si>
    <t>5081</t>
  </si>
  <si>
    <t>MagicFX StadiumBlaster</t>
  </si>
  <si>
    <t>DMX Controlled Confetti Blower</t>
  </si>
  <si>
    <t>5076</t>
  </si>
  <si>
    <t>Todd Powers</t>
  </si>
  <si>
    <t>5075</t>
  </si>
  <si>
    <t>Joseph Spina</t>
  </si>
  <si>
    <t>5073</t>
  </si>
  <si>
    <t>Humberto Roman</t>
  </si>
  <si>
    <t>5072</t>
  </si>
  <si>
    <t>Ram Habib</t>
  </si>
  <si>
    <t>5071</t>
  </si>
  <si>
    <t>Arjun Patel</t>
  </si>
  <si>
    <t>5070</t>
  </si>
  <si>
    <t>Walther Cruz</t>
  </si>
  <si>
    <t>5074</t>
  </si>
  <si>
    <t>5067</t>
  </si>
  <si>
    <t>William Glidden</t>
  </si>
  <si>
    <t>5064</t>
  </si>
  <si>
    <t>Salvatore Cosentino</t>
  </si>
  <si>
    <t>5069</t>
  </si>
  <si>
    <t>Dax Talbert</t>
  </si>
  <si>
    <t>CC-F-DCHA-F</t>
  </si>
  <si>
    <t>Daisy Chain Adapter x Female JIC6</t>
  </si>
  <si>
    <t>5066</t>
  </si>
  <si>
    <t>5065</t>
  </si>
  <si>
    <t>Pay Pal Payment Processing Fee</t>
  </si>
  <si>
    <t>International</t>
  </si>
  <si>
    <t>5068</t>
  </si>
  <si>
    <t>5063</t>
  </si>
  <si>
    <t>5062</t>
  </si>
  <si>
    <t>5060</t>
  </si>
  <si>
    <t>Rebeka Encinas</t>
  </si>
  <si>
    <t>5057</t>
  </si>
  <si>
    <t>Vedant Patel</t>
  </si>
  <si>
    <t>5056</t>
  </si>
  <si>
    <t>5059</t>
  </si>
  <si>
    <t>Michael Greer</t>
  </si>
  <si>
    <t>16/2 bulk wire</t>
  </si>
  <si>
    <t xml:space="preserve">16GA 16 gauge 2 conductor wire for Cryo Clamp 12v &amp; 24v </t>
  </si>
  <si>
    <t>Solenoid DIN Connector - Top Entry</t>
  </si>
  <si>
    <t>for Cryo Clamp</t>
  </si>
  <si>
    <t>5061</t>
  </si>
  <si>
    <t>5058</t>
  </si>
  <si>
    <t>CC-CH-05-STD</t>
  </si>
  <si>
    <t>CC-AC-JICMQC-ELBOW</t>
  </si>
  <si>
    <t>Female JIC Swivel Elbow to Male Quick Connect</t>
  </si>
  <si>
    <t>5050</t>
  </si>
  <si>
    <t>5049</t>
  </si>
  <si>
    <t>Charles Harris</t>
  </si>
  <si>
    <t>5046</t>
  </si>
  <si>
    <t>Michael Twombly</t>
  </si>
  <si>
    <t>5055</t>
  </si>
  <si>
    <t>Shipping Label</t>
  </si>
  <si>
    <t>5051</t>
  </si>
  <si>
    <t>5052</t>
  </si>
  <si>
    <t>DLP Audio Designs, INC</t>
  </si>
  <si>
    <t>5048</t>
  </si>
  <si>
    <t>Charu Moya</t>
  </si>
  <si>
    <t>5047</t>
  </si>
  <si>
    <t>5054</t>
  </si>
  <si>
    <t>5053</t>
  </si>
  <si>
    <t>5041</t>
  </si>
  <si>
    <t>Hayder Mohsin</t>
  </si>
  <si>
    <t>5040</t>
  </si>
  <si>
    <t>Amel Guevara</t>
  </si>
  <si>
    <t>5045</t>
  </si>
  <si>
    <t>Handheld MKII - 1</t>
  </si>
  <si>
    <t>Handheld Co2 Cannon</t>
  </si>
  <si>
    <t>5042</t>
  </si>
  <si>
    <t>CC-DIN-06</t>
  </si>
  <si>
    <t>DIN cable with NEMA 5-15, 6FT</t>
  </si>
  <si>
    <t>5043</t>
  </si>
  <si>
    <t>Steve Tanruther / Rock The House</t>
  </si>
  <si>
    <t>5044</t>
  </si>
  <si>
    <t>Tanner Valerio</t>
  </si>
  <si>
    <t>5039</t>
  </si>
  <si>
    <t>5038</t>
  </si>
  <si>
    <t>Lovedeep Gill</t>
  </si>
  <si>
    <t>5035</t>
  </si>
  <si>
    <t>Osman Raja</t>
  </si>
  <si>
    <t>5034</t>
  </si>
  <si>
    <t>Josue Barbosa</t>
  </si>
  <si>
    <t>5036</t>
  </si>
  <si>
    <t>CC-RC-2430-LAI</t>
  </si>
  <si>
    <t>24x30 Road Case Insert - LED Attachment (Included)</t>
  </si>
  <si>
    <t>Replacement Keys - The Button (Complementary)</t>
  </si>
  <si>
    <t>CO2 Washers (10 pack) (Complementary)</t>
  </si>
  <si>
    <t>Male Quick Connect to Male Quick Connect (Complementary)</t>
  </si>
  <si>
    <t>CC-AC-LA2 Unpacked</t>
  </si>
  <si>
    <t>CC-AC-LA2-OP</t>
  </si>
  <si>
    <t>LED Attachment order pack. True1 &amp; DMX Jumper + Eye bolt (Included)</t>
  </si>
  <si>
    <t>5037</t>
  </si>
  <si>
    <t>Ron Sulewski</t>
  </si>
  <si>
    <t>5032</t>
  </si>
  <si>
    <t>Cole Blessinger</t>
  </si>
  <si>
    <t>5031</t>
  </si>
  <si>
    <t>5033</t>
  </si>
  <si>
    <t>Cardinal touch up paint - BLACK</t>
  </si>
  <si>
    <t>5030</t>
  </si>
  <si>
    <t>Rob Kodadek</t>
  </si>
  <si>
    <t>5029</t>
  </si>
  <si>
    <t>Richard-John Vida</t>
  </si>
  <si>
    <t>5028</t>
  </si>
  <si>
    <t>Ryan Riley</t>
  </si>
  <si>
    <t>5026</t>
  </si>
  <si>
    <t>Ryan Hughes</t>
  </si>
  <si>
    <t>CO2 Tank Splitter w/ integrated groove for o-ring</t>
  </si>
  <si>
    <t>5024</t>
  </si>
  <si>
    <t>Adolfo Tzunum</t>
  </si>
  <si>
    <t>5023</t>
  </si>
  <si>
    <t>Yusuf Rehman</t>
  </si>
  <si>
    <t>5025</t>
  </si>
  <si>
    <t>Air Freight</t>
  </si>
  <si>
    <t>Swirlfans from Netherlands</t>
  </si>
  <si>
    <t>Ground Freight</t>
  </si>
  <si>
    <t>Stadium Blasters from California</t>
  </si>
  <si>
    <t>Freight Estimate</t>
  </si>
  <si>
    <t>Prepaid on Invoice #1735</t>
  </si>
  <si>
    <t>5027</t>
  </si>
  <si>
    <t>Slightly Stoopid</t>
  </si>
  <si>
    <t>Repair of The Button - Serial# 31538</t>
  </si>
  <si>
    <t>Small Key Switch Nut</t>
  </si>
  <si>
    <t>Nut for 12mm D135 Key Switch</t>
  </si>
  <si>
    <t>5022</t>
  </si>
  <si>
    <t>Erik Cedillo</t>
  </si>
  <si>
    <t>5020</t>
  </si>
  <si>
    <t>5019</t>
  </si>
  <si>
    <t>Xavier Quick</t>
  </si>
  <si>
    <t>5021</t>
  </si>
  <si>
    <t>5018</t>
  </si>
  <si>
    <t>JOSE DE LAS CASAS</t>
  </si>
  <si>
    <t>5016</t>
  </si>
  <si>
    <t>Tony South</t>
  </si>
  <si>
    <t>5013</t>
  </si>
  <si>
    <t>Bobak Mostaghasi Mostaghasi</t>
  </si>
  <si>
    <t>5011</t>
  </si>
  <si>
    <t>Nestor Jason</t>
  </si>
  <si>
    <t>5017</t>
  </si>
  <si>
    <t>CC-AC-6PM</t>
  </si>
  <si>
    <t>6 port Co2 Manifold - 6x JIC 3/8" Inlets, 1x JIC 3/8" Outlet</t>
  </si>
  <si>
    <t>5015</t>
  </si>
  <si>
    <t xml:space="preserve">Co2 Hose 75FT Standard </t>
  </si>
  <si>
    <t xml:space="preserve">Co2 Hose 10FT Standard </t>
  </si>
  <si>
    <t>5014</t>
  </si>
  <si>
    <t>Miguel Medina</t>
  </si>
  <si>
    <t>CC-AC-CTS</t>
  </si>
  <si>
    <t>5012</t>
  </si>
  <si>
    <t>Khaled Maarbani</t>
  </si>
  <si>
    <t>5009</t>
  </si>
  <si>
    <t>Roman Brown</t>
  </si>
  <si>
    <t>5006</t>
  </si>
  <si>
    <t>vikas palakala</t>
  </si>
  <si>
    <t>5005</t>
  </si>
  <si>
    <t>5008</t>
  </si>
  <si>
    <t>Bryan Circus</t>
  </si>
  <si>
    <t>CC-F-HEA-F</t>
  </si>
  <si>
    <t>Male QC x Female JIC</t>
  </si>
  <si>
    <t>MBSPP-FJX-6-6</t>
  </si>
  <si>
    <t>Straight Adapter - 3/8 in Female JIC 37° Flare Swivel x 3/8 in Male British Standard Pipe Parallel</t>
  </si>
  <si>
    <t>5007</t>
  </si>
  <si>
    <t>Robert McCarthy</t>
  </si>
  <si>
    <t>5010</t>
  </si>
  <si>
    <t>5004</t>
  </si>
  <si>
    <t>5003</t>
  </si>
  <si>
    <t>5002</t>
  </si>
  <si>
    <t>5001</t>
  </si>
  <si>
    <t>Forge Staff</t>
  </si>
  <si>
    <t>CC-CH-05-EXT</t>
  </si>
  <si>
    <t>Co2 Hose 05FT Extension Config</t>
  </si>
  <si>
    <t>5000</t>
  </si>
  <si>
    <t>Dominick Grant</t>
  </si>
  <si>
    <t>4998</t>
  </si>
  <si>
    <t>James Wilson</t>
  </si>
  <si>
    <t>4997</t>
  </si>
  <si>
    <t>Jordan Dabvis</t>
  </si>
  <si>
    <t>4999</t>
  </si>
  <si>
    <t>NXT LVL, LLC</t>
  </si>
  <si>
    <t>4996</t>
  </si>
  <si>
    <t>Flat Rate</t>
  </si>
  <si>
    <t>CC-F-MQCNPTM</t>
  </si>
  <si>
    <t>Male Quick Connect (3/8″ NPT Male)</t>
  </si>
  <si>
    <t>CC-F-FQCNPTF</t>
  </si>
  <si>
    <t>Female Quick Connect (3/8″ NPT Female)</t>
  </si>
  <si>
    <t>4995</t>
  </si>
  <si>
    <t>Marquise Jones</t>
  </si>
  <si>
    <t>4994</t>
  </si>
  <si>
    <t>Max Martin</t>
  </si>
  <si>
    <t>4993</t>
  </si>
  <si>
    <t>4991</t>
  </si>
  <si>
    <t>Nick Petino</t>
  </si>
  <si>
    <t>4989</t>
  </si>
  <si>
    <t>Keiko Kawano</t>
  </si>
  <si>
    <t>4992</t>
  </si>
  <si>
    <t xml:space="preserve">Pro FX </t>
  </si>
  <si>
    <t>CC-QJ-5-110-JIC-WP</t>
  </si>
  <si>
    <t>Quad Jet, 5 Pin DMX, 110v AC, JIC, Weatherproof (No Hoses)</t>
  </si>
  <si>
    <t>Co2 Hose 20FT Standard (Complementary)</t>
  </si>
  <si>
    <t>4990</t>
  </si>
  <si>
    <t>4985</t>
  </si>
  <si>
    <t>David Gutierrez</t>
  </si>
  <si>
    <t>4984</t>
  </si>
  <si>
    <t>Glen Peterson</t>
  </si>
  <si>
    <t>4983</t>
  </si>
  <si>
    <t>Michael Bond</t>
  </si>
  <si>
    <t>4982</t>
  </si>
  <si>
    <t>Robert Foglietta</t>
  </si>
  <si>
    <t>4988</t>
  </si>
  <si>
    <t>Rohan Malhotra</t>
  </si>
  <si>
    <t>4986</t>
  </si>
  <si>
    <t>RES Pyro</t>
  </si>
  <si>
    <t>4981</t>
  </si>
  <si>
    <t>Zachary Mazur</t>
  </si>
  <si>
    <t>4980</t>
  </si>
  <si>
    <t>KEF NYC</t>
  </si>
  <si>
    <t>4975</t>
  </si>
  <si>
    <t>Anthony Pigatto</t>
  </si>
  <si>
    <t>4974</t>
  </si>
  <si>
    <t>Kira Frank</t>
  </si>
  <si>
    <t>4973</t>
  </si>
  <si>
    <t>Khalil Saad</t>
  </si>
  <si>
    <t>4977</t>
  </si>
  <si>
    <t>BPM SFX</t>
  </si>
  <si>
    <t>4978</t>
  </si>
  <si>
    <t>Pro Jet with 5- pin DMX and 220v Solenoid (no hose)</t>
  </si>
  <si>
    <t>4979</t>
  </si>
  <si>
    <t>4976</t>
  </si>
  <si>
    <t>4972</t>
  </si>
  <si>
    <t>Tom Dann</t>
  </si>
  <si>
    <t>4970</t>
  </si>
  <si>
    <t>Hovhannes Sargsyan</t>
  </si>
  <si>
    <t>4969</t>
  </si>
  <si>
    <t>4967</t>
  </si>
  <si>
    <t>Kevin Kauffman</t>
  </si>
  <si>
    <t>4965</t>
  </si>
  <si>
    <t>Steve Hong</t>
  </si>
  <si>
    <t>4966</t>
  </si>
  <si>
    <t>Toucan Productions, Inc.</t>
  </si>
  <si>
    <t>Attempted repair of DMX Jet MKII - no issues detected</t>
  </si>
  <si>
    <t>4971</t>
  </si>
  <si>
    <t>Johnny Valdez / Adept Events</t>
  </si>
  <si>
    <t>4968</t>
  </si>
  <si>
    <t>CC-CCDIN-515-6</t>
  </si>
  <si>
    <t>Top entry DIN cable with 5-15 connector, 6FT</t>
  </si>
  <si>
    <t>4964</t>
  </si>
  <si>
    <t>William Moyal</t>
  </si>
  <si>
    <t>4963</t>
  </si>
  <si>
    <t>4962</t>
  </si>
  <si>
    <t>4961</t>
  </si>
  <si>
    <t>Kenneth Sheahan</t>
  </si>
  <si>
    <t>4960</t>
  </si>
  <si>
    <t>Jennifer Wiley</t>
  </si>
  <si>
    <t>4957</t>
  </si>
  <si>
    <t>Christopher Essak</t>
  </si>
  <si>
    <t>4953</t>
  </si>
  <si>
    <t>4952</t>
  </si>
  <si>
    <t>Ray Bumpus</t>
  </si>
  <si>
    <t>4951</t>
  </si>
  <si>
    <t>June 2024 Sales by Customer</t>
  </si>
  <si>
    <t>June 2024 Sales by SKU</t>
  </si>
  <si>
    <t>June 2024 Sales by SKU$</t>
  </si>
  <si>
    <t>May 2024</t>
  </si>
  <si>
    <t>4949</t>
  </si>
  <si>
    <t>4948</t>
  </si>
  <si>
    <t>Jason Espinosa</t>
  </si>
  <si>
    <t>4947</t>
  </si>
  <si>
    <t>4945</t>
  </si>
  <si>
    <t>Kent Zimmerer</t>
  </si>
  <si>
    <t>4950</t>
  </si>
  <si>
    <t>Pro Jet - White</t>
  </si>
  <si>
    <t>4946</t>
  </si>
  <si>
    <t>Atlas Stageworks Lighting</t>
  </si>
  <si>
    <t>4943</t>
  </si>
  <si>
    <t>David Bozyk</t>
  </si>
  <si>
    <t>4942</t>
  </si>
  <si>
    <t>Jose Rodriguez</t>
  </si>
  <si>
    <t>4944</t>
  </si>
  <si>
    <t>Magic FX Replacement Parts</t>
  </si>
  <si>
    <t>5x Replacement Screens for Stadium Blaster &amp;
3x Shot Controller PCBs</t>
  </si>
  <si>
    <t>4941</t>
  </si>
  <si>
    <t>Victor James</t>
  </si>
  <si>
    <t>4939</t>
  </si>
  <si>
    <t>Matthew Luisi</t>
  </si>
  <si>
    <t>4938</t>
  </si>
  <si>
    <t>Kevin Woodard</t>
  </si>
  <si>
    <t>4935</t>
  </si>
  <si>
    <t>Josh Corkerton</t>
  </si>
  <si>
    <t>4934</t>
  </si>
  <si>
    <t>Nathan Cakacaka</t>
  </si>
  <si>
    <t>4933</t>
  </si>
  <si>
    <t>Albert Okyne</t>
  </si>
  <si>
    <t>4932</t>
  </si>
  <si>
    <t>Ashley Bertling</t>
  </si>
  <si>
    <t>4937</t>
  </si>
  <si>
    <t>4936</t>
  </si>
  <si>
    <t>Mario Santiago Cevallos Bautín</t>
  </si>
  <si>
    <t>Controller EEProm 512kB</t>
  </si>
  <si>
    <t>24LC512-I/P</t>
  </si>
  <si>
    <t>4940</t>
  </si>
  <si>
    <t>4931</t>
  </si>
  <si>
    <t>Chung yueh Chang</t>
  </si>
  <si>
    <t>4930</t>
  </si>
  <si>
    <t>Josh Goldberg</t>
  </si>
  <si>
    <t>4929</t>
  </si>
  <si>
    <t>Anthony Cox</t>
  </si>
  <si>
    <t>4928</t>
  </si>
  <si>
    <t>4927</t>
  </si>
  <si>
    <t>CGA-320 to JIC adapter with nut and integrated groove for o-ring</t>
  </si>
  <si>
    <t>4926</t>
  </si>
  <si>
    <t>Ryan Westphal</t>
  </si>
  <si>
    <t>4925</t>
  </si>
  <si>
    <t>amber britton</t>
  </si>
  <si>
    <t>4924</t>
  </si>
  <si>
    <t>Kyle M. Sclafani</t>
  </si>
  <si>
    <t>4923</t>
  </si>
  <si>
    <t>4921</t>
  </si>
  <si>
    <t>Robert Leith</t>
  </si>
  <si>
    <t>4920</t>
  </si>
  <si>
    <t>Dino Milioti</t>
  </si>
  <si>
    <t>4918</t>
  </si>
  <si>
    <t>4914</t>
  </si>
  <si>
    <t>Michael Rinaldi</t>
  </si>
  <si>
    <t>4913</t>
  </si>
  <si>
    <t>Uschi Waite</t>
  </si>
  <si>
    <t>4915</t>
  </si>
  <si>
    <t>FFP FX</t>
  </si>
  <si>
    <t>CC-CH-35-EXT</t>
  </si>
  <si>
    <t>Co2 Hose 35FT Extension Config (Upgrade from 15FT)</t>
  </si>
  <si>
    <t>4912</t>
  </si>
  <si>
    <t>Cryo Clamp wall mount bracket kit with included 1/2-13 x 3/4" stainless pan head screw (Included)</t>
  </si>
  <si>
    <t>4911</t>
  </si>
  <si>
    <t>4919</t>
  </si>
  <si>
    <t>Russell Samowitz</t>
  </si>
  <si>
    <t>4922</t>
  </si>
  <si>
    <t>12v solenoid coil - TEST ON STADIUM SHOT V1</t>
  </si>
  <si>
    <t>4917</t>
  </si>
  <si>
    <t>4916</t>
  </si>
  <si>
    <t>Repair of Magic FX ARM Controller</t>
  </si>
  <si>
    <t>4909</t>
  </si>
  <si>
    <t>Repair of DMX Jet - Broken Valve</t>
  </si>
  <si>
    <t>1/4” NPT x 2” Filter nipple</t>
  </si>
  <si>
    <t>DMX Jet MKII Filter Nipple</t>
  </si>
  <si>
    <t>1/4-20 x 1/2" SEMS Screws / Internal Tooth Washer / PH S Black</t>
  </si>
  <si>
    <t>3/4 OD X 1/4 ID X 1/8 Thickness Neoprene Rubber Washers</t>
  </si>
  <si>
    <t>4908</t>
  </si>
  <si>
    <t xml:space="preserve">Shipping velcro straps
</t>
  </si>
  <si>
    <t>4907</t>
  </si>
  <si>
    <t>CC-NPTC-15-DSY</t>
  </si>
  <si>
    <t>Neutrik PowerCON True1 Cords - 15FT, Daisy Chain</t>
  </si>
  <si>
    <t>4910</t>
  </si>
  <si>
    <t>Danny Scott</t>
  </si>
  <si>
    <t>4903</t>
  </si>
  <si>
    <t>4902</t>
  </si>
  <si>
    <t>Tino Thomas</t>
  </si>
  <si>
    <t>4894</t>
  </si>
  <si>
    <t>Nicholas Jones</t>
  </si>
  <si>
    <t>4904</t>
  </si>
  <si>
    <t>Refund for Manifolds &amp; Hoses</t>
  </si>
  <si>
    <t>Co2 Tank Attachment Tool (Passing along at cost)</t>
  </si>
  <si>
    <t>Single CO2 Washer (Complementary)</t>
  </si>
  <si>
    <t>4906</t>
  </si>
  <si>
    <t>Co2 Hose 65FT Standard (Upgrade from 15FT)</t>
  </si>
  <si>
    <t>Co2 Hose 2FT Daisy Chain</t>
  </si>
  <si>
    <t>4901</t>
  </si>
  <si>
    <t>Light FX Pros</t>
  </si>
  <si>
    <t>Micro Jet MKII 5-Pin XLR PCB</t>
  </si>
  <si>
    <t>DMX Input PCB</t>
  </si>
  <si>
    <t>4905</t>
  </si>
  <si>
    <t>5-pin DMX Passthrough Assembly</t>
  </si>
  <si>
    <t>4893</t>
  </si>
  <si>
    <t>jamie Granko</t>
  </si>
  <si>
    <t>4892</t>
  </si>
  <si>
    <t>Keith Cruz</t>
  </si>
  <si>
    <t>4890</t>
  </si>
  <si>
    <t>Robert Goukasian</t>
  </si>
  <si>
    <t>4887</t>
  </si>
  <si>
    <t>4886</t>
  </si>
  <si>
    <t>Adrian Zerla</t>
  </si>
  <si>
    <t>4885</t>
  </si>
  <si>
    <t>4884</t>
  </si>
  <si>
    <t>Michael Reha</t>
  </si>
  <si>
    <t>4883</t>
  </si>
  <si>
    <t>Adam Morgan</t>
  </si>
  <si>
    <t>4880</t>
  </si>
  <si>
    <t>Stephan Gonthier</t>
  </si>
  <si>
    <t>4881</t>
  </si>
  <si>
    <t xml:space="preserve">Replacement Keys - Shostarter </t>
  </si>
  <si>
    <t>4891</t>
  </si>
  <si>
    <t>Pyrofetti Efectos Especiales SA de CV</t>
  </si>
  <si>
    <t>4882</t>
  </si>
  <si>
    <t>4888</t>
  </si>
  <si>
    <t>4889</t>
  </si>
  <si>
    <t>4879</t>
  </si>
  <si>
    <t>4878</t>
  </si>
  <si>
    <t>4877</t>
  </si>
  <si>
    <t>Carl Guilbaud</t>
  </si>
  <si>
    <t>4876</t>
  </si>
  <si>
    <t>4875</t>
  </si>
  <si>
    <t>Corey Anderson</t>
  </si>
  <si>
    <t>4874</t>
  </si>
  <si>
    <t>Omar Calderon</t>
  </si>
  <si>
    <t>4872</t>
  </si>
  <si>
    <t>Rico Guerra</t>
  </si>
  <si>
    <t>4873</t>
  </si>
  <si>
    <t>Project Deposit</t>
  </si>
  <si>
    <t>Design &amp; develop T-Shirt cannon control unit</t>
  </si>
  <si>
    <t>4871</t>
  </si>
  <si>
    <t>Shaun Hopper</t>
  </si>
  <si>
    <t>4870</t>
  </si>
  <si>
    <t>Edward Johnson</t>
  </si>
  <si>
    <t>4869</t>
  </si>
  <si>
    <t>Stephen Hong</t>
  </si>
  <si>
    <t>CC-CH-08-EXT</t>
  </si>
  <si>
    <t>Co2 Hose 08FT Extension Config</t>
  </si>
  <si>
    <t>4868</t>
  </si>
  <si>
    <t>4865</t>
  </si>
  <si>
    <t>Jinni Delgado</t>
  </si>
  <si>
    <t>4867</t>
  </si>
  <si>
    <t>Aaron Rodriguez</t>
  </si>
  <si>
    <t>Warranty Repair of Handheld MKII Serial# 004978</t>
  </si>
  <si>
    <t>4866</t>
  </si>
  <si>
    <t>4862</t>
  </si>
  <si>
    <t>4861</t>
  </si>
  <si>
    <t>Marcus Pierce</t>
  </si>
  <si>
    <t>4863</t>
  </si>
  <si>
    <t>MagicFX Swirl Fan II</t>
  </si>
  <si>
    <t>DMX Controlled Swirl Fan</t>
  </si>
  <si>
    <t>4859</t>
  </si>
  <si>
    <t>Colin Rafferty</t>
  </si>
  <si>
    <t>4858</t>
  </si>
  <si>
    <t>Jacob Hilborne</t>
  </si>
  <si>
    <t>4857</t>
  </si>
  <si>
    <t>Israel Lopez</t>
  </si>
  <si>
    <t>4856</t>
  </si>
  <si>
    <t>Warranty Repair of LED Attachment II - Serial# 1023065 &amp; 1023066</t>
  </si>
  <si>
    <t>4860</t>
  </si>
  <si>
    <t>Ricardo Sandoval</t>
  </si>
  <si>
    <t>5FT CO2 Hose - JIC  x JIC</t>
  </si>
  <si>
    <t>4855</t>
  </si>
  <si>
    <t>4854</t>
  </si>
  <si>
    <t>Hunter Klein</t>
  </si>
  <si>
    <t>4852</t>
  </si>
  <si>
    <t>Sean Harley</t>
  </si>
  <si>
    <t>4851</t>
  </si>
  <si>
    <t>4848</t>
  </si>
  <si>
    <t>Carlos Ruiz</t>
  </si>
  <si>
    <t>4841</t>
  </si>
  <si>
    <t>Richard Gmitro</t>
  </si>
  <si>
    <t>4840</t>
  </si>
  <si>
    <t>Colby Yardley</t>
  </si>
  <si>
    <t>4839</t>
  </si>
  <si>
    <t>Ebony Polk</t>
  </si>
  <si>
    <t>4838</t>
  </si>
  <si>
    <t>Jose Angeles</t>
  </si>
  <si>
    <t>4847</t>
  </si>
  <si>
    <t>5FT CO2 Hose (CGA-320 x Female QC)</t>
  </si>
  <si>
    <t>Replacement Keys - ShoStarter (Complementary)</t>
  </si>
  <si>
    <t>MagicFX Commander</t>
  </si>
  <si>
    <t>Truss Clamp (Complementary)</t>
  </si>
  <si>
    <t>4844</t>
  </si>
  <si>
    <t>Handheld MKII Packaging</t>
  </si>
  <si>
    <t>Packaging for Handheld MKII</t>
  </si>
  <si>
    <t>4843</t>
  </si>
  <si>
    <t>Richard Rockelmann</t>
  </si>
  <si>
    <t>4853</t>
  </si>
  <si>
    <t>Warranty Repair of Shostarter - Serial# 00144</t>
  </si>
  <si>
    <t>ShoStarter Main PCB</t>
  </si>
  <si>
    <t>Main PCB for ShoStarter Controller</t>
  </si>
  <si>
    <t>4842</t>
  </si>
  <si>
    <t>4850</t>
  </si>
  <si>
    <t>4849</t>
  </si>
  <si>
    <t>4846</t>
  </si>
  <si>
    <t>Tropical Fireworks Inc.</t>
  </si>
  <si>
    <t>4845</t>
  </si>
  <si>
    <t>4837</t>
  </si>
  <si>
    <t>Dan Westgarth</t>
  </si>
  <si>
    <t>4836</t>
  </si>
  <si>
    <t>4835</t>
  </si>
  <si>
    <t>Shamonica Trunell</t>
  </si>
  <si>
    <t>4834</t>
  </si>
  <si>
    <t>Karina Rodriguez</t>
  </si>
  <si>
    <t>4833</t>
  </si>
  <si>
    <t>Hunter Wheeler</t>
  </si>
  <si>
    <t>4832</t>
  </si>
  <si>
    <t>Joseph Marino</t>
  </si>
  <si>
    <t>4831</t>
  </si>
  <si>
    <t>Karl Horton</t>
  </si>
  <si>
    <t>4830</t>
  </si>
  <si>
    <t>Chris McCafferty</t>
  </si>
  <si>
    <t>4829</t>
  </si>
  <si>
    <t>4828</t>
  </si>
  <si>
    <t>Brian Hood</t>
  </si>
  <si>
    <t>4827</t>
  </si>
  <si>
    <t>Ryan Robinson</t>
  </si>
  <si>
    <t>4826</t>
  </si>
  <si>
    <t>Zack Rioux</t>
  </si>
  <si>
    <t>4824</t>
  </si>
  <si>
    <t>Juan Gomez</t>
  </si>
  <si>
    <t>4823</t>
  </si>
  <si>
    <t>Kimberly Flemming</t>
  </si>
  <si>
    <t>4825</t>
  </si>
  <si>
    <t>3/8" Female BSPP x Male 3/8" JIC</t>
  </si>
  <si>
    <t>4821</t>
  </si>
  <si>
    <t>4820</t>
  </si>
  <si>
    <t>Melissa Adams</t>
  </si>
  <si>
    <t>4819</t>
  </si>
  <si>
    <t>4818</t>
  </si>
  <si>
    <t>Darcy Hunter</t>
  </si>
  <si>
    <t>4822</t>
  </si>
  <si>
    <t>Jeffrey Giancaspro</t>
  </si>
  <si>
    <t>4816</t>
  </si>
  <si>
    <t>Jason La Bella</t>
  </si>
  <si>
    <t>4814</t>
  </si>
  <si>
    <t>4813</t>
  </si>
  <si>
    <t>4801</t>
  </si>
  <si>
    <t>4800</t>
  </si>
  <si>
    <t>4812</t>
  </si>
  <si>
    <t>Divine FX</t>
  </si>
  <si>
    <t>4811</t>
  </si>
  <si>
    <t>4810</t>
  </si>
  <si>
    <t>Daniel Rivera</t>
  </si>
  <si>
    <t>4815</t>
  </si>
  <si>
    <t>Load Handle 90mm</t>
  </si>
  <si>
    <t>Club Cannon Lift Handle</t>
  </si>
  <si>
    <t>1/4-20 x 1/2" SH Black Screw</t>
  </si>
  <si>
    <t>Handle Screw</t>
  </si>
  <si>
    <t>4809</t>
  </si>
  <si>
    <t>4817</t>
  </si>
  <si>
    <t>4798</t>
  </si>
  <si>
    <t>Carlos Santos Gijon</t>
  </si>
  <si>
    <t>4797</t>
  </si>
  <si>
    <t>Ursula Waite</t>
  </si>
  <si>
    <t>4793</t>
  </si>
  <si>
    <t>Ethan Raminfard</t>
  </si>
  <si>
    <t>4796</t>
  </si>
  <si>
    <t>Greg Dorman</t>
  </si>
  <si>
    <t>4795</t>
  </si>
  <si>
    <t>4799</t>
  </si>
  <si>
    <t>Aaron Ingersoll</t>
  </si>
  <si>
    <t>4794</t>
  </si>
  <si>
    <t>100FT CO2 Hose - 1/4" ID (JIC #6 x JIC #6)</t>
  </si>
  <si>
    <t>4791</t>
  </si>
  <si>
    <t>Cesar Palomino</t>
  </si>
  <si>
    <t>4790</t>
  </si>
  <si>
    <t>4789</t>
  </si>
  <si>
    <t>Scott Connell</t>
  </si>
  <si>
    <t>4787</t>
  </si>
  <si>
    <t>Majed Abou Alkhir</t>
  </si>
  <si>
    <t>4788</t>
  </si>
  <si>
    <t>4785</t>
  </si>
  <si>
    <t>10FT CO2 Hose - 1/4" ID (JIC #6 x JIC #6)</t>
  </si>
  <si>
    <t>4792</t>
  </si>
  <si>
    <t>4 Port Co2 Manifold - 4x MQC Inlets, 1x FQC Outlet with Truss Bracket</t>
  </si>
  <si>
    <t>5FT CO2 Hose (CGA-320 x Female QC) For use with Manifold</t>
  </si>
  <si>
    <t>Daisy Chain Adapter (Included, installed on manifold hoses)</t>
  </si>
  <si>
    <t>4786</t>
  </si>
  <si>
    <t>4784</t>
  </si>
  <si>
    <t>Erik Laurin</t>
  </si>
  <si>
    <t>4783</t>
  </si>
  <si>
    <t>Kimario McFadden</t>
  </si>
  <si>
    <t>4782</t>
  </si>
  <si>
    <t>4781</t>
  </si>
  <si>
    <t>Jared Cornelius</t>
  </si>
  <si>
    <t>4780</t>
  </si>
  <si>
    <t>Van Valeriano</t>
  </si>
  <si>
    <t>4778</t>
  </si>
  <si>
    <t>charlie keiper</t>
  </si>
  <si>
    <t>4775</t>
  </si>
  <si>
    <t>Ronald Moncada</t>
  </si>
  <si>
    <t>4779</t>
  </si>
  <si>
    <t>15FT CO2 Hose - 1/4" ID (JIC #6 x JIC #6)</t>
  </si>
  <si>
    <t>4777</t>
  </si>
  <si>
    <t>4771</t>
  </si>
  <si>
    <t>Kenneth Morris</t>
  </si>
  <si>
    <t>4774</t>
  </si>
  <si>
    <t>Warranty repair of The Button - Serial #31471</t>
  </si>
  <si>
    <t>The Button Encoder Knob</t>
  </si>
  <si>
    <t>Black Anodized Aluminum Encoder Knob</t>
  </si>
  <si>
    <t>4772</t>
  </si>
  <si>
    <t>4773</t>
  </si>
  <si>
    <t>Warranty repair of Handheld MKII - Serial# 005248</t>
  </si>
  <si>
    <t>4770</t>
  </si>
  <si>
    <t>Jason McGlothlin</t>
  </si>
  <si>
    <t>4767</t>
  </si>
  <si>
    <t>Henry Corscadden</t>
  </si>
  <si>
    <t>4766</t>
  </si>
  <si>
    <t>Theodorus Weber</t>
  </si>
  <si>
    <t>4765</t>
  </si>
  <si>
    <t>Mark Ganuza</t>
  </si>
  <si>
    <t>4763</t>
  </si>
  <si>
    <t>LUIS ALFREDO DIAZ MENDOZA</t>
  </si>
  <si>
    <t>4764</t>
  </si>
  <si>
    <t>Anton Kondratev</t>
  </si>
  <si>
    <t>4768</t>
  </si>
  <si>
    <t>Ryan Gorey</t>
  </si>
  <si>
    <t>May 2024 Sales by Customer</t>
  </si>
  <si>
    <t>May 2024 Sales by SKU</t>
  </si>
  <si>
    <t>May 2024 Sales by SKU$</t>
  </si>
  <si>
    <t>April 2024</t>
  </si>
  <si>
    <t>Luis Alfredo Diaz Mendoza</t>
  </si>
  <si>
    <t>4762</t>
  </si>
  <si>
    <t>4761</t>
  </si>
  <si>
    <t>4760</t>
  </si>
  <si>
    <t>Josh Blount</t>
  </si>
  <si>
    <t>4759</t>
  </si>
  <si>
    <t>Matthew Knotts</t>
  </si>
  <si>
    <t>4758</t>
  </si>
  <si>
    <t>Lacey Southward</t>
  </si>
  <si>
    <t>4757</t>
  </si>
  <si>
    <t>Alex Belongia</t>
  </si>
  <si>
    <t>4756</t>
  </si>
  <si>
    <t>Juan Ocampo</t>
  </si>
  <si>
    <t>4755</t>
  </si>
  <si>
    <t>Barnaby Holm</t>
  </si>
  <si>
    <t>4754</t>
  </si>
  <si>
    <t>Andrew Thompson</t>
  </si>
  <si>
    <t>4753</t>
  </si>
  <si>
    <t>Jacob Jimenez</t>
  </si>
  <si>
    <t>4752</t>
  </si>
  <si>
    <t>Ian Horseman</t>
  </si>
  <si>
    <t>4751</t>
  </si>
  <si>
    <t>6-32 x 3/8” pan head screw BSS</t>
  </si>
  <si>
    <t>4750</t>
  </si>
  <si>
    <t>4749</t>
  </si>
  <si>
    <t>Scott Ames</t>
  </si>
  <si>
    <t>4748</t>
  </si>
  <si>
    <t>4747</t>
  </si>
  <si>
    <t>Jessy Ramos</t>
  </si>
  <si>
    <t>4746</t>
  </si>
  <si>
    <t>Alan Hart</t>
  </si>
  <si>
    <t>4745</t>
  </si>
  <si>
    <t>4744</t>
  </si>
  <si>
    <t>4743</t>
  </si>
  <si>
    <t>Daniel Wyatt</t>
  </si>
  <si>
    <t>Co2 Hose 29FT Length Standard Type B MQC</t>
  </si>
  <si>
    <t>Co2 Hose 38FT Length Standard Type B MQC</t>
  </si>
  <si>
    <t>Co2 Hose 41FT Standard Type B MQC</t>
  </si>
  <si>
    <t>Co2 Hose 48FT Length Standard Type B MQC</t>
  </si>
  <si>
    <t>Co2 Hose 54FT Length Standard Type B MQC</t>
  </si>
  <si>
    <t>Co2 Hose 59FT Length Standard Type B MQC</t>
  </si>
  <si>
    <t>Co2 Hose 68FT Length Standard Type B MQC</t>
  </si>
  <si>
    <t>Co2 Hose 72FT Length Standard Type B MQC</t>
  </si>
  <si>
    <t>4742</t>
  </si>
  <si>
    <t>Co2 Hose Custom Length Extension - 3FT</t>
  </si>
  <si>
    <t>CC-F-FMMQC-TEE</t>
  </si>
  <si>
    <t>Female x Male x Male Quick Connect Junction</t>
  </si>
  <si>
    <t>4741</t>
  </si>
  <si>
    <t>Alex Woolum</t>
  </si>
  <si>
    <t>Shipping Isaac's silly little mouse</t>
  </si>
  <si>
    <t>4740</t>
  </si>
  <si>
    <t>4739</t>
  </si>
  <si>
    <t>4738</t>
  </si>
  <si>
    <t>4737</t>
  </si>
  <si>
    <t>Adalberto Reyes</t>
  </si>
  <si>
    <t>4736</t>
  </si>
  <si>
    <t>John Sanducu</t>
  </si>
  <si>
    <t>4735</t>
  </si>
  <si>
    <t>4734</t>
  </si>
  <si>
    <t>4733</t>
  </si>
  <si>
    <t>4732</t>
  </si>
  <si>
    <t>Sonus Productions</t>
  </si>
  <si>
    <t>4731</t>
  </si>
  <si>
    <t>6MB-6SBK</t>
  </si>
  <si>
    <t>3/8" BSPP Hose Crimp Fitting</t>
  </si>
  <si>
    <t>Fee for cutting and crimping custom hoses (Complementary)</t>
  </si>
  <si>
    <t>3/8” BSPP Bonding Washer Seal (Complementary)</t>
  </si>
  <si>
    <t>4730</t>
  </si>
  <si>
    <t>Joey Reynolds</t>
  </si>
  <si>
    <t>4729</t>
  </si>
  <si>
    <t>Carter Reichardt</t>
  </si>
  <si>
    <t>4728</t>
  </si>
  <si>
    <t>Brad Williams</t>
  </si>
  <si>
    <t>4727</t>
  </si>
  <si>
    <t>Luis Yrtube</t>
  </si>
  <si>
    <t>Micro Jet MKII XLR PCB</t>
  </si>
  <si>
    <t>3 Pin DMX Input and Power Trigger PCB</t>
  </si>
  <si>
    <t>Micro Jet MKII Main PCB - Warranty Replacement</t>
  </si>
  <si>
    <t>4726</t>
  </si>
  <si>
    <t>4725</t>
  </si>
  <si>
    <t>Replacement Keys - Shomaster &amp; ShoStarter (Complementary)</t>
  </si>
  <si>
    <t>4724</t>
  </si>
  <si>
    <t>Robert Demoor</t>
  </si>
  <si>
    <t>4723</t>
  </si>
  <si>
    <t>ShoStarter w/ Update Firmware for 220 Pro Jets</t>
  </si>
  <si>
    <t>4722</t>
  </si>
  <si>
    <t>4721</t>
  </si>
  <si>
    <t>4720</t>
  </si>
  <si>
    <t>4719</t>
  </si>
  <si>
    <t>roberto aneses</t>
  </si>
  <si>
    <t>4718</t>
  </si>
  <si>
    <t>Joshua Sikora</t>
  </si>
  <si>
    <t>4717</t>
  </si>
  <si>
    <t>4716</t>
  </si>
  <si>
    <t>Kuldip Mann</t>
  </si>
  <si>
    <t>Warranty Repair of Handheld MKII Serial# 004887, customer also sent in #004857 - no issues</t>
  </si>
  <si>
    <t>4715</t>
  </si>
  <si>
    <t>Tesia Valdera</t>
  </si>
  <si>
    <t>4714</t>
  </si>
  <si>
    <t>4713</t>
  </si>
  <si>
    <t>4712</t>
  </si>
  <si>
    <t>4711</t>
  </si>
  <si>
    <t>Co2 Hose 25FT Standard Config with ISO-B Female QC</t>
  </si>
  <si>
    <t>Co2 Hose 75FT Standard Config</t>
  </si>
  <si>
    <t>4710</t>
  </si>
  <si>
    <t>4709</t>
  </si>
  <si>
    <t>David Torres</t>
  </si>
  <si>
    <t>4708</t>
  </si>
  <si>
    <t>RYAN FERNANDEZ</t>
  </si>
  <si>
    <t>4707</t>
  </si>
  <si>
    <t>Carlos Herrera</t>
  </si>
  <si>
    <t>4706</t>
  </si>
  <si>
    <t>4705</t>
  </si>
  <si>
    <t>Zack Mann</t>
  </si>
  <si>
    <t>4704</t>
  </si>
  <si>
    <t>Charles Tantog jr</t>
  </si>
  <si>
    <t>4703</t>
  </si>
  <si>
    <t>4702</t>
  </si>
  <si>
    <t>4701</t>
  </si>
  <si>
    <t>Michael Noe</t>
  </si>
  <si>
    <t>4700</t>
  </si>
  <si>
    <t>Corey Kjng</t>
  </si>
  <si>
    <t>4698</t>
  </si>
  <si>
    <t>Timothy Hannum</t>
  </si>
  <si>
    <t>Co2 Hose 35FT Extension Config</t>
  </si>
  <si>
    <t>4697</t>
  </si>
  <si>
    <t>4696</t>
  </si>
  <si>
    <t>Brown Note Productions</t>
  </si>
  <si>
    <t>3/8" Male NPT x #6 JIC Male</t>
  </si>
  <si>
    <t>4695</t>
  </si>
  <si>
    <t>PayPal Payment Processing Fee</t>
  </si>
  <si>
    <t>4694</t>
  </si>
  <si>
    <t>4693</t>
  </si>
  <si>
    <t>CA Tax</t>
  </si>
  <si>
    <t>4692</t>
  </si>
  <si>
    <t>4691</t>
  </si>
  <si>
    <t>Edwin Toledo</t>
  </si>
  <si>
    <t>4690</t>
  </si>
  <si>
    <t>Claudio Valero</t>
  </si>
  <si>
    <t>4689</t>
  </si>
  <si>
    <t>David Harris</t>
  </si>
  <si>
    <t>4688</t>
  </si>
  <si>
    <t>4687</t>
  </si>
  <si>
    <t>4686</t>
  </si>
  <si>
    <t>Michael Bedkowski</t>
  </si>
  <si>
    <t>Warranty Repair of Buttons #31247, 31796, 31679</t>
  </si>
  <si>
    <t>4685</t>
  </si>
  <si>
    <t>GABRIEL MUNIZ</t>
  </si>
  <si>
    <t>4684</t>
  </si>
  <si>
    <t>Tracey Becca</t>
  </si>
  <si>
    <t>4683</t>
  </si>
  <si>
    <t>Shawn Stacks</t>
  </si>
  <si>
    <t>4682</t>
  </si>
  <si>
    <t>James Sales</t>
  </si>
  <si>
    <t>4681</t>
  </si>
  <si>
    <t>4680</t>
  </si>
  <si>
    <t>Jonatan Rivera</t>
  </si>
  <si>
    <t>4679</t>
  </si>
  <si>
    <t>Matthew Hazelgrove</t>
  </si>
  <si>
    <t>4678</t>
  </si>
  <si>
    <t>4677</t>
  </si>
  <si>
    <t>Used to adapt jets to JIC</t>
  </si>
  <si>
    <t>4676</t>
  </si>
  <si>
    <t>75FT CO2 Hose STD (Upgrade from Included 15FT STD)</t>
  </si>
  <si>
    <t>4675</t>
  </si>
  <si>
    <t>Daniel Scott</t>
  </si>
  <si>
    <t>4674</t>
  </si>
  <si>
    <t xml:space="preserve">5FT CO2  Extension Hose (CGA-320 Female x CGA-320 Male) </t>
  </si>
  <si>
    <t>4673</t>
  </si>
  <si>
    <t>Jeff Krebs</t>
  </si>
  <si>
    <t>4672</t>
  </si>
  <si>
    <t>4671</t>
  </si>
  <si>
    <t>Karol Castillo</t>
  </si>
  <si>
    <t>4670</t>
  </si>
  <si>
    <t>4669</t>
  </si>
  <si>
    <t>The Tribe Utah</t>
  </si>
  <si>
    <t>4664</t>
  </si>
  <si>
    <t>4663</t>
  </si>
  <si>
    <t>Brian LaBorde</t>
  </si>
  <si>
    <t>4662</t>
  </si>
  <si>
    <t>Sebastian Allais</t>
  </si>
  <si>
    <t>4661</t>
  </si>
  <si>
    <t>Clarence Arkward</t>
  </si>
  <si>
    <t>4660</t>
  </si>
  <si>
    <t>CC-CH-25-DSY</t>
  </si>
  <si>
    <t>Co2 Hose 25FT Daisy Chain</t>
  </si>
  <si>
    <t>4659</t>
  </si>
  <si>
    <t>4658</t>
  </si>
  <si>
    <t>Michael Alls</t>
  </si>
  <si>
    <t>4657</t>
  </si>
  <si>
    <t>Robert Parisi</t>
  </si>
  <si>
    <t>4656</t>
  </si>
  <si>
    <t>Clay Coltson</t>
  </si>
  <si>
    <t>4655</t>
  </si>
  <si>
    <t>Tanner scott</t>
  </si>
  <si>
    <t>4654</t>
  </si>
  <si>
    <t>Jorge Montes</t>
  </si>
  <si>
    <t>4653</t>
  </si>
  <si>
    <t>Jack Bermo</t>
  </si>
  <si>
    <t>CC-CC-110</t>
  </si>
  <si>
    <t>Cryo Clamp - 110 Volt</t>
  </si>
  <si>
    <t>CC-F-MQC-TEE</t>
  </si>
  <si>
    <t>3 Way Male Quick Connect Junction</t>
  </si>
  <si>
    <t>NAC3MX-W-TOP (Male)</t>
  </si>
  <si>
    <t>TRUE1 CABLE CONNECTOR (MALE)</t>
  </si>
  <si>
    <t>4652</t>
  </si>
  <si>
    <t>Ajmer s Mann</t>
  </si>
  <si>
    <t>4651</t>
  </si>
  <si>
    <t>Derek Roode</t>
  </si>
  <si>
    <t>4650</t>
  </si>
  <si>
    <t>4649</t>
  </si>
  <si>
    <t>True1 Jumper - 15 Inches</t>
  </si>
  <si>
    <t>Neutrik True1 Male x True1 Female jumper for LED Attachment</t>
  </si>
  <si>
    <t>4648</t>
  </si>
  <si>
    <t>Patrick Cyrana</t>
  </si>
  <si>
    <t>3.5FT CO2 HOSE - 1/4" ID (JIC #6 x JIC #6)</t>
  </si>
  <si>
    <t>Special order CO2 Hose (Complementary)</t>
  </si>
  <si>
    <t>3/8" JIC Nipple - Male x Male</t>
  </si>
  <si>
    <t>JIC Union Nipple - 3/8" Male (Complementary)</t>
  </si>
  <si>
    <t>4647</t>
  </si>
  <si>
    <t>Quad Jet Foot Assembly</t>
  </si>
  <si>
    <t>3/8" 8-32 flat head screw</t>
  </si>
  <si>
    <t>Large Rubber Foot Binder Screw</t>
  </si>
  <si>
    <t>4646</t>
  </si>
  <si>
    <t>Bracket used for attaching valve to clamp - INCLUDE ANGLE BRACKET</t>
  </si>
  <si>
    <t>1/4” NPT Male x 3/8” BSPP Male</t>
  </si>
  <si>
    <t>4645</t>
  </si>
  <si>
    <t>Aurelia Jaworski</t>
  </si>
  <si>
    <t>4644</t>
  </si>
  <si>
    <t>4643</t>
  </si>
  <si>
    <t>Eshaan Anand</t>
  </si>
  <si>
    <t>4641</t>
  </si>
  <si>
    <t>Complete Production Resources</t>
  </si>
  <si>
    <t>4640</t>
  </si>
  <si>
    <t>Promedsa</t>
  </si>
  <si>
    <t>Quad Jet 110v with 3 Pin DMX With Barrels</t>
  </si>
  <si>
    <t>3% Fee to Cover Credit Card Processing Charges</t>
  </si>
  <si>
    <t>4639</t>
  </si>
  <si>
    <t>Dayton DiTomasso</t>
  </si>
  <si>
    <t>4637</t>
  </si>
  <si>
    <t>William Prechter</t>
  </si>
  <si>
    <t>4636</t>
  </si>
  <si>
    <t>4635</t>
  </si>
  <si>
    <t>Co2 Hose 25FT Standard Config (Upgrade from Included 15FT)</t>
  </si>
  <si>
    <t>4634</t>
  </si>
  <si>
    <t>Luis Mejia</t>
  </si>
  <si>
    <t>4633</t>
  </si>
  <si>
    <t>4632</t>
  </si>
  <si>
    <t>Matthew Klich</t>
  </si>
  <si>
    <t>4631</t>
  </si>
  <si>
    <t>4630</t>
  </si>
  <si>
    <t>Patrick Drive</t>
  </si>
  <si>
    <t>4629</t>
  </si>
  <si>
    <t>Gilbert Jacinto</t>
  </si>
  <si>
    <t>4628</t>
  </si>
  <si>
    <t>Alfredo Hidalgo</t>
  </si>
  <si>
    <t>15FT CO2 HOSE - 3/8" (BSPP x JIC #6)</t>
  </si>
  <si>
    <t>15FT CO2 HOSE - FEMALE JIC #6 x FEMALE JIC #6</t>
  </si>
  <si>
    <t>4627</t>
  </si>
  <si>
    <t>Isaac Carter</t>
  </si>
  <si>
    <t>4626</t>
  </si>
  <si>
    <t>4625</t>
  </si>
  <si>
    <t>4624</t>
  </si>
  <si>
    <t>4623</t>
  </si>
  <si>
    <t>Ramin Movahed</t>
  </si>
  <si>
    <t>4622</t>
  </si>
  <si>
    <t>4621</t>
  </si>
  <si>
    <t>Brady Dieleman</t>
  </si>
  <si>
    <t>4620</t>
  </si>
  <si>
    <t>4619</t>
  </si>
  <si>
    <t>Ryan Schroeder</t>
  </si>
  <si>
    <t>4618</t>
  </si>
  <si>
    <t>Sergio champion</t>
  </si>
  <si>
    <t>4617</t>
  </si>
  <si>
    <t>4616</t>
  </si>
  <si>
    <t>4615</t>
  </si>
  <si>
    <t>Micro Jet MKII Serial# 1123463</t>
  </si>
  <si>
    <t>Micro Jet 110v Valve Assembly</t>
  </si>
  <si>
    <t>110v Valve with Solenoid fittings and Wires for Micro Jet MKII</t>
  </si>
  <si>
    <t>4613</t>
  </si>
  <si>
    <t>Kevin Summers</t>
  </si>
  <si>
    <t>4612</t>
  </si>
  <si>
    <t>4611</t>
  </si>
  <si>
    <t>4610</t>
  </si>
  <si>
    <t>4609</t>
  </si>
  <si>
    <t>3M BUMPON SJ5012</t>
  </si>
  <si>
    <t>Sticky Rubber Foot</t>
  </si>
  <si>
    <t>Small Key Switch</t>
  </si>
  <si>
    <t>12mm D135 Key Switch</t>
  </si>
  <si>
    <t>4608</t>
  </si>
  <si>
    <t>John Katas</t>
  </si>
  <si>
    <t>4607</t>
  </si>
  <si>
    <t>Boris Bollinger</t>
  </si>
  <si>
    <t>4606</t>
  </si>
  <si>
    <t>Matthew Daniel</t>
  </si>
  <si>
    <t>4605</t>
  </si>
  <si>
    <t>Michael Groves</t>
  </si>
  <si>
    <t>4599</t>
  </si>
  <si>
    <t>joseph molis</t>
  </si>
  <si>
    <t>4598</t>
  </si>
  <si>
    <t>Lake School</t>
  </si>
  <si>
    <t>4597</t>
  </si>
  <si>
    <t>dale moore PR 23554</t>
  </si>
  <si>
    <t>4596</t>
  </si>
  <si>
    <t>Jaqueline Terrazas</t>
  </si>
  <si>
    <t>4595</t>
  </si>
  <si>
    <t>Joe Miller (Genesis Events)</t>
  </si>
  <si>
    <t>4594</t>
  </si>
  <si>
    <t>Nathan Javidzad</t>
  </si>
  <si>
    <t>4593</t>
  </si>
  <si>
    <t xml:space="preserve">Co2 Hose 35FT Standard Config - Upgrade from Included 15FT </t>
  </si>
  <si>
    <t>Replacement Keys - The Button (Complimentary)</t>
  </si>
  <si>
    <t>Replacement Keys - Shomaster &amp; ShoStarter (Complimentary)</t>
  </si>
  <si>
    <t>1/2-13 x 3/4” CS screw (Complimentary)</t>
  </si>
  <si>
    <t>4591</t>
  </si>
  <si>
    <t>Kyle Mohler</t>
  </si>
  <si>
    <t>4590</t>
  </si>
  <si>
    <t>Peter Gusmano</t>
  </si>
  <si>
    <t>4589</t>
  </si>
  <si>
    <t>Rohit Ralh</t>
  </si>
  <si>
    <t>4588</t>
  </si>
  <si>
    <t>Paul Conway</t>
  </si>
  <si>
    <t>4587</t>
  </si>
  <si>
    <t>Jack Murphy</t>
  </si>
  <si>
    <t>4586</t>
  </si>
  <si>
    <t>4585</t>
  </si>
  <si>
    <t>Bradley roberts</t>
  </si>
  <si>
    <t>4584</t>
  </si>
  <si>
    <t>4583</t>
  </si>
  <si>
    <t>Gary Yang</t>
  </si>
  <si>
    <t>April 2024 Sales by Customer</t>
  </si>
  <si>
    <t>April 2024 Sales by SKU</t>
  </si>
  <si>
    <t>April 2024 Sales by SKU$</t>
  </si>
  <si>
    <t>March 2024</t>
  </si>
  <si>
    <t>4582</t>
  </si>
  <si>
    <t>David R. Wistocki</t>
  </si>
  <si>
    <t>4581</t>
  </si>
  <si>
    <t>Jamil Mcinnis</t>
  </si>
  <si>
    <t>4580</t>
  </si>
  <si>
    <t>Martin Arredondo</t>
  </si>
  <si>
    <t>4577</t>
  </si>
  <si>
    <t>Brendan White</t>
  </si>
  <si>
    <t>4576</t>
  </si>
  <si>
    <t>Michael Tobian</t>
  </si>
  <si>
    <t>4579</t>
  </si>
  <si>
    <t>Co2 Hose 05FT MQC x MQC</t>
  </si>
  <si>
    <t>4578</t>
  </si>
  <si>
    <t>Co2 Hose 50FT Standard Config - Exchange for 25FT STD</t>
  </si>
  <si>
    <t>4575</t>
  </si>
  <si>
    <t>Mark Dixon</t>
  </si>
  <si>
    <t>4572</t>
  </si>
  <si>
    <t>casey kanady</t>
  </si>
  <si>
    <t>4571</t>
  </si>
  <si>
    <t>Steven Dotson</t>
  </si>
  <si>
    <t>4570</t>
  </si>
  <si>
    <t>Rich Ward</t>
  </si>
  <si>
    <t>4569</t>
  </si>
  <si>
    <t>Cesar Martinez</t>
  </si>
  <si>
    <t>4568</t>
  </si>
  <si>
    <t>Blake Robling</t>
  </si>
  <si>
    <t>4573</t>
  </si>
  <si>
    <t>Fee</t>
  </si>
  <si>
    <t>4574</t>
  </si>
  <si>
    <t>Repair of DMX Jet - 4W387566</t>
  </si>
  <si>
    <t>Shoulder washers</t>
  </si>
  <si>
    <t>4567</t>
  </si>
  <si>
    <t>4566</t>
  </si>
  <si>
    <t>Joseph Chiarelli</t>
  </si>
  <si>
    <t>4565</t>
  </si>
  <si>
    <t>Co2 Hose 25FT JIC x JIC</t>
  </si>
  <si>
    <t>Co2 Hose 15FT JIC x JIC</t>
  </si>
  <si>
    <t>CC-CH-10-STD</t>
  </si>
  <si>
    <t>Co2 Hose 10FT JIC x JIC</t>
  </si>
  <si>
    <t>4564</t>
  </si>
  <si>
    <t>Koty Schwerin</t>
  </si>
  <si>
    <t>E-Stop Harness 3" / 76mm Assembly with 3 Pin TE Connector</t>
  </si>
  <si>
    <t>Short 3" / 76mm Emergency Stop Harness with TE Connector</t>
  </si>
  <si>
    <t>ShoStarter</t>
  </si>
  <si>
    <t>4561</t>
  </si>
  <si>
    <t>4560</t>
  </si>
  <si>
    <t>Kwadwo Korang</t>
  </si>
  <si>
    <t>4559</t>
  </si>
  <si>
    <t>Brett Young</t>
  </si>
  <si>
    <t>4563</t>
  </si>
  <si>
    <t>Labor for inspection of Micro Jets Serial# 1221689, 0921769 RMA# 1570</t>
  </si>
  <si>
    <t>4556</t>
  </si>
  <si>
    <t>Kyriakos Zarkadas</t>
  </si>
  <si>
    <t>4555</t>
  </si>
  <si>
    <t>Donald Van Slyke</t>
  </si>
  <si>
    <t>4554</t>
  </si>
  <si>
    <t>Israel Goldenberg</t>
  </si>
  <si>
    <t>4552</t>
  </si>
  <si>
    <t>4551</t>
  </si>
  <si>
    <t>David Miller</t>
  </si>
  <si>
    <t>4550</t>
  </si>
  <si>
    <t>Chirag Gandhi</t>
  </si>
  <si>
    <t>4553</t>
  </si>
  <si>
    <t xml:space="preserve">Repair of DMX Jet </t>
  </si>
  <si>
    <t>NAC3PX-TOP</t>
  </si>
  <si>
    <t>True1 Duplex inlet</t>
  </si>
  <si>
    <t>Pro Jet 110v Valve Assembly</t>
  </si>
  <si>
    <t>8P 4x2 IDC 2.54mm 4" Cable</t>
  </si>
  <si>
    <t>Cable to connect to Main and XLR Board</t>
  </si>
  <si>
    <t>4557</t>
  </si>
  <si>
    <t>Max Poolman</t>
  </si>
  <si>
    <t>4558</t>
  </si>
  <si>
    <t>Co2 Hose 18" (3/8" Male NPT x 1/4" Female NPT)</t>
  </si>
  <si>
    <t>4549</t>
  </si>
  <si>
    <t>Alex Gomez</t>
  </si>
  <si>
    <t>4548</t>
  </si>
  <si>
    <t>Beth Cummings</t>
  </si>
  <si>
    <t>4546</t>
  </si>
  <si>
    <t>Jeremy Kinney</t>
  </si>
  <si>
    <t>4545</t>
  </si>
  <si>
    <t>4547</t>
  </si>
  <si>
    <t>Cori Herbst</t>
  </si>
  <si>
    <t>Warranty Repair of HandHeld MKII Serial #004835</t>
  </si>
  <si>
    <t>4543</t>
  </si>
  <si>
    <t>Kaylee Presnell</t>
  </si>
  <si>
    <t>4539</t>
  </si>
  <si>
    <t>jaime olescyski</t>
  </si>
  <si>
    <t>4538</t>
  </si>
  <si>
    <t>Aleida Perez</t>
  </si>
  <si>
    <t>4542</t>
  </si>
  <si>
    <t xml:space="preserve"> El Monte Union High School District - Arroyo High School</t>
  </si>
  <si>
    <t>Tax: CA Tax (10.25%)</t>
  </si>
  <si>
    <t>4541</t>
  </si>
  <si>
    <t>4544</t>
  </si>
  <si>
    <t>4540</t>
  </si>
  <si>
    <t>John Pitone</t>
  </si>
  <si>
    <t>4536</t>
  </si>
  <si>
    <t>Giovanni Navarrete</t>
  </si>
  <si>
    <t>4535</t>
  </si>
  <si>
    <t>LRAV</t>
  </si>
  <si>
    <t>Co2 Hose 15FT Extension Config (Included)</t>
  </si>
  <si>
    <t>Co2 Hose 50FT Extension Config (Upgrade from included 15FT)</t>
  </si>
  <si>
    <t>5FT CO2 Hose (MQC to FQC) For use with Manifold</t>
  </si>
  <si>
    <t>4537</t>
  </si>
  <si>
    <t>PayPal Processing Fee</t>
  </si>
  <si>
    <t>4534</t>
  </si>
  <si>
    <t>4531</t>
  </si>
  <si>
    <t>4530</t>
  </si>
  <si>
    <t>4529</t>
  </si>
  <si>
    <t>4528</t>
  </si>
  <si>
    <t>KATHLEEN FRANK</t>
  </si>
  <si>
    <t>4527</t>
  </si>
  <si>
    <t>Carleen Salmon</t>
  </si>
  <si>
    <t>4526</t>
  </si>
  <si>
    <t>Robert Hines</t>
  </si>
  <si>
    <t>4525</t>
  </si>
  <si>
    <t>Christian DeArmitt</t>
  </si>
  <si>
    <t>4533</t>
  </si>
  <si>
    <t>4532</t>
  </si>
  <si>
    <t>4524</t>
  </si>
  <si>
    <t>4523</t>
  </si>
  <si>
    <t>Nicholas Orpilla</t>
  </si>
  <si>
    <t>4522</t>
  </si>
  <si>
    <t>Timothy Varacchi</t>
  </si>
  <si>
    <t>4521</t>
  </si>
  <si>
    <t>4520</t>
  </si>
  <si>
    <t>4519</t>
  </si>
  <si>
    <t>4518</t>
  </si>
  <si>
    <t>Debra Liebowitz</t>
  </si>
  <si>
    <t>4517</t>
  </si>
  <si>
    <t>Jonathan Rojas</t>
  </si>
  <si>
    <t>4516</t>
  </si>
  <si>
    <t>4514</t>
  </si>
  <si>
    <t>4515</t>
  </si>
  <si>
    <t>Load Handle 90mm - 1</t>
  </si>
  <si>
    <t>Club Cannon Lift Handle - Aluminum (Black)</t>
  </si>
  <si>
    <t>4513</t>
  </si>
  <si>
    <t>4512</t>
  </si>
  <si>
    <t>4510</t>
  </si>
  <si>
    <t>Jason Wolf</t>
  </si>
  <si>
    <t>4509</t>
  </si>
  <si>
    <t>4508</t>
  </si>
  <si>
    <t>Keaton Lusk</t>
  </si>
  <si>
    <t>4511</t>
  </si>
  <si>
    <t>4506</t>
  </si>
  <si>
    <t>Matt Luckett</t>
  </si>
  <si>
    <t>4505</t>
  </si>
  <si>
    <t>4507</t>
  </si>
  <si>
    <t>Juan Luna</t>
  </si>
  <si>
    <t>4503</t>
  </si>
  <si>
    <t>Darrien Jerman</t>
  </si>
  <si>
    <t>4502</t>
  </si>
  <si>
    <t>4501</t>
  </si>
  <si>
    <t>Steve Goldstein</t>
  </si>
  <si>
    <t>4500</t>
  </si>
  <si>
    <t>Brett Wilson</t>
  </si>
  <si>
    <t>4499</t>
  </si>
  <si>
    <t>Russell Yoskowitz</t>
  </si>
  <si>
    <t>4498</t>
  </si>
  <si>
    <t>4497</t>
  </si>
  <si>
    <t>4504</t>
  </si>
  <si>
    <t>Amped Entertainment</t>
  </si>
  <si>
    <t>4496</t>
  </si>
  <si>
    <t>Ramesh Arora</t>
  </si>
  <si>
    <t>4495</t>
  </si>
  <si>
    <t>4494</t>
  </si>
  <si>
    <t>Brandon Anderson</t>
  </si>
  <si>
    <t>4493</t>
  </si>
  <si>
    <t>Cole Young</t>
  </si>
  <si>
    <t>4492</t>
  </si>
  <si>
    <t>Josh Johnson</t>
  </si>
  <si>
    <t>4491</t>
  </si>
  <si>
    <t>Angus Davis</t>
  </si>
  <si>
    <t>4490</t>
  </si>
  <si>
    <t>4489</t>
  </si>
  <si>
    <t>4488</t>
  </si>
  <si>
    <t>4487</t>
  </si>
  <si>
    <t>Callen Zumach</t>
  </si>
  <si>
    <t>4486</t>
  </si>
  <si>
    <t>Jeff Gaufin Cognitive FX</t>
  </si>
  <si>
    <t>4485</t>
  </si>
  <si>
    <t>Jimmy Rains</t>
  </si>
  <si>
    <t>4482</t>
  </si>
  <si>
    <t>john jimenez</t>
  </si>
  <si>
    <t>4480</t>
  </si>
  <si>
    <t>Fabian Powell-harris</t>
  </si>
  <si>
    <t>4479</t>
  </si>
  <si>
    <t>4484</t>
  </si>
  <si>
    <t>4483</t>
  </si>
  <si>
    <t>PROVIDE CO.,LTD.</t>
  </si>
  <si>
    <t>The Button Encoder Assembly</t>
  </si>
  <si>
    <t>PCB with encoder attached</t>
  </si>
  <si>
    <t>4481</t>
  </si>
  <si>
    <t>4476</t>
  </si>
  <si>
    <t>Juan Reyes</t>
  </si>
  <si>
    <t>4477</t>
  </si>
  <si>
    <t>Co2 Hose 15FT Male to Female Quick Connect (Included)</t>
  </si>
  <si>
    <t>4478</t>
  </si>
  <si>
    <t>24x30 Road Case Insert - Pro Jet</t>
  </si>
  <si>
    <t>24x30 Road Case Insert - Top Tray Insert</t>
  </si>
  <si>
    <t>4474</t>
  </si>
  <si>
    <t>Evelyn Brown</t>
  </si>
  <si>
    <t>4472</t>
  </si>
  <si>
    <t xml:space="preserve">CO2 Tank Tool + Washers </t>
  </si>
  <si>
    <t>4471</t>
  </si>
  <si>
    <t>4470</t>
  </si>
  <si>
    <t>Charlie Christenson</t>
  </si>
  <si>
    <t>4469</t>
  </si>
  <si>
    <t>4468</t>
  </si>
  <si>
    <t>4466</t>
  </si>
  <si>
    <t>Jason Thayil</t>
  </si>
  <si>
    <t>4465</t>
  </si>
  <si>
    <t>Jorge Pulido Ayala</t>
  </si>
  <si>
    <t>4467</t>
  </si>
  <si>
    <t>Emergency Stop with TE Connector</t>
  </si>
  <si>
    <t>4473</t>
  </si>
  <si>
    <t>Repair of The Button - Serial# 31253</t>
  </si>
  <si>
    <t>4475</t>
  </si>
  <si>
    <t>Bulk Discount</t>
  </si>
  <si>
    <t>10% Bulk Order Discou</t>
  </si>
  <si>
    <t>4464</t>
  </si>
  <si>
    <t>Steven Retas</t>
  </si>
  <si>
    <t>4461</t>
  </si>
  <si>
    <t>4460</t>
  </si>
  <si>
    <t>Nick Battaglia</t>
  </si>
  <si>
    <t>4463</t>
  </si>
  <si>
    <t>Michael Green</t>
  </si>
  <si>
    <t>4459</t>
  </si>
  <si>
    <t>Rick Moyer</t>
  </si>
  <si>
    <t>The Button LED PCB</t>
  </si>
  <si>
    <t>The Button LED Button PCB</t>
  </si>
  <si>
    <t>4462</t>
  </si>
  <si>
    <t>Eric Norris</t>
  </si>
  <si>
    <t>4458</t>
  </si>
  <si>
    <t>4456</t>
  </si>
  <si>
    <t>Sean Weaver</t>
  </si>
  <si>
    <t>4455</t>
  </si>
  <si>
    <t>Tristan Rakhan</t>
  </si>
  <si>
    <t>4457</t>
  </si>
  <si>
    <t>Edward Prato</t>
  </si>
  <si>
    <t>The Button Packaging Insert - Top</t>
  </si>
  <si>
    <t>die cut packaging topper for The Button</t>
  </si>
  <si>
    <t>The. Button Packaging Insert -  Bottom</t>
  </si>
  <si>
    <t>die cut packaging bottom for The Button</t>
  </si>
  <si>
    <t>4454</t>
  </si>
  <si>
    <t>philippe Maurais</t>
  </si>
  <si>
    <t>4453</t>
  </si>
  <si>
    <t>Vishav Singh</t>
  </si>
  <si>
    <t>4452</t>
  </si>
  <si>
    <t>Andrew Kinzel</t>
  </si>
  <si>
    <t>4451</t>
  </si>
  <si>
    <t>4450</t>
  </si>
  <si>
    <t>noe garcia lopez</t>
  </si>
  <si>
    <t>4449</t>
  </si>
  <si>
    <t>Gennesis Orellana</t>
  </si>
  <si>
    <t>4448</t>
  </si>
  <si>
    <t>Stephen Cannella</t>
  </si>
  <si>
    <t>4447</t>
  </si>
  <si>
    <t>Adam Shipman</t>
  </si>
  <si>
    <t>4446</t>
  </si>
  <si>
    <t>Dianne Morgan</t>
  </si>
  <si>
    <t>March 2024 Pivot</t>
  </si>
  <si>
    <t>March 2024 Sales by SKU</t>
  </si>
  <si>
    <t>March 2024 Sales by SKU$</t>
  </si>
  <si>
    <t>February 2024</t>
  </si>
  <si>
    <t>4439</t>
  </si>
  <si>
    <t>Conrad Perry</t>
  </si>
  <si>
    <t>4441</t>
  </si>
  <si>
    <t>4443</t>
  </si>
  <si>
    <t>Cleveland Cavaliers</t>
  </si>
  <si>
    <t>4440</t>
  </si>
  <si>
    <t>COJE Management Group</t>
  </si>
  <si>
    <t>4444</t>
  </si>
  <si>
    <t>4442</t>
  </si>
  <si>
    <t>Jason Weldon</t>
  </si>
  <si>
    <t>4445</t>
  </si>
  <si>
    <t>Resort World</t>
  </si>
  <si>
    <t>Maintenance on 4-Zone Controllers</t>
  </si>
  <si>
    <t>4438</t>
  </si>
  <si>
    <t>Michael Greenberg</t>
  </si>
  <si>
    <t>4436</t>
  </si>
  <si>
    <t>4435</t>
  </si>
  <si>
    <t>Corey King</t>
  </si>
  <si>
    <t>4437</t>
  </si>
  <si>
    <t>BBE-TCC</t>
  </si>
  <si>
    <t>4434</t>
  </si>
  <si>
    <t>Barbara Costanzo</t>
  </si>
  <si>
    <t>4433</t>
  </si>
  <si>
    <t>Adam Peterson</t>
  </si>
  <si>
    <t>4432</t>
  </si>
  <si>
    <t>4429</t>
  </si>
  <si>
    <t>Jorge Antonatos</t>
  </si>
  <si>
    <t>4428</t>
  </si>
  <si>
    <t>Jesus Corral</t>
  </si>
  <si>
    <t>4431</t>
  </si>
  <si>
    <t>4430</t>
  </si>
  <si>
    <t>Awakening Events Inc</t>
  </si>
  <si>
    <t>Reprogramming of Quad Jets</t>
  </si>
  <si>
    <t>4427</t>
  </si>
  <si>
    <t>4426</t>
  </si>
  <si>
    <t>Max Victory</t>
  </si>
  <si>
    <t>4423</t>
  </si>
  <si>
    <t>4422</t>
  </si>
  <si>
    <t>4421</t>
  </si>
  <si>
    <t>Jak Klumpp</t>
  </si>
  <si>
    <t>CC-AC-CGANPT-SET</t>
  </si>
  <si>
    <t>CGA-320 to 1/4" NPT adapter with nut.</t>
  </si>
  <si>
    <t>4420</t>
  </si>
  <si>
    <t>4419</t>
  </si>
  <si>
    <t>4425</t>
  </si>
  <si>
    <t>Johnathon Allen</t>
  </si>
  <si>
    <t>Repair of Handheld MKII Serial# 003067</t>
  </si>
  <si>
    <t>4424</t>
  </si>
  <si>
    <t>Joe Romanowski</t>
  </si>
  <si>
    <t>Warranty Repair of Serial# 004855</t>
  </si>
  <si>
    <t>4418</t>
  </si>
  <si>
    <t>Rick HALE</t>
  </si>
  <si>
    <t>4417</t>
  </si>
  <si>
    <t>Devin Moore</t>
  </si>
  <si>
    <t>4416</t>
  </si>
  <si>
    <t>Jonathan Ratter</t>
  </si>
  <si>
    <t>4415</t>
  </si>
  <si>
    <t>JITENDRA PITHADIA</t>
  </si>
  <si>
    <t>4414</t>
  </si>
  <si>
    <t>Shelby Mattingly</t>
  </si>
  <si>
    <t>4413</t>
  </si>
  <si>
    <t>Ale Girardeau Charron</t>
  </si>
  <si>
    <t>4412</t>
  </si>
  <si>
    <t>Jason Dawson</t>
  </si>
  <si>
    <t>4410</t>
  </si>
  <si>
    <t>Cory Stinar</t>
  </si>
  <si>
    <t>4411</t>
  </si>
  <si>
    <t>CC Processing Fee</t>
  </si>
  <si>
    <t>3% Fee for CC Processing Charges</t>
  </si>
  <si>
    <t>4408</t>
  </si>
  <si>
    <t>Jack Algerio</t>
  </si>
  <si>
    <t>4407</t>
  </si>
  <si>
    <t>4406</t>
  </si>
  <si>
    <t>Derek Carter</t>
  </si>
  <si>
    <t>4403</t>
  </si>
  <si>
    <t>Tyler Hetland</t>
  </si>
  <si>
    <t>4402</t>
  </si>
  <si>
    <t>Edward Walsh</t>
  </si>
  <si>
    <t>4401</t>
  </si>
  <si>
    <t>Matthew Corron</t>
  </si>
  <si>
    <t>4405</t>
  </si>
  <si>
    <t>4409</t>
  </si>
  <si>
    <t>Ariel Castillo / Confetti Fog FX</t>
  </si>
  <si>
    <t>CC-F-MFFQC-TEE</t>
  </si>
  <si>
    <t>Male x Female x Female Quick Connect Junction</t>
  </si>
  <si>
    <t>4404</t>
  </si>
  <si>
    <t>4400</t>
  </si>
  <si>
    <t>Sangeen Singh</t>
  </si>
  <si>
    <t>4396</t>
  </si>
  <si>
    <t>Jiten Khatri</t>
  </si>
  <si>
    <t>4394</t>
  </si>
  <si>
    <t>Petrose Keshishyan</t>
  </si>
  <si>
    <t>4399</t>
  </si>
  <si>
    <t>Illuminated Integration</t>
  </si>
  <si>
    <t>4395</t>
  </si>
  <si>
    <t>4398</t>
  </si>
  <si>
    <t>Mete Aslan</t>
  </si>
  <si>
    <t>Warranty Repair RMA# 108357</t>
  </si>
  <si>
    <t>4397</t>
  </si>
  <si>
    <t>4392</t>
  </si>
  <si>
    <t>Timothy Doyle</t>
  </si>
  <si>
    <t>4391</t>
  </si>
  <si>
    <t>4390</t>
  </si>
  <si>
    <t>kirk hill</t>
  </si>
  <si>
    <t>4388</t>
  </si>
  <si>
    <t>Salvatore Carmolingo</t>
  </si>
  <si>
    <t>4393</t>
  </si>
  <si>
    <t>Luis Garcia</t>
  </si>
  <si>
    <t>4389</t>
  </si>
  <si>
    <t>Steve Vanderheyden / Band Ayd Event Group</t>
  </si>
  <si>
    <t>4387</t>
  </si>
  <si>
    <t>4386</t>
  </si>
  <si>
    <t>4385</t>
  </si>
  <si>
    <t>Karol Kadziolka</t>
  </si>
  <si>
    <t>4384</t>
  </si>
  <si>
    <t>Robert Wintle</t>
  </si>
  <si>
    <t>4382</t>
  </si>
  <si>
    <t>4379</t>
  </si>
  <si>
    <t>4378</t>
  </si>
  <si>
    <t>Juan Gaitan</t>
  </si>
  <si>
    <t>4380</t>
  </si>
  <si>
    <t>MagicFX Device updater</t>
  </si>
  <si>
    <t>Used for pushing firmware to products</t>
  </si>
  <si>
    <t>4381</t>
  </si>
  <si>
    <t>4376</t>
  </si>
  <si>
    <t>Zack de Leon</t>
  </si>
  <si>
    <t>4373</t>
  </si>
  <si>
    <t>Chris Fernandez</t>
  </si>
  <si>
    <t>4371</t>
  </si>
  <si>
    <t>Jon Ballog</t>
  </si>
  <si>
    <t>4374</t>
  </si>
  <si>
    <t>Charles Mckinley / Pyro Productions</t>
  </si>
  <si>
    <t>Warranty Repair of Pro Jet Serial# 0322841</t>
  </si>
  <si>
    <t>4375</t>
  </si>
  <si>
    <t>4377</t>
  </si>
  <si>
    <t>Enrique Ortiz</t>
  </si>
  <si>
    <t>4372</t>
  </si>
  <si>
    <t>Videlio HMS</t>
  </si>
  <si>
    <t>Warranty Repair of LED Attachment Serial# 0923019</t>
  </si>
  <si>
    <t>4370</t>
  </si>
  <si>
    <t>Félix Hernandez</t>
  </si>
  <si>
    <t>4369</t>
  </si>
  <si>
    <t>4366</t>
  </si>
  <si>
    <t>Marianne Exbrayat</t>
  </si>
  <si>
    <t>4365</t>
  </si>
  <si>
    <t>4361</t>
  </si>
  <si>
    <t>Ashmal Umetia</t>
  </si>
  <si>
    <t>4360</t>
  </si>
  <si>
    <t>Frank Guertler</t>
  </si>
  <si>
    <t>4367</t>
  </si>
  <si>
    <t>4363</t>
  </si>
  <si>
    <t>4362</t>
  </si>
  <si>
    <t>ZL Production s.r.o.</t>
  </si>
  <si>
    <t>4364</t>
  </si>
  <si>
    <t>Grant Ashling</t>
  </si>
  <si>
    <t>Bulk Order Discount</t>
  </si>
  <si>
    <t>4368</t>
  </si>
  <si>
    <t>4356</t>
  </si>
  <si>
    <t>4355</t>
  </si>
  <si>
    <t>Harjot Uppal</t>
  </si>
  <si>
    <t>4354</t>
  </si>
  <si>
    <t>Drake Doren</t>
  </si>
  <si>
    <t>4353</t>
  </si>
  <si>
    <t>Elby Farrwood</t>
  </si>
  <si>
    <t>4359</t>
  </si>
  <si>
    <t>4358</t>
  </si>
  <si>
    <t>4352</t>
  </si>
  <si>
    <t>Jay Scrivener</t>
  </si>
  <si>
    <t>4350</t>
  </si>
  <si>
    <t>warren monnich</t>
  </si>
  <si>
    <t>4349</t>
  </si>
  <si>
    <t>Melissa Tonery</t>
  </si>
  <si>
    <t>4346</t>
  </si>
  <si>
    <t>4348</t>
  </si>
  <si>
    <t>4351</t>
  </si>
  <si>
    <t>Pro Jet - No Hose</t>
  </si>
  <si>
    <t>4343</t>
  </si>
  <si>
    <t>Andy Jimenez</t>
  </si>
  <si>
    <t>4341</t>
  </si>
  <si>
    <t>4339</t>
  </si>
  <si>
    <t>4338</t>
  </si>
  <si>
    <t>Marisol Padilla</t>
  </si>
  <si>
    <t>4337</t>
  </si>
  <si>
    <t>4342</t>
  </si>
  <si>
    <t>Steven Dobo</t>
  </si>
  <si>
    <t>MFX-MFD-CUST</t>
  </si>
  <si>
    <t>Custom Magic FX Manifold</t>
  </si>
  <si>
    <t>4344</t>
  </si>
  <si>
    <t>Nick Sieffert</t>
  </si>
  <si>
    <t>4345</t>
  </si>
  <si>
    <t>Quad Jet 110v with 5 Pin DMX, JIC Connections - No Hoses</t>
  </si>
  <si>
    <t>Pro Jet - 5 Pin, 110v, JIC in/out - No Hoses</t>
  </si>
  <si>
    <t>4340</t>
  </si>
  <si>
    <t>DJ Event Gear</t>
  </si>
  <si>
    <t>4334</t>
  </si>
  <si>
    <t>Kevin Biechler</t>
  </si>
  <si>
    <t>4336</t>
  </si>
  <si>
    <t>Co2 Hose 15FT Extension Config - Included</t>
  </si>
  <si>
    <t xml:space="preserve">Co2 Hose 100FT Standard Config - Upgrade from 15FT </t>
  </si>
  <si>
    <t>4335</t>
  </si>
  <si>
    <t>8-32 x 3/8" Binding Screw</t>
  </si>
  <si>
    <t>Micro Jet MKII Foot Screw</t>
  </si>
  <si>
    <t>Tact Switch Caps</t>
  </si>
  <si>
    <t>Soft Tact Switch Cap</t>
  </si>
  <si>
    <t>Micro Jet XLR Fasteners</t>
  </si>
  <si>
    <t>4333</t>
  </si>
  <si>
    <t>Josue Sencion</t>
  </si>
  <si>
    <t>4330</t>
  </si>
  <si>
    <t>Alex Allen</t>
  </si>
  <si>
    <t>4329</t>
  </si>
  <si>
    <t>Nathanial Lopes</t>
  </si>
  <si>
    <t>4331</t>
  </si>
  <si>
    <t>4332</t>
  </si>
  <si>
    <t>CGA-320 Nut</t>
  </si>
  <si>
    <t xml:space="preserve"> CC-AC-CGAJIC-SET</t>
  </si>
  <si>
    <t>CGA-320 to JIC adapter with nut.</t>
  </si>
  <si>
    <t>100FT CO2 HOSE - FEMALE JIC #6 x FEMALE JIC #6</t>
  </si>
  <si>
    <t>50FT CO2 HOSE - FEMALE JIC #6 x FEMALE JIC #6</t>
  </si>
  <si>
    <t>35FT CO2 HOSE - 3/8" (BSPP x JIC #6)</t>
  </si>
  <si>
    <t>35FT CO2 HOSE - FEMALE JIC #6 x FEMALE JIC #6</t>
  </si>
  <si>
    <t>25FT CO2 HOSE - FEMALE JIC #6 x FEMALE JIC #6</t>
  </si>
  <si>
    <t>10FT CO2 Hose - JIC  x JIC</t>
  </si>
  <si>
    <t>Cut &amp; Crimp Fee</t>
  </si>
  <si>
    <t>4328</t>
  </si>
  <si>
    <t>4327</t>
  </si>
  <si>
    <t>Deyron Bell</t>
  </si>
  <si>
    <t>4326</t>
  </si>
  <si>
    <t>4325</t>
  </si>
  <si>
    <t>4324</t>
  </si>
  <si>
    <t>4323</t>
  </si>
  <si>
    <t>Russell Waite</t>
  </si>
  <si>
    <t>4322</t>
  </si>
  <si>
    <t>Pro Jet - 5 Pin, 110v, JIC in/out - White</t>
  </si>
  <si>
    <t>LED Attachment for Pro Jet - White</t>
  </si>
  <si>
    <t>24x30 Road Case Insert - LED Attachment</t>
  </si>
  <si>
    <t>4320</t>
  </si>
  <si>
    <t>4319</t>
  </si>
  <si>
    <t>Repair of 4 x DMX Jet MKII PCB, Valve maintenance and cleaning, and testing.</t>
  </si>
  <si>
    <t>1/4"(.250in) 6.3mm 14-16awg Spade Terminal</t>
  </si>
  <si>
    <t>4318</t>
  </si>
  <si>
    <t>4317</t>
  </si>
  <si>
    <t>Thomas Kvamme</t>
  </si>
  <si>
    <t>4316</t>
  </si>
  <si>
    <t>Dylan Dang</t>
  </si>
  <si>
    <t>4315</t>
  </si>
  <si>
    <t>4314</t>
  </si>
  <si>
    <t>george lyristis</t>
  </si>
  <si>
    <t>4313</t>
  </si>
  <si>
    <t>Joshua Gutierrez</t>
  </si>
  <si>
    <t>4312</t>
  </si>
  <si>
    <t>matthew reid</t>
  </si>
  <si>
    <t>4311</t>
  </si>
  <si>
    <t>Hayley Sewell</t>
  </si>
  <si>
    <t>4310</t>
  </si>
  <si>
    <t>Garrett Belschner</t>
  </si>
  <si>
    <t>4307</t>
  </si>
  <si>
    <t>David Lenis</t>
  </si>
  <si>
    <t xml:space="preserve">CO2 Cylinder Link </t>
  </si>
  <si>
    <t>4306</t>
  </si>
  <si>
    <t>Angelo Angela</t>
  </si>
  <si>
    <t>4309</t>
  </si>
  <si>
    <t>4308</t>
  </si>
  <si>
    <t>Valve Top Component</t>
  </si>
  <si>
    <t>Top of 1/4" CO2 Valve</t>
  </si>
  <si>
    <t>February 2024 Pivot</t>
  </si>
  <si>
    <t>February 2024 Sales by SKU (Quantity)</t>
  </si>
  <si>
    <t>February 2024 Sales by SKU$</t>
  </si>
  <si>
    <t>January 2024</t>
  </si>
  <si>
    <t>4305</t>
  </si>
  <si>
    <t>4302</t>
  </si>
  <si>
    <t>Conor Vache</t>
  </si>
  <si>
    <t>4301</t>
  </si>
  <si>
    <t>Scott Howard</t>
  </si>
  <si>
    <t>4300</t>
  </si>
  <si>
    <t>4299</t>
  </si>
  <si>
    <t>brian Robbins</t>
  </si>
  <si>
    <t>4303</t>
  </si>
  <si>
    <t>Joshua Odmark</t>
  </si>
  <si>
    <t>Warranty Repair of The Button #31932</t>
  </si>
  <si>
    <t>4304</t>
  </si>
  <si>
    <t>Replacement DMX Jet</t>
  </si>
  <si>
    <t>4298</t>
  </si>
  <si>
    <t>David Waldo</t>
  </si>
  <si>
    <t>4297</t>
  </si>
  <si>
    <t>Jose Jeovanny Argueta</t>
  </si>
  <si>
    <t>4296</t>
  </si>
  <si>
    <t>4295</t>
  </si>
  <si>
    <t>Stewart Rosenzweig</t>
  </si>
  <si>
    <t>4293</t>
  </si>
  <si>
    <t>Greg Lister</t>
  </si>
  <si>
    <t>4291</t>
  </si>
  <si>
    <t>Ryan Neal</t>
  </si>
  <si>
    <t>4292</t>
  </si>
  <si>
    <t>Poly-Flow</t>
  </si>
  <si>
    <t>Thread Caps</t>
  </si>
  <si>
    <t xml:space="preserve">Thread Protectors </t>
  </si>
  <si>
    <t>4294</t>
  </si>
  <si>
    <t>4289</t>
  </si>
  <si>
    <t>4290</t>
  </si>
  <si>
    <t>Handheld CO2 Cannon MKII - International CO2 fittings, washer &amp; attachment tool.</t>
  </si>
  <si>
    <t>4288</t>
  </si>
  <si>
    <t>Andy Znamenacek</t>
  </si>
  <si>
    <t>4286</t>
  </si>
  <si>
    <t>Douglas Klein</t>
  </si>
  <si>
    <t>4287</t>
  </si>
  <si>
    <t>Freight Insurance Charge</t>
  </si>
  <si>
    <t>4285</t>
  </si>
  <si>
    <t>The Vanguard</t>
  </si>
  <si>
    <t>Micro CO2 Jet MKII - No Hose, install ISO-B quick connects on units</t>
  </si>
  <si>
    <t>4282</t>
  </si>
  <si>
    <t>4281</t>
  </si>
  <si>
    <t>Shivam Patel</t>
  </si>
  <si>
    <t>4280</t>
  </si>
  <si>
    <t>Michael Presley</t>
  </si>
  <si>
    <t>4284</t>
  </si>
  <si>
    <t>4283</t>
  </si>
  <si>
    <t>Insulating Barrel Washer</t>
  </si>
  <si>
    <t>installs under CO2 barrel</t>
  </si>
  <si>
    <t>Shoulder washers for Pro Jet Yoke</t>
  </si>
  <si>
    <t>4277</t>
  </si>
  <si>
    <t>joshua.teare@gmail.com</t>
  </si>
  <si>
    <t>4274</t>
  </si>
  <si>
    <t>4271</t>
  </si>
  <si>
    <t>Jose Montano</t>
  </si>
  <si>
    <t>4270</t>
  </si>
  <si>
    <t>Josmar Lopez</t>
  </si>
  <si>
    <t>4269</t>
  </si>
  <si>
    <t>Trung Nguyen</t>
  </si>
  <si>
    <t>4276</t>
  </si>
  <si>
    <t>RMA #2998 - Hose Repair</t>
  </si>
  <si>
    <t>4273</t>
  </si>
  <si>
    <t>CC-HCCMKII-05-NC</t>
  </si>
  <si>
    <t>Handheld MKII in box with 5ft hose</t>
  </si>
  <si>
    <t>4275</t>
  </si>
  <si>
    <t>4278</t>
  </si>
  <si>
    <t>Reed Landry</t>
  </si>
  <si>
    <t>RMA #10944 - No issues detected with product</t>
  </si>
  <si>
    <t>4279</t>
  </si>
  <si>
    <t>RMA #10944 - No issues found, product performed normally.</t>
  </si>
  <si>
    <t>4267</t>
  </si>
  <si>
    <t>4263</t>
  </si>
  <si>
    <t>4262</t>
  </si>
  <si>
    <t>Michaeljohn Frierson</t>
  </si>
  <si>
    <t>4272</t>
  </si>
  <si>
    <t>4265</t>
  </si>
  <si>
    <t>DMX Controlled Confetti Launcher - Lightly Used</t>
  </si>
  <si>
    <t>4268</t>
  </si>
  <si>
    <t>Kryogenifex</t>
  </si>
  <si>
    <t>4260</t>
  </si>
  <si>
    <t>4259</t>
  </si>
  <si>
    <t>Paul Souza</t>
  </si>
  <si>
    <t>4258</t>
  </si>
  <si>
    <t>Anastasios Dakas</t>
  </si>
  <si>
    <t>Truss clamp for CC2 and Pro Jet with 1/2-13 x 3/4” CS screw</t>
  </si>
  <si>
    <t>4261</t>
  </si>
  <si>
    <t>Rafael Urban</t>
  </si>
  <si>
    <t>Return Shipping from Mexico</t>
  </si>
  <si>
    <t>Repacking Fee</t>
  </si>
  <si>
    <t>4257</t>
  </si>
  <si>
    <t>troy robson</t>
  </si>
  <si>
    <t>4256</t>
  </si>
  <si>
    <t>4255</t>
  </si>
  <si>
    <t>Joshep Rosendo Guevara Rivero</t>
  </si>
  <si>
    <t>4254</t>
  </si>
  <si>
    <t>Alma Delia Rivero Sanchez</t>
  </si>
  <si>
    <t>4253</t>
  </si>
  <si>
    <t>4251</t>
  </si>
  <si>
    <t>Amanda Farrell</t>
  </si>
  <si>
    <t>4252</t>
  </si>
  <si>
    <t>Quad Jet 110v with 5 Pin DMX With Barrels - Demo Units</t>
  </si>
  <si>
    <t>4250</t>
  </si>
  <si>
    <t>6 Way Single Shot Mine Rack</t>
  </si>
  <si>
    <t>6-Way single shot mine rack (max. effect ∅: 100 mm)</t>
  </si>
  <si>
    <t>4248</t>
  </si>
  <si>
    <t>Brian Detri</t>
  </si>
  <si>
    <t>4247</t>
  </si>
  <si>
    <t>4246</t>
  </si>
  <si>
    <t>4249</t>
  </si>
  <si>
    <t>SMG Events</t>
  </si>
  <si>
    <t>4243</t>
  </si>
  <si>
    <t>frederic beausejour beausejour</t>
  </si>
  <si>
    <t>4245</t>
  </si>
  <si>
    <t>Repair of Micro Jet MKII #0921768</t>
  </si>
  <si>
    <t>Repair of The Button #31621 &amp; #31467</t>
  </si>
  <si>
    <t>4244</t>
  </si>
  <si>
    <t>Marc DePetris</t>
  </si>
  <si>
    <t>CC-CH-35-OB</t>
  </si>
  <si>
    <t>CO2 Hose Off-Brand - 35FT CO2 Hose</t>
  </si>
  <si>
    <t>4241</t>
  </si>
  <si>
    <t>4240</t>
  </si>
  <si>
    <t>Solotech U.S. Corporation</t>
  </si>
  <si>
    <t>4242</t>
  </si>
  <si>
    <t>4239</t>
  </si>
  <si>
    <t>Alex De francisco</t>
  </si>
  <si>
    <t>4238</t>
  </si>
  <si>
    <t>Emmanuel Pimentel</t>
  </si>
  <si>
    <t>4236</t>
  </si>
  <si>
    <t>4235</t>
  </si>
  <si>
    <t>4234</t>
  </si>
  <si>
    <t>David Bosko</t>
  </si>
  <si>
    <t>4233</t>
  </si>
  <si>
    <t>Chasen Tedder</t>
  </si>
  <si>
    <t>4232</t>
  </si>
  <si>
    <t>Stanley Jerome Gergle</t>
  </si>
  <si>
    <t>4231</t>
  </si>
  <si>
    <t>Andrew Contreras</t>
  </si>
  <si>
    <t>4228</t>
  </si>
  <si>
    <t>Chris Niswender</t>
  </si>
  <si>
    <t>4227</t>
  </si>
  <si>
    <t>4226</t>
  </si>
  <si>
    <t>Mike Anzaldi</t>
  </si>
  <si>
    <t>4229</t>
  </si>
  <si>
    <t>Michael Zakutansky</t>
  </si>
  <si>
    <t>Warranty Repair of The Button Serial #31914 - RMA #105452</t>
  </si>
  <si>
    <t>4225</t>
  </si>
  <si>
    <t>Replacement Stadium Blaster Internal Hose (Magic FX)</t>
  </si>
  <si>
    <t>4230</t>
  </si>
  <si>
    <t>Zak McClellan</t>
  </si>
  <si>
    <t>Warranty Repair of Handheld MKII Serial #004853 - RMA #106479</t>
  </si>
  <si>
    <t>4223</t>
  </si>
  <si>
    <t>Warranty Repair of Micro Jet MKII Serial #1233642</t>
  </si>
  <si>
    <t>3/8" JIC Male x 1/4" NPT Female 90 Degree Elbow</t>
  </si>
  <si>
    <t>Elbow for Micro Jet Barrel Assembly</t>
  </si>
  <si>
    <t>4224</t>
  </si>
  <si>
    <t>4222</t>
  </si>
  <si>
    <t>Repair of Magic FX Arm Controller Serial #015, #126</t>
  </si>
  <si>
    <t>4220</t>
  </si>
  <si>
    <t>Mitchell Edelson</t>
  </si>
  <si>
    <t>4219</t>
  </si>
  <si>
    <t>4221</t>
  </si>
  <si>
    <t>CC-PROJ-3-110-JIC</t>
  </si>
  <si>
    <t>Pro Jet - 3 Pin, 110v, JIC in/out</t>
  </si>
  <si>
    <t>Co2 Hose 15FT Standard Config - JIC x JIC</t>
  </si>
  <si>
    <t>4218</t>
  </si>
  <si>
    <t>Ashley Lewis</t>
  </si>
  <si>
    <t>4216</t>
  </si>
  <si>
    <t>4214</t>
  </si>
  <si>
    <t>Ashish Patel</t>
  </si>
  <si>
    <t>4213</t>
  </si>
  <si>
    <t>4212</t>
  </si>
  <si>
    <t>Corey Hansen</t>
  </si>
  <si>
    <t>4211</t>
  </si>
  <si>
    <t>Eric Landman</t>
  </si>
  <si>
    <t>4210</t>
  </si>
  <si>
    <t>4215</t>
  </si>
  <si>
    <t>4209</t>
  </si>
  <si>
    <t>Oscar Altamira</t>
  </si>
  <si>
    <t>4207</t>
  </si>
  <si>
    <t>Marnix Stams</t>
  </si>
  <si>
    <t>4206</t>
  </si>
  <si>
    <t>Brett Klug</t>
  </si>
  <si>
    <t>4205</t>
  </si>
  <si>
    <t>Doug Schmitt</t>
  </si>
  <si>
    <t>4204</t>
  </si>
  <si>
    <t>Carlos Rodriguez</t>
  </si>
  <si>
    <t>4203</t>
  </si>
  <si>
    <t>Daniel Halterman</t>
  </si>
  <si>
    <t>4208</t>
  </si>
  <si>
    <t>4202</t>
  </si>
  <si>
    <t>Alexander Yuille</t>
  </si>
  <si>
    <t>4201</t>
  </si>
  <si>
    <t>4200</t>
  </si>
  <si>
    <t>Billy Cooke</t>
  </si>
  <si>
    <t>4197</t>
  </si>
  <si>
    <t>Kyle Radtke</t>
  </si>
  <si>
    <t>4196</t>
  </si>
  <si>
    <t>Adam Crum</t>
  </si>
  <si>
    <t>4199</t>
  </si>
  <si>
    <t>4198</t>
  </si>
  <si>
    <t>CC-STP-5</t>
  </si>
  <si>
    <t>ShoStopper E-Stop with 5 pin DMX</t>
  </si>
  <si>
    <t>4195</t>
  </si>
  <si>
    <t>Santokh Singh</t>
  </si>
  <si>
    <t>4194</t>
  </si>
  <si>
    <t>Calvin Buechler</t>
  </si>
  <si>
    <t>4193</t>
  </si>
  <si>
    <t>jose eduardo nolasco</t>
  </si>
  <si>
    <t>4192</t>
  </si>
  <si>
    <t>4191</t>
  </si>
  <si>
    <t>Roderick Carrier</t>
  </si>
  <si>
    <t>4190</t>
  </si>
  <si>
    <t>4189</t>
  </si>
  <si>
    <t>Antti-Oskari Taskinen</t>
  </si>
  <si>
    <t>4188</t>
  </si>
  <si>
    <t>Chris Johnson</t>
  </si>
  <si>
    <t>January 2024 Sales by Customer</t>
  </si>
  <si>
    <t>January 2024 Sales by SKU (Quantity)</t>
  </si>
  <si>
    <t>January 2024 Sales by SKU$</t>
  </si>
  <si>
    <t>Accessories &amp; Misc. Sales 2024</t>
  </si>
  <si>
    <t>Product</t>
  </si>
  <si>
    <t>Totals:</t>
  </si>
  <si>
    <t>Cylinder Link</t>
  </si>
  <si>
    <t>Tank Splitter</t>
  </si>
  <si>
    <t>Daisy Chain Ad.</t>
  </si>
  <si>
    <t>Hose Extension Ad.</t>
  </si>
  <si>
    <t>Right Angle Ad.</t>
  </si>
  <si>
    <t>CO2 Manifold</t>
  </si>
  <si>
    <t>Man. Adapter</t>
  </si>
  <si>
    <t>FQC</t>
  </si>
  <si>
    <t>MQC</t>
  </si>
  <si>
    <t>CGA FQC</t>
  </si>
  <si>
    <t>CGA MQC</t>
  </si>
  <si>
    <t>CGA JIC</t>
  </si>
  <si>
    <t>CGA NPT</t>
  </si>
  <si>
    <t>CO2 Terminator</t>
  </si>
  <si>
    <t>ROR</t>
  </si>
  <si>
    <t>ROR2</t>
  </si>
  <si>
    <t>Attach Tool</t>
  </si>
  <si>
    <t>Washers</t>
  </si>
  <si>
    <t>OP</t>
  </si>
  <si>
    <t>Mounts</t>
  </si>
  <si>
    <t>Tank Cover - 20</t>
  </si>
  <si>
    <t>Tank Cover - 50</t>
  </si>
  <si>
    <t>Volt View</t>
  </si>
  <si>
    <t>Road Case</t>
  </si>
  <si>
    <t>LED Attachment</t>
  </si>
  <si>
    <t>RC Insert - PJ</t>
  </si>
  <si>
    <t>RC Insert - LED</t>
  </si>
  <si>
    <t>RC Insert - QJ</t>
  </si>
  <si>
    <t>Quantity</t>
  </si>
  <si>
    <t>% of Type</t>
  </si>
  <si>
    <t>Hose Extension Ad</t>
  </si>
  <si>
    <t>Attachment Tool</t>
  </si>
  <si>
    <t>Revenue</t>
  </si>
  <si>
    <t>Minus Shipping</t>
  </si>
  <si>
    <t>Year Totals:</t>
  </si>
  <si>
    <t>% of Acc. Rev.</t>
  </si>
  <si>
    <t>Cost:</t>
  </si>
  <si>
    <t>Avg Price:</t>
  </si>
  <si>
    <t>Net Profit / Pc:</t>
  </si>
  <si>
    <t>Net Profit 2024:</t>
  </si>
  <si>
    <t>Total Profit 2024:</t>
  </si>
  <si>
    <t>Hose Ext. Ad.</t>
  </si>
  <si>
    <t xml:space="preserve">Washers </t>
  </si>
  <si>
    <t>Shipping Charges*</t>
  </si>
  <si>
    <t>Total:</t>
  </si>
  <si>
    <t>Hose Sales 2024</t>
  </si>
  <si>
    <t>Type</t>
  </si>
  <si>
    <t>2FT MFD</t>
  </si>
  <si>
    <t>3.5FT MFD + Ext</t>
  </si>
  <si>
    <t>5FT MFD</t>
  </si>
  <si>
    <t>5FT STD</t>
  </si>
  <si>
    <t>5FT DSY</t>
  </si>
  <si>
    <t>5FT EXT</t>
  </si>
  <si>
    <t>8FT STD</t>
  </si>
  <si>
    <t>8FT DSY</t>
  </si>
  <si>
    <t>8FT EXT</t>
  </si>
  <si>
    <t>15FT STD</t>
  </si>
  <si>
    <t>15FT DSY</t>
  </si>
  <si>
    <t>15FT EXT</t>
  </si>
  <si>
    <t>25FT STD</t>
  </si>
  <si>
    <t>25FT DSY</t>
  </si>
  <si>
    <t>25FT EXT</t>
  </si>
  <si>
    <t>35FT STD</t>
  </si>
  <si>
    <t>35FT DSY</t>
  </si>
  <si>
    <t>35FT EXT</t>
  </si>
  <si>
    <t>50FT STD</t>
  </si>
  <si>
    <t>50FT EXT</t>
  </si>
  <si>
    <t>100FT STD</t>
  </si>
  <si>
    <t>CC-CH-XX</t>
  </si>
  <si>
    <t>% of All Hoses</t>
  </si>
  <si>
    <t>Count</t>
  </si>
  <si>
    <t>% of Type/Length</t>
  </si>
  <si>
    <t>Length % / All</t>
  </si>
  <si>
    <r>
      <rPr>
        <b val="1"/>
        <sz val="13"/>
        <color indexed="8"/>
        <rFont val="Calibri"/>
      </rPr>
      <t>MANIFOLD</t>
    </r>
  </si>
  <si>
    <t>3.5FT MFD</t>
  </si>
  <si>
    <r>
      <rPr>
        <b val="1"/>
        <sz val="13"/>
        <color indexed="8"/>
        <rFont val="Calibri"/>
      </rPr>
      <t>5FT</t>
    </r>
  </si>
  <si>
    <r>
      <rPr>
        <b val="1"/>
        <sz val="13"/>
        <color indexed="8"/>
        <rFont val="Calibri"/>
      </rPr>
      <t>8FT</t>
    </r>
  </si>
  <si>
    <r>
      <rPr>
        <b val="1"/>
        <sz val="13"/>
        <color indexed="8"/>
        <rFont val="Calibri"/>
      </rPr>
      <t>15FT</t>
    </r>
  </si>
  <si>
    <r>
      <rPr>
        <b val="1"/>
        <sz val="13"/>
        <color indexed="8"/>
        <rFont val="Calibri"/>
      </rPr>
      <t>25FT</t>
    </r>
  </si>
  <si>
    <r>
      <rPr>
        <b val="1"/>
        <sz val="13"/>
        <color indexed="8"/>
        <rFont val="Calibri"/>
      </rPr>
      <t>35FT</t>
    </r>
  </si>
  <si>
    <r>
      <rPr>
        <b val="1"/>
        <sz val="13"/>
        <color indexed="8"/>
        <rFont val="Calibri"/>
      </rPr>
      <t>50FT</t>
    </r>
  </si>
  <si>
    <t>100FT</t>
  </si>
  <si>
    <t>% of Revenue</t>
  </si>
  <si>
    <t>Net Profit / Hose:</t>
  </si>
  <si>
    <t>% of Profit</t>
  </si>
  <si>
    <t>Controller Sales 2024</t>
  </si>
  <si>
    <t>Controller Type:</t>
  </si>
  <si>
    <t>The Button</t>
  </si>
  <si>
    <t>ShoMaster</t>
  </si>
  <si>
    <t>The Button:</t>
  </si>
  <si>
    <t>ShoStarter:</t>
  </si>
  <si>
    <t>ShoMaster:</t>
  </si>
  <si>
    <t>Net Profit / Cntlr:</t>
  </si>
  <si>
    <t>Jet Sales 2024</t>
  </si>
  <si>
    <t>Jet Type:</t>
  </si>
  <si>
    <t>Total Sold:</t>
  </si>
  <si>
    <t>Quad Jet</t>
  </si>
  <si>
    <t>Micro Jet MKII</t>
  </si>
  <si>
    <t>Cryo Clamp</t>
  </si>
  <si>
    <t>Pro Jet:</t>
  </si>
  <si>
    <t>Quad Jet:</t>
  </si>
  <si>
    <t>Micro Jet MKII:</t>
  </si>
  <si>
    <t>Cryo Clamp:</t>
  </si>
  <si>
    <t>Total Revenue:</t>
  </si>
  <si>
    <t>Net Profit / Jet:</t>
  </si>
  <si>
    <t>Handheld Sales 2024</t>
  </si>
  <si>
    <t>Handheld Type</t>
  </si>
  <si>
    <t>8FT - No Case</t>
  </si>
  <si>
    <t>8FT - Travel Case</t>
  </si>
  <si>
    <t>15FT - No Case</t>
  </si>
  <si>
    <t>15FT Travel Case</t>
  </si>
  <si>
    <t>Net Profit / HH:</t>
  </si>
  <si>
    <t>December 2023</t>
  </si>
  <si>
    <t>4187</t>
  </si>
  <si>
    <t>Jackson Maki</t>
  </si>
  <si>
    <t>4186</t>
  </si>
  <si>
    <t>CHARLENE REED</t>
  </si>
  <si>
    <t>4185</t>
  </si>
  <si>
    <t>4184</t>
  </si>
  <si>
    <t>Jordan Lillis</t>
  </si>
  <si>
    <t>4183</t>
  </si>
  <si>
    <t>4182</t>
  </si>
  <si>
    <t>Rico Iavarone</t>
  </si>
  <si>
    <t>4181</t>
  </si>
  <si>
    <t>Sven Richter</t>
  </si>
  <si>
    <t>4177</t>
  </si>
  <si>
    <t>Franklin Munoz</t>
  </si>
  <si>
    <t>4176</t>
  </si>
  <si>
    <t>4178</t>
  </si>
  <si>
    <t>4179</t>
  </si>
  <si>
    <t>ShoStopper E-Stop with 5 pin DMX (Demo Unit)</t>
  </si>
  <si>
    <t>4180</t>
  </si>
  <si>
    <t>Magic FX</t>
  </si>
  <si>
    <t>4175</t>
  </si>
  <si>
    <t>Yury Desiderio</t>
  </si>
  <si>
    <t>4174</t>
  </si>
  <si>
    <t>David Perez</t>
  </si>
  <si>
    <t>4173</t>
  </si>
  <si>
    <t>Ardy Rahbarpoor</t>
  </si>
  <si>
    <t>4172</t>
  </si>
  <si>
    <t>Edwin Bermudez</t>
  </si>
  <si>
    <t>4171</t>
  </si>
  <si>
    <t>4170</t>
  </si>
  <si>
    <t>Joey Castillo</t>
  </si>
  <si>
    <t>4169</t>
  </si>
  <si>
    <t>Eduardo Alves</t>
  </si>
  <si>
    <t>4168</t>
  </si>
  <si>
    <t>4167</t>
  </si>
  <si>
    <t>4166</t>
  </si>
  <si>
    <t>Paulo Miyamoto</t>
  </si>
  <si>
    <t>4165</t>
  </si>
  <si>
    <t>Michael Darby</t>
  </si>
  <si>
    <t>4163</t>
  </si>
  <si>
    <t>Zcibeiro Medina</t>
  </si>
  <si>
    <t>4162</t>
  </si>
  <si>
    <t>4164</t>
  </si>
  <si>
    <t>Slowfall Confetti Rectangles (Black)</t>
  </si>
  <si>
    <t>Confetti - 1KG</t>
  </si>
  <si>
    <t>CC-S-GLD-M</t>
  </si>
  <si>
    <t>Streamers - Gold Mylar</t>
  </si>
  <si>
    <t>CC-S-SIL-M</t>
  </si>
  <si>
    <t>Streamers - Silver Mylar</t>
  </si>
  <si>
    <t>4160</t>
  </si>
  <si>
    <t>ALLEN DAVIDOO</t>
  </si>
  <si>
    <t>4161</t>
  </si>
  <si>
    <t>Slowfall Confetti Rectangles (Red)</t>
  </si>
  <si>
    <t>MagicFX Confetti - 1KG</t>
  </si>
  <si>
    <t>Slowfall Confetti Rectangles (Light Blue)</t>
  </si>
  <si>
    <t>4158</t>
  </si>
  <si>
    <t>Kevin Moore</t>
  </si>
  <si>
    <t>4155</t>
  </si>
  <si>
    <t>4151</t>
  </si>
  <si>
    <t>Ralph Bracamonte</t>
  </si>
  <si>
    <t>4150</t>
  </si>
  <si>
    <t>4148</t>
  </si>
  <si>
    <t>4153</t>
  </si>
  <si>
    <t>4154</t>
  </si>
  <si>
    <t>4152</t>
  </si>
  <si>
    <t>4149</t>
  </si>
  <si>
    <t>4159</t>
  </si>
  <si>
    <t>4156</t>
  </si>
  <si>
    <t>Johannes Kastner</t>
  </si>
  <si>
    <t>4157</t>
  </si>
  <si>
    <t>4147</t>
  </si>
  <si>
    <t>Christopher Bartosik</t>
  </si>
  <si>
    <t>4144</t>
  </si>
  <si>
    <t>Kevin Farrell</t>
  </si>
  <si>
    <t>4143</t>
  </si>
  <si>
    <t>Colin McNair</t>
  </si>
  <si>
    <t>4142</t>
  </si>
  <si>
    <t>Robert Kirby</t>
  </si>
  <si>
    <t>4145</t>
  </si>
  <si>
    <t>Marko Marjanovic</t>
  </si>
  <si>
    <t>1/4" NPT Female x 3/8" JIC Male</t>
  </si>
  <si>
    <t>Adapter for NPT to JIC male, CGA-320 JIC adapter</t>
  </si>
  <si>
    <t xml:space="preserve">CGA-320 Male x 1/4" NPT Male </t>
  </si>
  <si>
    <t>Adapter for CGA-320 to 1/4" NPT Male</t>
  </si>
  <si>
    <t>4146</t>
  </si>
  <si>
    <t>4140</t>
  </si>
  <si>
    <t>MTI Sound, Lighting, and Staging</t>
  </si>
  <si>
    <t>4141</t>
  </si>
  <si>
    <t>Warranty Repair of Quad Jet (x2) and LED Attachment (x2)</t>
  </si>
  <si>
    <t>LED Attachment Driver PCB</t>
  </si>
  <si>
    <t>Replaced on Serial #0923025</t>
  </si>
  <si>
    <t>LED Attachment Main PCB</t>
  </si>
  <si>
    <t>Quad Jet Main PCB - 1</t>
  </si>
  <si>
    <t>Quad Jet Main PCB</t>
  </si>
  <si>
    <t>4139</t>
  </si>
  <si>
    <t>4136</t>
  </si>
  <si>
    <t>Jameson Rodgers</t>
  </si>
  <si>
    <t>4132</t>
  </si>
  <si>
    <t>4131</t>
  </si>
  <si>
    <t>4130</t>
  </si>
  <si>
    <t>john csordas jr</t>
  </si>
  <si>
    <t>4129</t>
  </si>
  <si>
    <t>FELIPE ROMERO</t>
  </si>
  <si>
    <t>4133</t>
  </si>
  <si>
    <t>Scott Gray</t>
  </si>
  <si>
    <t xml:space="preserve">Repair and maintenance for 2x DMX Jet </t>
  </si>
  <si>
    <t>N70 Series Neoprene Rubber Washers 2 1/4" OD X 9/16" ID X 1/8" Thickness - 70 Duro Shore A</t>
  </si>
  <si>
    <t>4134</t>
  </si>
  <si>
    <t>Warranty Repair of Buttons - #31430 &amp; #31425</t>
  </si>
  <si>
    <t>Flat Button Interior Overlay Raw</t>
  </si>
  <si>
    <t>White Plastic overlay before Laser Cut</t>
  </si>
  <si>
    <t>The Button Display Lens - 2</t>
  </si>
  <si>
    <t>Dark Grey Acrylic Lens for 7-Segment Display</t>
  </si>
  <si>
    <t>4137</t>
  </si>
  <si>
    <t>Freaklife Inc</t>
  </si>
  <si>
    <t>Warranty Repair For 2x Quad Jet</t>
  </si>
  <si>
    <t>FS-QJ-01 - 002</t>
  </si>
  <si>
    <t>Quad Jet elbow. 1/4" NPT to 3/8 BSPP</t>
  </si>
  <si>
    <t>4128</t>
  </si>
  <si>
    <t>thomas Perniciaro</t>
  </si>
  <si>
    <t>4127</t>
  </si>
  <si>
    <t>Christopher Schulte</t>
  </si>
  <si>
    <t>4126</t>
  </si>
  <si>
    <t>alex mazuryn</t>
  </si>
  <si>
    <t>4124</t>
  </si>
  <si>
    <t>Brett Mccutcheon</t>
  </si>
  <si>
    <t>4122</t>
  </si>
  <si>
    <t>Saul Demis</t>
  </si>
  <si>
    <t>4123</t>
  </si>
  <si>
    <t>DMX Jet MKII Main PCB</t>
  </si>
  <si>
    <t>Co2 Hose 25FT Standard Config - Upgrade from 15FT</t>
  </si>
  <si>
    <t>4125</t>
  </si>
  <si>
    <t>4121</t>
  </si>
  <si>
    <t>Gabriel Garzaro</t>
  </si>
  <si>
    <t>4119</t>
  </si>
  <si>
    <t>4118</t>
  </si>
  <si>
    <t>4117</t>
  </si>
  <si>
    <t>Rolando Aspuru</t>
  </si>
  <si>
    <t>4120</t>
  </si>
  <si>
    <t>4116</t>
  </si>
  <si>
    <t>4114</t>
  </si>
  <si>
    <t>Michael Garmon</t>
  </si>
  <si>
    <t>4112</t>
  </si>
  <si>
    <t>4111</t>
  </si>
  <si>
    <t>MICHAEL KING</t>
  </si>
  <si>
    <t>4109</t>
  </si>
  <si>
    <t>Ronny Fernández</t>
  </si>
  <si>
    <t>4110</t>
  </si>
  <si>
    <t>4115</t>
  </si>
  <si>
    <t>4107</t>
  </si>
  <si>
    <t>4105</t>
  </si>
  <si>
    <t>Richard Gagliardi</t>
  </si>
  <si>
    <t>4106</t>
  </si>
  <si>
    <t>Maintenance, filter removal, cleaning and solenoid replacement for DMX Jets ($100 / hour labor)</t>
  </si>
  <si>
    <t>4108</t>
  </si>
  <si>
    <t>Matthew Lucyk</t>
  </si>
  <si>
    <t>Repair of Big Red Button - Replaced PCB</t>
  </si>
  <si>
    <t>4104</t>
  </si>
  <si>
    <t>Jacob Ross</t>
  </si>
  <si>
    <t>4101</t>
  </si>
  <si>
    <t>4103</t>
  </si>
  <si>
    <t>4100</t>
  </si>
  <si>
    <t>25FT CO2 Hose - 1/4" ID (JIC #6 x JIC #6)</t>
  </si>
  <si>
    <t>1/2" KZE 4-10 / ISO-A 7241 Male Quick Connect</t>
  </si>
  <si>
    <t>1/2" KZE 4-10 / ISO-A 7241 Male Quick Connect Fitting</t>
  </si>
  <si>
    <t>1/2" NPT Male x 3/8" JIC Male</t>
  </si>
  <si>
    <t>Male Connector for 1/2" NPT to 3/8" JIC</t>
  </si>
  <si>
    <t>4102</t>
  </si>
  <si>
    <t>4099</t>
  </si>
  <si>
    <t>4097</t>
  </si>
  <si>
    <t>4096</t>
  </si>
  <si>
    <t>4098</t>
  </si>
  <si>
    <t>Sandor Pap</t>
  </si>
  <si>
    <t>Warranty Repair for The Button Serial #31601
RMA #93389</t>
  </si>
  <si>
    <t>4095</t>
  </si>
  <si>
    <t>ffp effects inc c/o Third Encore</t>
  </si>
  <si>
    <t>4091</t>
  </si>
  <si>
    <t>Misty Knievel</t>
  </si>
  <si>
    <t>4090</t>
  </si>
  <si>
    <t>4093</t>
  </si>
  <si>
    <t>4094</t>
  </si>
  <si>
    <t>4092</t>
  </si>
  <si>
    <t>4088</t>
  </si>
  <si>
    <t>Michelle Cheng</t>
  </si>
  <si>
    <t>4086</t>
  </si>
  <si>
    <t>4089</t>
  </si>
  <si>
    <t>Co2 Hose 50FT Standard Config - Upgrade from 15FT</t>
  </si>
  <si>
    <t>Co2 Hose 100FT Standard Config - Upgrade from 15FT</t>
  </si>
  <si>
    <t>4087</t>
  </si>
  <si>
    <t>Co2 Hose 75FT Standard</t>
  </si>
  <si>
    <t>4085</t>
  </si>
  <si>
    <t>Pro Jet Main PCB</t>
  </si>
  <si>
    <t>5-pin DMX Passthrough PCB</t>
  </si>
  <si>
    <t>4084</t>
  </si>
  <si>
    <t>Washington A Espinoza</t>
  </si>
  <si>
    <t>4083</t>
  </si>
  <si>
    <t>Kedd Jones</t>
  </si>
  <si>
    <t>4082</t>
  </si>
  <si>
    <t>4080</t>
  </si>
  <si>
    <t>Carlos Randeles</t>
  </si>
  <si>
    <t>4079</t>
  </si>
  <si>
    <t>4078</t>
  </si>
  <si>
    <t>Sabrina Natale</t>
  </si>
  <si>
    <t>4077</t>
  </si>
  <si>
    <t>Carson Howe</t>
  </si>
  <si>
    <t>4076</t>
  </si>
  <si>
    <t>Joseph Bennett</t>
  </si>
  <si>
    <t>4075</t>
  </si>
  <si>
    <t>FRANK MURABITO</t>
  </si>
  <si>
    <t>4074</t>
  </si>
  <si>
    <t>4081</t>
  </si>
  <si>
    <t>4073</t>
  </si>
  <si>
    <t>Christopher Lopez</t>
  </si>
  <si>
    <t>4072</t>
  </si>
  <si>
    <t>4071</t>
  </si>
  <si>
    <t>4070</t>
  </si>
  <si>
    <t>Julio Urbina</t>
  </si>
  <si>
    <t>4069</t>
  </si>
  <si>
    <t>Romin Zandi (Personal)</t>
  </si>
  <si>
    <t>4068</t>
  </si>
  <si>
    <t>tony@envisionproav.com</t>
  </si>
  <si>
    <t>4067</t>
  </si>
  <si>
    <t>Ericson R Cesar</t>
  </si>
  <si>
    <t>4066</t>
  </si>
  <si>
    <t>4065</t>
  </si>
  <si>
    <t>Fred Flores</t>
  </si>
  <si>
    <t>4063</t>
  </si>
  <si>
    <t>Francis miguel Guerrero</t>
  </si>
  <si>
    <t>4062</t>
  </si>
  <si>
    <t>Yoshi Haddad</t>
  </si>
  <si>
    <t>4061</t>
  </si>
  <si>
    <t>4064</t>
  </si>
  <si>
    <t>Ralph Abbenante</t>
  </si>
  <si>
    <t>Repair of Handheld MKII - replaced handle and body. 
Fully Testing - Passed</t>
  </si>
  <si>
    <t>4060</t>
  </si>
  <si>
    <t>Reprogramming of Micro Jets, hose repair</t>
  </si>
  <si>
    <t>SF8 Rubber Foot</t>
  </si>
  <si>
    <t>Micro Jet MKII Rubber Foot</t>
  </si>
  <si>
    <t>4059</t>
  </si>
  <si>
    <t>Rick Olsen</t>
  </si>
  <si>
    <t>Repair of Quad Jet w/ stuck valve</t>
  </si>
  <si>
    <t>3/8" MQC Quick Connect Fitting BSPP thread</t>
  </si>
  <si>
    <t>4058</t>
  </si>
  <si>
    <t>December 2023 Sales by Customer</t>
  </si>
  <si>
    <t>December 2023 Sales by SKU (Quantity)</t>
  </si>
  <si>
    <t>December 2023 Sales by SKU$</t>
  </si>
  <si>
    <t>November 2023</t>
  </si>
  <si>
    <t>4057</t>
  </si>
  <si>
    <t>4054</t>
  </si>
  <si>
    <t>4053</t>
  </si>
  <si>
    <t>4051</t>
  </si>
  <si>
    <t>Ryan Riechman</t>
  </si>
  <si>
    <t>4055</t>
  </si>
  <si>
    <t>Quad Jet 110v with 3 Pin DMX With Barrels (Converted)</t>
  </si>
  <si>
    <t>CC-SM-3</t>
  </si>
  <si>
    <t>Shomaster Controller with 3 pin DMX</t>
  </si>
  <si>
    <t>4056</t>
  </si>
  <si>
    <t>4052</t>
  </si>
  <si>
    <t>Coco Bongo</t>
  </si>
  <si>
    <t>Pro Jet Main PCB - 1</t>
  </si>
  <si>
    <t>Pro Jet Power Harness</t>
  </si>
  <si>
    <t>Pro Jet Power In Harness</t>
  </si>
  <si>
    <t>4048</t>
  </si>
  <si>
    <t>4047</t>
  </si>
  <si>
    <t>Michael Lutz</t>
  </si>
  <si>
    <t>4046</t>
  </si>
  <si>
    <t>Wellington Pinheiro</t>
  </si>
  <si>
    <t>4045</t>
  </si>
  <si>
    <t>4050</t>
  </si>
  <si>
    <t>Shomaster XLR Harness</t>
  </si>
  <si>
    <t>TE Harness to connect Main Board to XLR Board</t>
  </si>
  <si>
    <t>Shomaster XLR PCB Assembly</t>
  </si>
  <si>
    <t>PCB with XLR Connectors attached</t>
  </si>
  <si>
    <t>4049</t>
  </si>
  <si>
    <t>4043</t>
  </si>
  <si>
    <t>4042</t>
  </si>
  <si>
    <t>Anthony Hall</t>
  </si>
  <si>
    <t>4041</t>
  </si>
  <si>
    <t>4039</t>
  </si>
  <si>
    <t>Jason van Miert</t>
  </si>
  <si>
    <t>4040</t>
  </si>
  <si>
    <t>4044</t>
  </si>
  <si>
    <t>4038</t>
  </si>
  <si>
    <t>Matthew Butler</t>
  </si>
  <si>
    <t>4037</t>
  </si>
  <si>
    <t>Eric Deren</t>
  </si>
  <si>
    <t>4036</t>
  </si>
  <si>
    <t>Stanley Miese</t>
  </si>
  <si>
    <t>4035</t>
  </si>
  <si>
    <t>4034</t>
  </si>
  <si>
    <t>Tim Varacchi</t>
  </si>
  <si>
    <t>4033</t>
  </si>
  <si>
    <t>4032</t>
  </si>
  <si>
    <t>Justin Eleuterio</t>
  </si>
  <si>
    <t>4031</t>
  </si>
  <si>
    <t>Rosemary Rodriguez</t>
  </si>
  <si>
    <t>4027</t>
  </si>
  <si>
    <t>Sara Wetenhall</t>
  </si>
  <si>
    <t>4024</t>
  </si>
  <si>
    <t>Jessica Peters</t>
  </si>
  <si>
    <t>4030</t>
  </si>
  <si>
    <t>Out of Warranty Repair - The Button - RMA# 10019</t>
  </si>
  <si>
    <t>Flat Button Interior Housing</t>
  </si>
  <si>
    <t>White Internal Housing for PCB Mounting w/ laser cut hole for PCB header</t>
  </si>
  <si>
    <t>4026</t>
  </si>
  <si>
    <t>Jason Goetz</t>
  </si>
  <si>
    <t>Co2 Hose 25FT Standard UPGRADE</t>
  </si>
  <si>
    <t>4029</t>
  </si>
  <si>
    <t>4028</t>
  </si>
  <si>
    <t>MFX-AC-SBRV</t>
  </si>
  <si>
    <t>Magic FX Stadium Blaster Replacement Valve</t>
  </si>
  <si>
    <t xml:space="preserve">Magic FX Stadium Blaster Replacement Valve - Warranty </t>
  </si>
  <si>
    <t>4025</t>
  </si>
  <si>
    <t>4023</t>
  </si>
  <si>
    <t>4021</t>
  </si>
  <si>
    <t>Justin Ellis</t>
  </si>
  <si>
    <t>4022</t>
  </si>
  <si>
    <t>4019</t>
  </si>
  <si>
    <t>Sarah Pier</t>
  </si>
  <si>
    <t>4017</t>
  </si>
  <si>
    <t>4016</t>
  </si>
  <si>
    <t>Jose Gutierrez</t>
  </si>
  <si>
    <t>4013</t>
  </si>
  <si>
    <t>4012</t>
  </si>
  <si>
    <t>Jesus Ramirez</t>
  </si>
  <si>
    <t>4011</t>
  </si>
  <si>
    <t>Ryan Slocum</t>
  </si>
  <si>
    <t>4014</t>
  </si>
  <si>
    <t>Quad Jet 110v, 5 Pin DMX, JIC - Custom Rainproof Design, Black (No Hose)</t>
  </si>
  <si>
    <t>Quad Jet 110v, 5 Pin DMX, JIC - Custom Rainproof Design, White (No Hose)</t>
  </si>
  <si>
    <t>4018</t>
  </si>
  <si>
    <t>4015</t>
  </si>
  <si>
    <t>Cris Medina</t>
  </si>
  <si>
    <t>Warranty Repair of The Button - Serial# 31622</t>
  </si>
  <si>
    <t>The Button Main Harness</t>
  </si>
  <si>
    <t>Button, Encoder, and LED Harness</t>
  </si>
  <si>
    <t>4020</t>
  </si>
  <si>
    <t>4010</t>
  </si>
  <si>
    <t>jean casas</t>
  </si>
  <si>
    <t>4009</t>
  </si>
  <si>
    <t>Ashlee Holmes</t>
  </si>
  <si>
    <t>4008</t>
  </si>
  <si>
    <t>Rogelio Picen Sanchez</t>
  </si>
  <si>
    <t>4001</t>
  </si>
  <si>
    <t>Enrique Sanchez</t>
  </si>
  <si>
    <t>4000</t>
  </si>
  <si>
    <t>Shawn McDonough</t>
  </si>
  <si>
    <t>3999</t>
  </si>
  <si>
    <t>Jacob Gunzel</t>
  </si>
  <si>
    <t>4003</t>
  </si>
  <si>
    <t>Stephen Bland</t>
  </si>
  <si>
    <t>Co2 Hose 4FT Standard</t>
  </si>
  <si>
    <t>4006</t>
  </si>
  <si>
    <t xml:space="preserve">Replacement of Quad Jet Touch Screen
</t>
  </si>
  <si>
    <t>3998</t>
  </si>
  <si>
    <t>TODD ROBERTS</t>
  </si>
  <si>
    <t>3995</t>
  </si>
  <si>
    <t>John Almonte</t>
  </si>
  <si>
    <t>3996</t>
  </si>
  <si>
    <t>Blaso Pyrotechnics</t>
  </si>
  <si>
    <t>3994</t>
  </si>
  <si>
    <t>3993</t>
  </si>
  <si>
    <t>Andrew Rogers</t>
  </si>
  <si>
    <t>3992</t>
  </si>
  <si>
    <t>Mehdi Qaini</t>
  </si>
  <si>
    <t>3991</t>
  </si>
  <si>
    <t>Alexander Haje</t>
  </si>
  <si>
    <t>3990</t>
  </si>
  <si>
    <t>christopher Brown</t>
  </si>
  <si>
    <t>3989</t>
  </si>
  <si>
    <t>Owen Steiner</t>
  </si>
  <si>
    <t>3988</t>
  </si>
  <si>
    <t>NELSON PINEDA</t>
  </si>
  <si>
    <t>3987</t>
  </si>
  <si>
    <t>3986</t>
  </si>
  <si>
    <t>Idean Fooladi</t>
  </si>
  <si>
    <t>3985</t>
  </si>
  <si>
    <t>3984</t>
  </si>
  <si>
    <t>3983</t>
  </si>
  <si>
    <t>Alexandre Laverdure</t>
  </si>
  <si>
    <t>3982</t>
  </si>
  <si>
    <t>Gene Raffel</t>
  </si>
  <si>
    <t>3981</t>
  </si>
  <si>
    <t>Summer Kim</t>
  </si>
  <si>
    <t>3980</t>
  </si>
  <si>
    <t>Delia Sánchez Arce</t>
  </si>
  <si>
    <t>3979</t>
  </si>
  <si>
    <t>Eric Stanton</t>
  </si>
  <si>
    <t>3978</t>
  </si>
  <si>
    <t>Neel Desai</t>
  </si>
  <si>
    <t>3977</t>
  </si>
  <si>
    <t>3976</t>
  </si>
  <si>
    <t>Ramon Cruz</t>
  </si>
  <si>
    <t>3972</t>
  </si>
  <si>
    <t>Kice Akkawi</t>
  </si>
  <si>
    <t>3971</t>
  </si>
  <si>
    <t>Manuel Magin</t>
  </si>
  <si>
    <t>3970</t>
  </si>
  <si>
    <t>Jamie Phong</t>
  </si>
  <si>
    <t>CC-CH-50-STD-1/4</t>
  </si>
  <si>
    <t>1/4" Co2 Hose 50FT Standard Config</t>
  </si>
  <si>
    <t>3974</t>
  </si>
  <si>
    <t>Warranty Repair for The Button RMA#29543</t>
  </si>
  <si>
    <t>3973</t>
  </si>
  <si>
    <t>Jason Houser</t>
  </si>
  <si>
    <t>Warranty Repair for Button RMA# 69229</t>
  </si>
  <si>
    <t>3975</t>
  </si>
  <si>
    <t>Bobby Ferguson</t>
  </si>
  <si>
    <t>Reprogrammed Micro Jet MKII #0921845, Tested MKI #1219549 W/O Issue</t>
  </si>
  <si>
    <t>3684</t>
  </si>
  <si>
    <t>Credit for Returned Fittings + $50 Survey Credit</t>
  </si>
  <si>
    <t>3969</t>
  </si>
  <si>
    <t>Tito Agbayani</t>
  </si>
  <si>
    <t>3968</t>
  </si>
  <si>
    <t>Randy Valdez</t>
  </si>
  <si>
    <t>3967</t>
  </si>
  <si>
    <t>3965</t>
  </si>
  <si>
    <t>Trevor Donovan</t>
  </si>
  <si>
    <t>3963</t>
  </si>
  <si>
    <t>Rana Jchaj</t>
  </si>
  <si>
    <t>3962</t>
  </si>
  <si>
    <t>Alexander Waelde</t>
  </si>
  <si>
    <t>3964</t>
  </si>
  <si>
    <t>3966</t>
  </si>
  <si>
    <t>3959</t>
  </si>
  <si>
    <t>Marcus Schloss</t>
  </si>
  <si>
    <t>3958</t>
  </si>
  <si>
    <t>3957</t>
  </si>
  <si>
    <t>Martin Eichert</t>
  </si>
  <si>
    <t>3956</t>
  </si>
  <si>
    <t>benjamin hebert</t>
  </si>
  <si>
    <t>3955</t>
  </si>
  <si>
    <t>Kimberly Feliberti</t>
  </si>
  <si>
    <t>3960</t>
  </si>
  <si>
    <t>Overnight Shipping Upgrade</t>
  </si>
  <si>
    <t>3961</t>
  </si>
  <si>
    <t>3953</t>
  </si>
  <si>
    <t>3952</t>
  </si>
  <si>
    <t>Fayyaz Khimani</t>
  </si>
  <si>
    <t>3951</t>
  </si>
  <si>
    <t>3954</t>
  </si>
  <si>
    <t>Eric Gussin</t>
  </si>
  <si>
    <t>Warranty Repair for The Button. Reconnected IDC cable and restored DMX function, secured with LET.</t>
  </si>
  <si>
    <t>3949</t>
  </si>
  <si>
    <t>3948</t>
  </si>
  <si>
    <t>Adam Stipe</t>
  </si>
  <si>
    <t>3946</t>
  </si>
  <si>
    <t>3945</t>
  </si>
  <si>
    <t>Adrian Del Busso</t>
  </si>
  <si>
    <t>3942</t>
  </si>
  <si>
    <t>Tabitha Oneilll</t>
  </si>
  <si>
    <t>3941</t>
  </si>
  <si>
    <t>John Chimento</t>
  </si>
  <si>
    <t>3940</t>
  </si>
  <si>
    <t>RJM Entertainment</t>
  </si>
  <si>
    <t>3939</t>
  </si>
  <si>
    <t>Survey Credit</t>
  </si>
  <si>
    <t xml:space="preserve">Completed Customer Survey </t>
  </si>
  <si>
    <t>3947</t>
  </si>
  <si>
    <t>3938</t>
  </si>
  <si>
    <t>3937</t>
  </si>
  <si>
    <t>Petr Burian</t>
  </si>
  <si>
    <t>3936</t>
  </si>
  <si>
    <t>Matthew Gonzalez</t>
  </si>
  <si>
    <t>3935</t>
  </si>
  <si>
    <t>Tim Warren</t>
  </si>
  <si>
    <t>3934</t>
  </si>
  <si>
    <t>Courtney Wright</t>
  </si>
  <si>
    <t>3933</t>
  </si>
  <si>
    <t>3930</t>
  </si>
  <si>
    <t>3932</t>
  </si>
  <si>
    <t>Jet Trade-In Credit</t>
  </si>
  <si>
    <t xml:space="preserve">Trade-in credit for </t>
  </si>
  <si>
    <t>3931</t>
  </si>
  <si>
    <t>3926</t>
  </si>
  <si>
    <t>Walid Douban</t>
  </si>
  <si>
    <t>3925</t>
  </si>
  <si>
    <t>Ronny Fernandez</t>
  </si>
  <si>
    <t>3924</t>
  </si>
  <si>
    <t>Shay Peri</t>
  </si>
  <si>
    <t>3923</t>
  </si>
  <si>
    <t>3922</t>
  </si>
  <si>
    <t>Ruben Rodriguez</t>
  </si>
  <si>
    <t>3927</t>
  </si>
  <si>
    <t>3929</t>
  </si>
  <si>
    <t>3928</t>
  </si>
  <si>
    <t>November 2023 Sales by Customer</t>
  </si>
  <si>
    <t>November 2023 Sales by SKU (Quantity)</t>
  </si>
  <si>
    <t>November 2023 Sales by SKU$</t>
  </si>
  <si>
    <t>October 2023</t>
  </si>
  <si>
    <t>3921</t>
  </si>
  <si>
    <t>Travis Case</t>
  </si>
  <si>
    <t>3918</t>
  </si>
  <si>
    <t>Alma Delia Rivero Sánchez</t>
  </si>
  <si>
    <t>3920</t>
  </si>
  <si>
    <t>Warranty Repair of LED Attachments</t>
  </si>
  <si>
    <t>LED Attachment Sponge</t>
  </si>
  <si>
    <t>Tubular Sponge</t>
  </si>
  <si>
    <t>3919</t>
  </si>
  <si>
    <t>Warranty Repair of Key Switch and Replacement of Cover Plate</t>
  </si>
  <si>
    <t>3917</t>
  </si>
  <si>
    <t>Jabari Johnson</t>
  </si>
  <si>
    <t>3916</t>
  </si>
  <si>
    <t>3913</t>
  </si>
  <si>
    <t>Nate Lopes</t>
  </si>
  <si>
    <t>3912</t>
  </si>
  <si>
    <t>3910</t>
  </si>
  <si>
    <t>Andrew Gritsiuk</t>
  </si>
  <si>
    <t>3909</t>
  </si>
  <si>
    <t>Kush Bhargava</t>
  </si>
  <si>
    <t>3908</t>
  </si>
  <si>
    <t>Fadi Alchi</t>
  </si>
  <si>
    <t>3914</t>
  </si>
  <si>
    <t>3915</t>
  </si>
  <si>
    <t>David Ortiz</t>
  </si>
  <si>
    <t>Warranty Repair for Pro Jet DMX Inlet</t>
  </si>
  <si>
    <t>3911</t>
  </si>
  <si>
    <t>Warranty Repair for Handheld MKII - RMA# 3727</t>
  </si>
  <si>
    <t>3907</t>
  </si>
  <si>
    <t>Cristian Baca Perez</t>
  </si>
  <si>
    <t>3906</t>
  </si>
  <si>
    <t>3905</t>
  </si>
  <si>
    <t>ABDUL MAJID</t>
  </si>
  <si>
    <t>3904</t>
  </si>
  <si>
    <t>3903</t>
  </si>
  <si>
    <t>Chandler Crolley</t>
  </si>
  <si>
    <t>3902</t>
  </si>
  <si>
    <t>David Hernandez villegas</t>
  </si>
  <si>
    <t>3901</t>
  </si>
  <si>
    <t>Ken Cleary</t>
  </si>
  <si>
    <t>3899</t>
  </si>
  <si>
    <t>Adam Pawlick</t>
  </si>
  <si>
    <t>3897</t>
  </si>
  <si>
    <t>Luis Arcia</t>
  </si>
  <si>
    <t>3896</t>
  </si>
  <si>
    <t>CC-CH-50-DSY</t>
  </si>
  <si>
    <t>Co2 Hose 50FT Daisy Chain</t>
  </si>
  <si>
    <t>3900</t>
  </si>
  <si>
    <t>MagicFX Replacement Keys</t>
  </si>
  <si>
    <t>ARM Controller key (set of 2)</t>
  </si>
  <si>
    <t>3898</t>
  </si>
  <si>
    <t xml:space="preserve">Warranty RMA# 3570 </t>
  </si>
  <si>
    <t>3894</t>
  </si>
  <si>
    <t>Dylan Tafel</t>
  </si>
  <si>
    <t>3893</t>
  </si>
  <si>
    <t>Sarah Puerini</t>
  </si>
  <si>
    <t>3892</t>
  </si>
  <si>
    <t>jason hadjoglou</t>
  </si>
  <si>
    <t>3889</t>
  </si>
  <si>
    <t>Christopher Prasad</t>
  </si>
  <si>
    <t>3888</t>
  </si>
  <si>
    <t>Ernie Valdez</t>
  </si>
  <si>
    <t>3887</t>
  </si>
  <si>
    <t>Shelley Heward</t>
  </si>
  <si>
    <t>3886</t>
  </si>
  <si>
    <t>cleo cortina</t>
  </si>
  <si>
    <t>3895</t>
  </si>
  <si>
    <t>Andrea Lopez</t>
  </si>
  <si>
    <t>3891</t>
  </si>
  <si>
    <t>1/4" NPT Male x 3/8" JIC Male</t>
  </si>
  <si>
    <t>Adapter for NPT to JIC male 2404-06-04</t>
  </si>
  <si>
    <t>1/4” NPT Male x 3/8” JIC Female</t>
  </si>
  <si>
    <t>3890</t>
  </si>
  <si>
    <t>JIC Tee 6600-06-06-06</t>
  </si>
  <si>
    <t xml:space="preserve">Male x Male x Female </t>
  </si>
  <si>
    <t>3885</t>
  </si>
  <si>
    <t>Jorge Mejia</t>
  </si>
  <si>
    <t>3884</t>
  </si>
  <si>
    <t>Austin Bever</t>
  </si>
  <si>
    <t>3883</t>
  </si>
  <si>
    <t>In Jung</t>
  </si>
  <si>
    <t>3882</t>
  </si>
  <si>
    <t>Chris Curto</t>
  </si>
  <si>
    <t>3881</t>
  </si>
  <si>
    <t>Michael Suponitsky</t>
  </si>
  <si>
    <t>3880</t>
  </si>
  <si>
    <t>3879</t>
  </si>
  <si>
    <t>Odalis America Baizano Hernandez</t>
  </si>
  <si>
    <t>3878</t>
  </si>
  <si>
    <t>3876</t>
  </si>
  <si>
    <t>Chris Logan</t>
  </si>
  <si>
    <t>3874</t>
  </si>
  <si>
    <t>Darrick Myers</t>
  </si>
  <si>
    <t>3873</t>
  </si>
  <si>
    <t>Alexis Melrose</t>
  </si>
  <si>
    <t>3877</t>
  </si>
  <si>
    <t>3875</t>
  </si>
  <si>
    <t>3872</t>
  </si>
  <si>
    <t>3871</t>
  </si>
  <si>
    <t>Kyle Faucett</t>
  </si>
  <si>
    <t>3869</t>
  </si>
  <si>
    <t>Alex Uzhca</t>
  </si>
  <si>
    <t>3868</t>
  </si>
  <si>
    <t>Bryan Maldonado</t>
  </si>
  <si>
    <t>3867</t>
  </si>
  <si>
    <t>Derek Dobbins</t>
  </si>
  <si>
    <t>3866</t>
  </si>
  <si>
    <t>3870</t>
  </si>
  <si>
    <t>Repair of Pro Jets - Replaced Quick Connect Fittings
#0823277
#0823273</t>
  </si>
  <si>
    <t>3/8" BSPP Male x 3/8" NPT Male Adapter</t>
  </si>
  <si>
    <t>9007-06-06 Pro Jet CO2-T Adapter with bonding washer</t>
  </si>
  <si>
    <t>3/8" Male Quick Connect ISO-A x 3/8" Female NPT</t>
  </si>
  <si>
    <t>3865</t>
  </si>
  <si>
    <t>3864</t>
  </si>
  <si>
    <t>Hakim Muhammad</t>
  </si>
  <si>
    <t>3863</t>
  </si>
  <si>
    <t>Ken Cellupica</t>
  </si>
  <si>
    <t>3862</t>
  </si>
  <si>
    <t>3861</t>
  </si>
  <si>
    <t>Rolando Colmenares</t>
  </si>
  <si>
    <t>3860</t>
  </si>
  <si>
    <t>Tomas Libich</t>
  </si>
  <si>
    <t>3859</t>
  </si>
  <si>
    <t>3858</t>
  </si>
  <si>
    <t>Rohit Sodhi</t>
  </si>
  <si>
    <t>3855</t>
  </si>
  <si>
    <t>Anna Gachovska</t>
  </si>
  <si>
    <t>3854</t>
  </si>
  <si>
    <t>Jason Elgersma</t>
  </si>
  <si>
    <t>3853</t>
  </si>
  <si>
    <t>3851</t>
  </si>
  <si>
    <t>James Batty</t>
  </si>
  <si>
    <t>3850</t>
  </si>
  <si>
    <t>MARCO DE VITA</t>
  </si>
  <si>
    <t>3849</t>
  </si>
  <si>
    <t>3848</t>
  </si>
  <si>
    <t>Jeff Barnhart</t>
  </si>
  <si>
    <t>3847</t>
  </si>
  <si>
    <t>Joe Arbeely</t>
  </si>
  <si>
    <t>3846</t>
  </si>
  <si>
    <t>Angel Morales</t>
  </si>
  <si>
    <t>3852</t>
  </si>
  <si>
    <t>3857</t>
  </si>
  <si>
    <t>Paul Walker</t>
  </si>
  <si>
    <t>3856</t>
  </si>
  <si>
    <t>3845</t>
  </si>
  <si>
    <t>joe sleiman</t>
  </si>
  <si>
    <t>3843</t>
  </si>
  <si>
    <t>3842</t>
  </si>
  <si>
    <t>Abhishek Shah</t>
  </si>
  <si>
    <t>3841</t>
  </si>
  <si>
    <t>3840</t>
  </si>
  <si>
    <t>Payam Arvin</t>
  </si>
  <si>
    <t>3839</t>
  </si>
  <si>
    <t>Efrain Martinez</t>
  </si>
  <si>
    <t>3838</t>
  </si>
  <si>
    <t>3844</t>
  </si>
  <si>
    <t>3837</t>
  </si>
  <si>
    <t>3836</t>
  </si>
  <si>
    <t>kyle mintz</t>
  </si>
  <si>
    <t>3835</t>
  </si>
  <si>
    <t>Carol Schlemmer</t>
  </si>
  <si>
    <t>3833</t>
  </si>
  <si>
    <t>3832</t>
  </si>
  <si>
    <t>Lee Myers</t>
  </si>
  <si>
    <t>3834</t>
  </si>
  <si>
    <t>3831</t>
  </si>
  <si>
    <t>Marian Aragon</t>
  </si>
  <si>
    <t>3830</t>
  </si>
  <si>
    <t>Doug Mackie</t>
  </si>
  <si>
    <t>3828</t>
  </si>
  <si>
    <t>Matthew Winter</t>
  </si>
  <si>
    <t>3826</t>
  </si>
  <si>
    <t>Jose L Angeles</t>
  </si>
  <si>
    <t>3825</t>
  </si>
  <si>
    <t>3824</t>
  </si>
  <si>
    <t>Amandeep Singh</t>
  </si>
  <si>
    <t>3827</t>
  </si>
  <si>
    <t>LED Attachment for DMX Jet, DMX Jet MKII, and Pro Jet - DEMO</t>
  </si>
  <si>
    <t>3822</t>
  </si>
  <si>
    <t>David Oriz</t>
  </si>
  <si>
    <t>3821</t>
  </si>
  <si>
    <t>Oscar Guardado</t>
  </si>
  <si>
    <t>3820</t>
  </si>
  <si>
    <t>Tim Hanian</t>
  </si>
  <si>
    <t>3823</t>
  </si>
  <si>
    <t>3819</t>
  </si>
  <si>
    <t>Jacob Kelly</t>
  </si>
  <si>
    <t>3818</t>
  </si>
  <si>
    <t>Daniel Luczak</t>
  </si>
  <si>
    <t>3817</t>
  </si>
  <si>
    <t>Daniel Vazquez</t>
  </si>
  <si>
    <t>3816</t>
  </si>
  <si>
    <t>Angel Delarosa</t>
  </si>
  <si>
    <t>3814</t>
  </si>
  <si>
    <t>Lance Wieland</t>
  </si>
  <si>
    <t>3815</t>
  </si>
  <si>
    <t>3813</t>
  </si>
  <si>
    <t>Micheanggello Rojo</t>
  </si>
  <si>
    <t>3811</t>
  </si>
  <si>
    <t>Kyle Nadeau</t>
  </si>
  <si>
    <t>3810</t>
  </si>
  <si>
    <t>Meghan Antoinetti</t>
  </si>
  <si>
    <t>3807</t>
  </si>
  <si>
    <t>Hinda Phagura</t>
  </si>
  <si>
    <t>3808</t>
  </si>
  <si>
    <t>3812</t>
  </si>
  <si>
    <t>10-32 x 1 1/4" Socket head cap screw (steel / black oxide)</t>
  </si>
  <si>
    <t>Cryo Clamp valve fastening screw</t>
  </si>
  <si>
    <t>Bulk 13A Power Cable</t>
  </si>
  <si>
    <t>Bulk 16/3 16AWG 3-Conductor SJTOW Power Cable 13A</t>
  </si>
  <si>
    <t>3809</t>
  </si>
  <si>
    <t>CC-PROJ-5-220-JIC</t>
  </si>
  <si>
    <t>Pro Jet - 5 Pin, 220v, JIC in/out</t>
  </si>
  <si>
    <t>3806</t>
  </si>
  <si>
    <t>Dougarius Harness</t>
  </si>
  <si>
    <t>3805</t>
  </si>
  <si>
    <t>Brent Coleman</t>
  </si>
  <si>
    <t>3803</t>
  </si>
  <si>
    <t>Nathan Murray</t>
  </si>
  <si>
    <t>3801</t>
  </si>
  <si>
    <t>Miguel Valle</t>
  </si>
  <si>
    <t>3800</t>
  </si>
  <si>
    <t>DJ Encore</t>
  </si>
  <si>
    <t>3804</t>
  </si>
  <si>
    <t>3802</t>
  </si>
  <si>
    <t>3799</t>
  </si>
  <si>
    <t>Christopher Allard</t>
  </si>
  <si>
    <t>3798</t>
  </si>
  <si>
    <t>Pranav Ojha</t>
  </si>
  <si>
    <t>3796</t>
  </si>
  <si>
    <t>david von blohn</t>
  </si>
  <si>
    <t>3795</t>
  </si>
  <si>
    <t>Orlando Libreros</t>
  </si>
  <si>
    <t>3793</t>
  </si>
  <si>
    <t>PHIL VOLLARO</t>
  </si>
  <si>
    <t>3792</t>
  </si>
  <si>
    <t>Sam Johnson</t>
  </si>
  <si>
    <t>3791</t>
  </si>
  <si>
    <t>Bryan Rivas</t>
  </si>
  <si>
    <t>3794</t>
  </si>
  <si>
    <t>3797</t>
  </si>
  <si>
    <t>LED Attachment for DMX Jet, DMX Jet MKII, and Pro Jet. - RETROFIT 3 PIN CONNECTORS</t>
  </si>
  <si>
    <t>3790</t>
  </si>
  <si>
    <t>James Jobe</t>
  </si>
  <si>
    <t>3788</t>
  </si>
  <si>
    <t>erica rangel</t>
  </si>
  <si>
    <t>3787</t>
  </si>
  <si>
    <t>3784</t>
  </si>
  <si>
    <t>Austin Buntz</t>
  </si>
  <si>
    <t>3786</t>
  </si>
  <si>
    <t>3783</t>
  </si>
  <si>
    <t>3789</t>
  </si>
  <si>
    <t>Warranty / T&amp;M - Button Repair</t>
  </si>
  <si>
    <t>3785</t>
  </si>
  <si>
    <t xml:space="preserve">Shijiazhuang Topa Trading Co.,Ltd  </t>
  </si>
  <si>
    <t>3781</t>
  </si>
  <si>
    <t>miguel hernandez</t>
  </si>
  <si>
    <t>3780</t>
  </si>
  <si>
    <t>Andy Wilkinson</t>
  </si>
  <si>
    <t>3782</t>
  </si>
  <si>
    <t>3779</t>
  </si>
  <si>
    <t>Chad Ellis</t>
  </si>
  <si>
    <t>3778</t>
  </si>
  <si>
    <t>Zarren Nebel</t>
  </si>
  <si>
    <t>3777</t>
  </si>
  <si>
    <t>Michael Kennedy</t>
  </si>
  <si>
    <t>3776</t>
  </si>
  <si>
    <t>Jared Mowdy</t>
  </si>
  <si>
    <t>3775</t>
  </si>
  <si>
    <t>Joseph Gonzalez</t>
  </si>
  <si>
    <t>3774</t>
  </si>
  <si>
    <t>Simon Mesber</t>
  </si>
  <si>
    <t>3773</t>
  </si>
  <si>
    <t>William Cummings</t>
  </si>
  <si>
    <t>3771</t>
  </si>
  <si>
    <t>Jack Pumphrey</t>
  </si>
  <si>
    <t>3765</t>
  </si>
  <si>
    <t>Antonio Montes</t>
  </si>
  <si>
    <t>4138</t>
  </si>
  <si>
    <t>3767</t>
  </si>
  <si>
    <t>3769</t>
  </si>
  <si>
    <t>3772</t>
  </si>
  <si>
    <t>5FT CO2 Hose - 1/4" ID (JIC #6 x JIC #6)</t>
  </si>
  <si>
    <t>3766</t>
  </si>
  <si>
    <t>3768</t>
  </si>
  <si>
    <t>15FT CO2 Hose - 3/8" NPT Male Swivel x JIC</t>
  </si>
  <si>
    <t>15FT CO2 Hose - 3/8" NPT Male Swivel x JIC #6 female</t>
  </si>
  <si>
    <t>3770</t>
  </si>
  <si>
    <t>Hector Liendo</t>
  </si>
  <si>
    <t>3764</t>
  </si>
  <si>
    <t>Alexis Peterson</t>
  </si>
  <si>
    <t>3762</t>
  </si>
  <si>
    <t>Max Lauerman</t>
  </si>
  <si>
    <t>3761</t>
  </si>
  <si>
    <t>walter murphy</t>
  </si>
  <si>
    <t>3760</t>
  </si>
  <si>
    <t>Michael Garten</t>
  </si>
  <si>
    <t>3758</t>
  </si>
  <si>
    <t>Scott Terranova</t>
  </si>
  <si>
    <t>3756</t>
  </si>
  <si>
    <t>Cade Schwartz</t>
  </si>
  <si>
    <t>3755</t>
  </si>
  <si>
    <t>Andres Pupo</t>
  </si>
  <si>
    <t>3754</t>
  </si>
  <si>
    <t>Christian Perez</t>
  </si>
  <si>
    <t>3753</t>
  </si>
  <si>
    <t>3759</t>
  </si>
  <si>
    <t>Deep South Productions</t>
  </si>
  <si>
    <t>Attempted to replicate leaking QC fitting without success</t>
  </si>
  <si>
    <t>3757</t>
  </si>
  <si>
    <t>Flat Button Interior Overlay Machined - 2</t>
  </si>
  <si>
    <t>Plastic overlay with window for display.</t>
  </si>
  <si>
    <t>3752</t>
  </si>
  <si>
    <t>Mario Hernandez</t>
  </si>
  <si>
    <t>3751</t>
  </si>
  <si>
    <t>3750</t>
  </si>
  <si>
    <t>Ryan McGinnis</t>
  </si>
  <si>
    <t>3749</t>
  </si>
  <si>
    <t>Brian Cole</t>
  </si>
  <si>
    <t>3748</t>
  </si>
  <si>
    <t>3747</t>
  </si>
  <si>
    <t>Vicente Fernandes</t>
  </si>
  <si>
    <t>October 2023 Sales by Customer</t>
  </si>
  <si>
    <t>October 2023 Sales by SKU (Quantity)</t>
  </si>
  <si>
    <t>October 2023 Sales by SKU$</t>
  </si>
  <si>
    <t>September 2023</t>
  </si>
  <si>
    <t>3746</t>
  </si>
  <si>
    <t>Marc Nicosia</t>
  </si>
  <si>
    <t>3744</t>
  </si>
  <si>
    <t>Damian Polan</t>
  </si>
  <si>
    <t>3738</t>
  </si>
  <si>
    <t>Nathaniel Olson</t>
  </si>
  <si>
    <t>3734</t>
  </si>
  <si>
    <t>Rowan Voigt</t>
  </si>
  <si>
    <t>3733</t>
  </si>
  <si>
    <t>3732</t>
  </si>
  <si>
    <t>3743</t>
  </si>
  <si>
    <t>Jordan Harper</t>
  </si>
  <si>
    <t>25FT CO2 Hose - 3/8" NPT Male Swivel x JIC</t>
  </si>
  <si>
    <t>25FT CO2 Hose - 3/8" NPT Male Swivel x JIC #6 female</t>
  </si>
  <si>
    <t>3740</t>
  </si>
  <si>
    <t>3741</t>
  </si>
  <si>
    <t>3737</t>
  </si>
  <si>
    <t>3745</t>
  </si>
  <si>
    <t>ShoStarter - with custom firmware for removing voltage detection on 220v Pro Jets</t>
  </si>
  <si>
    <t>3735</t>
  </si>
  <si>
    <t>35FT CO2 Hose - 3/8" NPT Male Swivel x JIC</t>
  </si>
  <si>
    <t>35FT CO2 Hose - 3/8" NPT Male Swivel x JIC #6 female</t>
  </si>
  <si>
    <t>3742</t>
  </si>
  <si>
    <t>3731</t>
  </si>
  <si>
    <t>Levi Ries</t>
  </si>
  <si>
    <t>3728</t>
  </si>
  <si>
    <t>3727</t>
  </si>
  <si>
    <t>3726</t>
  </si>
  <si>
    <t>Gustavo Montes</t>
  </si>
  <si>
    <t>3729</t>
  </si>
  <si>
    <t>3730</t>
  </si>
  <si>
    <t>#5 - Daisy Chain Adapter</t>
  </si>
  <si>
    <t>3724</t>
  </si>
  <si>
    <t>Cory Moretz</t>
  </si>
  <si>
    <t>3722</t>
  </si>
  <si>
    <t>MAURICE WALTON</t>
  </si>
  <si>
    <t>3721</t>
  </si>
  <si>
    <t>Ajay Singh</t>
  </si>
  <si>
    <t>3720</t>
  </si>
  <si>
    <t>Amar Gill</t>
  </si>
  <si>
    <t>3719</t>
  </si>
  <si>
    <t>Alec Roeser</t>
  </si>
  <si>
    <t>3725</t>
  </si>
  <si>
    <t>CC-AC-LPR</t>
  </si>
  <si>
    <t>20-Way Single Shot Rack, Low</t>
  </si>
  <si>
    <t>CC-AC-HPR</t>
  </si>
  <si>
    <t>20-Way Single Shot, High</t>
  </si>
  <si>
    <t>3723</t>
  </si>
  <si>
    <t>3718</t>
  </si>
  <si>
    <t>Alexis Rubio</t>
  </si>
  <si>
    <t>3717</t>
  </si>
  <si>
    <t>Danny Welch</t>
  </si>
  <si>
    <t>3716</t>
  </si>
  <si>
    <t>Blaine Nabors</t>
  </si>
  <si>
    <t>3713</t>
  </si>
  <si>
    <t>Marlon Almonte</t>
  </si>
  <si>
    <t>Hose Adapters - #2 – Hose Extension Adapter</t>
  </si>
  <si>
    <t>CO2 Tank Tool + Washers - Yes - add tool and washers +$15.00</t>
  </si>
  <si>
    <t>3712</t>
  </si>
  <si>
    <t>3711</t>
  </si>
  <si>
    <t>Melissa Adrouny</t>
  </si>
  <si>
    <t>3710</t>
  </si>
  <si>
    <t>3714</t>
  </si>
  <si>
    <t>3715</t>
  </si>
  <si>
    <t>Webb City Junior High</t>
  </si>
  <si>
    <t>3708</t>
  </si>
  <si>
    <t>3707</t>
  </si>
  <si>
    <t>Kevin McCrea</t>
  </si>
  <si>
    <t>3706</t>
  </si>
  <si>
    <t>Dilan Soriano</t>
  </si>
  <si>
    <t>3704</t>
  </si>
  <si>
    <t>3703</t>
  </si>
  <si>
    <t>3701</t>
  </si>
  <si>
    <t>Merlix Ventura</t>
  </si>
  <si>
    <t>3699</t>
  </si>
  <si>
    <t>Matthew Taylor</t>
  </si>
  <si>
    <t>3698</t>
  </si>
  <si>
    <t>3697</t>
  </si>
  <si>
    <t>Adam Tetrault</t>
  </si>
  <si>
    <t>3700</t>
  </si>
  <si>
    <t>3702</t>
  </si>
  <si>
    <t>LED Attachment order pack. True1 &amp; DMX Jumper + Eye bolt</t>
  </si>
  <si>
    <t>3705</t>
  </si>
  <si>
    <t>Justin Jenkins</t>
  </si>
  <si>
    <t>3709</t>
  </si>
  <si>
    <t>Nate Nelson</t>
  </si>
  <si>
    <t>Repair of Cryo Controller and Big Red Button Key/Lock Mech.</t>
  </si>
  <si>
    <t>3696</t>
  </si>
  <si>
    <t>Elyas Kefela</t>
  </si>
  <si>
    <t>3694</t>
  </si>
  <si>
    <t>Neil Carlberg</t>
  </si>
  <si>
    <t>3693</t>
  </si>
  <si>
    <t>3692</t>
  </si>
  <si>
    <t>Nikolas Hernandez</t>
  </si>
  <si>
    <t>3691</t>
  </si>
  <si>
    <t>John Kaldis</t>
  </si>
  <si>
    <t>3695</t>
  </si>
  <si>
    <t>3688</t>
  </si>
  <si>
    <t>Charbel Wakim</t>
  </si>
  <si>
    <t>3686</t>
  </si>
  <si>
    <t>Darren Van Delden</t>
  </si>
  <si>
    <t>3685</t>
  </si>
  <si>
    <t>3683</t>
  </si>
  <si>
    <t>Wyatt Troyer</t>
  </si>
  <si>
    <t>3680</t>
  </si>
  <si>
    <t>David Abisalih</t>
  </si>
  <si>
    <t>3682</t>
  </si>
  <si>
    <t>3681</t>
  </si>
  <si>
    <t>3687</t>
  </si>
  <si>
    <t>3689</t>
  </si>
  <si>
    <t>Co2 Hose 35FT Standard Config (Upgrade fee, No CGA)</t>
  </si>
  <si>
    <t>Co2 Hose 50FT Standard Config (Upgrade fee, No CGA)</t>
  </si>
  <si>
    <t>Micro Jet Barrel with Right Angle</t>
  </si>
  <si>
    <t>3690</t>
  </si>
  <si>
    <t>Micro CO2 Jet MKII (JIC #6 male in and out / No barrel assembly)</t>
  </si>
  <si>
    <t>3.5FT CO2 HOSE - JIC X JIC 3.5FT CO2 HOSE - FEMALE JIC #6 X FEMALE JIC #6</t>
  </si>
  <si>
    <t>3.5FT CO2 HOSE - JIC X JIC</t>
  </si>
  <si>
    <t>3679</t>
  </si>
  <si>
    <t>Anthony Baldwin</t>
  </si>
  <si>
    <t>Hose Adapters - #3 – CO2 Output Terminator</t>
  </si>
  <si>
    <t>3678</t>
  </si>
  <si>
    <t>Sara Navis</t>
  </si>
  <si>
    <t>3677</t>
  </si>
  <si>
    <t>Jordan Mendelson</t>
  </si>
  <si>
    <t>3676</t>
  </si>
  <si>
    <t>3674</t>
  </si>
  <si>
    <t>3672</t>
  </si>
  <si>
    <t>3670</t>
  </si>
  <si>
    <t>Cody Wall</t>
  </si>
  <si>
    <t>3675</t>
  </si>
  <si>
    <t>cc-temp-cvr</t>
  </si>
  <si>
    <t>Image Engineering Jet Covers</t>
  </si>
  <si>
    <t>3673</t>
  </si>
  <si>
    <t>Jeff Meuzelaar / Pinnacle Productions</t>
  </si>
  <si>
    <t>3669</t>
  </si>
  <si>
    <t>Slowfall Confetti Rectangles (Purple)</t>
  </si>
  <si>
    <t>Slowfall Confetti Rectangles (White)</t>
  </si>
  <si>
    <t>3667</t>
  </si>
  <si>
    <t>3666</t>
  </si>
  <si>
    <t>Patrick OBrien</t>
  </si>
  <si>
    <t>3663</t>
  </si>
  <si>
    <t>RICH RAMIREZ</t>
  </si>
  <si>
    <t>3662</t>
  </si>
  <si>
    <t>Jonathan Wood</t>
  </si>
  <si>
    <t>3661</t>
  </si>
  <si>
    <t>Nima Navidi</t>
  </si>
  <si>
    <t>3660</t>
  </si>
  <si>
    <t>Renier Canabate</t>
  </si>
  <si>
    <t>3665</t>
  </si>
  <si>
    <t>Neutrik PowerCON True1 Cords - 6FT, Included</t>
  </si>
  <si>
    <t>3659</t>
  </si>
  <si>
    <t>3656</t>
  </si>
  <si>
    <t>Raymond Mcgrath</t>
  </si>
  <si>
    <t>3653</t>
  </si>
  <si>
    <t>James Hall</t>
  </si>
  <si>
    <t>3652</t>
  </si>
  <si>
    <t>Bryan Streeter</t>
  </si>
  <si>
    <t>CC-NPTC-06-DSY</t>
  </si>
  <si>
    <t>Neutrik Powercon True1 Cord 06FT Daisy Chain</t>
  </si>
  <si>
    <t>CC-NPTC-35-DSY</t>
  </si>
  <si>
    <t>Neutrik Powercon True1 Cord 35FT Daisy Chain</t>
  </si>
  <si>
    <t>3654</t>
  </si>
  <si>
    <t>3655</t>
  </si>
  <si>
    <t>3657</t>
  </si>
  <si>
    <t>3651</t>
  </si>
  <si>
    <t>Joseph Davis</t>
  </si>
  <si>
    <t>3650</t>
  </si>
  <si>
    <t>3649</t>
  </si>
  <si>
    <t>3648</t>
  </si>
  <si>
    <t>Glen Myatt</t>
  </si>
  <si>
    <t>3647</t>
  </si>
  <si>
    <t>3646</t>
  </si>
  <si>
    <t>Trevor Bluth</t>
  </si>
  <si>
    <t>3644</t>
  </si>
  <si>
    <t>Kenneth Kucharski</t>
  </si>
  <si>
    <t>3643</t>
  </si>
  <si>
    <t>3641</t>
  </si>
  <si>
    <t>Lauren Paquet</t>
  </si>
  <si>
    <t>3640</t>
  </si>
  <si>
    <t>Carmen Lewis</t>
  </si>
  <si>
    <t>3638</t>
  </si>
  <si>
    <t>Sunny Mann</t>
  </si>
  <si>
    <t>3636</t>
  </si>
  <si>
    <t>3635</t>
  </si>
  <si>
    <t>Dan Man</t>
  </si>
  <si>
    <t>3642</t>
  </si>
  <si>
    <t>3639</t>
  </si>
  <si>
    <t>TE 3-640426-3</t>
  </si>
  <si>
    <t>3 Pin 18awg Connector 3.96mm</t>
  </si>
  <si>
    <t>TE 640550-3</t>
  </si>
  <si>
    <t>Dust Cap for 3-640440-3 2.54mm</t>
  </si>
  <si>
    <t>3637</t>
  </si>
  <si>
    <t>CineBox Productions</t>
  </si>
  <si>
    <t>3645</t>
  </si>
  <si>
    <t>3633</t>
  </si>
  <si>
    <t>Eric Baldwin</t>
  </si>
  <si>
    <t>3629</t>
  </si>
  <si>
    <t>3624</t>
  </si>
  <si>
    <t>Mishereen Ellis</t>
  </si>
  <si>
    <t>3623</t>
  </si>
  <si>
    <t>Charlie Creese</t>
  </si>
  <si>
    <t>3622</t>
  </si>
  <si>
    <t>3621</t>
  </si>
  <si>
    <t>Kevin Flores</t>
  </si>
  <si>
    <t>3763</t>
  </si>
  <si>
    <t>Co2 Hose 75' Standard</t>
  </si>
  <si>
    <t>3625</t>
  </si>
  <si>
    <t>3631</t>
  </si>
  <si>
    <t>3626</t>
  </si>
  <si>
    <t>3634</t>
  </si>
  <si>
    <t>3630</t>
  </si>
  <si>
    <t>LED Attachment for DMX Jet, DMX Jet MKII, and Pro Jet. 3 Pin</t>
  </si>
  <si>
    <t>3628</t>
  </si>
  <si>
    <t>Warranty / T&amp;M - Button serial #31464. Reworked LED PCB. No charge.</t>
  </si>
  <si>
    <t>3620</t>
  </si>
  <si>
    <t>Russ Powell</t>
  </si>
  <si>
    <t>3618</t>
  </si>
  <si>
    <t>Jacob Yarmuth</t>
  </si>
  <si>
    <t>3617</t>
  </si>
  <si>
    <t>Sterling Kragten</t>
  </si>
  <si>
    <t>3616</t>
  </si>
  <si>
    <t>Charles Khabouth</t>
  </si>
  <si>
    <t>3615</t>
  </si>
  <si>
    <t>Michael Duncan</t>
  </si>
  <si>
    <t>3614</t>
  </si>
  <si>
    <t>3613</t>
  </si>
  <si>
    <t>3612</t>
  </si>
  <si>
    <t>3611</t>
  </si>
  <si>
    <t>3610</t>
  </si>
  <si>
    <t>shawn correia</t>
  </si>
  <si>
    <t>3609</t>
  </si>
  <si>
    <t>3606</t>
  </si>
  <si>
    <t>Sahaj Shah</t>
  </si>
  <si>
    <t>3605</t>
  </si>
  <si>
    <t>Cameron Reeve</t>
  </si>
  <si>
    <t>3608</t>
  </si>
  <si>
    <t>CO2 Output Terminator</t>
  </si>
  <si>
    <t>3607</t>
  </si>
  <si>
    <t>3604</t>
  </si>
  <si>
    <t>Kevin Knudsen</t>
  </si>
  <si>
    <t>3603</t>
  </si>
  <si>
    <t>3602</t>
  </si>
  <si>
    <t>3601</t>
  </si>
  <si>
    <t>Thomas Pitts</t>
  </si>
  <si>
    <t>3600</t>
  </si>
  <si>
    <t>3599</t>
  </si>
  <si>
    <t>duane murphy</t>
  </si>
  <si>
    <t>3598</t>
  </si>
  <si>
    <t>3597</t>
  </si>
  <si>
    <t>3596</t>
  </si>
  <si>
    <t>Oniel Gomez</t>
  </si>
  <si>
    <t>3595</t>
  </si>
  <si>
    <t>3594</t>
  </si>
  <si>
    <t>David Fox</t>
  </si>
  <si>
    <t>3593</t>
  </si>
  <si>
    <t>Dzien Nguyen</t>
  </si>
  <si>
    <t>3589</t>
  </si>
  <si>
    <t>Lawrence Walker</t>
  </si>
  <si>
    <t>3588</t>
  </si>
  <si>
    <t>FERNANDO PEREZ</t>
  </si>
  <si>
    <t>3591</t>
  </si>
  <si>
    <t>3592</t>
  </si>
  <si>
    <t>3590</t>
  </si>
  <si>
    <t>El Camino High School</t>
  </si>
  <si>
    <t>3587</t>
  </si>
  <si>
    <t>Daniel Nelson</t>
  </si>
  <si>
    <t>3585</t>
  </si>
  <si>
    <t>Adrian Ramirez</t>
  </si>
  <si>
    <t>3584</t>
  </si>
  <si>
    <t>Kevin Kairouz</t>
  </si>
  <si>
    <t>3583</t>
  </si>
  <si>
    <t>3581</t>
  </si>
  <si>
    <t>Stephen Noseworthy</t>
  </si>
  <si>
    <t>3578</t>
  </si>
  <si>
    <t>3580</t>
  </si>
  <si>
    <t>Chris Gorman</t>
  </si>
  <si>
    <t>3579</t>
  </si>
  <si>
    <t>3582</t>
  </si>
  <si>
    <t>MAEG Button Repair</t>
  </si>
  <si>
    <t>3577</t>
  </si>
  <si>
    <t>3576</t>
  </si>
  <si>
    <t>3574</t>
  </si>
  <si>
    <t>estefania urban</t>
  </si>
  <si>
    <t>3572</t>
  </si>
  <si>
    <t>Jim Mathew</t>
  </si>
  <si>
    <t>3569</t>
  </si>
  <si>
    <t>Matthew Cobb</t>
  </si>
  <si>
    <t>3567</t>
  </si>
  <si>
    <t>3566</t>
  </si>
  <si>
    <t>Joshua Lampkins</t>
  </si>
  <si>
    <t>3575</t>
  </si>
  <si>
    <t>3573</t>
  </si>
  <si>
    <t>Quad Jet 110v with 5 Pin DMX With Barrels - Demo</t>
  </si>
  <si>
    <t>3571</t>
  </si>
  <si>
    <t>University of Wyoming</t>
  </si>
  <si>
    <t>Button (2) PCB Repair</t>
  </si>
  <si>
    <t>3568</t>
  </si>
  <si>
    <t>CC-AC-CGA622NPT-SET</t>
  </si>
  <si>
    <t>CGA-622 to 1/4in NPT with nut</t>
  </si>
  <si>
    <t>3570</t>
  </si>
  <si>
    <t>Repair #3230 Quad Cannon</t>
  </si>
  <si>
    <t>3565</t>
  </si>
  <si>
    <t>Beau Kramer</t>
  </si>
  <si>
    <t>3564</t>
  </si>
  <si>
    <t>3563</t>
  </si>
  <si>
    <t>Petra Davis-Johnson</t>
  </si>
  <si>
    <t>3561</t>
  </si>
  <si>
    <t>Paul Deryawish</t>
  </si>
  <si>
    <t>3560</t>
  </si>
  <si>
    <t>Brandon Green</t>
  </si>
  <si>
    <t>3559</t>
  </si>
  <si>
    <t>3557</t>
  </si>
  <si>
    <t>Vinny Commisso</t>
  </si>
  <si>
    <t>3556</t>
  </si>
  <si>
    <t>Hamid Metla</t>
  </si>
  <si>
    <t>3562</t>
  </si>
  <si>
    <t>Handheld Handle Assembly</t>
  </si>
  <si>
    <t>Handheld MKII handle assembly</t>
  </si>
  <si>
    <t>3555</t>
  </si>
  <si>
    <t>Adam Parrott</t>
  </si>
  <si>
    <t>3554</t>
  </si>
  <si>
    <t>3553</t>
  </si>
  <si>
    <t>John Davidson</t>
  </si>
  <si>
    <t>3552</t>
  </si>
  <si>
    <t>Daniel Shafazand</t>
  </si>
  <si>
    <t>3550</t>
  </si>
  <si>
    <t>3549</t>
  </si>
  <si>
    <t>Elizabeth Olguin</t>
  </si>
  <si>
    <t>3548</t>
  </si>
  <si>
    <t>julia vega</t>
  </si>
  <si>
    <t>3547</t>
  </si>
  <si>
    <t>Zafir Drain</t>
  </si>
  <si>
    <t>3546</t>
  </si>
  <si>
    <t>Asaf Vanunu</t>
  </si>
  <si>
    <t>3551</t>
  </si>
  <si>
    <t xml:space="preserve">Chris Doroba </t>
  </si>
  <si>
    <t>REPAIR #CD893 - Cryo Controller Button</t>
  </si>
  <si>
    <t>September 2023 Sales by Customer</t>
  </si>
  <si>
    <t>September 2023 Sales by SKU (Quantity)</t>
  </si>
  <si>
    <t>September 2023 Sales by SKU$</t>
  </si>
  <si>
    <t>August 2023</t>
  </si>
  <si>
    <t>3545</t>
  </si>
  <si>
    <t>Pouya Nourizadeh</t>
  </si>
  <si>
    <t>3544</t>
  </si>
  <si>
    <t>joel aguirre</t>
  </si>
  <si>
    <t>3542</t>
  </si>
  <si>
    <t>3541</t>
  </si>
  <si>
    <t>3540</t>
  </si>
  <si>
    <t>3539</t>
  </si>
  <si>
    <t>Sam Koppen</t>
  </si>
  <si>
    <t>3538</t>
  </si>
  <si>
    <t>Santos Berrones</t>
  </si>
  <si>
    <t>3537</t>
  </si>
  <si>
    <t>3543</t>
  </si>
  <si>
    <t>3536</t>
  </si>
  <si>
    <t>Joe Russo</t>
  </si>
  <si>
    <t>3535</t>
  </si>
  <si>
    <t>douglas klein</t>
  </si>
  <si>
    <t>3534</t>
  </si>
  <si>
    <t>3533</t>
  </si>
  <si>
    <t>3532</t>
  </si>
  <si>
    <t>Deborah Santoro</t>
  </si>
  <si>
    <t>3531</t>
  </si>
  <si>
    <t>3530</t>
  </si>
  <si>
    <t>Matt Frandsen</t>
  </si>
  <si>
    <t>3529</t>
  </si>
  <si>
    <t>3528</t>
  </si>
  <si>
    <t>Muhammad Ishtiaq</t>
  </si>
  <si>
    <t>3527</t>
  </si>
  <si>
    <t>Matt Wimpelberg</t>
  </si>
  <si>
    <t>3524</t>
  </si>
  <si>
    <t>Daniel DeBruin</t>
  </si>
  <si>
    <t>3523</t>
  </si>
  <si>
    <t>Sally Piggott</t>
  </si>
  <si>
    <t>3520</t>
  </si>
  <si>
    <t>3526</t>
  </si>
  <si>
    <t>3521</t>
  </si>
  <si>
    <t>Kevin Pacheco</t>
  </si>
  <si>
    <t>3522</t>
  </si>
  <si>
    <t>3525</t>
  </si>
  <si>
    <t>3519</t>
  </si>
  <si>
    <t>Justin Ashkinazi</t>
  </si>
  <si>
    <t>3517</t>
  </si>
  <si>
    <t>Henry Patterson</t>
  </si>
  <si>
    <t>3516</t>
  </si>
  <si>
    <t>Umang Patel</t>
  </si>
  <si>
    <t>3514</t>
  </si>
  <si>
    <t>Gabriel Fargas</t>
  </si>
  <si>
    <t>3513</t>
  </si>
  <si>
    <t>Nic Castrucci</t>
  </si>
  <si>
    <t>3512</t>
  </si>
  <si>
    <t>MATT DIERKES</t>
  </si>
  <si>
    <t>3511</t>
  </si>
  <si>
    <t>3518</t>
  </si>
  <si>
    <t>3509</t>
  </si>
  <si>
    <t>3508</t>
  </si>
  <si>
    <t>Michael Switzer</t>
  </si>
  <si>
    <t>3506</t>
  </si>
  <si>
    <t>3505</t>
  </si>
  <si>
    <t>Malcolm Reddick</t>
  </si>
  <si>
    <t>3504</t>
  </si>
  <si>
    <t>Aj Prudenciano</t>
  </si>
  <si>
    <t>3507</t>
  </si>
  <si>
    <t>3502</t>
  </si>
  <si>
    <t>3501</t>
  </si>
  <si>
    <t>Keith Smith</t>
  </si>
  <si>
    <t>3499</t>
  </si>
  <si>
    <t>Naitik Patel</t>
  </si>
  <si>
    <t>3498</t>
  </si>
  <si>
    <t>Fernando Serrano</t>
  </si>
  <si>
    <t>3497</t>
  </si>
  <si>
    <t>3500</t>
  </si>
  <si>
    <t>3496</t>
  </si>
  <si>
    <t>Samuel Polanco</t>
  </si>
  <si>
    <t>3494</t>
  </si>
  <si>
    <t>3493</t>
  </si>
  <si>
    <t>3491</t>
  </si>
  <si>
    <t>Travis S. Johnson</t>
  </si>
  <si>
    <t>3490</t>
  </si>
  <si>
    <t>Luis Trevino</t>
  </si>
  <si>
    <t>3489</t>
  </si>
  <si>
    <t>Tiran Koren</t>
  </si>
  <si>
    <t>3488</t>
  </si>
  <si>
    <t>3495</t>
  </si>
  <si>
    <t>3492</t>
  </si>
  <si>
    <t>Visual Edge</t>
  </si>
  <si>
    <t>3627</t>
  </si>
  <si>
    <t>3486</t>
  </si>
  <si>
    <t>Scott Barnhill</t>
  </si>
  <si>
    <t>3485</t>
  </si>
  <si>
    <t>Cristina Popa</t>
  </si>
  <si>
    <t>3484</t>
  </si>
  <si>
    <t>3483</t>
  </si>
  <si>
    <t>Rosice Batsuli</t>
  </si>
  <si>
    <t>3481</t>
  </si>
  <si>
    <t>Joshua Barse</t>
  </si>
  <si>
    <t>3480</t>
  </si>
  <si>
    <t>3479</t>
  </si>
  <si>
    <t>3478</t>
  </si>
  <si>
    <t>Carlos Sanchez</t>
  </si>
  <si>
    <t>3487</t>
  </si>
  <si>
    <t>Guitar Center Professional</t>
  </si>
  <si>
    <t>3482</t>
  </si>
  <si>
    <t>Owl Vision Confetti - 1KG</t>
  </si>
  <si>
    <t>Slowfall Confetti Rectangles (Multicolor)</t>
  </si>
  <si>
    <t>3475</t>
  </si>
  <si>
    <t>3474</t>
  </si>
  <si>
    <t>Benjamin Kirsch</t>
  </si>
  <si>
    <t>3473</t>
  </si>
  <si>
    <t>3476</t>
  </si>
  <si>
    <t>3472</t>
  </si>
  <si>
    <t>3471</t>
  </si>
  <si>
    <t>Rafael Jaimes</t>
  </si>
  <si>
    <t>3470</t>
  </si>
  <si>
    <t>Marlon Coronado</t>
  </si>
  <si>
    <t>3469</t>
  </si>
  <si>
    <t>Phillip Singleton</t>
  </si>
  <si>
    <t>3468</t>
  </si>
  <si>
    <t>3466</t>
  </si>
  <si>
    <t>Thomas C Murray IV</t>
  </si>
  <si>
    <t>3465</t>
  </si>
  <si>
    <t>Michael Mastakas</t>
  </si>
  <si>
    <t>3463</t>
  </si>
  <si>
    <t>Notch Wilson</t>
  </si>
  <si>
    <t>3462</t>
  </si>
  <si>
    <t>3464</t>
  </si>
  <si>
    <t>3467</t>
  </si>
  <si>
    <t>3458</t>
  </si>
  <si>
    <t>Patrick Callaghan</t>
  </si>
  <si>
    <t>3457</t>
  </si>
  <si>
    <t>Elliott Ehrlich</t>
  </si>
  <si>
    <t>Hose Adapters - #1 – Male Quick Connect (3/8″ NPT Male)</t>
  </si>
  <si>
    <t>3456</t>
  </si>
  <si>
    <t>David Hicks</t>
  </si>
  <si>
    <t>3455</t>
  </si>
  <si>
    <t>Alexander Luna</t>
  </si>
  <si>
    <t>3454</t>
  </si>
  <si>
    <t>alexandru grigorescu</t>
  </si>
  <si>
    <t>3453</t>
  </si>
  <si>
    <t>3452</t>
  </si>
  <si>
    <t>Timothy Mellender</t>
  </si>
  <si>
    <t>3459</t>
  </si>
  <si>
    <t>3461</t>
  </si>
  <si>
    <t>Gonzalo Morales</t>
  </si>
  <si>
    <t>3460</t>
  </si>
  <si>
    <t>True1 Male x True1 Female jumper for LED Attachment</t>
  </si>
  <si>
    <t>XLR Jumper - 5 Pin</t>
  </si>
  <si>
    <t>LED Attachment XLR jumper</t>
  </si>
  <si>
    <t>3448</t>
  </si>
  <si>
    <t>Hose Adapters - #4 – Female Quick Connect (3/8″ NPT Female)</t>
  </si>
  <si>
    <t>3447</t>
  </si>
  <si>
    <t>Chris Vargas</t>
  </si>
  <si>
    <t>3446</t>
  </si>
  <si>
    <t>Ahmad Javed</t>
  </si>
  <si>
    <t>3445</t>
  </si>
  <si>
    <t>Nelson Avalo</t>
  </si>
  <si>
    <t>3444</t>
  </si>
  <si>
    <t>Bryan Griffin</t>
  </si>
  <si>
    <t>3443</t>
  </si>
  <si>
    <t>frankie perez</t>
  </si>
  <si>
    <t>3442</t>
  </si>
  <si>
    <t>Noel Tuttle</t>
  </si>
  <si>
    <t>3441</t>
  </si>
  <si>
    <t>Matt Merle</t>
  </si>
  <si>
    <t>3450</t>
  </si>
  <si>
    <t>Alexandru Razvan Grigorescu</t>
  </si>
  <si>
    <t>3451</t>
  </si>
  <si>
    <t>3449</t>
  </si>
  <si>
    <t>Owl Vision Confetti - 1KG (2.25LB)</t>
  </si>
  <si>
    <t>3438</t>
  </si>
  <si>
    <t>3437</t>
  </si>
  <si>
    <t>Antonio Gonzalez</t>
  </si>
  <si>
    <t>3558</t>
  </si>
  <si>
    <t>3436</t>
  </si>
  <si>
    <t>3435</t>
  </si>
  <si>
    <t>3439</t>
  </si>
  <si>
    <t>3440</t>
  </si>
  <si>
    <t>Micro Jet MKII Foot Assembly</t>
  </si>
  <si>
    <t>Micro Jet Foot with Binder Post</t>
  </si>
  <si>
    <t>3431</t>
  </si>
  <si>
    <t>3427</t>
  </si>
  <si>
    <t>Fernando Garcia</t>
  </si>
  <si>
    <t>3426</t>
  </si>
  <si>
    <t>Antonio Pouparina</t>
  </si>
  <si>
    <t>3425</t>
  </si>
  <si>
    <t>Adam Spiegel</t>
  </si>
  <si>
    <t>3422</t>
  </si>
  <si>
    <t>Peter Smith</t>
  </si>
  <si>
    <t>3421</t>
  </si>
  <si>
    <t>Marleen Armanious</t>
  </si>
  <si>
    <t>3420</t>
  </si>
  <si>
    <t>Jerry Woolen</t>
  </si>
  <si>
    <t>3423</t>
  </si>
  <si>
    <t>Garth Hoffmann</t>
  </si>
  <si>
    <t>3429</t>
  </si>
  <si>
    <t>Pro Jet, 5 Pin, 110v. NO HOSE</t>
  </si>
  <si>
    <t>3428</t>
  </si>
  <si>
    <t>Pro Jet Base Plate</t>
  </si>
  <si>
    <t>3424</t>
  </si>
  <si>
    <t>3434</t>
  </si>
  <si>
    <t>3432</t>
  </si>
  <si>
    <t>3433</t>
  </si>
  <si>
    <t>Neddy Moeinzadeh</t>
  </si>
  <si>
    <t>3430</t>
  </si>
  <si>
    <t>3664</t>
  </si>
  <si>
    <t>3419</t>
  </si>
  <si>
    <t>Jeff Stirland</t>
  </si>
  <si>
    <t>3418</t>
  </si>
  <si>
    <t>3417</t>
  </si>
  <si>
    <t>Joshua Tope</t>
  </si>
  <si>
    <t>3416</t>
  </si>
  <si>
    <t>Katye Conner</t>
  </si>
  <si>
    <t>3415</t>
  </si>
  <si>
    <t>3414</t>
  </si>
  <si>
    <t>Carson Parmenter</t>
  </si>
  <si>
    <t>3413</t>
  </si>
  <si>
    <t>Dennis Calixto</t>
  </si>
  <si>
    <t>3412</t>
  </si>
  <si>
    <t>3411</t>
  </si>
  <si>
    <t>3409</t>
  </si>
  <si>
    <t>Hardik Prajapati</t>
  </si>
  <si>
    <t>3406</t>
  </si>
  <si>
    <t>John Ferrell</t>
  </si>
  <si>
    <t>3404</t>
  </si>
  <si>
    <t>Michael Bartuccelli</t>
  </si>
  <si>
    <t>3408</t>
  </si>
  <si>
    <t>Co2 Hose Custom Length Extension - 20m</t>
  </si>
  <si>
    <t>3405</t>
  </si>
  <si>
    <t>3407</t>
  </si>
  <si>
    <t>LED Attachment repair. Replaced wire harness, issue resolved.</t>
  </si>
  <si>
    <t>3403</t>
  </si>
  <si>
    <t>Ricardo Valdillez</t>
  </si>
  <si>
    <t>Warranty / T&amp;M - The Button: Serial 31647. Disconnected harness</t>
  </si>
  <si>
    <t>3402</t>
  </si>
  <si>
    <t>Pablo Zapata</t>
  </si>
  <si>
    <t>3401</t>
  </si>
  <si>
    <t>Ottawa Sports and Entertainment Group</t>
  </si>
  <si>
    <t>CO2 Hose (100FT, Standard configuration). Upgrading from included 15' hose.</t>
  </si>
  <si>
    <t>3400</t>
  </si>
  <si>
    <t>3396</t>
  </si>
  <si>
    <t>Angel Santos</t>
  </si>
  <si>
    <t>3395</t>
  </si>
  <si>
    <t>Tyrone Spencer</t>
  </si>
  <si>
    <t>3394</t>
  </si>
  <si>
    <t>George Wallace</t>
  </si>
  <si>
    <t>3393</t>
  </si>
  <si>
    <t>Kelly Smith</t>
  </si>
  <si>
    <t>3398</t>
  </si>
  <si>
    <t>3397</t>
  </si>
  <si>
    <t>CO2 Washers</t>
  </si>
  <si>
    <t>3391</t>
  </si>
  <si>
    <t>3388</t>
  </si>
  <si>
    <t>3387</t>
  </si>
  <si>
    <t>Devin Henry</t>
  </si>
  <si>
    <t>3385</t>
  </si>
  <si>
    <t>Abe Zytman</t>
  </si>
  <si>
    <t>3383</t>
  </si>
  <si>
    <t>3382</t>
  </si>
  <si>
    <t>Logan Steele</t>
  </si>
  <si>
    <t>3386</t>
  </si>
  <si>
    <t>3392</t>
  </si>
  <si>
    <t>3389</t>
  </si>
  <si>
    <t>3390</t>
  </si>
  <si>
    <t>3381</t>
  </si>
  <si>
    <t>3380</t>
  </si>
  <si>
    <t>3379</t>
  </si>
  <si>
    <t>3378</t>
  </si>
  <si>
    <t>Christopher Tiscio</t>
  </si>
  <si>
    <t>3377</t>
  </si>
  <si>
    <t>3376</t>
  </si>
  <si>
    <t>3374</t>
  </si>
  <si>
    <t>Michael Duke</t>
  </si>
  <si>
    <t>3375</t>
  </si>
  <si>
    <t>Capistrano Valley High School</t>
  </si>
  <si>
    <t>3373</t>
  </si>
  <si>
    <t>Hedgar Sanchez</t>
  </si>
  <si>
    <t>Customer stated Cryo Controller (Serial #0119324) was acting up. Able to verify screen and motherboard out of sync. Reset via touchscreen solved issue. Verified to be performing normally.</t>
  </si>
  <si>
    <t>3372</t>
  </si>
  <si>
    <t>Stephen Hernandez</t>
  </si>
  <si>
    <t>3371</t>
  </si>
  <si>
    <t>3370</t>
  </si>
  <si>
    <t>Brilliant Stages Ltd T/A TAIT</t>
  </si>
  <si>
    <t>3368</t>
  </si>
  <si>
    <t>donnie latimer</t>
  </si>
  <si>
    <t>3367</t>
  </si>
  <si>
    <t>Charles Huscroft</t>
  </si>
  <si>
    <t>3366</t>
  </si>
  <si>
    <t>3361</t>
  </si>
  <si>
    <t>Sahil Mehta</t>
  </si>
  <si>
    <t>3363</t>
  </si>
  <si>
    <t>3369</t>
  </si>
  <si>
    <t>3362</t>
  </si>
  <si>
    <t>CC-AC-CJLEDA</t>
  </si>
  <si>
    <t>Co2 Jet LED Attachment</t>
  </si>
  <si>
    <t>3364</t>
  </si>
  <si>
    <t>3355</t>
  </si>
  <si>
    <t>David Dimaranan</t>
  </si>
  <si>
    <t>3353</t>
  </si>
  <si>
    <t>3515</t>
  </si>
  <si>
    <t>3360</t>
  </si>
  <si>
    <t>CC-AC-CGA-INT-SET</t>
  </si>
  <si>
    <t>International CO2 fitting with JIC adapter (#8 for Pyrotek) - This adapter covers Europe, Africa, Asia &amp; Australian CO2 tanks.</t>
  </si>
  <si>
    <t>3359</t>
  </si>
  <si>
    <t>3/8" NPT Female x #6 JIC Male Adapter</t>
  </si>
  <si>
    <t>3354</t>
  </si>
  <si>
    <t>DMX Productions</t>
  </si>
  <si>
    <t>3358</t>
  </si>
  <si>
    <t>Industrias Martinicas El Vaquero</t>
  </si>
  <si>
    <t>3357</t>
  </si>
  <si>
    <t>Icon Event Group</t>
  </si>
  <si>
    <t>3356</t>
  </si>
  <si>
    <t>August 2023 Sales by Customer</t>
  </si>
  <si>
    <t>August 2023 Sales by SKU (Quantity)</t>
  </si>
  <si>
    <t>August 2023 Sales by SKU$</t>
  </si>
  <si>
    <t>July 2023</t>
  </si>
  <si>
    <t>3352</t>
  </si>
  <si>
    <t>Charles Seaton</t>
  </si>
  <si>
    <t>3351</t>
  </si>
  <si>
    <t>Albert Walton</t>
  </si>
  <si>
    <t>3349</t>
  </si>
  <si>
    <t>3350</t>
  </si>
  <si>
    <t>Female Quick Connect (3/8″ NPT Female) - WARRANTY REPLACEMENT</t>
  </si>
  <si>
    <t>3348</t>
  </si>
  <si>
    <t>The Button - with both 3 &amp; 5 pin DMX ports (Key turns DMX channel 1 on, button triggers DMX channels 2-5.)</t>
  </si>
  <si>
    <t>3347</t>
  </si>
  <si>
    <t>3346</t>
  </si>
  <si>
    <t>Chris Biller</t>
  </si>
  <si>
    <t>Product CO2 Hose - 25 foot hose - $50.00</t>
  </si>
  <si>
    <t>3343</t>
  </si>
  <si>
    <t>Linda Braden</t>
  </si>
  <si>
    <t>3341</t>
  </si>
  <si>
    <t>Taylor Rowland</t>
  </si>
  <si>
    <t>3344</t>
  </si>
  <si>
    <t>Jeffrey Pineda</t>
  </si>
  <si>
    <t>CC-CH-25-OB</t>
  </si>
  <si>
    <t>CO2 Hose Off-Brand - 25FT CO2 Hose</t>
  </si>
  <si>
    <t>3342</t>
  </si>
  <si>
    <t>Micro CO2 Jet MKII, 5 Pin, 110v. (No hose, no barrel)</t>
  </si>
  <si>
    <t>3345</t>
  </si>
  <si>
    <t>3340</t>
  </si>
  <si>
    <t>Dhwanil Kadakia</t>
  </si>
  <si>
    <t>3339</t>
  </si>
  <si>
    <t>Rawinder Brah</t>
  </si>
  <si>
    <t>3338</t>
  </si>
  <si>
    <t>3334</t>
  </si>
  <si>
    <t>Jason Jani</t>
  </si>
  <si>
    <t>Product Daisy Chain CO2 Hose - 35FT CO2 Hose - $249.99</t>
  </si>
  <si>
    <t>3332</t>
  </si>
  <si>
    <t>Alexander Bertrand</t>
  </si>
  <si>
    <t>3331</t>
  </si>
  <si>
    <t>FADY ibrahim</t>
  </si>
  <si>
    <t>3333</t>
  </si>
  <si>
    <t>Patrick Fleming</t>
  </si>
  <si>
    <t>3336</t>
  </si>
  <si>
    <t>Quad Jet 110v with 5 Pin DMX, JIC Connections (NO HOSES)</t>
  </si>
  <si>
    <t>3335</t>
  </si>
  <si>
    <t>3337</t>
  </si>
  <si>
    <t>3330</t>
  </si>
  <si>
    <t>Cristhian Martinez</t>
  </si>
  <si>
    <t>3329</t>
  </si>
  <si>
    <t>Daryl Davis</t>
  </si>
  <si>
    <t>3326</t>
  </si>
  <si>
    <t>CC-CC2-220</t>
  </si>
  <si>
    <t>Cryo Clamp II, 220v, Weatherproof CO2 Jet</t>
  </si>
  <si>
    <t>3327</t>
  </si>
  <si>
    <t>Female ISO-B Quick Connect 3/8" NPT</t>
  </si>
  <si>
    <t>female quick connector with 3/8" female NPT threads</t>
  </si>
  <si>
    <t>3328</t>
  </si>
  <si>
    <t>3321</t>
  </si>
  <si>
    <t>Aaron Selinkoff</t>
  </si>
  <si>
    <t>3319</t>
  </si>
  <si>
    <t>3318</t>
  </si>
  <si>
    <t>Bosko Lazic</t>
  </si>
  <si>
    <t>3317</t>
  </si>
  <si>
    <t>Jeff Lybarger</t>
  </si>
  <si>
    <t>3324</t>
  </si>
  <si>
    <t>Pro Jet - Serial #03233851
parts replaced
-110 coil
-pro jet harness
-jet solenoid harness
-main PCB 
-pro jet acrylic Lens</t>
  </si>
  <si>
    <t>pro jet - serial #03233848
parts replaced
-110 coil</t>
  </si>
  <si>
    <t>pro jet - serial #04233974
replaced parts
-DMX PCB
-1/4-20x3/4" CS screw</t>
  </si>
  <si>
    <t>Pro Jet Acrylic Lens</t>
  </si>
  <si>
    <t>Jet Solenoid Harness</t>
  </si>
  <si>
    <t>Pro Jet / Micro Jet MKII Solenoid Valve Harness - TE to DIN</t>
  </si>
  <si>
    <t>3323</t>
  </si>
  <si>
    <t>CO2 Hose (Male QC x Female QC, Included)</t>
  </si>
  <si>
    <t>3320</t>
  </si>
  <si>
    <t>Single CO2 Washer (bagged in sets of 100)</t>
  </si>
  <si>
    <t>3322</t>
  </si>
  <si>
    <t>CO2 Hose, 15Ft, Standard configuration</t>
  </si>
  <si>
    <t>3314</t>
  </si>
  <si>
    <t>Female Quick Connect x Male JIC Thread</t>
  </si>
  <si>
    <t>3315</t>
  </si>
  <si>
    <t>3313</t>
  </si>
  <si>
    <t>3316</t>
  </si>
  <si>
    <t>3312</t>
  </si>
  <si>
    <t>3311</t>
  </si>
  <si>
    <t>Edmanuel Font</t>
  </si>
  <si>
    <t>3310</t>
  </si>
  <si>
    <t>Jose Alvarez</t>
  </si>
  <si>
    <t>3309</t>
  </si>
  <si>
    <t>Manuel Cordova</t>
  </si>
  <si>
    <t>3308</t>
  </si>
  <si>
    <t>daniel nardicio</t>
  </si>
  <si>
    <t>3307</t>
  </si>
  <si>
    <t>Dana Cox</t>
  </si>
  <si>
    <t>3306</t>
  </si>
  <si>
    <t>David Wawrzonek</t>
  </si>
  <si>
    <t>3305</t>
  </si>
  <si>
    <t>julio perez</t>
  </si>
  <si>
    <t>3302</t>
  </si>
  <si>
    <t>Dorothy Davison</t>
  </si>
  <si>
    <t>3301</t>
  </si>
  <si>
    <t>DEBRA HAEHN</t>
  </si>
  <si>
    <t>3304</t>
  </si>
  <si>
    <t>3303</t>
  </si>
  <si>
    <t>Quad Jet 110v with 5 Pin DMX, JIC Connections, NO HOSE</t>
  </si>
  <si>
    <t>3298</t>
  </si>
  <si>
    <t>Brian Boxley</t>
  </si>
  <si>
    <t>3297</t>
  </si>
  <si>
    <t>3296</t>
  </si>
  <si>
    <t>milton diaz</t>
  </si>
  <si>
    <t>3295</t>
  </si>
  <si>
    <t>Casey Von Drehle</t>
  </si>
  <si>
    <t>3294</t>
  </si>
  <si>
    <t>Laura Ventura</t>
  </si>
  <si>
    <t>3299</t>
  </si>
  <si>
    <t>Warranty / T&amp;M - Customer stated DMX Jet MKII valve was sticking open. Technician verified issue, and found broken filter inside valve body. Removed filter, replaced valve seal, and is now performing as designed.</t>
  </si>
  <si>
    <t>3300</t>
  </si>
  <si>
    <t>Pro Jet, 5 pin, 110v, NO HOSE</t>
  </si>
  <si>
    <t>3293</t>
  </si>
  <si>
    <t>Dusty Carpenter</t>
  </si>
  <si>
    <t>3291</t>
  </si>
  <si>
    <t>Travis Petty</t>
  </si>
  <si>
    <t>3290</t>
  </si>
  <si>
    <t>Andrew Woodward</t>
  </si>
  <si>
    <t>3289</t>
  </si>
  <si>
    <t>3288</t>
  </si>
  <si>
    <t>christopher Prasad</t>
  </si>
  <si>
    <t>3292</t>
  </si>
  <si>
    <t>Added to 25FT hoses</t>
  </si>
  <si>
    <t>3283</t>
  </si>
  <si>
    <t>Amos Kennedy</t>
  </si>
  <si>
    <t>3281</t>
  </si>
  <si>
    <t>Arthur Khoyetsian</t>
  </si>
  <si>
    <t>3287</t>
  </si>
  <si>
    <t>Kara Graves</t>
  </si>
  <si>
    <t xml:space="preserve">Warranty / T&amp;M - Handheld MKII - Serial #4506 from order #48013. Cracked fitting, causing leak. Replaced whole handle assembly. </t>
  </si>
  <si>
    <t>Wand Handle</t>
  </si>
  <si>
    <t>Handheld MKII</t>
  </si>
  <si>
    <t>3284</t>
  </si>
  <si>
    <t>3285</t>
  </si>
  <si>
    <t>3282</t>
  </si>
  <si>
    <t>3286</t>
  </si>
  <si>
    <t>MagicFX PSYCO2JET</t>
  </si>
  <si>
    <t>CO2 Jet with 180 degree movement</t>
  </si>
  <si>
    <t>3280</t>
  </si>
  <si>
    <t>3279</t>
  </si>
  <si>
    <t>Jeffrey Plazek</t>
  </si>
  <si>
    <t>3278</t>
  </si>
  <si>
    <t>Ryan Heiny</t>
  </si>
  <si>
    <t>3277</t>
  </si>
  <si>
    <t>Omar Diaz</t>
  </si>
  <si>
    <t>3276</t>
  </si>
  <si>
    <t>Chris Christenson</t>
  </si>
  <si>
    <t>3274</t>
  </si>
  <si>
    <t>Che Wilson</t>
  </si>
  <si>
    <t>3273</t>
  </si>
  <si>
    <t>Serafim Kouros</t>
  </si>
  <si>
    <t>3272</t>
  </si>
  <si>
    <t>3275</t>
  </si>
  <si>
    <t>3271</t>
  </si>
  <si>
    <t>Daniel Castillo</t>
  </si>
  <si>
    <t>3270</t>
  </si>
  <si>
    <t>Hayden Jones</t>
  </si>
  <si>
    <t>3269</t>
  </si>
  <si>
    <t>Sakai Gibson</t>
  </si>
  <si>
    <t>3265</t>
  </si>
  <si>
    <t>Luther Cole</t>
  </si>
  <si>
    <t>3266</t>
  </si>
  <si>
    <t>3264</t>
  </si>
  <si>
    <t>D-MENCIEL SFX</t>
  </si>
  <si>
    <t>3267</t>
  </si>
  <si>
    <t>Quad Jet 110v with 5 Pin DMX, No Hoses</t>
  </si>
  <si>
    <t>3268</t>
  </si>
  <si>
    <t>3262</t>
  </si>
  <si>
    <t>David Cordoves</t>
  </si>
  <si>
    <t>3259</t>
  </si>
  <si>
    <t>3258</t>
  </si>
  <si>
    <t>Israel Villarreal</t>
  </si>
  <si>
    <t>3260</t>
  </si>
  <si>
    <t>3261</t>
  </si>
  <si>
    <t>36" x 2" Velcro Strap</t>
  </si>
  <si>
    <t>Velcro strap for hose manifold</t>
  </si>
  <si>
    <t>3263</t>
  </si>
  <si>
    <t>Will Kent</t>
  </si>
  <si>
    <t>Warranty / T&amp;M - Button Serial# 31478. Main PCB had encoder error. Replaced and is now performing normally.</t>
  </si>
  <si>
    <t>3255</t>
  </si>
  <si>
    <t>Eric Jaeger</t>
  </si>
  <si>
    <t>3247</t>
  </si>
  <si>
    <t>Mario Marchio</t>
  </si>
  <si>
    <t>3246</t>
  </si>
  <si>
    <t>Nirmal Pathak</t>
  </si>
  <si>
    <t>3244</t>
  </si>
  <si>
    <t>Eric Desmarais</t>
  </si>
  <si>
    <t>3243</t>
  </si>
  <si>
    <t>Alexander Jebelli</t>
  </si>
  <si>
    <t>3253</t>
  </si>
  <si>
    <t>Las Vegas Site Visit</t>
  </si>
  <si>
    <t>Club Cannon team members travel to ImageSFX Las Vegas office to assist with water cannon project - completed 7/10/23</t>
  </si>
  <si>
    <t>3249</t>
  </si>
  <si>
    <t>Quad Jet 110v with 5 Pin DMX, JIC Connections, NO HOSES</t>
  </si>
  <si>
    <t>Cryo Clamp II, 110v, JIC</t>
  </si>
  <si>
    <t>1/2-13 x 3/4” CS screw (Stainless Steel)</t>
  </si>
  <si>
    <t>Bulk CO2 Hose 3/8"</t>
  </si>
  <si>
    <t>3251</t>
  </si>
  <si>
    <t>The Button Encoder PCB</t>
  </si>
  <si>
    <t>3254</t>
  </si>
  <si>
    <t>Michael Ferruzza</t>
  </si>
  <si>
    <t>3248</t>
  </si>
  <si>
    <t>3252</t>
  </si>
  <si>
    <t>3250</t>
  </si>
  <si>
    <t>3257</t>
  </si>
  <si>
    <t>Button Repair - Serial #31419</t>
  </si>
  <si>
    <t>Key Switch with Wires and PCB Connector for The Button</t>
  </si>
  <si>
    <t>3245</t>
  </si>
  <si>
    <t>California Pro Sound And Light</t>
  </si>
  <si>
    <t>3242</t>
  </si>
  <si>
    <t>3241</t>
  </si>
  <si>
    <t>Mike Sanchez</t>
  </si>
  <si>
    <t>3240</t>
  </si>
  <si>
    <t>3239</t>
  </si>
  <si>
    <t>3238</t>
  </si>
  <si>
    <t>3237</t>
  </si>
  <si>
    <t>Replacement O-Ring for ISO-B Quick Connect 3/8" NPT</t>
  </si>
  <si>
    <t>ISO-B replacement O-ring</t>
  </si>
  <si>
    <t>Male ISO-B Quick Connect (3/8" NPT)</t>
  </si>
  <si>
    <t>Male quick connector with 3/8" female NPT threads</t>
  </si>
  <si>
    <t>3235</t>
  </si>
  <si>
    <t>zcibeiro Medina</t>
  </si>
  <si>
    <t>3234</t>
  </si>
  <si>
    <t>Ryan Foley</t>
  </si>
  <si>
    <t>3233</t>
  </si>
  <si>
    <t>3232</t>
  </si>
  <si>
    <t>Kaief Spencer</t>
  </si>
  <si>
    <t>3236</t>
  </si>
  <si>
    <t>3231</t>
  </si>
  <si>
    <t>Tevin Gill</t>
  </si>
  <si>
    <t>3229</t>
  </si>
  <si>
    <t>Alex Nepa</t>
  </si>
  <si>
    <t>3228</t>
  </si>
  <si>
    <t>Kevin Munro</t>
  </si>
  <si>
    <t>3230</t>
  </si>
  <si>
    <t>CO2 Hose, 8FT (Included)</t>
  </si>
  <si>
    <t>3227</t>
  </si>
  <si>
    <t>3225</t>
  </si>
  <si>
    <t>John Angell</t>
  </si>
  <si>
    <t>3226</t>
  </si>
  <si>
    <t>3224</t>
  </si>
  <si>
    <t>John cifarelli</t>
  </si>
  <si>
    <t>3223</t>
  </si>
  <si>
    <t>Robert Van Delden</t>
  </si>
  <si>
    <t>3222</t>
  </si>
  <si>
    <t>3220</t>
  </si>
  <si>
    <t>Samantha Rosen</t>
  </si>
  <si>
    <t>July 2023 Pivot</t>
  </si>
  <si>
    <t>July 2023 Sales by SKU (Quantity)</t>
  </si>
  <si>
    <t>July 2023 Sales by SKU$</t>
  </si>
  <si>
    <t>June 2023</t>
  </si>
  <si>
    <t>3219</t>
  </si>
  <si>
    <t>genesis moreira</t>
  </si>
  <si>
    <t>3218</t>
  </si>
  <si>
    <t>Michael Nguyen</t>
  </si>
  <si>
    <t>3216</t>
  </si>
  <si>
    <t>Chris Grzesiak</t>
  </si>
  <si>
    <t>3217</t>
  </si>
  <si>
    <t>3215</t>
  </si>
  <si>
    <t>Mario De la vega-elis</t>
  </si>
  <si>
    <t>3213</t>
  </si>
  <si>
    <t>Daniel Nieves</t>
  </si>
  <si>
    <t>3212</t>
  </si>
  <si>
    <t>michelle aman</t>
  </si>
  <si>
    <t>3210</t>
  </si>
  <si>
    <t>Josh Byczek</t>
  </si>
  <si>
    <t>3209</t>
  </si>
  <si>
    <t>Jeff Scott Gould</t>
  </si>
  <si>
    <t>3207</t>
  </si>
  <si>
    <t>Jasper Hsieh</t>
  </si>
  <si>
    <t>3206</t>
  </si>
  <si>
    <t>CC-PROJ-3-110</t>
  </si>
  <si>
    <t>3205</t>
  </si>
  <si>
    <t>Sam Abraham</t>
  </si>
  <si>
    <t>3204</t>
  </si>
  <si>
    <t>Al Lopez</t>
  </si>
  <si>
    <t>3211</t>
  </si>
  <si>
    <t>Co2 Jet LED Attachment II - DEMO UNITS</t>
  </si>
  <si>
    <t>3214</t>
  </si>
  <si>
    <t>3202</t>
  </si>
  <si>
    <t>3201</t>
  </si>
  <si>
    <t>Joseph Mondello</t>
  </si>
  <si>
    <t>3197</t>
  </si>
  <si>
    <t>Ashish Desai</t>
  </si>
  <si>
    <t>3196</t>
  </si>
  <si>
    <t>Craig Oppici</t>
  </si>
  <si>
    <t>3195</t>
  </si>
  <si>
    <t>Son Nguyen</t>
  </si>
  <si>
    <t>3194</t>
  </si>
  <si>
    <t>3193</t>
  </si>
  <si>
    <t>Alejandro Luna</t>
  </si>
  <si>
    <t>3199</t>
  </si>
  <si>
    <t>Co2 Jet LED Attachment II - Demo Units (to be returned)</t>
  </si>
  <si>
    <t>3208</t>
  </si>
  <si>
    <t>3198</t>
  </si>
  <si>
    <t>48v Safety Controller (Warranty Replacement)</t>
  </si>
  <si>
    <t>ARM Controller key set</t>
  </si>
  <si>
    <t>3191</t>
  </si>
  <si>
    <t>Shawn Rae</t>
  </si>
  <si>
    <t>3192</t>
  </si>
  <si>
    <t>3190</t>
  </si>
  <si>
    <t>Travis Dillahunt</t>
  </si>
  <si>
    <t>3189</t>
  </si>
  <si>
    <t>3187</t>
  </si>
  <si>
    <t>Gino U</t>
  </si>
  <si>
    <t>3186</t>
  </si>
  <si>
    <t>Dawson High</t>
  </si>
  <si>
    <t>3188</t>
  </si>
  <si>
    <t>3185</t>
  </si>
  <si>
    <t>Stew Rosenzweig</t>
  </si>
  <si>
    <t>3184</t>
  </si>
  <si>
    <t>Lee Brown</t>
  </si>
  <si>
    <t>3183</t>
  </si>
  <si>
    <t>CO2 Hose - 15FT (INTERNATIONAL CO2 FITTINGS)</t>
  </si>
  <si>
    <t>CC-AC-OP-INT</t>
  </si>
  <si>
    <t>International order pack in bag with CO2 Tool, Quick Start Guide and Pack of washers</t>
  </si>
  <si>
    <t>3365</t>
  </si>
  <si>
    <t>3182</t>
  </si>
  <si>
    <t>3181</t>
  </si>
  <si>
    <t>Handheld CO2 Cannon MKII - 8FT INTERNATIONAL HOSE</t>
  </si>
  <si>
    <t>International CO2 Nut</t>
  </si>
  <si>
    <t>Nut for use with international CO2 tanks - DIN 477 #6</t>
  </si>
  <si>
    <t>3180</t>
  </si>
  <si>
    <t>George Hoang</t>
  </si>
  <si>
    <t>3179</t>
  </si>
  <si>
    <t>Alec Thorne</t>
  </si>
  <si>
    <t>3178</t>
  </si>
  <si>
    <t>3176</t>
  </si>
  <si>
    <t>April Munguia</t>
  </si>
  <si>
    <t>3174</t>
  </si>
  <si>
    <t>Jose Zepeda</t>
  </si>
  <si>
    <t>3177</t>
  </si>
  <si>
    <t>Smart Unit Main PCB</t>
  </si>
  <si>
    <t xml:space="preserve">Custom PCB </t>
  </si>
  <si>
    <t>3A Cylinder fuse (5x20MM)</t>
  </si>
  <si>
    <t>Smart Unit Main Fuse</t>
  </si>
  <si>
    <t>32GB SD Card</t>
  </si>
  <si>
    <t>32GB MICRO SD ULTRA SANDISK MEMORY CARD</t>
  </si>
  <si>
    <t>6-32 x 1/2" CS SS Sealing Screws with O-Ring</t>
  </si>
  <si>
    <t>Sealing screws for watertight enclosures</t>
  </si>
  <si>
    <t>3173</t>
  </si>
  <si>
    <t xml:space="preserve">Co2 Jet LED Attachment II - Demo unit, to be returned. </t>
  </si>
  <si>
    <t>3256</t>
  </si>
  <si>
    <t>3175</t>
  </si>
  <si>
    <t xml:space="preserve">CR1220 </t>
  </si>
  <si>
    <t>Battery used for real time clock on Nextion screens</t>
  </si>
  <si>
    <t>Nextion 10" Screen</t>
  </si>
  <si>
    <t>10.1" HMI Display - Install ShoMaster V1.1 prior to shipment</t>
  </si>
  <si>
    <t>3168</t>
  </si>
  <si>
    <t>3165</t>
  </si>
  <si>
    <t>Nicholas Montanez</t>
  </si>
  <si>
    <t>3169</t>
  </si>
  <si>
    <t>3170</t>
  </si>
  <si>
    <t>3167</t>
  </si>
  <si>
    <t>3166</t>
  </si>
  <si>
    <t>Gallo Verde</t>
  </si>
  <si>
    <t>3164</t>
  </si>
  <si>
    <t>Scott Nankervis</t>
  </si>
  <si>
    <t>3163</t>
  </si>
  <si>
    <t>3162</t>
  </si>
  <si>
    <t>3161</t>
  </si>
  <si>
    <t>3160</t>
  </si>
  <si>
    <t>Eric Clemente</t>
  </si>
  <si>
    <t>3159</t>
  </si>
  <si>
    <t>Ryan Lavende</t>
  </si>
  <si>
    <t>3157</t>
  </si>
  <si>
    <t>Eric Grosshans</t>
  </si>
  <si>
    <t>3156</t>
  </si>
  <si>
    <t>3158</t>
  </si>
  <si>
    <t>3153</t>
  </si>
  <si>
    <t>3152</t>
  </si>
  <si>
    <t>Aaron Villasenor</t>
  </si>
  <si>
    <t>3151</t>
  </si>
  <si>
    <t>Jordan Waldo</t>
  </si>
  <si>
    <t>3150</t>
  </si>
  <si>
    <t>Garett Gunin</t>
  </si>
  <si>
    <t>3149</t>
  </si>
  <si>
    <t>Gerson Uben</t>
  </si>
  <si>
    <t>3154</t>
  </si>
  <si>
    <t>3155</t>
  </si>
  <si>
    <t>CO2 Hose, 100FT (To be invoiced or returned)</t>
  </si>
  <si>
    <t>Used to add an additional input to 4 port manifold  (To be invoiced or returned)</t>
  </si>
  <si>
    <t>3148</t>
  </si>
  <si>
    <t>Ryan Henry</t>
  </si>
  <si>
    <t>3145</t>
  </si>
  <si>
    <t>3144</t>
  </si>
  <si>
    <t>Johnny Lydon</t>
  </si>
  <si>
    <t>3141</t>
  </si>
  <si>
    <t>Tiju Daniel</t>
  </si>
  <si>
    <t>3140</t>
  </si>
  <si>
    <t>Dan Wyatt</t>
  </si>
  <si>
    <t>3146</t>
  </si>
  <si>
    <t>3142</t>
  </si>
  <si>
    <t>3147</t>
  </si>
  <si>
    <t>Soft Tact Switch Cap - INCLUDE 2PCS TACTILE SWITCH (10.5MM)</t>
  </si>
  <si>
    <t>3143</t>
  </si>
  <si>
    <t>3139</t>
  </si>
  <si>
    <t>Luis Ruiz</t>
  </si>
  <si>
    <t>3136</t>
  </si>
  <si>
    <t>Surujpaul Harilal</t>
  </si>
  <si>
    <t>3133</t>
  </si>
  <si>
    <t>Lisa White</t>
  </si>
  <si>
    <t>3132</t>
  </si>
  <si>
    <t>Joe Cooper</t>
  </si>
  <si>
    <t>3131</t>
  </si>
  <si>
    <t>3130</t>
  </si>
  <si>
    <t>julian marquez</t>
  </si>
  <si>
    <t>3137</t>
  </si>
  <si>
    <t>Controller XLR - CUSTOMIZED WITH 2x 5 PIN CONNECTORS</t>
  </si>
  <si>
    <t>3/8" JIC Cap</t>
  </si>
  <si>
    <t>JIC Cap 0304-C-06</t>
  </si>
  <si>
    <t>3138</t>
  </si>
  <si>
    <t>micro jet - serial #0723180 - unit fed 220v, solenoid and valve needed replacement, tested working as designed after repair. in addition jet also needed 1 rubber foot, 1 binding screw.</t>
  </si>
  <si>
    <t>Micro jet - serial #04233948 - had broken XLR board, replaced and tested, working fine after repair.</t>
  </si>
  <si>
    <t>Micro jet - serial #07231912 - XLR broken, replaced and tested, working after repair.</t>
  </si>
  <si>
    <t>Micro jet serial #04233958 - broken XLR board, replaced and tested, working after repair.</t>
  </si>
  <si>
    <t>Micro jet - serial #0723179 - dmx connection lost, opened jet double checked connections, retested and fixed connection. in addition jet was missing 2 rubber feet, 2 binding screws, and needed new hardware.</t>
  </si>
  <si>
    <t>Micro jet - serial #0723181 - connection to DMX was lost, opened up jet and checked all connections and re-tested, after re-testing connection jet had connection again. in addition jet was missing hardware and then replaced with new hardware.</t>
  </si>
  <si>
    <t>Micro jet  - serial #0723190 - jet had lost connection to DMX and had a valve leak, replaced valve seal and checked all connections and was tested. after repair and connections checked jet worked as designed. jet was also missing hardware and was replaced.</t>
  </si>
  <si>
    <t>Mirco jet - serial #04233947 - jet had broken fitting, replaced and tested, works as intended after replacement. jet was also missing hardware and was replaced with new hardware.</t>
  </si>
  <si>
    <t>Micro jet - serial #0723182 - had broken XLR board, replaced and tested, worked as intended after repair. was also missing hardware and was replaced with new hardware.</t>
  </si>
  <si>
    <t>button - serial #31514 - had lost connection to DMX, opened up and checked all connections and tested, connection to DMX came back. also missing 1 foot and replaced.</t>
  </si>
  <si>
    <t>Repair Labor</t>
  </si>
  <si>
    <t>3128</t>
  </si>
  <si>
    <t>Terrance Woodruff</t>
  </si>
  <si>
    <t>3129</t>
  </si>
  <si>
    <t>3127</t>
  </si>
  <si>
    <t>Ricardo Rodriguez</t>
  </si>
  <si>
    <t>3126</t>
  </si>
  <si>
    <t>John Sanafria</t>
  </si>
  <si>
    <t>22mm emergency stop non- illuminated 3pins metal push button switch with hardness AWG22 406mm cables</t>
  </si>
  <si>
    <t>3124</t>
  </si>
  <si>
    <t>Brad McCray</t>
  </si>
  <si>
    <t>3122</t>
  </si>
  <si>
    <t>3121</t>
  </si>
  <si>
    <t>MARK LEFSRUD</t>
  </si>
  <si>
    <t>3120</t>
  </si>
  <si>
    <t>jesus ledezma</t>
  </si>
  <si>
    <t>3119</t>
  </si>
  <si>
    <t>Brandon Kocis</t>
  </si>
  <si>
    <t>3123</t>
  </si>
  <si>
    <t>3118</t>
  </si>
  <si>
    <t>3115</t>
  </si>
  <si>
    <t>Paul Nieto</t>
  </si>
  <si>
    <t>3114</t>
  </si>
  <si>
    <t>Mike Miller</t>
  </si>
  <si>
    <t>3117</t>
  </si>
  <si>
    <t>3113</t>
  </si>
  <si>
    <t>3116</t>
  </si>
  <si>
    <t>3112</t>
  </si>
  <si>
    <t>Credit Card Fee</t>
  </si>
  <si>
    <t>3109</t>
  </si>
  <si>
    <t>3108</t>
  </si>
  <si>
    <t>Nik Beedle</t>
  </si>
  <si>
    <t>3107</t>
  </si>
  <si>
    <t>Jared Deschner</t>
  </si>
  <si>
    <t>3106</t>
  </si>
  <si>
    <t>Yitz Teitelbaum</t>
  </si>
  <si>
    <t>3105</t>
  </si>
  <si>
    <t>mike liendo</t>
  </si>
  <si>
    <t>3111</t>
  </si>
  <si>
    <t>Truss Clamp (Included)</t>
  </si>
  <si>
    <t>3104</t>
  </si>
  <si>
    <t>3110</t>
  </si>
  <si>
    <t>3103</t>
  </si>
  <si>
    <t>Steve Rader</t>
  </si>
  <si>
    <t>3102</t>
  </si>
  <si>
    <t>vincant r akin</t>
  </si>
  <si>
    <t>3099</t>
  </si>
  <si>
    <t>Michael McDonough</t>
  </si>
  <si>
    <t>3098</t>
  </si>
  <si>
    <t>3096</t>
  </si>
  <si>
    <t>3100</t>
  </si>
  <si>
    <t>3101</t>
  </si>
  <si>
    <t>Michael Callahan</t>
  </si>
  <si>
    <t>3097</t>
  </si>
  <si>
    <t>3095</t>
  </si>
  <si>
    <t>Clark Ramsey</t>
  </si>
  <si>
    <t>3093</t>
  </si>
  <si>
    <t>3094</t>
  </si>
  <si>
    <t>3092</t>
  </si>
  <si>
    <t>Danny McDonough</t>
  </si>
  <si>
    <t>3091</t>
  </si>
  <si>
    <t>3090</t>
  </si>
  <si>
    <t>3089</t>
  </si>
  <si>
    <t>3088</t>
  </si>
  <si>
    <t>Dimitri Laskaris</t>
  </si>
  <si>
    <t>3087</t>
  </si>
  <si>
    <t>Reid Sessions</t>
  </si>
  <si>
    <t>3086</t>
  </si>
  <si>
    <t>3085</t>
  </si>
  <si>
    <t>3084</t>
  </si>
  <si>
    <t>leeor shlomo</t>
  </si>
  <si>
    <t>3082</t>
  </si>
  <si>
    <t>3083</t>
  </si>
  <si>
    <t>June 2023 Sales by Customer</t>
  </si>
  <si>
    <t>June 2023 Sales by SKU (Quantity)</t>
  </si>
  <si>
    <t>June 2023 Sales by SKU$</t>
  </si>
  <si>
    <t>May 2023</t>
  </si>
  <si>
    <t>3081</t>
  </si>
  <si>
    <t>3078</t>
  </si>
  <si>
    <t>Micah Golfeiz</t>
  </si>
  <si>
    <t>3076</t>
  </si>
  <si>
    <t>Chris Higgins</t>
  </si>
  <si>
    <t>3075</t>
  </si>
  <si>
    <t>Jeffrey brandon</t>
  </si>
  <si>
    <t>3074</t>
  </si>
  <si>
    <t>Adam Oded</t>
  </si>
  <si>
    <t>3072</t>
  </si>
  <si>
    <t>3071</t>
  </si>
  <si>
    <t>3077</t>
  </si>
  <si>
    <t xml:space="preserve">Magic FX Switchpack </t>
  </si>
  <si>
    <t>4 channel DMX relay pack</t>
  </si>
  <si>
    <t>3073</t>
  </si>
  <si>
    <t>3079</t>
  </si>
  <si>
    <t>3069</t>
  </si>
  <si>
    <t>Timothy Montemayor</t>
  </si>
  <si>
    <t>3068</t>
  </si>
  <si>
    <t>James Bodie</t>
  </si>
  <si>
    <t>3066</t>
  </si>
  <si>
    <t>Jayson Esguerra</t>
  </si>
  <si>
    <t>3067</t>
  </si>
  <si>
    <t>National Event Connection</t>
  </si>
  <si>
    <t>CO2 Hose (15FT, included)</t>
  </si>
  <si>
    <t>3070</t>
  </si>
  <si>
    <t>CO2 Hose (50FT, upgrade fee)</t>
  </si>
  <si>
    <t>CO2 Hose (50FT, additional)</t>
  </si>
  <si>
    <t>3065</t>
  </si>
  <si>
    <t>armando monroy</t>
  </si>
  <si>
    <t>3064</t>
  </si>
  <si>
    <t>Travis Engelhart</t>
  </si>
  <si>
    <t>3063</t>
  </si>
  <si>
    <t>3062</t>
  </si>
  <si>
    <t>Hector Urquilla</t>
  </si>
  <si>
    <t>3061</t>
  </si>
  <si>
    <t>Travis Miller</t>
  </si>
  <si>
    <t>3055</t>
  </si>
  <si>
    <t>Sohbash Khan</t>
  </si>
  <si>
    <t>3056</t>
  </si>
  <si>
    <t>3059</t>
  </si>
  <si>
    <t>Christian Caceres</t>
  </si>
  <si>
    <t>Co2 Hose Custom Length Standard (60FT)</t>
  </si>
  <si>
    <t>3057</t>
  </si>
  <si>
    <t>CO2 Hose Upgrade fee, 50FT (Customized - CGA-320 to JIC Tee)</t>
  </si>
  <si>
    <t>CO2 Hose Upgrade Fee, 25FT (Customized - CGA-320 to JIC Tee)</t>
  </si>
  <si>
    <t>CO2 Hose, 8FT (Customized - JIC Female to Female QC)</t>
  </si>
  <si>
    <t>3060</t>
  </si>
  <si>
    <t>Lukas Vera</t>
  </si>
  <si>
    <t>3080</t>
  </si>
  <si>
    <t>3058</t>
  </si>
  <si>
    <t>3053</t>
  </si>
  <si>
    <t>George Tsakiris</t>
  </si>
  <si>
    <t>3054</t>
  </si>
  <si>
    <t>1/2-13 x 3/4” CS screw (Stainless Steel / Black Oxide)</t>
  </si>
  <si>
    <t>1/4-20 x 3/4” CS screw (Stainless Steel / Black Oxide)</t>
  </si>
  <si>
    <t>3051</t>
  </si>
  <si>
    <t>3052</t>
  </si>
  <si>
    <t>50FT CO2 Hose - 3/8" NPT Male Swivel x JIC</t>
  </si>
  <si>
    <t>50FT CO2 Hose - 3/8" NPT Male Swivel x JIC #6 female</t>
  </si>
  <si>
    <t>3049</t>
  </si>
  <si>
    <t>Yanko Hernando</t>
  </si>
  <si>
    <t>3048</t>
  </si>
  <si>
    <t>Daniela Gaal</t>
  </si>
  <si>
    <t>3047</t>
  </si>
  <si>
    <t>Zachary Mann</t>
  </si>
  <si>
    <t>3046</t>
  </si>
  <si>
    <t>3045</t>
  </si>
  <si>
    <t>Colleen Patton</t>
  </si>
  <si>
    <t>3044</t>
  </si>
  <si>
    <t>3042</t>
  </si>
  <si>
    <t>Praful Khalasi</t>
  </si>
  <si>
    <t>3041</t>
  </si>
  <si>
    <t>Bhavdeep Singh</t>
  </si>
  <si>
    <t>3040</t>
  </si>
  <si>
    <t>Jonathan Smithfield</t>
  </si>
  <si>
    <t>3039</t>
  </si>
  <si>
    <t>Amilcar Rivera</t>
  </si>
  <si>
    <t>3038</t>
  </si>
  <si>
    <t>3035</t>
  </si>
  <si>
    <t>Mario Perez</t>
  </si>
  <si>
    <t>3033</t>
  </si>
  <si>
    <t>Pawel Piszczuk</t>
  </si>
  <si>
    <t>3032</t>
  </si>
  <si>
    <t>Aman Ram</t>
  </si>
  <si>
    <t>3031</t>
  </si>
  <si>
    <t>3034</t>
  </si>
  <si>
    <t>Xtreme Entertainment Qatar</t>
  </si>
  <si>
    <t>CO2 Output Terminator (included)</t>
  </si>
  <si>
    <t>CO2 Hose, 35FT (European CO2 Connectors)</t>
  </si>
  <si>
    <t>Ball Mount Assembly for Cryo Clamp (Included)</t>
  </si>
  <si>
    <t>Ball Mount Assembly for Cryo Clamp (Additional)</t>
  </si>
  <si>
    <t>Neutrik PowerCON True1 Cords - 6FT (European Plug)</t>
  </si>
  <si>
    <t>3037</t>
  </si>
  <si>
    <t>3036</t>
  </si>
  <si>
    <t>50FT CO2 Hose - 1/4" ID (JIC #6 x JIC #6)</t>
  </si>
  <si>
    <t>3030</t>
  </si>
  <si>
    <t>ALI FAWAZ</t>
  </si>
  <si>
    <t>3029</t>
  </si>
  <si>
    <t>3028</t>
  </si>
  <si>
    <t>Joel Stern</t>
  </si>
  <si>
    <t>3027</t>
  </si>
  <si>
    <t>Dominique Coppolella</t>
  </si>
  <si>
    <t>3026</t>
  </si>
  <si>
    <t>Miguel Vargas</t>
  </si>
  <si>
    <t>3023</t>
  </si>
  <si>
    <t>Adam Burrows</t>
  </si>
  <si>
    <t>3022</t>
  </si>
  <si>
    <t>3021</t>
  </si>
  <si>
    <t>Denise Bennett</t>
  </si>
  <si>
    <t>3019</t>
  </si>
  <si>
    <t>H Waldman</t>
  </si>
  <si>
    <t>3018</t>
  </si>
  <si>
    <t>Johnny Elarde</t>
  </si>
  <si>
    <t>3017</t>
  </si>
  <si>
    <t>Brian O'Shaughnessy</t>
  </si>
  <si>
    <t>3016</t>
  </si>
  <si>
    <t>Aumir Ahmad</t>
  </si>
  <si>
    <t>3024</t>
  </si>
  <si>
    <t>3025</t>
  </si>
  <si>
    <t>Noto Nightclub</t>
  </si>
  <si>
    <t>3020</t>
  </si>
  <si>
    <t>3015</t>
  </si>
  <si>
    <t>Timothy Heck</t>
  </si>
  <si>
    <t>3172</t>
  </si>
  <si>
    <t>CC-WCSU-5</t>
  </si>
  <si>
    <t>Water Cannon Smart Unit - FIRST ARTICLE SAMPLE (For Approval)</t>
  </si>
  <si>
    <t>150PSI Pressure Sensor - 1/8" NPT</t>
  </si>
  <si>
    <t>Includes Wire Harness</t>
  </si>
  <si>
    <t>M8 Axial Connection Cable</t>
  </si>
  <si>
    <t xml:space="preserve">Sensor cable </t>
  </si>
  <si>
    <t>Water Sensor</t>
  </si>
  <si>
    <t>Digital Liquid Level Sensor</t>
  </si>
  <si>
    <t>ShoStarter DMX Controller - Update to Water Cannon firmware prior to shipment</t>
  </si>
  <si>
    <t>Sensor Assembly</t>
  </si>
  <si>
    <t>Assembly of sensor harnesses</t>
  </si>
  <si>
    <t>Credit</t>
  </si>
  <si>
    <t>Payment received 5/9/23</t>
  </si>
  <si>
    <t>3013</t>
  </si>
  <si>
    <t>3014</t>
  </si>
  <si>
    <t>Truss Clamps</t>
  </si>
  <si>
    <t>3012</t>
  </si>
  <si>
    <t>Shane White</t>
  </si>
  <si>
    <t>3009</t>
  </si>
  <si>
    <t>3043</t>
  </si>
  <si>
    <t>Cryo Clamp II, 110v, Weatherproof CO2 Jet (JIC)</t>
  </si>
  <si>
    <t>4 channel Relay Pack</t>
  </si>
  <si>
    <t>DMX Cables</t>
  </si>
  <si>
    <t>3 pin cable to connect controller to relay pack</t>
  </si>
  <si>
    <t>3010</t>
  </si>
  <si>
    <t>Pro Jet, 5 pin, 110v (No Hose)</t>
  </si>
  <si>
    <t>CO2 Output Terminator (Included)</t>
  </si>
  <si>
    <t>Neutrik PowerCON True1 Cords - 6FT (Included)</t>
  </si>
  <si>
    <t>3011</t>
  </si>
  <si>
    <t>Pro Jet, 5 pin, 110v, JIC (No Hose)</t>
  </si>
  <si>
    <t xml:space="preserve">3 and 5 pin needed, also a 3 to 5 adapter for use on Pro Jets. </t>
  </si>
  <si>
    <t>3125</t>
  </si>
  <si>
    <t>3008</t>
  </si>
  <si>
    <t>3006</t>
  </si>
  <si>
    <t>Kyle Perry</t>
  </si>
  <si>
    <t>3004</t>
  </si>
  <si>
    <t>3003</t>
  </si>
  <si>
    <t>Michael Battaglia</t>
  </si>
  <si>
    <t>3002</t>
  </si>
  <si>
    <t>Cedrigue Nguimzon</t>
  </si>
  <si>
    <t>3001</t>
  </si>
  <si>
    <t>Jorge Perez</t>
  </si>
  <si>
    <t>3000</t>
  </si>
  <si>
    <t>2999</t>
  </si>
  <si>
    <t>2998</t>
  </si>
  <si>
    <t>CO2 Hose (15FT, Included)</t>
  </si>
  <si>
    <t>25 foot hose (Upgrade Fee)</t>
  </si>
  <si>
    <t>35 foot hose (Upgrade Fee)</t>
  </si>
  <si>
    <t>CO2 Washers, 10 Pack (Included)</t>
  </si>
  <si>
    <t>Product CO2 Hose - 25 foot hose (Spare)</t>
  </si>
  <si>
    <t>3007</t>
  </si>
  <si>
    <t>Update firmware, check for leaks, function test. Courtesy repair. Serial #0921848</t>
  </si>
  <si>
    <t>Update firmware, check for leaks, function test. Courtesy repair. Serial #0921828</t>
  </si>
  <si>
    <t>2996</t>
  </si>
  <si>
    <t>2994</t>
  </si>
  <si>
    <t>Travis Bizzell</t>
  </si>
  <si>
    <t>2993</t>
  </si>
  <si>
    <t>Krista Nichols</t>
  </si>
  <si>
    <t>2992</t>
  </si>
  <si>
    <t>Chandler Salazar</t>
  </si>
  <si>
    <t>2997</t>
  </si>
  <si>
    <t>Chris Leed</t>
  </si>
  <si>
    <t>2991</t>
  </si>
  <si>
    <t>Eugene Bise</t>
  </si>
  <si>
    <t>2990</t>
  </si>
  <si>
    <t>Efrain Trevino</t>
  </si>
  <si>
    <t>2989</t>
  </si>
  <si>
    <t>2988</t>
  </si>
  <si>
    <t>michael villafana</t>
  </si>
  <si>
    <t>2987</t>
  </si>
  <si>
    <t>CHRISTOPHER Marroquin</t>
  </si>
  <si>
    <t>2986</t>
  </si>
  <si>
    <t>cole bibler</t>
  </si>
  <si>
    <t>2984</t>
  </si>
  <si>
    <t>2983</t>
  </si>
  <si>
    <t>2981</t>
  </si>
  <si>
    <t>Trystan Meyers</t>
  </si>
  <si>
    <t>2980</t>
  </si>
  <si>
    <t>John OConnell</t>
  </si>
  <si>
    <t>2977</t>
  </si>
  <si>
    <t>JANINE GONZALEZ</t>
  </si>
  <si>
    <t>2979</t>
  </si>
  <si>
    <t>CO2 Hose, 15FT (Included)</t>
  </si>
  <si>
    <t>2978</t>
  </si>
  <si>
    <t>Pro Jet, 5 pin DMX, JIC in/out, NO HOSE</t>
  </si>
  <si>
    <t>2976</t>
  </si>
  <si>
    <t>2974</t>
  </si>
  <si>
    <t>2973</t>
  </si>
  <si>
    <t>Jaskaran Mann</t>
  </si>
  <si>
    <t>2972</t>
  </si>
  <si>
    <t>Victor Victor Baruchman</t>
  </si>
  <si>
    <t>2971</t>
  </si>
  <si>
    <t>Justin Reid</t>
  </si>
  <si>
    <t>2970</t>
  </si>
  <si>
    <t>2969</t>
  </si>
  <si>
    <t>2968</t>
  </si>
  <si>
    <t>2975</t>
  </si>
  <si>
    <t>2967</t>
  </si>
  <si>
    <t>2966</t>
  </si>
  <si>
    <t>2965</t>
  </si>
  <si>
    <t>Eric James</t>
  </si>
  <si>
    <t>2964</t>
  </si>
  <si>
    <t>2963</t>
  </si>
  <si>
    <t>Bob O'Brien</t>
  </si>
  <si>
    <t>2962</t>
  </si>
  <si>
    <t>2961</t>
  </si>
  <si>
    <t>2960</t>
  </si>
  <si>
    <t>Anthony Guerra</t>
  </si>
  <si>
    <t>2959</t>
  </si>
  <si>
    <t>2958</t>
  </si>
  <si>
    <t>2957</t>
  </si>
  <si>
    <t>SANOJ GEORGE</t>
  </si>
  <si>
    <t>2956</t>
  </si>
  <si>
    <t>2955</t>
  </si>
  <si>
    <t>2954</t>
  </si>
  <si>
    <t>Lance Soto</t>
  </si>
  <si>
    <t>2953</t>
  </si>
  <si>
    <t>The Button - Replaced Encoder PCB &amp; Knob</t>
  </si>
  <si>
    <t xml:space="preserve">Pro Jet - Replace valve seal &amp; upper valve plunger assembly </t>
  </si>
  <si>
    <t>Quad Jet - Maintenance ticket stated "unit did not power on", unable to replicate. Barrel was broken off, technician replaced, tested, verified performing normally.</t>
  </si>
  <si>
    <t>1/4” NPTS Pipe Nipple (1 1/4")</t>
  </si>
  <si>
    <t>1 1/4” NPTS Pipe Nipple</t>
  </si>
  <si>
    <t>Misc Hoses - Replace O-rings, pressure test, verified leak free operation.</t>
  </si>
  <si>
    <t>2952</t>
  </si>
  <si>
    <t>ART LOVATO</t>
  </si>
  <si>
    <t>2950</t>
  </si>
  <si>
    <t>2949</t>
  </si>
  <si>
    <t>2951</t>
  </si>
  <si>
    <t>Ernesto Koncept Systems</t>
  </si>
  <si>
    <t>2948</t>
  </si>
  <si>
    <t>Stadium Streamers</t>
  </si>
  <si>
    <t>2" x 60' Streamers (Rainbow)</t>
  </si>
  <si>
    <t>2947</t>
  </si>
  <si>
    <t>Brian Risner</t>
  </si>
  <si>
    <t>2946</t>
  </si>
  <si>
    <t>2945</t>
  </si>
  <si>
    <t>2944</t>
  </si>
  <si>
    <t>Christopher Martinez</t>
  </si>
  <si>
    <t>2943</t>
  </si>
  <si>
    <t>2942</t>
  </si>
  <si>
    <t>2941</t>
  </si>
  <si>
    <t>2940</t>
  </si>
  <si>
    <t>Andrew Graham-Hussey</t>
  </si>
  <si>
    <t>2936</t>
  </si>
  <si>
    <t>Donald Keener</t>
  </si>
  <si>
    <t>2935</t>
  </si>
  <si>
    <t>2938</t>
  </si>
  <si>
    <t>2939</t>
  </si>
  <si>
    <t>2937</t>
  </si>
  <si>
    <t>May 2023 Sales by Customer</t>
  </si>
  <si>
    <t>May 2023 Sales by SKU (Quantity)</t>
  </si>
  <si>
    <t>May 2023 Sales by SKU$</t>
  </si>
  <si>
    <t>April 2023</t>
  </si>
  <si>
    <t>2934</t>
  </si>
  <si>
    <t>2933</t>
  </si>
  <si>
    <t>Vinnie Hoffman</t>
  </si>
  <si>
    <t>2932</t>
  </si>
  <si>
    <t>Rich Schroepfer</t>
  </si>
  <si>
    <t>2931</t>
  </si>
  <si>
    <t>2930</t>
  </si>
  <si>
    <t>2929</t>
  </si>
  <si>
    <t>Austin Port</t>
  </si>
  <si>
    <t>2928</t>
  </si>
  <si>
    <t>2926</t>
  </si>
  <si>
    <t>2927</t>
  </si>
  <si>
    <t>2925</t>
  </si>
  <si>
    <t>Jose Hernandez</t>
  </si>
  <si>
    <t>2924</t>
  </si>
  <si>
    <t>Jessica Derrick</t>
  </si>
  <si>
    <t>2923</t>
  </si>
  <si>
    <t>2922</t>
  </si>
  <si>
    <t>Peter Naumenko</t>
  </si>
  <si>
    <t>2921</t>
  </si>
  <si>
    <t>Michael Landrigan</t>
  </si>
  <si>
    <t>2919</t>
  </si>
  <si>
    <t>Michael Brammer</t>
  </si>
  <si>
    <t>2918</t>
  </si>
  <si>
    <t>2920</t>
  </si>
  <si>
    <t>2917</t>
  </si>
  <si>
    <t>Jeremy Kight</t>
  </si>
  <si>
    <t>2914</t>
  </si>
  <si>
    <t>Male Quick Connect x Female JIC Thread</t>
  </si>
  <si>
    <t>2916</t>
  </si>
  <si>
    <t>Cryo Clamp II, 110v, Weatherproof CO2 Jet (JIC INPUT)</t>
  </si>
  <si>
    <t>2913</t>
  </si>
  <si>
    <t>Jose Bonora</t>
  </si>
  <si>
    <t>2911</t>
  </si>
  <si>
    <t>2910</t>
  </si>
  <si>
    <t>Rebecca Del Rae</t>
  </si>
  <si>
    <t>2909</t>
  </si>
  <si>
    <t>2908</t>
  </si>
  <si>
    <t>Roberto Vazquez</t>
  </si>
  <si>
    <t>2912</t>
  </si>
  <si>
    <t>Showco AV</t>
  </si>
  <si>
    <t>2907</t>
  </si>
  <si>
    <t>Colleen Flaherty</t>
  </si>
  <si>
    <t>2906</t>
  </si>
  <si>
    <t>john lominsky</t>
  </si>
  <si>
    <t>2905</t>
  </si>
  <si>
    <t>Brittany Ellis</t>
  </si>
  <si>
    <t>2904</t>
  </si>
  <si>
    <t>2903</t>
  </si>
  <si>
    <t>Elias Conde</t>
  </si>
  <si>
    <t>2902</t>
  </si>
  <si>
    <t>2901</t>
  </si>
  <si>
    <t>Daniel Ridgeway</t>
  </si>
  <si>
    <t>2900</t>
  </si>
  <si>
    <t>oscar robledo</t>
  </si>
  <si>
    <t>2899</t>
  </si>
  <si>
    <t>Al Okyne</t>
  </si>
  <si>
    <t>2898</t>
  </si>
  <si>
    <t>spaceagetimmy@gmail.com</t>
  </si>
  <si>
    <t>2897</t>
  </si>
  <si>
    <t>Santiago Naranjo</t>
  </si>
  <si>
    <t>2896</t>
  </si>
  <si>
    <t>Rudy Thatcher</t>
  </si>
  <si>
    <t>2895</t>
  </si>
  <si>
    <t>Bret Rideout</t>
  </si>
  <si>
    <t>2894</t>
  </si>
  <si>
    <t>Gabriel Mcgann</t>
  </si>
  <si>
    <t>2982</t>
  </si>
  <si>
    <t>Handheld CO2 Cannon MKII (Replacement, original shipment lost by FedEx)</t>
  </si>
  <si>
    <t>2893</t>
  </si>
  <si>
    <t>2891</t>
  </si>
  <si>
    <t>Tina Pinheiro</t>
  </si>
  <si>
    <t>2890</t>
  </si>
  <si>
    <t>Michael Roche</t>
  </si>
  <si>
    <t>2889</t>
  </si>
  <si>
    <t>Gilbert Torres</t>
  </si>
  <si>
    <t>2888</t>
  </si>
  <si>
    <t>2887</t>
  </si>
  <si>
    <t>2886</t>
  </si>
  <si>
    <t>David Roman</t>
  </si>
  <si>
    <t>2892</t>
  </si>
  <si>
    <t>2883</t>
  </si>
  <si>
    <t>Jason young</t>
  </si>
  <si>
    <t>2881</t>
  </si>
  <si>
    <t>2885</t>
  </si>
  <si>
    <t>Sound &amp; Lighting Solutions Inc.</t>
  </si>
  <si>
    <t>CO2 Hose (50FT, standard - Upgrade Fee)</t>
  </si>
  <si>
    <t>CO2 Hose (25FT, daisy chain - Upgrade Fee)</t>
  </si>
  <si>
    <t>CO2 Hose (25FT, daisy chain - Additional)</t>
  </si>
  <si>
    <t>CO2 Washers (10 Pack, Included)</t>
  </si>
  <si>
    <t>2882</t>
  </si>
  <si>
    <t>2884</t>
  </si>
  <si>
    <t>CO2 Hose - 15FT (CGA-320 x Female JIC)</t>
  </si>
  <si>
    <t>2880</t>
  </si>
  <si>
    <t>Nick Schnagl</t>
  </si>
  <si>
    <t>2879</t>
  </si>
  <si>
    <t>2869</t>
  </si>
  <si>
    <t>Christian Blais</t>
  </si>
  <si>
    <t>2868</t>
  </si>
  <si>
    <t>2867</t>
  </si>
  <si>
    <t>2866</t>
  </si>
  <si>
    <t>Sean McGroarty</t>
  </si>
  <si>
    <t>2876</t>
  </si>
  <si>
    <t>2870</t>
  </si>
  <si>
    <t>Hector Padilla-Camacho</t>
  </si>
  <si>
    <t>2872</t>
  </si>
  <si>
    <t>2871</t>
  </si>
  <si>
    <t>Andrew Cunningham</t>
  </si>
  <si>
    <t>2878</t>
  </si>
  <si>
    <t>Pro Jet, 5 Pin, 110v, JIC in/out, NO HOSE</t>
  </si>
  <si>
    <t>2873</t>
  </si>
  <si>
    <t>JOSEPH KAUFMAN</t>
  </si>
  <si>
    <t>2874</t>
  </si>
  <si>
    <t>ATLAS STAGEWORKS LIGHTING</t>
  </si>
  <si>
    <t>2875</t>
  </si>
  <si>
    <t>Farralane Pro Lighting, Audio, &amp; Video</t>
  </si>
  <si>
    <t>2865</t>
  </si>
  <si>
    <t>Tyson Greiner</t>
  </si>
  <si>
    <t>2864</t>
  </si>
  <si>
    <t>Jose Jacome</t>
  </si>
  <si>
    <t>2863</t>
  </si>
  <si>
    <t>Anthony Devlin</t>
  </si>
  <si>
    <t>2862</t>
  </si>
  <si>
    <t>Tom Sweitzer</t>
  </si>
  <si>
    <t>2861</t>
  </si>
  <si>
    <t>2860</t>
  </si>
  <si>
    <t>2859</t>
  </si>
  <si>
    <t>2857</t>
  </si>
  <si>
    <t>2858</t>
  </si>
  <si>
    <t>2856</t>
  </si>
  <si>
    <t>Esther Altepeter</t>
  </si>
  <si>
    <t>2851</t>
  </si>
  <si>
    <t>Bryan Galeano</t>
  </si>
  <si>
    <t>2850</t>
  </si>
  <si>
    <t>Erin Templeton</t>
  </si>
  <si>
    <t>2849</t>
  </si>
  <si>
    <t>Jason Cox</t>
  </si>
  <si>
    <t>2853</t>
  </si>
  <si>
    <t>CO2 Hose (8FT, daisy chain) (Included)</t>
  </si>
  <si>
    <t>2877</t>
  </si>
  <si>
    <t>2855</t>
  </si>
  <si>
    <t>CO2 Hose (50FT Upgrade Fee)</t>
  </si>
  <si>
    <t>CO2 Hose (100FT Upgrade Fee)</t>
  </si>
  <si>
    <t>2854</t>
  </si>
  <si>
    <t>2847</t>
  </si>
  <si>
    <t>Johnny Junatanov</t>
  </si>
  <si>
    <t>2846</t>
  </si>
  <si>
    <t>2845</t>
  </si>
  <si>
    <t>Aaron Abramson</t>
  </si>
  <si>
    <t>2843</t>
  </si>
  <si>
    <t>David Hays</t>
  </si>
  <si>
    <t>2842</t>
  </si>
  <si>
    <t>Michael Potrzeba</t>
  </si>
  <si>
    <t>2841</t>
  </si>
  <si>
    <t>2848</t>
  </si>
  <si>
    <t>2840</t>
  </si>
  <si>
    <t>2844</t>
  </si>
  <si>
    <t>25FT CO2 Hose - 3/8" NPT Male Swivel x JIC #6 female (install Female JIC adapter on NPT end)</t>
  </si>
  <si>
    <t>2839</t>
  </si>
  <si>
    <t>Nick Shakin</t>
  </si>
  <si>
    <t>2837</t>
  </si>
  <si>
    <t>Meet Patel</t>
  </si>
  <si>
    <t>2836</t>
  </si>
  <si>
    <t>2835</t>
  </si>
  <si>
    <t>Scott Wagner</t>
  </si>
  <si>
    <t>2833</t>
  </si>
  <si>
    <t>Mike Chiappinelli</t>
  </si>
  <si>
    <t>2832</t>
  </si>
  <si>
    <t>2834</t>
  </si>
  <si>
    <t>Midway SF</t>
  </si>
  <si>
    <t>DMX Jet MKII Repair</t>
  </si>
  <si>
    <t>Customer stated jet was leaking. Verified contamination in valve, replaced valve seal. Tested after repair, functioning properly.</t>
  </si>
  <si>
    <t>2838</t>
  </si>
  <si>
    <t>Tony Mahmood</t>
  </si>
  <si>
    <t>2831</t>
  </si>
  <si>
    <t>Alicia Espinoza</t>
  </si>
  <si>
    <t>2829</t>
  </si>
  <si>
    <t>2828</t>
  </si>
  <si>
    <t>Michael Majerowicz</t>
  </si>
  <si>
    <t>2827</t>
  </si>
  <si>
    <t>2826</t>
  </si>
  <si>
    <t>2825</t>
  </si>
  <si>
    <t>Jay Carreon</t>
  </si>
  <si>
    <t>2824</t>
  </si>
  <si>
    <t>Christopher August</t>
  </si>
  <si>
    <t>2822</t>
  </si>
  <si>
    <t>Enmanuel Torres</t>
  </si>
  <si>
    <t>2821</t>
  </si>
  <si>
    <t>James Leshinski</t>
  </si>
  <si>
    <t>2820</t>
  </si>
  <si>
    <t>2823</t>
  </si>
  <si>
    <t>Nicolas Rouen</t>
  </si>
  <si>
    <t>2819</t>
  </si>
  <si>
    <t>SUNIL RAMBHAROSE</t>
  </si>
  <si>
    <t>2818</t>
  </si>
  <si>
    <t>Kaivan Bazleh</t>
  </si>
  <si>
    <t>2817</t>
  </si>
  <si>
    <t>Naresh Kumar</t>
  </si>
  <si>
    <t>2816</t>
  </si>
  <si>
    <t>John Patterson</t>
  </si>
  <si>
    <t>2815</t>
  </si>
  <si>
    <t>Jake Schneider</t>
  </si>
  <si>
    <t>2814</t>
  </si>
  <si>
    <t>Carlos Mateo</t>
  </si>
  <si>
    <t>2813</t>
  </si>
  <si>
    <t>2812</t>
  </si>
  <si>
    <t>2811</t>
  </si>
  <si>
    <t>Andy Serrano</t>
  </si>
  <si>
    <t>2810</t>
  </si>
  <si>
    <t>2809</t>
  </si>
  <si>
    <t>2807</t>
  </si>
  <si>
    <t>2806</t>
  </si>
  <si>
    <t>Raymond Kraft</t>
  </si>
  <si>
    <t>2805</t>
  </si>
  <si>
    <t>JUDY BRADLEY</t>
  </si>
  <si>
    <t>2804</t>
  </si>
  <si>
    <t>Joseph Pudlick</t>
  </si>
  <si>
    <t>2808</t>
  </si>
  <si>
    <t>CO2 Washers (10 pack, Included)</t>
  </si>
  <si>
    <t>2FT CO2 Hose - JIC x JIC</t>
  </si>
  <si>
    <t>2FT CO2 Hose - Female JIC #6 x Female JIC #6</t>
  </si>
  <si>
    <t>2803</t>
  </si>
  <si>
    <t>2802</t>
  </si>
  <si>
    <t>Ryan Becker</t>
  </si>
  <si>
    <t>2800</t>
  </si>
  <si>
    <t>2798</t>
  </si>
  <si>
    <t>matt gossman</t>
  </si>
  <si>
    <t>2797</t>
  </si>
  <si>
    <t>2796</t>
  </si>
  <si>
    <t>2795</t>
  </si>
  <si>
    <t>Tim McLean</t>
  </si>
  <si>
    <t>2794</t>
  </si>
  <si>
    <t>Alyssa Gomez</t>
  </si>
  <si>
    <t>April 2023 Sales by Customer</t>
  </si>
  <si>
    <t>April 2023 Sales by SKU (Quantity)</t>
  </si>
  <si>
    <t>April 2023 Sales by SKU$</t>
  </si>
  <si>
    <t>March 2023</t>
  </si>
  <si>
    <t>2793</t>
  </si>
  <si>
    <t>Pedro Alejos</t>
  </si>
  <si>
    <t>2791</t>
  </si>
  <si>
    <t>2790</t>
  </si>
  <si>
    <t>Ramiro Vazquez</t>
  </si>
  <si>
    <t>2789</t>
  </si>
  <si>
    <t>Sahil Ramchandani</t>
  </si>
  <si>
    <t>CC-AC-CTAT-INT</t>
  </si>
  <si>
    <t>CO2 Wrench International</t>
  </si>
  <si>
    <t>2787</t>
  </si>
  <si>
    <t>Lawrence Neiman</t>
  </si>
  <si>
    <t>2786</t>
  </si>
  <si>
    <t>Lawrence Mulligan</t>
  </si>
  <si>
    <t>2785</t>
  </si>
  <si>
    <t>2784</t>
  </si>
  <si>
    <t>Gabriel Robinson</t>
  </si>
  <si>
    <t>2783</t>
  </si>
  <si>
    <t>2995</t>
  </si>
  <si>
    <t>CO2 Hose - WARRANTY REPLACEMENT</t>
  </si>
  <si>
    <t>2782</t>
  </si>
  <si>
    <t>Michael Stevenson</t>
  </si>
  <si>
    <t>2792</t>
  </si>
  <si>
    <t>LIFCO HYDRAULICS</t>
  </si>
  <si>
    <t>Cryo Clamp II, Weatherproof CO2 Jet (Custom convert to 12v, JIC input, leave wire as pigtail)</t>
  </si>
  <si>
    <t>Liquid CO2 Hose</t>
  </si>
  <si>
    <t>2788</t>
  </si>
  <si>
    <t>Also used for DMX Confetti Blower</t>
  </si>
  <si>
    <t>2780</t>
  </si>
  <si>
    <t>bc helmick</t>
  </si>
  <si>
    <t>2779</t>
  </si>
  <si>
    <t>Navnnet Singh</t>
  </si>
  <si>
    <t>2778</t>
  </si>
  <si>
    <t>Frantz Castry</t>
  </si>
  <si>
    <t>2777</t>
  </si>
  <si>
    <t>Rob Kenny</t>
  </si>
  <si>
    <t>2776</t>
  </si>
  <si>
    <t>2775</t>
  </si>
  <si>
    <t>2774</t>
  </si>
  <si>
    <t>Dan Quinn</t>
  </si>
  <si>
    <t>2773</t>
  </si>
  <si>
    <t>Byoneida lid Hernandez Hernandez</t>
  </si>
  <si>
    <t>2772</t>
  </si>
  <si>
    <t>Victor Ramirez</t>
  </si>
  <si>
    <t>2770</t>
  </si>
  <si>
    <t>Connor Frederichs</t>
  </si>
  <si>
    <t>2769</t>
  </si>
  <si>
    <t>Neil Garver</t>
  </si>
  <si>
    <t>2768</t>
  </si>
  <si>
    <t>Tiberiu Scrieciu</t>
  </si>
  <si>
    <t>2767</t>
  </si>
  <si>
    <t>2771</t>
  </si>
  <si>
    <t>2766</t>
  </si>
  <si>
    <t>EDWIN ANDRES MARIN VALENCIA</t>
  </si>
  <si>
    <t>2764</t>
  </si>
  <si>
    <t>2761</t>
  </si>
  <si>
    <t>2760</t>
  </si>
  <si>
    <t>Cedric Jones</t>
  </si>
  <si>
    <t>2759</t>
  </si>
  <si>
    <t>Hadi Taffal</t>
  </si>
  <si>
    <t>2762</t>
  </si>
  <si>
    <t>Anthony Martorano</t>
  </si>
  <si>
    <t>Customer stated valve was stuck open. Technician verified a broken filter inside valve. Replace &amp; test, functioning normally after repair.</t>
  </si>
  <si>
    <t>2763</t>
  </si>
  <si>
    <t>2765</t>
  </si>
  <si>
    <t>2758</t>
  </si>
  <si>
    <t>2757</t>
  </si>
  <si>
    <t>2756</t>
  </si>
  <si>
    <t>sean prolago</t>
  </si>
  <si>
    <t>2755</t>
  </si>
  <si>
    <t>Drew Sado</t>
  </si>
  <si>
    <t>2750</t>
  </si>
  <si>
    <t>Kelly Wright</t>
  </si>
  <si>
    <t>2749</t>
  </si>
  <si>
    <t>2748</t>
  </si>
  <si>
    <t>2752</t>
  </si>
  <si>
    <t>Custom 4 Channel Flame Relay</t>
  </si>
  <si>
    <t>E-Stop, Manual Button, True1 in/out, 4x True1 outputs, 5 pin DMX in/out, laser engraving, wiring &amp; assembly.</t>
  </si>
  <si>
    <t>2753</t>
  </si>
  <si>
    <t>Replacement Keys - Shomaster</t>
  </si>
  <si>
    <t>2754</t>
  </si>
  <si>
    <t>3/8" MQC Quick Connect Fitting</t>
  </si>
  <si>
    <t>2746</t>
  </si>
  <si>
    <t>Collin Kern</t>
  </si>
  <si>
    <t>2743</t>
  </si>
  <si>
    <t>Brandon Wong</t>
  </si>
  <si>
    <t>2742</t>
  </si>
  <si>
    <t>Connor O'Brien</t>
  </si>
  <si>
    <t>2741</t>
  </si>
  <si>
    <t>Shiva Bharmota</t>
  </si>
  <si>
    <t>2740</t>
  </si>
  <si>
    <t>John Morreale</t>
  </si>
  <si>
    <t>2747</t>
  </si>
  <si>
    <t>2744</t>
  </si>
  <si>
    <t>2739</t>
  </si>
  <si>
    <t>Moises Tarifa</t>
  </si>
  <si>
    <t>2738</t>
  </si>
  <si>
    <t>Jesus Javier Nuñez Piña</t>
  </si>
  <si>
    <t>2737</t>
  </si>
  <si>
    <t>Jessica McKelvey</t>
  </si>
  <si>
    <t>2734</t>
  </si>
  <si>
    <t>2733</t>
  </si>
  <si>
    <t>Adrian Herevia</t>
  </si>
  <si>
    <t>2736</t>
  </si>
  <si>
    <t>2732</t>
  </si>
  <si>
    <t>Renee Noland</t>
  </si>
  <si>
    <t>2731</t>
  </si>
  <si>
    <t>Zachariah St. Clair</t>
  </si>
  <si>
    <t>2730</t>
  </si>
  <si>
    <t>Connor Fredrichs</t>
  </si>
  <si>
    <t>2729</t>
  </si>
  <si>
    <t>2727</t>
  </si>
  <si>
    <t>2726</t>
  </si>
  <si>
    <t>Brian Kentley</t>
  </si>
  <si>
    <t>2724</t>
  </si>
  <si>
    <t>2723</t>
  </si>
  <si>
    <t>Carmen Mancuso</t>
  </si>
  <si>
    <t>2722</t>
  </si>
  <si>
    <t>Renardo Cardoza</t>
  </si>
  <si>
    <t>4237</t>
  </si>
  <si>
    <t>CO2 Washers (10 pack, included)</t>
  </si>
  <si>
    <t>2721</t>
  </si>
  <si>
    <t>2725</t>
  </si>
  <si>
    <t>2728</t>
  </si>
  <si>
    <t>Quad Jet 110v with 5 Pin DMX (B-STOCK)</t>
  </si>
  <si>
    <t>2720</t>
  </si>
  <si>
    <t>Tanya Stephenson</t>
  </si>
  <si>
    <t>2719</t>
  </si>
  <si>
    <t>2718</t>
  </si>
  <si>
    <t>Blake Dishman</t>
  </si>
  <si>
    <t>2717</t>
  </si>
  <si>
    <t>Saul Dominguez</t>
  </si>
  <si>
    <t>2716</t>
  </si>
  <si>
    <t>Benjamin Steele</t>
  </si>
  <si>
    <t>2715</t>
  </si>
  <si>
    <t>Glenn Oates</t>
  </si>
  <si>
    <t>2712</t>
  </si>
  <si>
    <t>Aaron Dinsmore</t>
  </si>
  <si>
    <t>2711</t>
  </si>
  <si>
    <t>2710</t>
  </si>
  <si>
    <t>First Name Last Name</t>
  </si>
  <si>
    <t>2709</t>
  </si>
  <si>
    <t>2714</t>
  </si>
  <si>
    <t>Warranty Service</t>
  </si>
  <si>
    <t xml:space="preserve">DMX cable came disconnected from main PCB. Replace &amp; verify functioning as designed. Unit performs as expected. Load handle broken during transport, replaced as courtesy. </t>
  </si>
  <si>
    <t>2713</t>
  </si>
  <si>
    <t>Cryo Clamp II, 110v, Weatherproof CO2 Jet (JIC Inputs)</t>
  </si>
  <si>
    <t>2707</t>
  </si>
  <si>
    <t>2706</t>
  </si>
  <si>
    <t>Fred Tian</t>
  </si>
  <si>
    <t>2705</t>
  </si>
  <si>
    <t>2708</t>
  </si>
  <si>
    <t>2704</t>
  </si>
  <si>
    <t>Jean Acosta</t>
  </si>
  <si>
    <t>2702</t>
  </si>
  <si>
    <t>Norman Sanchez</t>
  </si>
  <si>
    <t>2700</t>
  </si>
  <si>
    <t>Ryan Burch</t>
  </si>
  <si>
    <t>2698</t>
  </si>
  <si>
    <t>Juan Santana</t>
  </si>
  <si>
    <t>2697</t>
  </si>
  <si>
    <t>2695</t>
  </si>
  <si>
    <t>Mark Watts</t>
  </si>
  <si>
    <t>2694</t>
  </si>
  <si>
    <t>JOSUE Martinez Aguilera</t>
  </si>
  <si>
    <t>2696</t>
  </si>
  <si>
    <t>Pro Jet, 5 Pin, 110v</t>
  </si>
  <si>
    <t>CO2 Hose, 15FT (Standard Configuration, Included)</t>
  </si>
  <si>
    <t>CO2 Hose, 50FT (Standard Configuration, Upgrade fee)</t>
  </si>
  <si>
    <t>Hose Adapters - #3 – CO2 Output Terminator (Included)</t>
  </si>
  <si>
    <t>CO2 Hose 8FT (daisy chain configuration)</t>
  </si>
  <si>
    <t>REFUND CC-SM-5</t>
  </si>
  <si>
    <t xml:space="preserve">ShoMaster Console </t>
  </si>
  <si>
    <t>2699</t>
  </si>
  <si>
    <t>ShoMaster Console - Warranty Replacement</t>
  </si>
  <si>
    <t>2703</t>
  </si>
  <si>
    <t>2692</t>
  </si>
  <si>
    <t>Jason Bradley</t>
  </si>
  <si>
    <t>2691</t>
  </si>
  <si>
    <t>2690</t>
  </si>
  <si>
    <t>CHRISTOPHER BARTOSIK</t>
  </si>
  <si>
    <t>2689</t>
  </si>
  <si>
    <t>Frank Gaitan</t>
  </si>
  <si>
    <t>2688</t>
  </si>
  <si>
    <t>Enrique Hernandez</t>
  </si>
  <si>
    <t>2687</t>
  </si>
  <si>
    <t>2686</t>
  </si>
  <si>
    <t>2685</t>
  </si>
  <si>
    <t>Joe Pagano</t>
  </si>
  <si>
    <t>2684</t>
  </si>
  <si>
    <t>Emilio D'Amato</t>
  </si>
  <si>
    <t>2683</t>
  </si>
  <si>
    <t>DJ Mason</t>
  </si>
  <si>
    <t>2693</t>
  </si>
  <si>
    <t>2682</t>
  </si>
  <si>
    <t>2681</t>
  </si>
  <si>
    <t>Fernando Luis Ramos</t>
  </si>
  <si>
    <t>2680</t>
  </si>
  <si>
    <t>Ana Aguirre</t>
  </si>
  <si>
    <t>2679</t>
  </si>
  <si>
    <t>2678</t>
  </si>
  <si>
    <t>Mercedes Kelly</t>
  </si>
  <si>
    <t>2675</t>
  </si>
  <si>
    <t>SK PYRO SPECIAL EFFECTS</t>
  </si>
  <si>
    <t>2676</t>
  </si>
  <si>
    <t>CO2 Hose (15FT, standard configuration)(Included with Micro Jets)</t>
  </si>
  <si>
    <t>Used for uploading bootloader onto ShoStarter (from 1st order)</t>
  </si>
  <si>
    <t>2674</t>
  </si>
  <si>
    <t>Justin Luna</t>
  </si>
  <si>
    <t>2673</t>
  </si>
  <si>
    <t>Claudia Leon</t>
  </si>
  <si>
    <t>2671</t>
  </si>
  <si>
    <t>Marcio Ferreira costa</t>
  </si>
  <si>
    <t>2672</t>
  </si>
  <si>
    <t>2670</t>
  </si>
  <si>
    <t>2667</t>
  </si>
  <si>
    <t>Edward Alcivar</t>
  </si>
  <si>
    <t>2666</t>
  </si>
  <si>
    <t>Terence Tanjong</t>
  </si>
  <si>
    <t>2665</t>
  </si>
  <si>
    <t>2669</t>
  </si>
  <si>
    <t>2668</t>
  </si>
  <si>
    <t>2664</t>
  </si>
  <si>
    <t>Pedro Gutierrez</t>
  </si>
  <si>
    <t>2663</t>
  </si>
  <si>
    <t>christian lagrotteria</t>
  </si>
  <si>
    <t>2661</t>
  </si>
  <si>
    <t>Thomas Dean</t>
  </si>
  <si>
    <t>2660</t>
  </si>
  <si>
    <t>Derek Holt</t>
  </si>
  <si>
    <t>2658</t>
  </si>
  <si>
    <t>2656</t>
  </si>
  <si>
    <t>Abdelrahman Sadek</t>
  </si>
  <si>
    <t>2655</t>
  </si>
  <si>
    <t>John Zvolensky</t>
  </si>
  <si>
    <t>2662</t>
  </si>
  <si>
    <t>CO2 Hose, 15FT (tank to product) (Included)</t>
  </si>
  <si>
    <t>CO2 Hose, 25FT (tank to product)</t>
  </si>
  <si>
    <t>2852</t>
  </si>
  <si>
    <t>2659</t>
  </si>
  <si>
    <t>2657</t>
  </si>
  <si>
    <t>50FT CO2 Hose - Install JIC adaptor on NPT threads so both ends are JIC #6 female</t>
  </si>
  <si>
    <t>2654</t>
  </si>
  <si>
    <t>Braden Pettigrew</t>
  </si>
  <si>
    <t>2652</t>
  </si>
  <si>
    <t>Bobbi Clayton</t>
  </si>
  <si>
    <t>2651</t>
  </si>
  <si>
    <t>2650</t>
  </si>
  <si>
    <t>2649</t>
  </si>
  <si>
    <t>2648</t>
  </si>
  <si>
    <t>2645</t>
  </si>
  <si>
    <t>ricardo caballero</t>
  </si>
  <si>
    <t>2644</t>
  </si>
  <si>
    <t>Justin Heeley</t>
  </si>
  <si>
    <t>2643</t>
  </si>
  <si>
    <t>2647</t>
  </si>
  <si>
    <t>AV Dynamics</t>
  </si>
  <si>
    <t>Co2 Hose Custom Length Standard (100FT, upgrade from included 15' hoses)</t>
  </si>
  <si>
    <t>2646</t>
  </si>
  <si>
    <t>2642</t>
  </si>
  <si>
    <t>Michael Jabar</t>
  </si>
  <si>
    <t>2641</t>
  </si>
  <si>
    <t>2640</t>
  </si>
  <si>
    <t>alvin caampued</t>
  </si>
  <si>
    <t>2639</t>
  </si>
  <si>
    <t>Agustin Hernandez</t>
  </si>
  <si>
    <t>2638</t>
  </si>
  <si>
    <t>Abdallah Douleh</t>
  </si>
  <si>
    <t>2637</t>
  </si>
  <si>
    <t>2636</t>
  </si>
  <si>
    <t>Gene Morrell</t>
  </si>
  <si>
    <t>Cryo Clamp II, 110v - Weatherproof CO2 Jet</t>
  </si>
  <si>
    <t>Co2 Tank Attachment Tool (Complimentary)</t>
  </si>
  <si>
    <t>CO2 Washers (10 Pack)</t>
  </si>
  <si>
    <t>2634</t>
  </si>
  <si>
    <t>Drew Noller</t>
  </si>
  <si>
    <t>2633</t>
  </si>
  <si>
    <t>Harinder Phagura</t>
  </si>
  <si>
    <t>2632</t>
  </si>
  <si>
    <t>2631</t>
  </si>
  <si>
    <t>Derek Duvall</t>
  </si>
  <si>
    <t>2629</t>
  </si>
  <si>
    <t>Marcos Tulio Diaz de la O</t>
  </si>
  <si>
    <t>2628</t>
  </si>
  <si>
    <t>Trevor Green</t>
  </si>
  <si>
    <t>2627</t>
  </si>
  <si>
    <t>Rene Silvestre</t>
  </si>
  <si>
    <t>2635</t>
  </si>
  <si>
    <t>2626</t>
  </si>
  <si>
    <t>Cryo Clamp - 110 Volt (Male JIC Inlet, Female JIC Outlet. Barrel with right angle fitting, No Hose)</t>
  </si>
  <si>
    <t>2630</t>
  </si>
  <si>
    <t>25 foot hose, CGA-320 x Female JIC</t>
  </si>
  <si>
    <t>March 2023 Sales by Customer</t>
  </si>
  <si>
    <t>March 2023 Sales by SKU (Quantity)</t>
  </si>
  <si>
    <t>March 2023 Sales by SKU$</t>
  </si>
  <si>
    <t>February 2023</t>
  </si>
  <si>
    <t>2624</t>
  </si>
  <si>
    <t>Andrew Trego</t>
  </si>
  <si>
    <t>2623</t>
  </si>
  <si>
    <t>Frank Costa</t>
  </si>
  <si>
    <t>2622</t>
  </si>
  <si>
    <t>2620</t>
  </si>
  <si>
    <t>John Adam Morreale</t>
  </si>
  <si>
    <t>2619</t>
  </si>
  <si>
    <t>Steve Allen</t>
  </si>
  <si>
    <t>2618</t>
  </si>
  <si>
    <t>2625</t>
  </si>
  <si>
    <t>Quad Jet 110, 5 Pin (B-Stock)</t>
  </si>
  <si>
    <t>Micro CO2 Jet MKII 110, 5 Pin</t>
  </si>
  <si>
    <t>CO2 Hose, 15FT (Standard configuration, included with Quad Jets)</t>
  </si>
  <si>
    <t>CO2 Hose, 5FT (Standard configuration, included with Micro Jets)</t>
  </si>
  <si>
    <t>2617</t>
  </si>
  <si>
    <t>Quad Jet 110v with 5 Pin DMX, JIC Inputs instead of QC (New)</t>
  </si>
  <si>
    <t>Quad Jet 110v with 5 Pin DMX, JIC Inputs instead of QC  (B-Stock)</t>
  </si>
  <si>
    <t>CO2 Hose (15FT, CGA to 3/8" JIC - included)</t>
  </si>
  <si>
    <t>2616</t>
  </si>
  <si>
    <t>Micro Jet Power Mode Adapter</t>
  </si>
  <si>
    <t>2615</t>
  </si>
  <si>
    <t>Jeff Jones</t>
  </si>
  <si>
    <t>2614</t>
  </si>
  <si>
    <t>2612</t>
  </si>
  <si>
    <t>2611</t>
  </si>
  <si>
    <t>Melissa Lopez</t>
  </si>
  <si>
    <t>2610</t>
  </si>
  <si>
    <t>2609</t>
  </si>
  <si>
    <t>2608</t>
  </si>
  <si>
    <t>don-michael BALSAMO</t>
  </si>
  <si>
    <t>2607</t>
  </si>
  <si>
    <t>2605</t>
  </si>
  <si>
    <t>2606</t>
  </si>
  <si>
    <t>2604</t>
  </si>
  <si>
    <t>2603</t>
  </si>
  <si>
    <t>2602</t>
  </si>
  <si>
    <t>jose ramos</t>
  </si>
  <si>
    <t>2601</t>
  </si>
  <si>
    <t>Jason Garfinkel</t>
  </si>
  <si>
    <t>2600</t>
  </si>
  <si>
    <t>Heather Fox</t>
  </si>
  <si>
    <t>2599</t>
  </si>
  <si>
    <t>2598</t>
  </si>
  <si>
    <t>donny balsamo</t>
  </si>
  <si>
    <t>2596</t>
  </si>
  <si>
    <t>2594</t>
  </si>
  <si>
    <t>2592</t>
  </si>
  <si>
    <t>Zuleyka T</t>
  </si>
  <si>
    <t>2595</t>
  </si>
  <si>
    <t>2593</t>
  </si>
  <si>
    <t>2597</t>
  </si>
  <si>
    <t>Peter Diaz</t>
  </si>
  <si>
    <t>2589</t>
  </si>
  <si>
    <t>Ronnie Shuman</t>
  </si>
  <si>
    <t>2588</t>
  </si>
  <si>
    <t>2587</t>
  </si>
  <si>
    <t>Calvin Richardson</t>
  </si>
  <si>
    <t>2591</t>
  </si>
  <si>
    <t>Pro Jet, 5 Pin, 110v. JIC instead of QC</t>
  </si>
  <si>
    <t>5FT CO2 Hose (CGA-320 x Female JIC 3/8") INCLUDED</t>
  </si>
  <si>
    <t>JIC Cap for unused input/output - INCLUDED</t>
  </si>
  <si>
    <t>Neutrik PowerCON True1 Cords - 6FT, Standard - INCLUDED</t>
  </si>
  <si>
    <t>2590</t>
  </si>
  <si>
    <t>2586</t>
  </si>
  <si>
    <t>Jason Rutkowski</t>
  </si>
  <si>
    <t>2585</t>
  </si>
  <si>
    <t>2584</t>
  </si>
  <si>
    <t>2583</t>
  </si>
  <si>
    <t>Taz Sellers</t>
  </si>
  <si>
    <t>2582</t>
  </si>
  <si>
    <t>2581</t>
  </si>
  <si>
    <t>2580</t>
  </si>
  <si>
    <t>CIXI CHONGSHOU YONLON E-COMMERCE FIRM</t>
  </si>
  <si>
    <t>CC-F-FQCSAEF</t>
  </si>
  <si>
    <t>ISO-A Female Quick Connect - SAE Thread</t>
  </si>
  <si>
    <t>CC-F-MQCSAEF</t>
  </si>
  <si>
    <t>ISO-A Quick Connect Male - Female 3/8" SAE Thread</t>
  </si>
  <si>
    <t>2579</t>
  </si>
  <si>
    <t>John Longoria</t>
  </si>
  <si>
    <t>2577</t>
  </si>
  <si>
    <t>2576</t>
  </si>
  <si>
    <t>JORGE EDUARDO LACHIRA PEREZ</t>
  </si>
  <si>
    <t>2575</t>
  </si>
  <si>
    <t>2574</t>
  </si>
  <si>
    <t>Aaron Afanador</t>
  </si>
  <si>
    <t>2578</t>
  </si>
  <si>
    <t>3/8” Male Quick Connect ISO-A x 3/8” BSPP Female</t>
  </si>
  <si>
    <t>Warranty Repair</t>
  </si>
  <si>
    <t>Install updated MQC plumbing on pro jet. No charge</t>
  </si>
  <si>
    <t>2573</t>
  </si>
  <si>
    <t>2572</t>
  </si>
  <si>
    <t>Mario Allen</t>
  </si>
  <si>
    <t>2571</t>
  </si>
  <si>
    <t>Ravinder singh</t>
  </si>
  <si>
    <t>2570</t>
  </si>
  <si>
    <t>Laine Roland</t>
  </si>
  <si>
    <t>2569</t>
  </si>
  <si>
    <t>Samuel Perez</t>
  </si>
  <si>
    <t>2568</t>
  </si>
  <si>
    <t>Stefan Cuneo</t>
  </si>
  <si>
    <t>2567</t>
  </si>
  <si>
    <t>Matt Spencer / SDCM</t>
  </si>
  <si>
    <t>2566</t>
  </si>
  <si>
    <t>Alex Wang</t>
  </si>
  <si>
    <t>2565</t>
  </si>
  <si>
    <t>James Tovar</t>
  </si>
  <si>
    <t>2564</t>
  </si>
  <si>
    <t>Justin Adams-Pallais</t>
  </si>
  <si>
    <t>2563</t>
  </si>
  <si>
    <t>Fady Shenouda</t>
  </si>
  <si>
    <t>2562</t>
  </si>
  <si>
    <t>2561</t>
  </si>
  <si>
    <t>2560</t>
  </si>
  <si>
    <t>2559</t>
  </si>
  <si>
    <t>Laura Higgins</t>
  </si>
  <si>
    <t>2557</t>
  </si>
  <si>
    <t>Mitch Fortune</t>
  </si>
  <si>
    <t>2556</t>
  </si>
  <si>
    <t>2555</t>
  </si>
  <si>
    <t>2554</t>
  </si>
  <si>
    <t>2558</t>
  </si>
  <si>
    <t>2552</t>
  </si>
  <si>
    <t>travis hellewell</t>
  </si>
  <si>
    <t>2551</t>
  </si>
  <si>
    <t>2553</t>
  </si>
  <si>
    <t>CO2 Hose - 15FT, Standard (Included)</t>
  </si>
  <si>
    <t>25 foot hose - Upgrade</t>
  </si>
  <si>
    <t>CO2 Tank Tool + Washers (Included)</t>
  </si>
  <si>
    <t>2550</t>
  </si>
  <si>
    <t>2549</t>
  </si>
  <si>
    <t>Juan Hernandez</t>
  </si>
  <si>
    <t>2548</t>
  </si>
  <si>
    <t>2547</t>
  </si>
  <si>
    <t>Amy Shindorf</t>
  </si>
  <si>
    <t>2546</t>
  </si>
  <si>
    <t>2545</t>
  </si>
  <si>
    <t>COREY YOUNG</t>
  </si>
  <si>
    <t>2544</t>
  </si>
  <si>
    <t>michael Ruger</t>
  </si>
  <si>
    <t>2543</t>
  </si>
  <si>
    <t>Jerod Arreguini</t>
  </si>
  <si>
    <t>2541</t>
  </si>
  <si>
    <t>2537</t>
  </si>
  <si>
    <t>Humberto Tito</t>
  </si>
  <si>
    <t>2538</t>
  </si>
  <si>
    <t>CC-QJ-5-220</t>
  </si>
  <si>
    <t>Quad Jet 220v with 5 Pin DMX With Barrels</t>
  </si>
  <si>
    <t>CO2 Hose 25FT (Upgrade fee)</t>
  </si>
  <si>
    <t>2539</t>
  </si>
  <si>
    <t>Labor</t>
  </si>
  <si>
    <t>ShoMaster Repair - Replaced EEPROM chip</t>
  </si>
  <si>
    <t>2542</t>
  </si>
  <si>
    <t>2540</t>
  </si>
  <si>
    <t>2535</t>
  </si>
  <si>
    <t>Joe Johnson</t>
  </si>
  <si>
    <t>2534</t>
  </si>
  <si>
    <t>Shaun Joseph</t>
  </si>
  <si>
    <t>2533</t>
  </si>
  <si>
    <t>2532</t>
  </si>
  <si>
    <t>2536</t>
  </si>
  <si>
    <t>Co2 Hose Custom Length (120' long, #6 JIC female on both ends)</t>
  </si>
  <si>
    <t>2530</t>
  </si>
  <si>
    <t>2529</t>
  </si>
  <si>
    <t>Andres De Casas</t>
  </si>
  <si>
    <t>2528</t>
  </si>
  <si>
    <t>Christian Dill</t>
  </si>
  <si>
    <t>2526</t>
  </si>
  <si>
    <t>Timothy DeSimone</t>
  </si>
  <si>
    <t>2525</t>
  </si>
  <si>
    <t>Michael Gregorio</t>
  </si>
  <si>
    <t>2523</t>
  </si>
  <si>
    <t>Scott Graham</t>
  </si>
  <si>
    <t>2522</t>
  </si>
  <si>
    <t>Dipesh Patel</t>
  </si>
  <si>
    <t>2521</t>
  </si>
  <si>
    <t>2531</t>
  </si>
  <si>
    <t>2527</t>
  </si>
  <si>
    <t>2524</t>
  </si>
  <si>
    <t>Elite Audio + Visual Elements</t>
  </si>
  <si>
    <t xml:space="preserve">Testing &amp; Evaluation, replace missing parts, re-form damaged sheet metal, replace filters. </t>
  </si>
  <si>
    <t>2520</t>
  </si>
  <si>
    <t>Todd Barras</t>
  </si>
  <si>
    <t>2519</t>
  </si>
  <si>
    <t>Raymond Garlow</t>
  </si>
  <si>
    <t>2518</t>
  </si>
  <si>
    <t>2517</t>
  </si>
  <si>
    <t>Gary Bauer</t>
  </si>
  <si>
    <t>2516</t>
  </si>
  <si>
    <t>Jannica Valenzuela</t>
  </si>
  <si>
    <t>2505</t>
  </si>
  <si>
    <t>RYAN ANTHONY</t>
  </si>
  <si>
    <t>2504</t>
  </si>
  <si>
    <t>2503</t>
  </si>
  <si>
    <t>Juan Sanchez Sanchez</t>
  </si>
  <si>
    <t>2502</t>
  </si>
  <si>
    <t>2510</t>
  </si>
  <si>
    <t>2511</t>
  </si>
  <si>
    <t>2514</t>
  </si>
  <si>
    <t>2515</t>
  </si>
  <si>
    <t>2513</t>
  </si>
  <si>
    <t>Chris Siddens / Event Special Effects</t>
  </si>
  <si>
    <t>2512</t>
  </si>
  <si>
    <t>2501</t>
  </si>
  <si>
    <t>2500</t>
  </si>
  <si>
    <t>2499</t>
  </si>
  <si>
    <t>2498</t>
  </si>
  <si>
    <t>Levon Hakobyan</t>
  </si>
  <si>
    <t>2497</t>
  </si>
  <si>
    <t>Robert Brunet</t>
  </si>
  <si>
    <t>2496</t>
  </si>
  <si>
    <t>Jose m ortiz</t>
  </si>
  <si>
    <t>2495</t>
  </si>
  <si>
    <t>2494</t>
  </si>
  <si>
    <t>Corey Kruggel</t>
  </si>
  <si>
    <t>2493</t>
  </si>
  <si>
    <t>2492</t>
  </si>
  <si>
    <t>Dylan Verhoff</t>
  </si>
  <si>
    <t>2491</t>
  </si>
  <si>
    <t>Erkan Ustabas</t>
  </si>
  <si>
    <t>2489</t>
  </si>
  <si>
    <t>2488</t>
  </si>
  <si>
    <t>Trevor Worden</t>
  </si>
  <si>
    <t>2487</t>
  </si>
  <si>
    <t>William Hodgson</t>
  </si>
  <si>
    <t>2486</t>
  </si>
  <si>
    <t>Richard Chapman</t>
  </si>
  <si>
    <t>Co2 Hose Custom Length Daisy Chain</t>
  </si>
  <si>
    <t>2485</t>
  </si>
  <si>
    <t>Tyler Hoffman</t>
  </si>
  <si>
    <t>2484</t>
  </si>
  <si>
    <t>2490</t>
  </si>
  <si>
    <t>2482</t>
  </si>
  <si>
    <t>2481</t>
  </si>
  <si>
    <t>2480</t>
  </si>
  <si>
    <t>2478</t>
  </si>
  <si>
    <t>Alex Brown</t>
  </si>
  <si>
    <t>2477</t>
  </si>
  <si>
    <t>2483</t>
  </si>
  <si>
    <t>2475</t>
  </si>
  <si>
    <t>Wonder Pham</t>
  </si>
  <si>
    <t>2476</t>
  </si>
  <si>
    <t>CC-SS-35-ARM</t>
  </si>
  <si>
    <t>ShoStarter DMX Controller with ARM In &amp; Out</t>
  </si>
  <si>
    <t>3/8" Quick Connect Fitting</t>
  </si>
  <si>
    <t>2471</t>
  </si>
  <si>
    <t>David Bolter-Staub</t>
  </si>
  <si>
    <t>Handheld CO2 Cannon MKII, 15FT Hose (European Tank fitting, tools &amp; washers)</t>
  </si>
  <si>
    <t>2479</t>
  </si>
  <si>
    <t>2474</t>
  </si>
  <si>
    <t>2473</t>
  </si>
  <si>
    <t>Diana Perdue</t>
  </si>
  <si>
    <t>2472</t>
  </si>
  <si>
    <t>Roger Hayes</t>
  </si>
  <si>
    <t>2468</t>
  </si>
  <si>
    <t>2467</t>
  </si>
  <si>
    <t>Joe Chang</t>
  </si>
  <si>
    <t>2466</t>
  </si>
  <si>
    <t>2469</t>
  </si>
  <si>
    <t>2465</t>
  </si>
  <si>
    <t>Quad Jet, 110v, 5 Pin, JIC instead of QC (No Hoses)</t>
  </si>
  <si>
    <t>February 2023 Sales by Customer</t>
  </si>
  <si>
    <t>February 2023 Sales by SKU (Quantity)</t>
  </si>
  <si>
    <t>February 2023 Sales by SKU$</t>
  </si>
  <si>
    <t>January 2023</t>
  </si>
  <si>
    <t>2470</t>
  </si>
  <si>
    <t>Hector Mendez Jr</t>
  </si>
  <si>
    <t>2464</t>
  </si>
  <si>
    <t>2463</t>
  </si>
  <si>
    <t>Orlando Torres</t>
  </si>
  <si>
    <t>2461</t>
  </si>
  <si>
    <t>MJ Navara</t>
  </si>
  <si>
    <t>2460</t>
  </si>
  <si>
    <t>Diego De La Rosa</t>
  </si>
  <si>
    <t>2459</t>
  </si>
  <si>
    <t>3 pin to 5 pin Adapter</t>
  </si>
  <si>
    <t>Include 3 sets</t>
  </si>
  <si>
    <t>2462</t>
  </si>
  <si>
    <t>2458</t>
  </si>
  <si>
    <t>Patrick Fenderson</t>
  </si>
  <si>
    <t>2457</t>
  </si>
  <si>
    <t>Lavelle VanHorn</t>
  </si>
  <si>
    <t>2456</t>
  </si>
  <si>
    <t>2455</t>
  </si>
  <si>
    <t>Dan Lovenheim</t>
  </si>
  <si>
    <t>2454</t>
  </si>
  <si>
    <t>2453</t>
  </si>
  <si>
    <t>Quad Jet, 5 pin, 110v</t>
  </si>
  <si>
    <t>Product CO2 Hose - 25 foot upgrade fee</t>
  </si>
  <si>
    <t>CO2 Washer (Included)</t>
  </si>
  <si>
    <t>2452</t>
  </si>
  <si>
    <t>Cedric Buford</t>
  </si>
  <si>
    <t>2451</t>
  </si>
  <si>
    <t>2450</t>
  </si>
  <si>
    <t>Mason Johnston</t>
  </si>
  <si>
    <t>2449</t>
  </si>
  <si>
    <t>2448</t>
  </si>
  <si>
    <t>Edis Loja</t>
  </si>
  <si>
    <t>2446</t>
  </si>
  <si>
    <t>Chris Abell</t>
  </si>
  <si>
    <t>2445</t>
  </si>
  <si>
    <t>2447</t>
  </si>
  <si>
    <t>2444</t>
  </si>
  <si>
    <t>Jirair Chivitchian</t>
  </si>
  <si>
    <t>2443</t>
  </si>
  <si>
    <t>24v DC solenoid coil replacement</t>
  </si>
  <si>
    <t>2442</t>
  </si>
  <si>
    <t>Ruben Oajaca</t>
  </si>
  <si>
    <t>2441</t>
  </si>
  <si>
    <t>Greg Lomangino</t>
  </si>
  <si>
    <t>2440</t>
  </si>
  <si>
    <t>Aislinn Grenny</t>
  </si>
  <si>
    <t>2439</t>
  </si>
  <si>
    <t>2438</t>
  </si>
  <si>
    <t>Jeremy Burge</t>
  </si>
  <si>
    <t>2437</t>
  </si>
  <si>
    <t>Sal Cortez</t>
  </si>
  <si>
    <t>2436</t>
  </si>
  <si>
    <t>Joseph Weinman</t>
  </si>
  <si>
    <t>2435</t>
  </si>
  <si>
    <t>2432</t>
  </si>
  <si>
    <t>2431</t>
  </si>
  <si>
    <t>James Tupper</t>
  </si>
  <si>
    <t>2430</t>
  </si>
  <si>
    <t>2429</t>
  </si>
  <si>
    <t>2428</t>
  </si>
  <si>
    <t>Michael Bowman</t>
  </si>
  <si>
    <t>2427</t>
  </si>
  <si>
    <t>Marie Rodriguez</t>
  </si>
  <si>
    <t>2425</t>
  </si>
  <si>
    <t>2433</t>
  </si>
  <si>
    <t>Pro Jet, 5 Pin</t>
  </si>
  <si>
    <t>CO2 Hose (15FT, Daisy Chain Configuration)</t>
  </si>
  <si>
    <t>CO2 Hose (50FT, Standard CGA to QC)</t>
  </si>
  <si>
    <t>2434</t>
  </si>
  <si>
    <t>2426</t>
  </si>
  <si>
    <t>2424</t>
  </si>
  <si>
    <t>2423</t>
  </si>
  <si>
    <t>Vincent Cassidy</t>
  </si>
  <si>
    <t>2422</t>
  </si>
  <si>
    <t>Jermaine Johnson</t>
  </si>
  <si>
    <t>2421</t>
  </si>
  <si>
    <t>James Ausmus</t>
  </si>
  <si>
    <t>2420</t>
  </si>
  <si>
    <t>Ranjit Chand</t>
  </si>
  <si>
    <t>2419</t>
  </si>
  <si>
    <t>2418</t>
  </si>
  <si>
    <t>Patrick-Jordan Barnes</t>
  </si>
  <si>
    <t>2417</t>
  </si>
  <si>
    <t>Jordan Cox</t>
  </si>
  <si>
    <t>2416</t>
  </si>
  <si>
    <t>2415</t>
  </si>
  <si>
    <t>2414</t>
  </si>
  <si>
    <t>Corbin Alvae</t>
  </si>
  <si>
    <t>2413</t>
  </si>
  <si>
    <t>Prince Chishty</t>
  </si>
  <si>
    <t>2411</t>
  </si>
  <si>
    <t>LUIS APONTE</t>
  </si>
  <si>
    <t>2412</t>
  </si>
  <si>
    <t>2410</t>
  </si>
  <si>
    <t>ShoStarter DMX Controller with 3 &amp; 5 Pin Connectors</t>
  </si>
  <si>
    <t>Quad Jet 110v , 5 pin (Demo Unit / B Stock / No Hoses)</t>
  </si>
  <si>
    <t>2409</t>
  </si>
  <si>
    <t>Hendrick Lee</t>
  </si>
  <si>
    <t>2404</t>
  </si>
  <si>
    <t>2403</t>
  </si>
  <si>
    <t>lino aponte</t>
  </si>
  <si>
    <t>2408</t>
  </si>
  <si>
    <t>2401</t>
  </si>
  <si>
    <t>Casey Rusch</t>
  </si>
  <si>
    <t>2400</t>
  </si>
  <si>
    <t>2402</t>
  </si>
  <si>
    <t>Gilbert Salazar / Pyrotec S.A.</t>
  </si>
  <si>
    <t>Replacement O-Ring for female Quick Connector</t>
  </si>
  <si>
    <t>2405</t>
  </si>
  <si>
    <t>2407</t>
  </si>
  <si>
    <t>2406</t>
  </si>
  <si>
    <t>2399</t>
  </si>
  <si>
    <t>2398</t>
  </si>
  <si>
    <t>Monu Singh</t>
  </si>
  <si>
    <t>2397</t>
  </si>
  <si>
    <t>2396</t>
  </si>
  <si>
    <t>2395</t>
  </si>
  <si>
    <t>2394</t>
  </si>
  <si>
    <t>Parker Weiss</t>
  </si>
  <si>
    <t>2393</t>
  </si>
  <si>
    <t>2392</t>
  </si>
  <si>
    <t>2391</t>
  </si>
  <si>
    <t>Daniel Reyes</t>
  </si>
  <si>
    <t>2390</t>
  </si>
  <si>
    <t>Pasquale Lamarra</t>
  </si>
  <si>
    <t>2387</t>
  </si>
  <si>
    <t>testing, repair, &amp; evaluation. Replace XLR PCB on unit #0723182, replace valve seal on unit #0723196 (leaking)</t>
  </si>
  <si>
    <t>2386</t>
  </si>
  <si>
    <t>Pro Jet Main PCB with Voltage Detection Circuit</t>
  </si>
  <si>
    <t>2389</t>
  </si>
  <si>
    <t>2388</t>
  </si>
  <si>
    <t>2382</t>
  </si>
  <si>
    <t>Flow Productions / Jared Jared Van Earle</t>
  </si>
  <si>
    <t>CO2 Hose, 50FT, Standard configuration (Upgrade Fee)</t>
  </si>
  <si>
    <t>CO2 Washers, 10 pack (Included)</t>
  </si>
  <si>
    <t>CO2 Hose, 50FT, Standard configuration</t>
  </si>
  <si>
    <t>2385</t>
  </si>
  <si>
    <t>Quad Jet - 110v , 5 Pin (JIC #6 inlets, no hoses)</t>
  </si>
  <si>
    <t>2384</t>
  </si>
  <si>
    <t>2383</t>
  </si>
  <si>
    <t>2381</t>
  </si>
  <si>
    <t>Mario Bautista</t>
  </si>
  <si>
    <t>2379</t>
  </si>
  <si>
    <t>Justin James</t>
  </si>
  <si>
    <t>2378</t>
  </si>
  <si>
    <t>Tyler Strickland</t>
  </si>
  <si>
    <t>2380</t>
  </si>
  <si>
    <t>2377</t>
  </si>
  <si>
    <t>silky sullivan</t>
  </si>
  <si>
    <t>2376</t>
  </si>
  <si>
    <t>2653</t>
  </si>
  <si>
    <t>2374</t>
  </si>
  <si>
    <t>Pro Jet, 5 Pin DMX, 110v. JIC In/Out instead of QC (No Hose)</t>
  </si>
  <si>
    <t>2375</t>
  </si>
  <si>
    <t>2373</t>
  </si>
  <si>
    <t>2372</t>
  </si>
  <si>
    <t>Alexander Thompson</t>
  </si>
  <si>
    <t>2371</t>
  </si>
  <si>
    <t>Gabriel Borrego</t>
  </si>
  <si>
    <t>2370</t>
  </si>
  <si>
    <t>2369</t>
  </si>
  <si>
    <t>Anthony Brown</t>
  </si>
  <si>
    <t>2368</t>
  </si>
  <si>
    <t>2367</t>
  </si>
  <si>
    <t>Pro Jet, 5 Pin DMX, 110v</t>
  </si>
  <si>
    <t>CO2 Hose, 15FT, Standard Configuration (Included)</t>
  </si>
  <si>
    <t>Single CO2 Washer (Included)</t>
  </si>
  <si>
    <t>2365</t>
  </si>
  <si>
    <t>Isaiah Bradshaw</t>
  </si>
  <si>
    <t>2364</t>
  </si>
  <si>
    <t>2363</t>
  </si>
  <si>
    <t>2361</t>
  </si>
  <si>
    <t>Kirk Duncombe</t>
  </si>
  <si>
    <t>2360</t>
  </si>
  <si>
    <t>Quad Jet, 110v, 5 pin DMX</t>
  </si>
  <si>
    <t>CO2 Washers (10 Pack, included)</t>
  </si>
  <si>
    <t>2359</t>
  </si>
  <si>
    <t>Dominic Caminiti</t>
  </si>
  <si>
    <t>2358</t>
  </si>
  <si>
    <t>Mike Garrasi</t>
  </si>
  <si>
    <t>2357</t>
  </si>
  <si>
    <t>Jemika Moorman</t>
  </si>
  <si>
    <t>2356</t>
  </si>
  <si>
    <t>2355</t>
  </si>
  <si>
    <t>Rob Aitken</t>
  </si>
  <si>
    <t>2354</t>
  </si>
  <si>
    <t>2352</t>
  </si>
  <si>
    <t>2353</t>
  </si>
  <si>
    <t>CO2 Silencer w/ 1/4" Female port</t>
  </si>
  <si>
    <t>2351</t>
  </si>
  <si>
    <t>Joseluis Morales</t>
  </si>
  <si>
    <t>2348</t>
  </si>
  <si>
    <t>Walter Constanza</t>
  </si>
  <si>
    <t>2347</t>
  </si>
  <si>
    <t>2346</t>
  </si>
  <si>
    <t>Jake Tosti</t>
  </si>
  <si>
    <t>2349</t>
  </si>
  <si>
    <t>True1 to Edison ShoMaster AC Adapters</t>
  </si>
  <si>
    <t>2350</t>
  </si>
  <si>
    <t>2345</t>
  </si>
  <si>
    <t>2344</t>
  </si>
  <si>
    <t>Kyle Jonas</t>
  </si>
  <si>
    <t>2343</t>
  </si>
  <si>
    <t xml:space="preserve">Rory McElroy </t>
  </si>
  <si>
    <t>Product CO2 Hose - 50 foot hose - $175.00</t>
  </si>
  <si>
    <t>2342</t>
  </si>
  <si>
    <t>Sean Halstead</t>
  </si>
  <si>
    <t>January 2023 Sales by Customer</t>
  </si>
  <si>
    <t>January 2023 Sales by SKU (Quantity)</t>
  </si>
  <si>
    <t>January 2023 Sales by SKU$</t>
  </si>
  <si>
    <t>Hose Sales 2023</t>
  </si>
  <si>
    <t>Net Profit 2023:</t>
  </si>
  <si>
    <t>Total Profit 2023:</t>
  </si>
  <si>
    <t>Accessories &amp; Misc. Sales 2023</t>
  </si>
  <si>
    <t>Jet Sales 2023</t>
  </si>
  <si>
    <t>Controller Sales 2023</t>
  </si>
  <si>
    <t>Handheld Sales 2023</t>
  </si>
  <si>
    <t>Summary</t>
  </si>
  <si>
    <t># Sold</t>
  </si>
  <si>
    <t>% of Total</t>
  </si>
  <si>
    <t>Total Revenue</t>
  </si>
  <si>
    <t>Profit Each</t>
  </si>
  <si>
    <t>Annual Profit</t>
  </si>
  <si>
    <t>% of Total Profit</t>
  </si>
</sst>
</file>

<file path=xl/styles.xml><?xml version="1.0" encoding="utf-8"?>
<styleSheet xmlns="http://schemas.openxmlformats.org/spreadsheetml/2006/main">
  <numFmts count="9">
    <numFmt numFmtId="0" formatCode="General"/>
    <numFmt numFmtId="59" formatCode="mm/dd/yyyy"/>
    <numFmt numFmtId="60" formatCode="&quot; &quot;* #,##0.00&quot; &quot;;&quot; &quot;* (#,##0.00);&quot; &quot;* &quot;-&quot;??&quot; &quot;"/>
    <numFmt numFmtId="61" formatCode="&quot;$&quot;#,##0.00"/>
    <numFmt numFmtId="62" formatCode="&quot;$&quot;0.00"/>
    <numFmt numFmtId="63" formatCode="mmmm yyyy"/>
    <numFmt numFmtId="64" formatCode="mmmm"/>
    <numFmt numFmtId="65" formatCode="#,##0.00%"/>
    <numFmt numFmtId="66" formatCode="m/d/yyyy"/>
  </numFmts>
  <fonts count="11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8"/>
      <name val="Calibri"/>
    </font>
    <font>
      <b val="1"/>
      <sz val="13"/>
      <color indexed="8"/>
      <name val="Calibri"/>
    </font>
    <font>
      <sz val="13"/>
      <color indexed="8"/>
      <name val="Calibri"/>
    </font>
    <font>
      <b val="1"/>
      <sz val="14"/>
      <color indexed="8"/>
      <name val="Calibri"/>
    </font>
    <font>
      <b val="1"/>
      <sz val="12"/>
      <color indexed="8"/>
      <name val="Calibri"/>
    </font>
    <font>
      <i val="1"/>
      <sz val="13"/>
      <color indexed="8"/>
      <name val="Calibri"/>
    </font>
    <font>
      <b val="1"/>
      <i val="1"/>
      <sz val="13"/>
      <color indexed="8"/>
      <name val="Calibri"/>
    </font>
    <font>
      <sz val="18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gradientFill type="linear" degree="90">
        <stop position="0">
          <color rgb="ffb4d4a5"/>
        </stop>
        <stop position="1">
          <color rgb="ff9bc984"/>
        </stop>
      </gradientFill>
    </fill>
    <fill>
      <patternFill patternType="solid">
        <fgColor indexed="18"/>
        <bgColor auto="1"/>
      </patternFill>
    </fill>
    <fill>
      <patternFill patternType="solid">
        <fgColor indexed="19"/>
        <bgColor auto="1"/>
      </patternFill>
    </fill>
    <fill>
      <gradientFill type="linear" degree="90">
        <stop position="0">
          <color rgb="ffb4d4a5"/>
        </stop>
        <stop position="1">
          <color rgb="ff9bc984"/>
        </stop>
        <stop position="0.0758314">
          <color rgb="ffa8cd97"/>
        </stop>
      </gradientFill>
    </fill>
    <fill>
      <patternFill patternType="solid">
        <fgColor indexed="24"/>
        <bgColor auto="1"/>
      </patternFill>
    </fill>
  </fills>
  <borders count="9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>
        <color indexed="8"/>
      </right>
      <top style="thin">
        <color indexed="10"/>
      </top>
      <bottom style="thin">
        <color indexed="11"/>
      </bottom>
      <diagonal/>
    </border>
    <border>
      <left>
        <color indexed="8"/>
      </left>
      <right>
        <color indexed="8"/>
      </right>
      <top style="thin">
        <color indexed="10"/>
      </top>
      <bottom style="thin">
        <color indexed="11"/>
      </bottom>
      <diagonal/>
    </border>
    <border>
      <left>
        <color indexed="8"/>
      </left>
      <right style="thin">
        <color indexed="8"/>
      </right>
      <top style="thin">
        <color indexed="10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>
        <color indexed="8"/>
      </right>
      <top style="thin">
        <color indexed="11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1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8"/>
      </bottom>
      <diagonal/>
    </border>
    <border>
      <left style="thin">
        <color indexed="10"/>
      </left>
      <right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>
        <color indexed="8"/>
      </right>
      <top style="thin">
        <color indexed="8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1"/>
      </bottom>
      <diagonal/>
    </border>
    <border>
      <left style="thin">
        <color indexed="10"/>
      </left>
      <right>
        <color indexed="8"/>
      </right>
      <top style="thin">
        <color indexed="11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8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>
        <color indexed="8"/>
      </right>
      <top style="thin">
        <color indexed="11"/>
      </top>
      <bottom style="thin">
        <color indexed="11"/>
      </bottom>
      <diagonal/>
    </border>
    <border>
      <left>
        <color indexed="8"/>
      </left>
      <right>
        <color indexed="8"/>
      </right>
      <top style="thin">
        <color indexed="11"/>
      </top>
      <bottom style="thin">
        <color indexed="11"/>
      </bottom>
      <diagonal/>
    </border>
    <border>
      <left>
        <color indexed="8"/>
      </left>
      <right style="thin">
        <color indexed="8"/>
      </right>
      <top style="thin">
        <color indexed="11"/>
      </top>
      <bottom style="thin">
        <color indexed="11"/>
      </bottom>
      <diagonal/>
    </border>
    <border>
      <left style="thin">
        <color indexed="8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>
        <color indexed="8"/>
      </left>
      <right>
        <color indexed="8"/>
      </right>
      <top style="thin">
        <color indexed="11"/>
      </top>
      <bottom style="thin">
        <color indexed="8"/>
      </bottom>
      <diagonal/>
    </border>
    <border>
      <left>
        <color indexed="8"/>
      </left>
      <right style="thin">
        <color indexed="8"/>
      </right>
      <top style="thin">
        <color indexed="11"/>
      </top>
      <bottom style="thin">
        <color indexed="8"/>
      </bottom>
      <diagonal/>
    </border>
    <border>
      <left>
        <color indexed="8"/>
      </left>
      <right>
        <color indexed="8"/>
      </right>
      <top style="thin">
        <color indexed="8"/>
      </top>
      <bottom style="thin">
        <color indexed="8"/>
      </bottom>
      <diagonal/>
    </border>
    <border>
      <left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>
        <color indexed="8"/>
      </left>
      <right>
        <color indexed="8"/>
      </right>
      <top style="thin">
        <color indexed="8"/>
      </top>
      <bottom style="thin">
        <color indexed="11"/>
      </bottom>
      <diagonal/>
    </border>
    <border>
      <left>
        <color indexed="8"/>
      </left>
      <right style="thin">
        <color indexed="8"/>
      </right>
      <top style="thin">
        <color indexed="8"/>
      </top>
      <bottom style="thin">
        <color indexed="11"/>
      </bottom>
      <diagonal/>
    </border>
    <border>
      <left>
        <color indexed="8"/>
      </left>
      <right>
        <color indexed="8"/>
      </right>
      <top style="thin">
        <color indexed="11"/>
      </top>
      <bottom style="thin">
        <color indexed="10"/>
      </bottom>
      <diagonal/>
    </border>
    <border>
      <left>
        <color indexed="8"/>
      </left>
      <right style="thin">
        <color indexed="8"/>
      </right>
      <top style="thin">
        <color indexed="11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/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/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/>
      <bottom style="thin">
        <color indexed="10"/>
      </bottom>
      <diagonal/>
    </border>
    <border>
      <left/>
      <right style="thin">
        <color indexed="11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8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10"/>
      </bottom>
      <diagonal/>
    </border>
    <border>
      <left style="thin">
        <color indexed="11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 style="thin">
        <color indexed="8"/>
      </left>
      <right style="thin">
        <color indexed="11"/>
      </right>
      <top style="thin">
        <color indexed="10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1"/>
      </right>
      <top style="thin">
        <color indexed="8"/>
      </top>
      <bottom style="thin">
        <color indexed="8"/>
      </bottom>
      <diagonal/>
    </border>
    <border>
      <left style="thin">
        <color indexed="11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1"/>
      </right>
      <top style="thin">
        <color indexed="8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>
        <color indexed="8"/>
      </right>
      <top style="thin">
        <color indexed="11"/>
      </top>
      <bottom>
        <color indexed="8"/>
      </bottom>
      <diagonal/>
    </border>
    <border>
      <left>
        <color indexed="8"/>
      </left>
      <right>
        <color indexed="8"/>
      </right>
      <top style="thin">
        <color indexed="11"/>
      </top>
      <bottom>
        <color indexed="8"/>
      </bottom>
      <diagonal/>
    </border>
    <border>
      <left style="thin">
        <color indexed="10"/>
      </left>
      <right>
        <color indexed="8"/>
      </right>
      <top>
        <color indexed="8"/>
      </top>
      <bottom>
        <color indexed="8"/>
      </bottom>
      <diagonal/>
    </border>
    <border>
      <left>
        <color indexed="8"/>
      </left>
      <right>
        <color indexed="8"/>
      </right>
      <top>
        <color indexed="8"/>
      </top>
      <bottom>
        <color indexed="8"/>
      </bottom>
      <diagonal/>
    </border>
    <border>
      <left>
        <color indexed="8"/>
      </left>
      <right style="thin">
        <color indexed="8"/>
      </right>
      <top style="thin">
        <color indexed="10"/>
      </top>
      <bottom style="thin">
        <color indexed="10"/>
      </bottom>
      <diagonal/>
    </border>
    <border>
      <left>
        <color indexed="8"/>
      </left>
      <right>
        <color indexed="8"/>
      </right>
      <top>
        <color indexed="8"/>
      </top>
      <bottom style="thin">
        <color indexed="8"/>
      </bottom>
      <diagonal/>
    </border>
    <border>
      <left>
        <color indexed="8"/>
      </left>
      <right style="thin">
        <color indexed="8"/>
      </right>
      <top style="thin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10"/>
      </right>
      <top style="thin">
        <color indexed="10"/>
      </top>
      <bottom style="thin">
        <color indexed="8"/>
      </bottom>
      <diagonal/>
    </border>
    <border>
      <left style="thin">
        <color indexed="10"/>
      </left>
      <right>
        <color indexed="8"/>
      </right>
      <top>
        <color indexed="8"/>
      </top>
      <bottom style="thin">
        <color indexed="8"/>
      </bottom>
      <diagonal/>
    </border>
    <border>
      <left style="thin">
        <color indexed="10"/>
      </left>
      <right>
        <color indexed="8"/>
      </right>
      <top style="thin">
        <color indexed="8"/>
      </top>
      <bottom>
        <color indexed="8"/>
      </bottom>
      <diagonal/>
    </border>
    <border>
      <left>
        <color indexed="8"/>
      </left>
      <right>
        <color indexed="8"/>
      </right>
      <top style="thin">
        <color indexed="8"/>
      </top>
      <bottom>
        <color indexed="8"/>
      </bottom>
      <diagonal/>
    </border>
    <border>
      <left>
        <color indexed="8"/>
      </left>
      <right style="thin">
        <color indexed="8"/>
      </right>
      <top style="thin">
        <color indexed="8"/>
      </top>
      <bottom style="thin">
        <color indexed="10"/>
      </bottom>
      <diagonal/>
    </border>
    <border>
      <left style="thin">
        <color indexed="8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>
        <color indexed="8"/>
      </right>
      <top>
        <color indexed="8"/>
      </top>
      <bottom style="thin">
        <color indexed="11"/>
      </bottom>
      <diagonal/>
    </border>
    <border>
      <left/>
      <right style="thin">
        <color indexed="10"/>
      </right>
      <top style="thin">
        <color indexed="11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44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2" applyNumberFormat="0" applyFont="1" applyFill="0" applyBorder="0" applyAlignment="1" applyProtection="0">
      <alignment horizontal="center" vertical="center"/>
    </xf>
    <xf numFmtId="49" fontId="3" fillId="2" borderId="1" applyNumberFormat="1" applyFont="1" applyFill="1" applyBorder="1" applyAlignment="1" applyProtection="0">
      <alignment vertical="bottom"/>
    </xf>
    <xf numFmtId="49" fontId="3" fillId="3" borderId="2" applyNumberFormat="1" applyFont="1" applyFill="1" applyBorder="1" applyAlignment="1" applyProtection="0">
      <alignment vertical="bottom"/>
    </xf>
    <xf numFmtId="49" fontId="0" borderId="3" applyNumberFormat="1" applyFont="1" applyFill="0" applyBorder="1" applyAlignment="1" applyProtection="0">
      <alignment vertical="bottom"/>
    </xf>
    <xf numFmtId="59" fontId="0" borderId="4" applyNumberFormat="1" applyFont="1" applyFill="0" applyBorder="1" applyAlignment="1" applyProtection="0">
      <alignment vertical="bottom"/>
    </xf>
    <xf numFmtId="49" fontId="0" borderId="4" applyNumberFormat="1" applyFont="1" applyFill="0" applyBorder="1" applyAlignment="1" applyProtection="0">
      <alignment vertical="bottom"/>
    </xf>
    <xf numFmtId="0" fontId="0" borderId="4" applyNumberFormat="1" applyFont="1" applyFill="0" applyBorder="1" applyAlignment="1" applyProtection="0">
      <alignment vertical="bottom"/>
    </xf>
    <xf numFmtId="60" fontId="0" borderId="4" applyNumberFormat="1" applyFont="1" applyFill="0" applyBorder="1" applyAlignment="1" applyProtection="0">
      <alignment vertical="bottom"/>
    </xf>
    <xf numFmtId="49" fontId="3" fillId="3" borderId="5" applyNumberFormat="1" applyFont="1" applyFill="1" applyBorder="1" applyAlignment="1" applyProtection="0">
      <alignment vertical="bottom"/>
    </xf>
    <xf numFmtId="49" fontId="0" borderId="6" applyNumberFormat="1" applyFont="1" applyFill="0" applyBorder="1" applyAlignment="1" applyProtection="0">
      <alignment vertical="bottom"/>
    </xf>
    <xf numFmtId="59" fontId="0" borderId="7" applyNumberFormat="1" applyFont="1" applyFill="0" applyBorder="1" applyAlignment="1" applyProtection="0">
      <alignment vertical="bottom"/>
    </xf>
    <xf numFmtId="49" fontId="0" borderId="7" applyNumberFormat="1" applyFont="1" applyFill="0" applyBorder="1" applyAlignment="1" applyProtection="0">
      <alignment vertical="bottom"/>
    </xf>
    <xf numFmtId="0" fontId="0" borderId="7" applyNumberFormat="1" applyFont="1" applyFill="0" applyBorder="1" applyAlignment="1" applyProtection="0">
      <alignment vertical="bottom"/>
    </xf>
    <xf numFmtId="60" fontId="0" borderId="7" applyNumberFormat="1" applyFont="1" applyFill="0" applyBorder="1" applyAlignment="1" applyProtection="0">
      <alignment vertical="bottom"/>
    </xf>
    <xf numFmtId="0" fontId="0" borderId="7" applyNumberFormat="0" applyFont="1" applyFill="0" applyBorder="1" applyAlignment="1" applyProtection="0">
      <alignment vertical="bottom"/>
    </xf>
    <xf numFmtId="0" fontId="3" fillId="3" borderId="5" applyNumberFormat="0" applyFont="1" applyFill="1" applyBorder="1" applyAlignment="1" applyProtection="0">
      <alignment vertical="bottom"/>
    </xf>
    <xf numFmtId="0" fontId="0" borderId="6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8" applyNumberFormat="1" applyFont="1" applyFill="1" applyBorder="1" applyAlignment="1" applyProtection="0">
      <alignment vertical="bottom"/>
    </xf>
    <xf numFmtId="49" fontId="3" fillId="2" borderId="9" applyNumberFormat="1" applyFont="1" applyFill="1" applyBorder="1" applyAlignment="1" applyProtection="0">
      <alignment vertical="bottom"/>
    </xf>
    <xf numFmtId="49" fontId="3" fillId="2" borderId="10" applyNumberFormat="1" applyFont="1" applyFill="1" applyBorder="1" applyAlignment="1" applyProtection="0">
      <alignment vertical="bottom"/>
    </xf>
    <xf numFmtId="49" fontId="3" fillId="2" borderId="11" applyNumberFormat="1" applyFont="1" applyFill="1" applyBorder="1" applyAlignment="1" applyProtection="0">
      <alignment vertical="bottom"/>
    </xf>
    <xf numFmtId="49" fontId="3" fillId="4" borderId="12" applyNumberFormat="1" applyFont="1" applyFill="1" applyBorder="1" applyAlignment="1" applyProtection="0">
      <alignment vertical="top" wrapText="1"/>
    </xf>
    <xf numFmtId="0" fontId="3" fillId="4" borderId="13" applyNumberFormat="1" applyFont="1" applyFill="1" applyBorder="1" applyAlignment="1" applyProtection="0">
      <alignment vertical="top" wrapText="1"/>
    </xf>
    <xf numFmtId="60" fontId="3" fillId="4" borderId="14" applyNumberFormat="1" applyFont="1" applyFill="1" applyBorder="1" applyAlignment="1" applyProtection="0">
      <alignment vertical="top" wrapText="1"/>
    </xf>
    <xf numFmtId="49" fontId="3" fillId="4" borderId="15" applyNumberFormat="1" applyFont="1" applyFill="1" applyBorder="1" applyAlignment="1" applyProtection="0">
      <alignment vertical="top" wrapText="1"/>
    </xf>
    <xf numFmtId="0" fontId="3" fillId="4" borderId="16" applyNumberFormat="1" applyFont="1" applyFill="1" applyBorder="1" applyAlignment="1" applyProtection="0">
      <alignment vertical="top" wrapText="1"/>
    </xf>
    <xf numFmtId="60" fontId="3" fillId="4" borderId="17" applyNumberFormat="1" applyFont="1" applyFill="1" applyBorder="1" applyAlignment="1" applyProtection="0">
      <alignment vertical="top" wrapText="1"/>
    </xf>
    <xf numFmtId="49" fontId="3" fillId="4" borderId="18" applyNumberFormat="1" applyFont="1" applyFill="1" applyBorder="1" applyAlignment="1" applyProtection="0">
      <alignment vertical="top" wrapText="1"/>
    </xf>
    <xf numFmtId="0" fontId="3" fillId="4" borderId="19" applyNumberFormat="1" applyFont="1" applyFill="1" applyBorder="1" applyAlignment="1" applyProtection="0">
      <alignment vertical="top" wrapText="1"/>
    </xf>
    <xf numFmtId="60" fontId="3" fillId="4" borderId="20" applyNumberFormat="1" applyFont="1" applyFill="1" applyBorder="1" applyAlignment="1" applyProtection="0">
      <alignment vertical="top" wrapText="1"/>
    </xf>
    <xf numFmtId="49" fontId="3" fillId="5" borderId="21" applyNumberFormat="1" applyFont="1" applyFill="1" applyBorder="1" applyAlignment="1" applyProtection="0">
      <alignment vertical="bottom"/>
    </xf>
    <xf numFmtId="0" fontId="3" fillId="5" borderId="22" applyNumberFormat="1" applyFont="1" applyFill="1" applyBorder="1" applyAlignment="1" applyProtection="0">
      <alignment vertical="bottom"/>
    </xf>
    <xf numFmtId="60" fontId="3" fillId="5" borderId="4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23" applyNumberFormat="1" applyFont="1" applyFill="1" applyBorder="1" applyAlignment="1" applyProtection="0">
      <alignment vertical="bottom"/>
    </xf>
    <xf numFmtId="49" fontId="3" fillId="3" borderId="24" applyNumberFormat="1" applyFont="1" applyFill="1" applyBorder="1" applyAlignment="1" applyProtection="0">
      <alignment vertical="bottom"/>
    </xf>
    <xf numFmtId="0" fontId="3" fillId="3" borderId="22" applyNumberFormat="1" applyFont="1" applyFill="1" applyBorder="1" applyAlignment="1" applyProtection="0">
      <alignment vertical="bottom"/>
    </xf>
    <xf numFmtId="49" fontId="3" fillId="3" borderId="25" applyNumberFormat="1" applyFont="1" applyFill="1" applyBorder="1" applyAlignment="1" applyProtection="0">
      <alignment vertical="bottom"/>
    </xf>
    <xf numFmtId="0" fontId="3" fillId="3" borderId="26" applyNumberFormat="1" applyFont="1" applyFill="1" applyBorder="1" applyAlignment="1" applyProtection="0">
      <alignment vertical="bottom"/>
    </xf>
    <xf numFmtId="49" fontId="3" fillId="3" borderId="23" applyNumberFormat="1" applyFont="1" applyFill="1" applyBorder="1" applyAlignment="1" applyProtection="0">
      <alignment vertical="bottom"/>
    </xf>
    <xf numFmtId="0" fontId="3" fillId="3" borderId="11" applyNumberFormat="1" applyFont="1" applyFill="1" applyBorder="1" applyAlignment="1" applyProtection="0">
      <alignment vertical="bottom"/>
    </xf>
    <xf numFmtId="49" fontId="3" fillId="5" borderId="24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1" fontId="3" fillId="3" borderId="22" applyNumberFormat="1" applyFont="1" applyFill="1" applyBorder="1" applyAlignment="1" applyProtection="0">
      <alignment vertical="bottom"/>
    </xf>
    <xf numFmtId="62" fontId="3" fillId="3" borderId="26" applyNumberFormat="1" applyFont="1" applyFill="1" applyBorder="1" applyAlignment="1" applyProtection="0">
      <alignment vertical="bottom"/>
    </xf>
    <xf numFmtId="61" fontId="3" fillId="3" borderId="26" applyNumberFormat="1" applyFont="1" applyFill="1" applyBorder="1" applyAlignment="1" applyProtection="0">
      <alignment vertical="bottom"/>
    </xf>
    <xf numFmtId="62" fontId="3" fillId="3" borderId="11" applyNumberFormat="1" applyFont="1" applyFill="1" applyBorder="1" applyAlignment="1" applyProtection="0">
      <alignment vertical="bottom"/>
    </xf>
    <xf numFmtId="61" fontId="3" fillId="5" borderId="22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7" applyNumberFormat="1" applyFont="1" applyFill="0" applyBorder="1" applyAlignment="1" applyProtection="0">
      <alignment vertical="bottom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0" fontId="3" fillId="3" borderId="22" applyNumberFormat="1" applyFont="1" applyFill="1" applyBorder="1" applyAlignment="1" applyProtection="0">
      <alignment vertical="bottom"/>
    </xf>
    <xf numFmtId="60" fontId="3" fillId="3" borderId="26" applyNumberFormat="1" applyFont="1" applyFill="1" applyBorder="1" applyAlignment="1" applyProtection="0">
      <alignment vertical="bottom"/>
    </xf>
    <xf numFmtId="60" fontId="3" fillId="3" borderId="11" applyNumberFormat="1" applyFont="1" applyFill="1" applyBorder="1" applyAlignment="1" applyProtection="0">
      <alignment vertical="bottom"/>
    </xf>
    <xf numFmtId="60" fontId="3" fillId="5" borderId="22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3" borderId="27" applyNumberFormat="0" applyFont="1" applyFill="1" applyBorder="1" applyAlignment="1" applyProtection="0">
      <alignment vertical="bottom"/>
    </xf>
    <xf numFmtId="0" fontId="3" fillId="3" borderId="28" applyNumberFormat="0" applyFont="1" applyFill="1" applyBorder="1" applyAlignment="1" applyProtection="0">
      <alignment vertical="bottom"/>
    </xf>
    <xf numFmtId="49" fontId="3" fillId="3" borderId="29" applyNumberFormat="1" applyFont="1" applyFill="1" applyBorder="1" applyAlignment="1" applyProtection="0">
      <alignment vertical="bottom"/>
    </xf>
    <xf numFmtId="0" fontId="3" fillId="3" borderId="30" applyNumberFormat="1" applyFont="1" applyFill="1" applyBorder="1" applyAlignment="1" applyProtection="0">
      <alignment vertical="bottom"/>
    </xf>
    <xf numFmtId="60" fontId="3" fillId="3" borderId="31" applyNumberFormat="1" applyFont="1" applyFill="1" applyBorder="1" applyAlignment="1" applyProtection="0">
      <alignment vertical="bottom"/>
    </xf>
    <xf numFmtId="0" fontId="3" fillId="3" borderId="27" applyNumberFormat="0" applyFont="1" applyFill="1" applyBorder="1" applyAlignment="1" applyProtection="0">
      <alignment vertical="top"/>
    </xf>
    <xf numFmtId="0" fontId="3" fillId="3" borderId="28" applyNumberFormat="0" applyFont="1" applyFill="1" applyBorder="1" applyAlignment="1" applyProtection="0">
      <alignment vertical="top"/>
    </xf>
    <xf numFmtId="63" fontId="3" fillId="4" borderId="28" applyNumberFormat="1" applyFont="1" applyFill="1" applyBorder="1" applyAlignment="1" applyProtection="0">
      <alignment vertical="top" wrapText="1"/>
    </xf>
    <xf numFmtId="0" fontId="3" fillId="4" borderId="29" applyNumberFormat="0" applyFont="1" applyFill="1" applyBorder="1" applyAlignment="1" applyProtection="0">
      <alignment vertical="top"/>
    </xf>
    <xf numFmtId="0" fontId="3" fillId="4" borderId="30" applyNumberFormat="1" applyFont="1" applyFill="1" applyBorder="1" applyAlignment="1" applyProtection="0">
      <alignment vertical="top" wrapText="1"/>
    </xf>
    <xf numFmtId="60" fontId="3" fillId="4" borderId="31" applyNumberFormat="1" applyFont="1" applyFill="1" applyBorder="1" applyAlignment="1" applyProtection="0">
      <alignment vertical="top" wrapText="1"/>
    </xf>
    <xf numFmtId="49" fontId="3" fillId="4" borderId="28" applyNumberFormat="1" applyFont="1" applyFill="1" applyBorder="1" applyAlignment="1" applyProtection="0">
      <alignment vertical="top" wrapText="1"/>
    </xf>
    <xf numFmtId="0" fontId="3" fillId="4" borderId="28" applyNumberFormat="0" applyFont="1" applyFill="1" applyBorder="1" applyAlignment="1" applyProtection="0">
      <alignment vertical="top"/>
    </xf>
    <xf numFmtId="0" fontId="3" fillId="4" borderId="32" applyNumberFormat="0" applyFont="1" applyFill="1" applyBorder="1" applyAlignment="1" applyProtection="0">
      <alignment vertical="top"/>
    </xf>
    <xf numFmtId="0" fontId="3" fillId="4" borderId="33" applyNumberFormat="0" applyFont="1" applyFill="1" applyBorder="1" applyAlignment="1" applyProtection="0">
      <alignment vertical="top"/>
    </xf>
    <xf numFmtId="0" fontId="3" fillId="3" borderId="15" applyNumberFormat="0" applyFont="1" applyFill="1" applyBorder="1" applyAlignment="1" applyProtection="0">
      <alignment vertical="bottom"/>
    </xf>
    <xf numFmtId="0" fontId="3" fillId="3" borderId="34" applyNumberFormat="0" applyFont="1" applyFill="1" applyBorder="1" applyAlignment="1" applyProtection="0">
      <alignment vertical="bottom"/>
    </xf>
    <xf numFmtId="49" fontId="3" fillId="3" borderId="35" applyNumberFormat="1" applyFont="1" applyFill="1" applyBorder="1" applyAlignment="1" applyProtection="0">
      <alignment vertical="bottom"/>
    </xf>
    <xf numFmtId="0" fontId="3" fillId="3" borderId="16" applyNumberFormat="1" applyFont="1" applyFill="1" applyBorder="1" applyAlignment="1" applyProtection="0">
      <alignment vertical="bottom"/>
    </xf>
    <xf numFmtId="60" fontId="3" fillId="3" borderId="17" applyNumberFormat="1" applyFont="1" applyFill="1" applyBorder="1" applyAlignment="1" applyProtection="0">
      <alignment vertical="bottom"/>
    </xf>
    <xf numFmtId="0" fontId="3" fillId="3" borderId="15" applyNumberFormat="0" applyFont="1" applyFill="1" applyBorder="1" applyAlignment="1" applyProtection="0">
      <alignment vertical="top"/>
    </xf>
    <xf numFmtId="0" fontId="3" fillId="3" borderId="34" applyNumberFormat="0" applyFont="1" applyFill="1" applyBorder="1" applyAlignment="1" applyProtection="0">
      <alignment vertical="top"/>
    </xf>
    <xf numFmtId="63" fontId="3" fillId="4" borderId="34" applyNumberFormat="1" applyFont="1" applyFill="1" applyBorder="1" applyAlignment="1" applyProtection="0">
      <alignment vertical="top" wrapText="1"/>
    </xf>
    <xf numFmtId="0" fontId="3" fillId="4" borderId="35" applyNumberFormat="0" applyFont="1" applyFill="1" applyBorder="1" applyAlignment="1" applyProtection="0">
      <alignment vertical="top"/>
    </xf>
    <xf numFmtId="49" fontId="3" fillId="4" borderId="34" applyNumberFormat="1" applyFont="1" applyFill="1" applyBorder="1" applyAlignment="1" applyProtection="0">
      <alignment vertical="top" wrapText="1"/>
    </xf>
    <xf numFmtId="0" fontId="3" fillId="4" borderId="34" applyNumberFormat="0" applyFont="1" applyFill="1" applyBorder="1" applyAlignment="1" applyProtection="0">
      <alignment vertical="top"/>
    </xf>
    <xf numFmtId="0" fontId="3" fillId="4" borderId="36" applyNumberFormat="0" applyFont="1" applyFill="1" applyBorder="1" applyAlignment="1" applyProtection="0">
      <alignment vertical="top"/>
    </xf>
    <xf numFmtId="0" fontId="3" fillId="4" borderId="37" applyNumberFormat="0" applyFont="1" applyFill="1" applyBorder="1" applyAlignment="1" applyProtection="0">
      <alignment vertical="top"/>
    </xf>
    <xf numFmtId="0" fontId="3" fillId="5" borderId="38" applyNumberFormat="0" applyFont="1" applyFill="1" applyBorder="1" applyAlignment="1" applyProtection="0">
      <alignment vertical="bottom"/>
    </xf>
    <xf numFmtId="0" fontId="3" fillId="5" borderId="39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1" fontId="3" fillId="4" borderId="14" applyNumberFormat="1" applyFont="1" applyFill="1" applyBorder="1" applyAlignment="1" applyProtection="0">
      <alignment vertical="top" wrapText="1"/>
    </xf>
    <xf numFmtId="61" fontId="3" fillId="4" borderId="17" applyNumberFormat="1" applyFont="1" applyFill="1" applyBorder="1" applyAlignment="1" applyProtection="0">
      <alignment vertical="top" wrapText="1"/>
    </xf>
    <xf numFmtId="62" fontId="3" fillId="4" borderId="17" applyNumberFormat="1" applyFont="1" applyFill="1" applyBorder="1" applyAlignment="1" applyProtection="0">
      <alignment vertical="top" wrapText="1"/>
    </xf>
    <xf numFmtId="61" fontId="3" fillId="4" borderId="20" applyNumberFormat="1" applyFont="1" applyFill="1" applyBorder="1" applyAlignment="1" applyProtection="0">
      <alignment vertical="top" wrapText="1"/>
    </xf>
    <xf numFmtId="61" fontId="3" fillId="5" borderId="4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2" fontId="3" fillId="3" borderId="22" applyNumberFormat="1" applyFont="1" applyFill="1" applyBorder="1" applyAlignment="1" applyProtection="0">
      <alignment vertical="bottom"/>
    </xf>
    <xf numFmtId="62" fontId="3" fillId="5" borderId="22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3" borderId="2" applyNumberFormat="1" applyFont="1" applyFill="1" applyBorder="1" applyAlignment="1" applyProtection="0">
      <alignment horizontal="left" vertical="bottom"/>
    </xf>
    <xf numFmtId="0" fontId="3" fillId="3" borderId="5" applyNumberFormat="1" applyFont="1" applyFill="1" applyBorder="1" applyAlignment="1" applyProtection="0">
      <alignment horizontal="left"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5" borderId="12" applyNumberFormat="1" applyFont="1" applyFill="1" applyBorder="1" applyAlignment="1" applyProtection="0">
      <alignment vertical="top" wrapText="1"/>
    </xf>
    <xf numFmtId="0" fontId="3" fillId="5" borderId="32" applyNumberFormat="0" applyFont="1" applyFill="1" applyBorder="1" applyAlignment="1" applyProtection="0">
      <alignment vertical="top" wrapText="1"/>
    </xf>
    <xf numFmtId="0" fontId="3" fillId="5" borderId="33" applyNumberFormat="0" applyFont="1" applyFill="1" applyBorder="1" applyAlignment="1" applyProtection="0">
      <alignment vertical="top" wrapText="1"/>
    </xf>
    <xf numFmtId="0" fontId="3" fillId="5" borderId="13" applyNumberFormat="1" applyFont="1" applyFill="1" applyBorder="1" applyAlignment="1" applyProtection="0">
      <alignment vertical="top" wrapText="1"/>
    </xf>
    <xf numFmtId="61" fontId="3" fillId="5" borderId="14" applyNumberFormat="1" applyFont="1" applyFill="1" applyBorder="1" applyAlignment="1" applyProtection="0">
      <alignment vertical="top" wrapText="1"/>
    </xf>
    <xf numFmtId="49" fontId="3" fillId="5" borderId="15" applyNumberFormat="1" applyFont="1" applyFill="1" applyBorder="1" applyAlignment="1" applyProtection="0">
      <alignment vertical="top" wrapText="1"/>
    </xf>
    <xf numFmtId="0" fontId="3" fillId="5" borderId="34" applyNumberFormat="0" applyFont="1" applyFill="1" applyBorder="1" applyAlignment="1" applyProtection="0">
      <alignment vertical="top" wrapText="1"/>
    </xf>
    <xf numFmtId="0" fontId="3" fillId="5" borderId="35" applyNumberFormat="0" applyFont="1" applyFill="1" applyBorder="1" applyAlignment="1" applyProtection="0">
      <alignment vertical="top" wrapText="1"/>
    </xf>
    <xf numFmtId="0" fontId="3" fillId="5" borderId="16" applyNumberFormat="1" applyFont="1" applyFill="1" applyBorder="1" applyAlignment="1" applyProtection="0">
      <alignment vertical="top" wrapText="1"/>
    </xf>
    <xf numFmtId="61" fontId="3" fillId="5" borderId="17" applyNumberFormat="1" applyFont="1" applyFill="1" applyBorder="1" applyAlignment="1" applyProtection="0">
      <alignment vertical="top" wrapText="1"/>
    </xf>
    <xf numFmtId="62" fontId="3" fillId="5" borderId="17" applyNumberFormat="1" applyFont="1" applyFill="1" applyBorder="1" applyAlignment="1" applyProtection="0">
      <alignment vertical="top" wrapText="1"/>
    </xf>
    <xf numFmtId="49" fontId="3" fillId="5" borderId="18" applyNumberFormat="1" applyFont="1" applyFill="1" applyBorder="1" applyAlignment="1" applyProtection="0">
      <alignment vertical="top" wrapText="1"/>
    </xf>
    <xf numFmtId="0" fontId="3" fillId="5" borderId="36" applyNumberFormat="0" applyFont="1" applyFill="1" applyBorder="1" applyAlignment="1" applyProtection="0">
      <alignment vertical="top" wrapText="1"/>
    </xf>
    <xf numFmtId="0" fontId="3" fillId="5" borderId="37" applyNumberFormat="0" applyFont="1" applyFill="1" applyBorder="1" applyAlignment="1" applyProtection="0">
      <alignment vertical="top" wrapText="1"/>
    </xf>
    <xf numFmtId="0" fontId="3" fillId="5" borderId="19" applyNumberFormat="1" applyFont="1" applyFill="1" applyBorder="1" applyAlignment="1" applyProtection="0">
      <alignment vertical="top" wrapText="1"/>
    </xf>
    <xf numFmtId="62" fontId="3" fillId="5" borderId="20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0" fontId="3" fillId="5" borderId="14" applyNumberFormat="1" applyFont="1" applyFill="1" applyBorder="1" applyAlignment="1" applyProtection="0">
      <alignment vertical="top" wrapText="1"/>
    </xf>
    <xf numFmtId="60" fontId="3" fillId="5" borderId="17" applyNumberFormat="1" applyFont="1" applyFill="1" applyBorder="1" applyAlignment="1" applyProtection="0">
      <alignment vertical="top" wrapText="1"/>
    </xf>
    <xf numFmtId="60" fontId="3" fillId="5" borderId="20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bottom"/>
    </xf>
    <xf numFmtId="49" fontId="3" fillId="5" borderId="11" applyNumberFormat="1" applyFont="1" applyFill="1" applyBorder="1" applyAlignment="1" applyProtection="0">
      <alignment vertical="bottom"/>
    </xf>
    <xf numFmtId="0" fontId="3" fillId="5" borderId="26" applyNumberFormat="1" applyFont="1" applyFill="1" applyBorder="1" applyAlignment="1" applyProtection="0">
      <alignment vertical="bottom"/>
    </xf>
    <xf numFmtId="0" fontId="3" fillId="5" borderId="1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2" fontId="3" fillId="5" borderId="26" applyNumberFormat="1" applyFont="1" applyFill="1" applyBorder="1" applyAlignment="1" applyProtection="0">
      <alignment vertical="bottom"/>
    </xf>
    <xf numFmtId="61" fontId="3" fillId="5" borderId="26" applyNumberFormat="1" applyFont="1" applyFill="1" applyBorder="1" applyAlignment="1" applyProtection="0">
      <alignment vertical="bottom"/>
    </xf>
    <xf numFmtId="62" fontId="3" fillId="5" borderId="1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4" fillId="2" borderId="40" applyNumberFormat="1" applyFont="1" applyFill="1" applyBorder="1" applyAlignment="1" applyProtection="0">
      <alignment vertical="bottom"/>
    </xf>
    <xf numFmtId="64" fontId="4" fillId="2" borderId="1" applyNumberFormat="1" applyFont="1" applyFill="1" applyBorder="1" applyAlignment="1" applyProtection="0">
      <alignment horizontal="center" vertical="bottom"/>
    </xf>
    <xf numFmtId="49" fontId="4" fillId="2" borderId="41" applyNumberFormat="1" applyFont="1" applyFill="1" applyBorder="1" applyAlignment="1" applyProtection="0">
      <alignment horizontal="center" vertical="bottom"/>
    </xf>
    <xf numFmtId="0" fontId="4" fillId="2" borderId="42" applyNumberFormat="0" applyFont="1" applyFill="1" applyBorder="1" applyAlignment="1" applyProtection="0">
      <alignment horizontal="center" vertical="bottom"/>
    </xf>
    <xf numFmtId="49" fontId="4" fillId="3" borderId="2" applyNumberFormat="1" applyFont="1" applyFill="1" applyBorder="1" applyAlignment="1" applyProtection="0">
      <alignment vertical="bottom"/>
    </xf>
    <xf numFmtId="0" fontId="5" borderId="3" applyNumberFormat="1" applyFont="1" applyFill="0" applyBorder="1" applyAlignment="1" applyProtection="0">
      <alignment vertical="bottom"/>
    </xf>
    <xf numFmtId="0" fontId="5" borderId="4" applyNumberFormat="1" applyFont="1" applyFill="0" applyBorder="1" applyAlignment="1" applyProtection="0">
      <alignment vertical="bottom"/>
    </xf>
    <xf numFmtId="0" fontId="5" borderId="4" applyNumberFormat="0" applyFont="1" applyFill="0" applyBorder="1" applyAlignment="1" applyProtection="0">
      <alignment vertical="bottom"/>
    </xf>
    <xf numFmtId="0" fontId="4" borderId="43" applyNumberFormat="1" applyFont="1" applyFill="0" applyBorder="1" applyAlignment="1" applyProtection="0">
      <alignment vertical="bottom"/>
    </xf>
    <xf numFmtId="0" fontId="4" borderId="44" applyNumberFormat="0" applyFont="1" applyFill="0" applyBorder="1" applyAlignment="1" applyProtection="0">
      <alignment vertical="bottom"/>
    </xf>
    <xf numFmtId="49" fontId="4" fillId="3" borderId="5" applyNumberFormat="1" applyFont="1" applyFill="1" applyBorder="1" applyAlignment="1" applyProtection="0">
      <alignment vertical="bottom"/>
    </xf>
    <xf numFmtId="0" fontId="5" borderId="6" applyNumberFormat="1" applyFont="1" applyFill="0" applyBorder="1" applyAlignment="1" applyProtection="0">
      <alignment vertical="bottom"/>
    </xf>
    <xf numFmtId="0" fontId="5" borderId="7" applyNumberFormat="1" applyFont="1" applyFill="0" applyBorder="1" applyAlignment="1" applyProtection="0">
      <alignment vertical="bottom"/>
    </xf>
    <xf numFmtId="0" fontId="5" borderId="7" applyNumberFormat="0" applyFont="1" applyFill="0" applyBorder="1" applyAlignment="1" applyProtection="0">
      <alignment vertical="bottom"/>
    </xf>
    <xf numFmtId="0" fontId="4" borderId="45" applyNumberFormat="1" applyFont="1" applyFill="0" applyBorder="1" applyAlignment="1" applyProtection="0">
      <alignment vertical="bottom"/>
    </xf>
    <xf numFmtId="0" fontId="4" borderId="46" applyNumberFormat="0" applyFont="1" applyFill="0" applyBorder="1" applyAlignment="1" applyProtection="0">
      <alignment vertical="bottom"/>
    </xf>
    <xf numFmtId="0" fontId="4" borderId="46" applyNumberFormat="1" applyFont="1" applyFill="0" applyBorder="1" applyAlignment="1" applyProtection="0">
      <alignment horizontal="center" vertical="center"/>
    </xf>
    <xf numFmtId="0" fontId="0" borderId="46" applyNumberFormat="0" applyFont="1" applyFill="0" applyBorder="1" applyAlignment="1" applyProtection="0">
      <alignment vertical="bottom"/>
    </xf>
    <xf numFmtId="0" fontId="4" fillId="6" borderId="47" applyNumberFormat="0" applyFont="1" applyFill="1" applyBorder="1" applyAlignment="1" applyProtection="0">
      <alignment vertical="bottom"/>
    </xf>
    <xf numFmtId="0" fontId="5" fillId="6" borderId="6" applyNumberFormat="0" applyFont="1" applyFill="1" applyBorder="1" applyAlignment="1" applyProtection="0">
      <alignment vertical="bottom"/>
    </xf>
    <xf numFmtId="0" fontId="5" fillId="6" borderId="7" applyNumberFormat="0" applyFont="1" applyFill="1" applyBorder="1" applyAlignment="1" applyProtection="0">
      <alignment vertical="bottom"/>
    </xf>
    <xf numFmtId="49" fontId="6" fillId="6" borderId="7" applyNumberFormat="1" applyFont="1" applyFill="1" applyBorder="1" applyAlignment="1" applyProtection="0">
      <alignment horizontal="center" vertical="bottom"/>
    </xf>
    <xf numFmtId="0" fontId="5" fillId="6" borderId="45" applyNumberFormat="0" applyFont="1" applyFill="1" applyBorder="1" applyAlignment="1" applyProtection="0">
      <alignment vertical="bottom"/>
    </xf>
    <xf numFmtId="0" fontId="5" fillId="6" borderId="46" applyNumberFormat="0" applyFont="1" applyFill="1" applyBorder="1" applyAlignment="1" applyProtection="0">
      <alignment vertical="bottom"/>
    </xf>
    <xf numFmtId="0" fontId="4" fillId="6" borderId="48" applyNumberFormat="0" applyFont="1" applyFill="1" applyBorder="1" applyAlignment="1" applyProtection="0">
      <alignment vertical="bottom"/>
    </xf>
    <xf numFmtId="49" fontId="4" fillId="6" borderId="49" applyNumberFormat="1" applyFont="1" applyFill="1" applyBorder="1" applyAlignment="1" applyProtection="0">
      <alignment horizontal="center" vertical="bottom"/>
    </xf>
    <xf numFmtId="0" fontId="4" borderId="50" applyNumberFormat="0" applyFont="1" applyFill="0" applyBorder="1" applyAlignment="1" applyProtection="0">
      <alignment horizontal="center" vertical="bottom"/>
    </xf>
    <xf numFmtId="0" fontId="7" borderId="7" applyNumberFormat="0" applyFont="1" applyFill="0" applyBorder="1" applyAlignment="1" applyProtection="0">
      <alignment horizontal="center" vertical="bottom"/>
    </xf>
    <xf numFmtId="0" fontId="5" borderId="45" applyNumberFormat="0" applyFont="1" applyFill="0" applyBorder="1" applyAlignment="1" applyProtection="0">
      <alignment vertical="bottom"/>
    </xf>
    <xf numFmtId="0" fontId="5" borderId="46" applyNumberFormat="0" applyFont="1" applyFill="0" applyBorder="1" applyAlignment="1" applyProtection="0">
      <alignment vertical="bottom"/>
    </xf>
    <xf numFmtId="49" fontId="4" fillId="6" borderId="46" applyNumberFormat="1" applyFont="1" applyFill="1" applyBorder="1" applyAlignment="1" applyProtection="0">
      <alignment vertical="bottom"/>
    </xf>
    <xf numFmtId="10" fontId="4" fillId="6" borderId="46" applyNumberFormat="1" applyFont="1" applyFill="1" applyBorder="1" applyAlignment="1" applyProtection="0">
      <alignment horizontal="center" vertical="bottom"/>
    </xf>
    <xf numFmtId="0" fontId="4" borderId="51" applyNumberFormat="1" applyFont="1" applyFill="0" applyBorder="1" applyAlignment="1" applyProtection="0">
      <alignment horizontal="center" vertical="center"/>
    </xf>
    <xf numFmtId="10" fontId="5" borderId="46" applyNumberFormat="1" applyFont="1" applyFill="0" applyBorder="1" applyAlignment="1" applyProtection="0">
      <alignment horizontal="center" vertical="bottom"/>
    </xf>
    <xf numFmtId="10" fontId="4" borderId="51" applyNumberFormat="1" applyFont="1" applyFill="0" applyBorder="1" applyAlignment="1" applyProtection="0">
      <alignment horizontal="center" vertical="center"/>
    </xf>
    <xf numFmtId="0" fontId="4" borderId="49" applyNumberFormat="0" applyFont="1" applyFill="0" applyBorder="1" applyAlignment="1" applyProtection="0">
      <alignment horizontal="center" vertical="center"/>
    </xf>
    <xf numFmtId="62" fontId="5" borderId="7" applyNumberFormat="1" applyFont="1" applyFill="0" applyBorder="1" applyAlignment="1" applyProtection="0">
      <alignment vertical="bottom"/>
    </xf>
    <xf numFmtId="62" fontId="5" borderId="45" applyNumberFormat="1" applyFont="1" applyFill="0" applyBorder="1" applyAlignment="1" applyProtection="0">
      <alignment vertical="bottom"/>
    </xf>
    <xf numFmtId="62" fontId="5" borderId="46" applyNumberFormat="1" applyFont="1" applyFill="0" applyBorder="1" applyAlignment="1" applyProtection="0">
      <alignment vertical="bottom"/>
    </xf>
    <xf numFmtId="0" fontId="0" borderId="51" applyNumberFormat="0" applyFont="1" applyFill="0" applyBorder="1" applyAlignment="1" applyProtection="0">
      <alignment vertical="bottom"/>
    </xf>
    <xf numFmtId="0" fontId="0" borderId="52" applyNumberFormat="0" applyFont="1" applyFill="0" applyBorder="1" applyAlignment="1" applyProtection="0">
      <alignment vertical="bottom"/>
    </xf>
    <xf numFmtId="10" fontId="5" borderId="53" applyNumberFormat="1" applyFont="1" applyFill="0" applyBorder="1" applyAlignment="1" applyProtection="0">
      <alignment horizontal="center" vertical="bottom"/>
    </xf>
    <xf numFmtId="62" fontId="5" borderId="49" applyNumberFormat="1" applyFont="1" applyFill="0" applyBorder="1" applyAlignment="1" applyProtection="0">
      <alignment vertical="bottom"/>
    </xf>
    <xf numFmtId="10" fontId="5" borderId="51" applyNumberFormat="1" applyFont="1" applyFill="0" applyBorder="1" applyAlignment="1" applyProtection="0">
      <alignment horizontal="center" vertical="bottom"/>
    </xf>
    <xf numFmtId="0" fontId="4" borderId="54" applyNumberFormat="0" applyFont="1" applyFill="0" applyBorder="1" applyAlignment="1" applyProtection="0">
      <alignment horizontal="center" vertical="center"/>
    </xf>
    <xf numFmtId="10" fontId="4" fillId="6" borderId="53" applyNumberFormat="1" applyFont="1" applyFill="1" applyBorder="1" applyAlignment="1" applyProtection="0">
      <alignment horizontal="center" vertical="bottom"/>
    </xf>
    <xf numFmtId="10" fontId="4" fillId="6" borderId="51" applyNumberFormat="1" applyFont="1" applyFill="1" applyBorder="1" applyAlignment="1" applyProtection="0">
      <alignment horizontal="center" vertical="bottom"/>
    </xf>
    <xf numFmtId="0" fontId="4" borderId="51" applyNumberFormat="0" applyFont="1" applyFill="0" applyBorder="1" applyAlignment="1" applyProtection="0">
      <alignment horizontal="center" vertical="center"/>
    </xf>
    <xf numFmtId="10" fontId="4" fillId="6" borderId="48" applyNumberFormat="1" applyFont="1" applyFill="1" applyBorder="1" applyAlignment="1" applyProtection="0">
      <alignment horizontal="center" vertical="bottom"/>
    </xf>
    <xf numFmtId="10" fontId="5" borderId="48" applyNumberFormat="1" applyFont="1" applyFill="0" applyBorder="1" applyAlignment="1" applyProtection="0">
      <alignment horizontal="center" vertical="bottom"/>
    </xf>
    <xf numFmtId="0" fontId="4" borderId="48" applyNumberFormat="0" applyFont="1" applyFill="0" applyBorder="1" applyAlignment="1" applyProtection="0">
      <alignment horizontal="center" vertical="center"/>
    </xf>
    <xf numFmtId="49" fontId="4" fillId="6" borderId="53" applyNumberFormat="1" applyFont="1" applyFill="1" applyBorder="1" applyAlignment="1" applyProtection="0">
      <alignment vertical="bottom"/>
    </xf>
    <xf numFmtId="0" fontId="0" borderId="53" applyNumberFormat="0" applyFont="1" applyFill="0" applyBorder="1" applyAlignment="1" applyProtection="0">
      <alignment vertical="bottom"/>
    </xf>
    <xf numFmtId="49" fontId="4" fillId="6" borderId="51" applyNumberFormat="1" applyFont="1" applyFill="1" applyBorder="1" applyAlignment="1" applyProtection="0">
      <alignment vertical="bottom"/>
    </xf>
    <xf numFmtId="49" fontId="4" fillId="6" borderId="48" applyNumberFormat="1" applyFont="1" applyFill="1" applyBorder="1" applyAlignment="1" applyProtection="0">
      <alignment vertical="bottom"/>
    </xf>
    <xf numFmtId="0" fontId="0" borderId="54" applyNumberFormat="0" applyFont="1" applyFill="0" applyBorder="1" applyAlignment="1" applyProtection="0">
      <alignment vertical="bottom"/>
    </xf>
    <xf numFmtId="0" fontId="4" borderId="48" applyNumberFormat="1" applyFont="1" applyFill="0" applyBorder="1" applyAlignment="1" applyProtection="0">
      <alignment horizontal="center" vertical="center"/>
    </xf>
    <xf numFmtId="10" fontId="4" borderId="48" applyNumberFormat="1" applyFont="1" applyFill="0" applyBorder="1" applyAlignment="1" applyProtection="0">
      <alignment horizontal="center" vertical="center"/>
    </xf>
    <xf numFmtId="0" fontId="0" borderId="49" applyNumberFormat="0" applyFont="1" applyFill="0" applyBorder="1" applyAlignment="1" applyProtection="0">
      <alignment vertical="bottom"/>
    </xf>
    <xf numFmtId="0" fontId="4" fillId="7" borderId="55" applyNumberFormat="0" applyFont="1" applyFill="1" applyBorder="1" applyAlignment="1" applyProtection="0">
      <alignment vertical="bottom"/>
    </xf>
    <xf numFmtId="10" fontId="4" fillId="7" borderId="6" applyNumberFormat="1" applyFont="1" applyFill="1" applyBorder="1" applyAlignment="1" applyProtection="0">
      <alignment vertical="bottom"/>
    </xf>
    <xf numFmtId="0" fontId="5" fillId="7" borderId="56" applyNumberFormat="0" applyFont="1" applyFill="1" applyBorder="1" applyAlignment="1" applyProtection="0">
      <alignment vertical="bottom"/>
    </xf>
    <xf numFmtId="0" fontId="5" fillId="7" borderId="7" applyNumberFormat="0" applyFont="1" applyFill="1" applyBorder="1" applyAlignment="1" applyProtection="0">
      <alignment vertical="bottom"/>
    </xf>
    <xf numFmtId="49" fontId="6" fillId="7" borderId="7" applyNumberFormat="1" applyFont="1" applyFill="1" applyBorder="1" applyAlignment="1" applyProtection="0">
      <alignment horizontal="center" vertical="bottom"/>
    </xf>
    <xf numFmtId="0" fontId="5" fillId="7" borderId="45" applyNumberFormat="0" applyFont="1" applyFill="1" applyBorder="1" applyAlignment="1" applyProtection="0">
      <alignment vertical="bottom"/>
    </xf>
    <xf numFmtId="0" fontId="5" fillId="7" borderId="46" applyNumberFormat="0" applyFont="1" applyFill="1" applyBorder="1" applyAlignment="1" applyProtection="0">
      <alignment vertical="bottom"/>
    </xf>
    <xf numFmtId="0" fontId="4" fillId="8" borderId="57" applyNumberFormat="0" applyFont="1" applyFill="1" applyBorder="1" applyAlignment="1" applyProtection="0">
      <alignment vertical="bottom"/>
    </xf>
    <xf numFmtId="64" fontId="4" fillId="8" borderId="6" applyNumberFormat="1" applyFont="1" applyFill="1" applyBorder="1" applyAlignment="1" applyProtection="0">
      <alignment horizontal="center" vertical="bottom"/>
    </xf>
    <xf numFmtId="64" fontId="4" fillId="8" borderId="7" applyNumberFormat="1" applyFont="1" applyFill="1" applyBorder="1" applyAlignment="1" applyProtection="0">
      <alignment horizontal="center" vertical="bottom"/>
    </xf>
    <xf numFmtId="49" fontId="4" fillId="8" borderId="45" applyNumberFormat="1" applyFont="1" applyFill="1" applyBorder="1" applyAlignment="1" applyProtection="0">
      <alignment vertical="bottom"/>
    </xf>
    <xf numFmtId="0" fontId="4" fillId="8" borderId="46" applyNumberFormat="0" applyFont="1" applyFill="1" applyBorder="1" applyAlignment="1" applyProtection="0">
      <alignment vertical="bottom"/>
    </xf>
    <xf numFmtId="61" fontId="5" borderId="6" applyNumberFormat="1" applyFont="1" applyFill="0" applyBorder="1" applyAlignment="1" applyProtection="0">
      <alignment vertical="bottom"/>
    </xf>
    <xf numFmtId="61" fontId="5" borderId="7" applyNumberFormat="1" applyFont="1" applyFill="0" applyBorder="1" applyAlignment="1" applyProtection="0">
      <alignment vertical="bottom"/>
    </xf>
    <xf numFmtId="61" fontId="5" borderId="45" applyNumberFormat="1" applyFont="1" applyFill="0" applyBorder="1" applyAlignment="1" applyProtection="0">
      <alignment vertical="bottom"/>
    </xf>
    <xf numFmtId="61" fontId="5" borderId="46" applyNumberFormat="1" applyFont="1" applyFill="0" applyBorder="1" applyAlignment="1" applyProtection="0">
      <alignment vertical="bottom"/>
    </xf>
    <xf numFmtId="62" fontId="5" borderId="6" applyNumberFormat="1" applyFont="1" applyFill="0" applyBorder="1" applyAlignment="1" applyProtection="0">
      <alignment vertical="bottom"/>
    </xf>
    <xf numFmtId="49" fontId="4" fillId="8" borderId="57" applyNumberFormat="1" applyFont="1" applyFill="1" applyBorder="1" applyAlignment="1" applyProtection="0">
      <alignment vertical="bottom"/>
    </xf>
    <xf numFmtId="61" fontId="4" borderId="6" applyNumberFormat="1" applyFont="1" applyFill="0" applyBorder="1" applyAlignment="1" applyProtection="0">
      <alignment vertical="bottom"/>
    </xf>
    <xf numFmtId="61" fontId="4" borderId="7" applyNumberFormat="1" applyFont="1" applyFill="0" applyBorder="1" applyAlignment="1" applyProtection="0">
      <alignment vertical="bottom"/>
    </xf>
    <xf numFmtId="49" fontId="8" borderId="7" applyNumberFormat="1" applyFont="1" applyFill="0" applyBorder="1" applyAlignment="1" applyProtection="0">
      <alignment horizontal="center" vertical="bottom"/>
    </xf>
    <xf numFmtId="0" fontId="4" fillId="7" borderId="57" applyNumberFormat="0" applyFont="1" applyFill="1" applyBorder="1" applyAlignment="1" applyProtection="0">
      <alignment vertical="bottom"/>
    </xf>
    <xf numFmtId="62" fontId="4" fillId="7" borderId="6" applyNumberFormat="1" applyFont="1" applyFill="1" applyBorder="1" applyAlignment="1" applyProtection="0">
      <alignment vertical="bottom"/>
    </xf>
    <xf numFmtId="62" fontId="5" fillId="7" borderId="7" applyNumberFormat="1" applyFont="1" applyFill="1" applyBorder="1" applyAlignment="1" applyProtection="0">
      <alignment vertical="bottom"/>
    </xf>
    <xf numFmtId="49" fontId="4" fillId="7" borderId="57" applyNumberFormat="1" applyFont="1" applyFill="1" applyBorder="1" applyAlignment="1" applyProtection="0">
      <alignment vertical="bottom"/>
    </xf>
    <xf numFmtId="49" fontId="4" fillId="7" borderId="6" applyNumberFormat="1" applyFont="1" applyFill="1" applyBorder="1" applyAlignment="1" applyProtection="0">
      <alignment horizontal="center" vertical="bottom"/>
    </xf>
    <xf numFmtId="49" fontId="4" fillId="7" borderId="7" applyNumberFormat="1" applyFont="1" applyFill="1" applyBorder="1" applyAlignment="1" applyProtection="0">
      <alignment horizontal="center" vertical="bottom"/>
    </xf>
    <xf numFmtId="49" fontId="4" fillId="7" borderId="7" applyNumberFormat="1" applyFont="1" applyFill="1" applyBorder="1" applyAlignment="1" applyProtection="0">
      <alignment vertical="bottom"/>
    </xf>
    <xf numFmtId="61" fontId="4" fillId="7" borderId="7" applyNumberFormat="1" applyFont="1" applyFill="1" applyBorder="1" applyAlignment="1" applyProtection="0">
      <alignment vertical="bottom"/>
    </xf>
    <xf numFmtId="49" fontId="4" fillId="7" borderId="5" applyNumberFormat="1" applyFont="1" applyFill="1" applyBorder="1" applyAlignment="1" applyProtection="0">
      <alignment vertical="bottom"/>
    </xf>
    <xf numFmtId="61" fontId="5" fillId="7" borderId="7" applyNumberFormat="1" applyFont="1" applyFill="1" applyBorder="1" applyAlignment="1" applyProtection="0">
      <alignment vertical="bottom"/>
    </xf>
    <xf numFmtId="10" fontId="4" fillId="7" borderId="7" applyNumberFormat="1" applyFont="1" applyFill="1" applyBorder="1" applyAlignment="1" applyProtection="0">
      <alignment vertical="bottom"/>
    </xf>
    <xf numFmtId="49" fontId="9" fillId="7" borderId="5" applyNumberFormat="1" applyFont="1" applyFill="1" applyBorder="1" applyAlignment="1" applyProtection="0">
      <alignment vertical="bottom"/>
    </xf>
    <xf numFmtId="10" fontId="9" fillId="7" borderId="6" applyNumberFormat="1" applyFont="1" applyFill="1" applyBorder="1" applyAlignment="1" applyProtection="0">
      <alignment vertical="bottom"/>
    </xf>
    <xf numFmtId="0" fontId="4" fillId="7" borderId="7" applyNumberFormat="0" applyFont="1" applyFill="1" applyBorder="1" applyAlignment="1" applyProtection="0">
      <alignment vertical="bottom"/>
    </xf>
    <xf numFmtId="0" fontId="4" fillId="7" borderId="5" applyNumberFormat="0" applyFont="1" applyFill="1" applyBorder="1" applyAlignment="1" applyProtection="0">
      <alignment vertical="bottom"/>
    </xf>
    <xf numFmtId="49" fontId="4" fillId="7" borderId="7" applyNumberFormat="1" applyFont="1" applyFill="1" applyBorder="1" applyAlignment="1" applyProtection="0">
      <alignment horizontal="right" vertical="bottom"/>
    </xf>
    <xf numFmtId="0" fontId="0" applyNumberFormat="1" applyFont="1" applyFill="0" applyBorder="0" applyAlignment="1" applyProtection="0">
      <alignment vertical="bottom"/>
    </xf>
    <xf numFmtId="49" fontId="4" fillId="2" borderId="1" applyNumberFormat="1" applyFont="1" applyFill="1" applyBorder="1" applyAlignment="1" applyProtection="0">
      <alignment vertical="bottom"/>
    </xf>
    <xf numFmtId="49" fontId="4" fillId="2" borderId="1" applyNumberFormat="1" applyFont="1" applyFill="1" applyBorder="1" applyAlignment="1" applyProtection="0">
      <alignment horizontal="center" vertical="bottom"/>
    </xf>
    <xf numFmtId="0" fontId="4" borderId="4" applyNumberFormat="1" applyFont="1" applyFill="0" applyBorder="1" applyAlignment="1" applyProtection="0">
      <alignment vertical="bottom"/>
    </xf>
    <xf numFmtId="0" fontId="4" borderId="7" applyNumberFormat="1" applyFont="1" applyFill="0" applyBorder="1" applyAlignment="1" applyProtection="0">
      <alignment vertical="bottom"/>
    </xf>
    <xf numFmtId="0" fontId="4" borderId="6" applyNumberFormat="1" applyFont="1" applyFill="0" applyBorder="1" applyAlignment="1" applyProtection="0">
      <alignment vertical="bottom"/>
    </xf>
    <xf numFmtId="0" fontId="4" fillId="6" borderId="5" applyNumberFormat="0" applyFont="1" applyFill="1" applyBorder="1" applyAlignment="1" applyProtection="0">
      <alignment vertical="bottom"/>
    </xf>
    <xf numFmtId="0" fontId="4" fillId="6" borderId="58" applyNumberFormat="0" applyFont="1" applyFill="1" applyBorder="1" applyAlignment="1" applyProtection="0">
      <alignment vertical="bottom"/>
    </xf>
    <xf numFmtId="49" fontId="4" fillId="6" borderId="59" applyNumberFormat="1" applyFont="1" applyFill="1" applyBorder="1" applyAlignment="1" applyProtection="0">
      <alignment horizontal="center" vertical="bottom"/>
    </xf>
    <xf numFmtId="49" fontId="4" fillId="6" borderId="60" applyNumberFormat="1" applyFont="1" applyFill="1" applyBorder="1" applyAlignment="1" applyProtection="0">
      <alignment horizontal="center" vertical="bottom"/>
    </xf>
    <xf numFmtId="49" fontId="7" fillId="6" borderId="60" applyNumberFormat="1" applyFont="1" applyFill="1" applyBorder="1" applyAlignment="1" applyProtection="0">
      <alignment horizontal="center" vertical="bottom"/>
    </xf>
    <xf numFmtId="0" fontId="5" fillId="6" borderId="60" applyNumberFormat="0" applyFont="1" applyFill="1" applyBorder="1" applyAlignment="1" applyProtection="0">
      <alignment vertical="bottom"/>
    </xf>
    <xf numFmtId="49" fontId="4" fillId="6" borderId="61" applyNumberFormat="1" applyFont="1" applyFill="1" applyBorder="1" applyAlignment="1" applyProtection="0">
      <alignment vertical="bottom"/>
    </xf>
    <xf numFmtId="10" fontId="4" fillId="6" borderId="62" applyNumberFormat="1" applyFont="1" applyFill="1" applyBorder="1" applyAlignment="1" applyProtection="0">
      <alignment horizontal="center" vertical="bottom"/>
    </xf>
    <xf numFmtId="0" fontId="4" fillId="6" borderId="63" applyNumberFormat="1" applyFont="1" applyFill="1" applyBorder="1" applyAlignment="1" applyProtection="0">
      <alignment horizontal="center" vertical="center"/>
    </xf>
    <xf numFmtId="10" fontId="5" fillId="6" borderId="63" applyNumberFormat="1" applyFont="1" applyFill="1" applyBorder="1" applyAlignment="1" applyProtection="0">
      <alignment horizontal="center" vertical="bottom"/>
    </xf>
    <xf numFmtId="10" fontId="4" fillId="6" borderId="63" applyNumberFormat="1" applyFont="1" applyFill="1" applyBorder="1" applyAlignment="1" applyProtection="0">
      <alignment horizontal="center" vertical="center"/>
    </xf>
    <xf numFmtId="49" fontId="4" fillId="6" borderId="63" applyNumberFormat="1" applyFont="1" applyFill="1" applyBorder="1" applyAlignment="1" applyProtection="0">
      <alignment horizontal="center" vertical="center"/>
    </xf>
    <xf numFmtId="62" fontId="5" borderId="26" applyNumberFormat="1" applyFont="1" applyFill="0" applyBorder="1" applyAlignment="1" applyProtection="0">
      <alignment vertical="bottom"/>
    </xf>
    <xf numFmtId="49" fontId="4" fillId="6" borderId="64" applyNumberFormat="1" applyFont="1" applyFill="1" applyBorder="1" applyAlignment="1" applyProtection="0">
      <alignment vertical="bottom"/>
    </xf>
    <xf numFmtId="10" fontId="4" fillId="6" borderId="65" applyNumberFormat="1" applyFont="1" applyFill="1" applyBorder="1" applyAlignment="1" applyProtection="0">
      <alignment horizontal="center" vertical="bottom"/>
    </xf>
    <xf numFmtId="0" fontId="0" borderId="66" applyNumberFormat="0" applyFont="1" applyFill="0" applyBorder="1" applyAlignment="1" applyProtection="0">
      <alignment vertical="bottom"/>
    </xf>
    <xf numFmtId="10" fontId="5" fillId="6" borderId="66" applyNumberFormat="1" applyFont="1" applyFill="1" applyBorder="1" applyAlignment="1" applyProtection="0">
      <alignment horizontal="center" vertical="bottom"/>
    </xf>
    <xf numFmtId="49" fontId="4" fillId="6" borderId="67" applyNumberFormat="1" applyFont="1" applyFill="1" applyBorder="1" applyAlignment="1" applyProtection="0">
      <alignment vertical="bottom"/>
    </xf>
    <xf numFmtId="10" fontId="4" fillId="6" borderId="68" applyNumberFormat="1" applyFont="1" applyFill="1" applyBorder="1" applyAlignment="1" applyProtection="0">
      <alignment horizontal="center" vertical="bottom"/>
    </xf>
    <xf numFmtId="0" fontId="0" borderId="69" applyNumberFormat="0" applyFont="1" applyFill="0" applyBorder="1" applyAlignment="1" applyProtection="0">
      <alignment vertical="bottom"/>
    </xf>
    <xf numFmtId="10" fontId="5" fillId="6" borderId="69" applyNumberFormat="1" applyFont="1" applyFill="1" applyBorder="1" applyAlignment="1" applyProtection="0">
      <alignment horizontal="center" vertical="bottom"/>
    </xf>
    <xf numFmtId="49" fontId="4" fillId="6" borderId="70" applyNumberFormat="1" applyFont="1" applyFill="1" applyBorder="1" applyAlignment="1" applyProtection="0">
      <alignment vertical="bottom"/>
    </xf>
    <xf numFmtId="10" fontId="4" fillId="6" borderId="71" applyNumberFormat="1" applyFont="1" applyFill="1" applyBorder="1" applyAlignment="1" applyProtection="0">
      <alignment horizontal="center" vertical="bottom"/>
    </xf>
    <xf numFmtId="0" fontId="4" fillId="6" borderId="72" applyNumberFormat="1" applyFont="1" applyFill="1" applyBorder="1" applyAlignment="1" applyProtection="0">
      <alignment horizontal="center" vertical="center"/>
    </xf>
    <xf numFmtId="10" fontId="5" fillId="6" borderId="72" applyNumberFormat="1" applyFont="1" applyFill="1" applyBorder="1" applyAlignment="1" applyProtection="0">
      <alignment horizontal="center" vertical="bottom"/>
    </xf>
    <xf numFmtId="10" fontId="4" fillId="6" borderId="72" applyNumberFormat="1" applyFont="1" applyFill="1" applyBorder="1" applyAlignment="1" applyProtection="0">
      <alignment horizontal="center" vertical="center"/>
    </xf>
    <xf numFmtId="49" fontId="4" fillId="6" borderId="72" applyNumberFormat="1" applyFont="1" applyFill="1" applyBorder="1" applyAlignment="1" applyProtection="0">
      <alignment horizontal="center" vertical="center"/>
    </xf>
    <xf numFmtId="0" fontId="4" fillId="7" borderId="73" applyNumberFormat="0" applyFont="1" applyFill="1" applyBorder="1" applyAlignment="1" applyProtection="0">
      <alignment vertical="bottom"/>
    </xf>
    <xf numFmtId="10" fontId="4" fillId="7" borderId="74" applyNumberFormat="1" applyFont="1" applyFill="1" applyBorder="1" applyAlignment="1" applyProtection="0">
      <alignment vertical="bottom"/>
    </xf>
    <xf numFmtId="0" fontId="5" fillId="7" borderId="75" applyNumberFormat="0" applyFont="1" applyFill="1" applyBorder="1" applyAlignment="1" applyProtection="0">
      <alignment vertical="bottom"/>
    </xf>
    <xf numFmtId="49" fontId="6" fillId="7" borderId="75" applyNumberFormat="1" applyFont="1" applyFill="1" applyBorder="1" applyAlignment="1" applyProtection="0">
      <alignment horizontal="center" vertical="bottom"/>
    </xf>
    <xf numFmtId="0" fontId="4" fillId="8" borderId="5" applyNumberFormat="0" applyFont="1" applyFill="1" applyBorder="1" applyAlignment="1" applyProtection="0">
      <alignment vertical="bottom"/>
    </xf>
    <xf numFmtId="49" fontId="4" fillId="8" borderId="7" applyNumberFormat="1" applyFont="1" applyFill="1" applyBorder="1" applyAlignment="1" applyProtection="0">
      <alignment vertical="bottom"/>
    </xf>
    <xf numFmtId="49" fontId="4" fillId="8" borderId="5" applyNumberFormat="1" applyFont="1" applyFill="1" applyBorder="1" applyAlignment="1" applyProtection="0">
      <alignment vertical="bottom"/>
    </xf>
    <xf numFmtId="0" fontId="4" borderId="7" applyNumberFormat="0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4" fillId="6" borderId="5" applyNumberFormat="1" applyFont="1" applyFill="1" applyBorder="1" applyAlignment="1" applyProtection="0">
      <alignment vertical="bottom"/>
    </xf>
    <xf numFmtId="0" fontId="4" fillId="6" borderId="6" applyNumberFormat="1" applyFont="1" applyFill="1" applyBorder="1" applyAlignment="1" applyProtection="0">
      <alignment vertical="bottom"/>
    </xf>
    <xf numFmtId="10" fontId="4" fillId="6" borderId="6" applyNumberFormat="1" applyFont="1" applyFill="1" applyBorder="1" applyAlignment="1" applyProtection="0">
      <alignment vertical="bottom"/>
    </xf>
    <xf numFmtId="0" fontId="5" fillId="7" borderId="6" applyNumberFormat="0" applyFont="1" applyFill="1" applyBorder="1" applyAlignment="1" applyProtection="0">
      <alignment vertical="bottom"/>
    </xf>
    <xf numFmtId="49" fontId="4" fillId="8" borderId="7" applyNumberFormat="1" applyFont="1" applyFill="1" applyBorder="1" applyAlignment="1" applyProtection="0">
      <alignment horizontal="center" vertical="bottom"/>
    </xf>
    <xf numFmtId="61" fontId="5" borderId="7" applyNumberFormat="1" applyFont="1" applyFill="0" applyBorder="1" applyAlignment="1" applyProtection="0">
      <alignment horizontal="center" vertical="bottom"/>
    </xf>
    <xf numFmtId="62" fontId="4" borderId="7" applyNumberFormat="1" applyFont="1" applyFill="0" applyBorder="1" applyAlignment="1" applyProtection="0">
      <alignment vertical="bottom"/>
    </xf>
    <xf numFmtId="0" fontId="4" fillId="7" borderId="6" applyNumberFormat="0" applyFont="1" applyFill="1" applyBorder="1" applyAlignment="1" applyProtection="0">
      <alignment vertical="bottom"/>
    </xf>
    <xf numFmtId="62" fontId="4" fillId="7" borderId="7" applyNumberFormat="1" applyFont="1" applyFill="1" applyBorder="1" applyAlignment="1" applyProtection="0">
      <alignment vertical="bottom"/>
    </xf>
    <xf numFmtId="61" fontId="4" fillId="7" borderId="6" applyNumberFormat="1" applyFont="1" applyFill="1" applyBorder="1" applyAlignment="1" applyProtection="0">
      <alignment vertical="bottom"/>
    </xf>
    <xf numFmtId="49" fontId="4" borderId="7" applyNumberFormat="1" applyFont="1" applyFill="0" applyBorder="1" applyAlignment="1" applyProtection="0">
      <alignment horizontal="center" vertical="bottom"/>
    </xf>
    <xf numFmtId="65" fontId="4" fillId="7" borderId="6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4" fillId="9" borderId="5" applyNumberFormat="1" applyFont="1" applyFill="1" applyBorder="1" applyAlignment="1" applyProtection="0">
      <alignment vertical="bottom"/>
    </xf>
    <xf numFmtId="0" fontId="4" fillId="9" borderId="6" applyNumberFormat="1" applyFont="1" applyFill="1" applyBorder="1" applyAlignment="1" applyProtection="0">
      <alignment vertical="bottom"/>
    </xf>
    <xf numFmtId="10" fontId="4" fillId="9" borderId="6" applyNumberFormat="1" applyFont="1" applyFill="1" applyBorder="1" applyAlignment="1" applyProtection="0">
      <alignment vertical="bottom"/>
    </xf>
    <xf numFmtId="10" fontId="5" fillId="7" borderId="6" applyNumberFormat="1" applyFont="1" applyFill="1" applyBorder="1" applyAlignment="1" applyProtection="0">
      <alignment vertical="bottom"/>
    </xf>
    <xf numFmtId="0" fontId="4" fillId="3" borderId="5" applyNumberFormat="0" applyFont="1" applyFill="1" applyBorder="1" applyAlignment="1" applyProtection="0">
      <alignment vertical="bottom"/>
    </xf>
    <xf numFmtId="64" fontId="4" fillId="3" borderId="6" applyNumberFormat="1" applyFont="1" applyFill="1" applyBorder="1" applyAlignment="1" applyProtection="0">
      <alignment horizontal="center" vertical="bottom"/>
    </xf>
    <xf numFmtId="64" fontId="4" fillId="3" borderId="7" applyNumberFormat="1" applyFont="1" applyFill="1" applyBorder="1" applyAlignment="1" applyProtection="0">
      <alignment horizontal="center" vertical="bottom"/>
    </xf>
    <xf numFmtId="49" fontId="4" fillId="3" borderId="7" applyNumberFormat="1" applyFont="1" applyFill="1" applyBorder="1" applyAlignment="1" applyProtection="0">
      <alignment horizontal="center" vertical="bottom"/>
    </xf>
    <xf numFmtId="61" fontId="4" borderId="7" applyNumberFormat="1" applyFont="1" applyFill="0" applyBorder="1" applyAlignment="1" applyProtection="0">
      <alignment horizontal="center" vertical="bottom"/>
    </xf>
    <xf numFmtId="61" fontId="4" fillId="7" borderId="7" applyNumberFormat="1" applyFont="1" applyFill="1" applyBorder="1" applyAlignment="1" applyProtection="0">
      <alignment horizontal="right" vertical="bottom"/>
    </xf>
    <xf numFmtId="65" fontId="4" fillId="7" borderId="7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1" fontId="3" fillId="5" borderId="1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0" fontId="3" fillId="5" borderId="26" applyNumberFormat="1" applyFont="1" applyFill="1" applyBorder="1" applyAlignment="1" applyProtection="0">
      <alignment vertical="bottom"/>
    </xf>
    <xf numFmtId="60" fontId="3" fillId="5" borderId="1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3" borderId="8" applyNumberFormat="1" applyFont="1" applyFill="1" applyBorder="1" applyAlignment="1" applyProtection="0">
      <alignment vertical="bottom"/>
    </xf>
    <xf numFmtId="49" fontId="3" fillId="3" borderId="9" applyNumberFormat="1" applyFont="1" applyFill="1" applyBorder="1" applyAlignment="1" applyProtection="0">
      <alignment vertical="bottom"/>
    </xf>
    <xf numFmtId="49" fontId="3" fillId="3" borderId="10" applyNumberFormat="1" applyFont="1" applyFill="1" applyBorder="1" applyAlignment="1" applyProtection="0">
      <alignment vertical="bottom"/>
    </xf>
    <xf numFmtId="49" fontId="3" fillId="3" borderId="11" applyNumberFormat="1" applyFont="1" applyFill="1" applyBorder="1" applyAlignment="1" applyProtection="0">
      <alignment vertical="bottom"/>
    </xf>
    <xf numFmtId="49" fontId="3" fillId="3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3" fillId="5" borderId="27" applyNumberFormat="0" applyFont="1" applyFill="1" applyBorder="1" applyAlignment="1" applyProtection="0">
      <alignment vertical="bottom"/>
    </xf>
    <xf numFmtId="0" fontId="3" fillId="5" borderId="28" applyNumberFormat="0" applyFont="1" applyFill="1" applyBorder="1" applyAlignment="1" applyProtection="0">
      <alignment vertical="bottom"/>
    </xf>
    <xf numFmtId="49" fontId="3" fillId="5" borderId="29" applyNumberFormat="1" applyFont="1" applyFill="1" applyBorder="1" applyAlignment="1" applyProtection="0">
      <alignment vertical="bottom"/>
    </xf>
    <xf numFmtId="0" fontId="3" fillId="5" borderId="30" applyNumberFormat="1" applyFont="1" applyFill="1" applyBorder="1" applyAlignment="1" applyProtection="0">
      <alignment vertical="bottom"/>
    </xf>
    <xf numFmtId="60" fontId="3" fillId="5" borderId="31" applyNumberFormat="1" applyFont="1" applyFill="1" applyBorder="1" applyAlignment="1" applyProtection="0">
      <alignment vertical="bottom"/>
    </xf>
    <xf numFmtId="63" fontId="3" fillId="5" borderId="28" applyNumberFormat="1" applyFont="1" applyFill="1" applyBorder="1" applyAlignment="1" applyProtection="0">
      <alignment vertical="top" wrapText="1"/>
    </xf>
    <xf numFmtId="0" fontId="3" fillId="5" borderId="29" applyNumberFormat="0" applyFont="1" applyFill="1" applyBorder="1" applyAlignment="1" applyProtection="0">
      <alignment vertical="top" wrapText="1"/>
    </xf>
    <xf numFmtId="0" fontId="3" fillId="5" borderId="30" applyNumberFormat="1" applyFont="1" applyFill="1" applyBorder="1" applyAlignment="1" applyProtection="0">
      <alignment vertical="top" wrapText="1"/>
    </xf>
    <xf numFmtId="60" fontId="3" fillId="5" borderId="31" applyNumberFormat="1" applyFont="1" applyFill="1" applyBorder="1" applyAlignment="1" applyProtection="0">
      <alignment vertical="top" wrapText="1"/>
    </xf>
    <xf numFmtId="49" fontId="3" fillId="5" borderId="28" applyNumberFormat="1" applyFont="1" applyFill="1" applyBorder="1" applyAlignment="1" applyProtection="0">
      <alignment vertical="top" wrapText="1"/>
    </xf>
    <xf numFmtId="0" fontId="3" fillId="5" borderId="28" applyNumberFormat="0" applyFont="1" applyFill="1" applyBorder="1" applyAlignment="1" applyProtection="0">
      <alignment vertical="top" wrapText="1"/>
    </xf>
    <xf numFmtId="0" fontId="3" fillId="5" borderId="15" applyNumberFormat="0" applyFont="1" applyFill="1" applyBorder="1" applyAlignment="1" applyProtection="0">
      <alignment vertical="bottom"/>
    </xf>
    <xf numFmtId="0" fontId="3" fillId="5" borderId="34" applyNumberFormat="0" applyFont="1" applyFill="1" applyBorder="1" applyAlignment="1" applyProtection="0">
      <alignment vertical="bottom"/>
    </xf>
    <xf numFmtId="49" fontId="3" fillId="5" borderId="35" applyNumberFormat="1" applyFont="1" applyFill="1" applyBorder="1" applyAlignment="1" applyProtection="0">
      <alignment vertical="bottom"/>
    </xf>
    <xf numFmtId="0" fontId="3" fillId="5" borderId="16" applyNumberFormat="1" applyFont="1" applyFill="1" applyBorder="1" applyAlignment="1" applyProtection="0">
      <alignment vertical="bottom"/>
    </xf>
    <xf numFmtId="60" fontId="3" fillId="5" borderId="17" applyNumberFormat="1" applyFont="1" applyFill="1" applyBorder="1" applyAlignment="1" applyProtection="0">
      <alignment vertical="bottom"/>
    </xf>
    <xf numFmtId="63" fontId="3" fillId="5" borderId="34" applyNumberFormat="1" applyFont="1" applyFill="1" applyBorder="1" applyAlignment="1" applyProtection="0">
      <alignment vertical="top" wrapText="1"/>
    </xf>
    <xf numFmtId="49" fontId="3" fillId="5" borderId="34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5" borderId="76" applyNumberFormat="1" applyFont="1" applyFill="1" applyBorder="1" applyAlignment="1" applyProtection="0">
      <alignment vertical="bottom"/>
    </xf>
    <xf numFmtId="49" fontId="3" fillId="5" borderId="77" applyNumberFormat="1" applyFont="1" applyFill="1" applyBorder="1" applyAlignment="1" applyProtection="0">
      <alignment vertical="bottom"/>
    </xf>
    <xf numFmtId="66" fontId="3" fillId="5" borderId="77" applyNumberFormat="1" applyFont="1" applyFill="1" applyBorder="1" applyAlignment="1" applyProtection="0">
      <alignment vertical="bottom"/>
    </xf>
    <xf numFmtId="49" fontId="3" fillId="5" borderId="39" applyNumberFormat="1" applyFont="1" applyFill="1" applyBorder="1" applyAlignment="1" applyProtection="0">
      <alignment vertical="bottom"/>
    </xf>
    <xf numFmtId="0" fontId="3" fillId="5" borderId="78" applyNumberFormat="0" applyFont="1" applyFill="1" applyBorder="1" applyAlignment="1" applyProtection="0">
      <alignment vertical="bottom"/>
    </xf>
    <xf numFmtId="0" fontId="3" fillId="5" borderId="79" applyNumberFormat="0" applyFont="1" applyFill="1" applyBorder="1" applyAlignment="1" applyProtection="0">
      <alignment vertical="bottom"/>
    </xf>
    <xf numFmtId="49" fontId="3" fillId="5" borderId="80" applyNumberFormat="1" applyFont="1" applyFill="1" applyBorder="1" applyAlignment="1" applyProtection="0">
      <alignment vertical="bottom"/>
    </xf>
    <xf numFmtId="60" fontId="3" fillId="5" borderId="7" applyNumberFormat="1" applyFont="1" applyFill="1" applyBorder="1" applyAlignment="1" applyProtection="0">
      <alignment vertical="bottom"/>
    </xf>
    <xf numFmtId="66" fontId="3" fillId="5" borderId="81" applyNumberFormat="1" applyFont="1" applyFill="1" applyBorder="1" applyAlignment="1" applyProtection="0">
      <alignment vertical="top" wrapText="1"/>
    </xf>
    <xf numFmtId="0" fontId="3" fillId="5" borderId="82" applyNumberFormat="0" applyFont="1" applyFill="1" applyBorder="1" applyAlignment="1" applyProtection="0">
      <alignment vertical="top" wrapText="1"/>
    </xf>
    <xf numFmtId="0" fontId="3" fillId="5" borderId="83" applyNumberFormat="1" applyFont="1" applyFill="1" applyBorder="1" applyAlignment="1" applyProtection="0">
      <alignment vertical="top" wrapText="1"/>
    </xf>
    <xf numFmtId="60" fontId="3" fillId="5" borderId="60" applyNumberFormat="1" applyFont="1" applyFill="1" applyBorder="1" applyAlignment="1" applyProtection="0">
      <alignment vertical="top" wrapText="1"/>
    </xf>
    <xf numFmtId="49" fontId="3" fillId="5" borderId="81" applyNumberFormat="1" applyFont="1" applyFill="1" applyBorder="1" applyAlignment="1" applyProtection="0">
      <alignment vertical="top" wrapText="1"/>
    </xf>
    <xf numFmtId="49" fontId="3" fillId="5" borderId="84" applyNumberFormat="1" applyFont="1" applyFill="1" applyBorder="1" applyAlignment="1" applyProtection="0">
      <alignment vertical="top" wrapText="1"/>
    </xf>
    <xf numFmtId="49" fontId="3" fillId="5" borderId="85" applyNumberFormat="1" applyFont="1" applyFill="1" applyBorder="1" applyAlignment="1" applyProtection="0">
      <alignment vertical="bottom"/>
    </xf>
    <xf numFmtId="49" fontId="3" fillId="5" borderId="86" applyNumberFormat="1" applyFont="1" applyFill="1" applyBorder="1" applyAlignment="1" applyProtection="0">
      <alignment vertical="bottom"/>
    </xf>
    <xf numFmtId="66" fontId="3" fillId="5" borderId="86" applyNumberFormat="1" applyFont="1" applyFill="1" applyBorder="1" applyAlignment="1" applyProtection="0">
      <alignment vertical="bottom"/>
    </xf>
    <xf numFmtId="49" fontId="3" fillId="5" borderId="87" applyNumberFormat="1" applyFont="1" applyFill="1" applyBorder="1" applyAlignment="1" applyProtection="0">
      <alignment vertical="bottom"/>
    </xf>
    <xf numFmtId="0" fontId="3" fillId="5" borderId="88" applyNumberFormat="1" applyFont="1" applyFill="1" applyBorder="1" applyAlignment="1" applyProtection="0">
      <alignment vertical="bottom"/>
    </xf>
    <xf numFmtId="60" fontId="3" fillId="5" borderId="75" applyNumberFormat="1" applyFont="1" applyFill="1" applyBorder="1" applyAlignment="1" applyProtection="0">
      <alignment vertical="bottom"/>
    </xf>
    <xf numFmtId="49" fontId="3" fillId="5" borderId="89" applyNumberFormat="1" applyFont="1" applyFill="1" applyBorder="1" applyAlignment="1" applyProtection="0">
      <alignment vertical="top" wrapText="1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62" fontId="4" borderId="6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4" fillId="2" borderId="40" applyNumberFormat="0" applyFont="1" applyFill="1" applyBorder="1" applyAlignment="1" applyProtection="0">
      <alignment horizontal="center" vertical="bottom"/>
    </xf>
    <xf numFmtId="0" fontId="4" borderId="90" applyNumberFormat="0" applyFont="1" applyFill="0" applyBorder="1" applyAlignment="1" applyProtection="0">
      <alignment vertical="bottom"/>
    </xf>
    <xf numFmtId="0" fontId="4" borderId="49" applyNumberFormat="0" applyFont="1" applyFill="0" applyBorder="1" applyAlignment="1" applyProtection="0">
      <alignment vertical="bottom"/>
    </xf>
    <xf numFmtId="0" fontId="4" borderId="49" applyNumberFormat="1" applyFont="1" applyFill="0" applyBorder="1" applyAlignment="1" applyProtection="0">
      <alignment horizontal="center" vertical="center"/>
    </xf>
    <xf numFmtId="0" fontId="5" borderId="25" applyNumberFormat="1" applyFont="1" applyFill="0" applyBorder="1" applyAlignment="1" applyProtection="0">
      <alignment vertical="bottom"/>
    </xf>
    <xf numFmtId="0" fontId="5" borderId="26" applyNumberFormat="1" applyFont="1" applyFill="0" applyBorder="1" applyAlignment="1" applyProtection="0">
      <alignment vertical="bottom"/>
    </xf>
    <xf numFmtId="0" fontId="5" fillId="6" borderId="49" applyNumberFormat="0" applyFont="1" applyFill="1" applyBorder="1" applyAlignment="1" applyProtection="0">
      <alignment vertical="bottom"/>
    </xf>
    <xf numFmtId="0" fontId="5" borderId="49" applyNumberFormat="0" applyFont="1" applyFill="0" applyBorder="1" applyAlignment="1" applyProtection="0">
      <alignment vertical="bottom"/>
    </xf>
    <xf numFmtId="0" fontId="5" fillId="7" borderId="49" applyNumberFormat="0" applyFont="1" applyFill="1" applyBorder="1" applyAlignment="1" applyProtection="0">
      <alignment vertical="bottom"/>
    </xf>
    <xf numFmtId="0" fontId="4" fillId="8" borderId="49" applyNumberFormat="0" applyFont="1" applyFill="1" applyBorder="1" applyAlignment="1" applyProtection="0">
      <alignment vertical="bottom"/>
    </xf>
    <xf numFmtId="61" fontId="5" borderId="49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4" fillId="10" borderId="5" applyNumberFormat="0" applyFont="1" applyFill="1" applyBorder="1" applyAlignment="1" applyProtection="0">
      <alignment vertical="bottom"/>
    </xf>
    <xf numFmtId="10" fontId="4" fillId="10" borderId="6" applyNumberFormat="1" applyFont="1" applyFill="1" applyBorder="1" applyAlignment="1" applyProtection="0">
      <alignment vertical="bottom"/>
    </xf>
    <xf numFmtId="0" fontId="5" fillId="10" borderId="7" applyNumberFormat="0" applyFont="1" applyFill="1" applyBorder="1" applyAlignment="1" applyProtection="0">
      <alignment vertical="bottom"/>
    </xf>
    <xf numFmtId="61" fontId="5" fillId="10" borderId="7" applyNumberFormat="1" applyFont="1" applyFill="1" applyBorder="1" applyAlignment="1" applyProtection="0">
      <alignment vertical="bottom"/>
    </xf>
    <xf numFmtId="49" fontId="4" fillId="10" borderId="7" applyNumberFormat="1" applyFont="1" applyFill="1" applyBorder="1" applyAlignment="1" applyProtection="0">
      <alignment horizontal="center" vertical="bottom"/>
    </xf>
    <xf numFmtId="10" fontId="4" fillId="10" borderId="7" applyNumberFormat="1" applyFont="1" applyFill="1" applyBorder="1" applyAlignment="1" applyProtection="0">
      <alignment vertical="bottom"/>
    </xf>
    <xf numFmtId="0" fontId="3" fillId="10" borderId="5" applyNumberFormat="0" applyFont="1" applyFill="1" applyBorder="1" applyAlignment="1" applyProtection="0">
      <alignment vertical="bottom"/>
    </xf>
    <xf numFmtId="49" fontId="4" fillId="10" borderId="6" applyNumberFormat="1" applyFont="1" applyFill="1" applyBorder="1" applyAlignment="1" applyProtection="0">
      <alignment horizontal="center" vertical="bottom"/>
    </xf>
    <xf numFmtId="0" fontId="4" fillId="10" borderId="7" applyNumberFormat="0" applyFont="1" applyFill="1" applyBorder="1" applyAlignment="1" applyProtection="0">
      <alignment horizontal="center" vertical="bottom"/>
    </xf>
    <xf numFmtId="0" fontId="7" fillId="10" borderId="7" applyNumberFormat="0" applyFont="1" applyFill="1" applyBorder="1" applyAlignment="1" applyProtection="0">
      <alignment horizontal="center" vertical="bottom"/>
    </xf>
    <xf numFmtId="49" fontId="4" fillId="10" borderId="5" applyNumberFormat="1" applyFont="1" applyFill="1" applyBorder="1" applyAlignment="1" applyProtection="0">
      <alignment vertical="bottom"/>
    </xf>
    <xf numFmtId="0" fontId="4" borderId="6" applyNumberFormat="1" applyFont="1" applyFill="0" applyBorder="1" applyAlignment="1" applyProtection="0">
      <alignment horizontal="center" vertical="center"/>
    </xf>
    <xf numFmtId="10" fontId="4" borderId="7" applyNumberFormat="1" applyFont="1" applyFill="0" applyBorder="1" applyAlignment="1" applyProtection="0">
      <alignment horizontal="center" vertical="center"/>
    </xf>
    <xf numFmtId="61" fontId="4" borderId="7" applyNumberFormat="1" applyFont="1" applyFill="0" applyBorder="1" applyAlignment="1" applyProtection="0">
      <alignment horizontal="center" vertical="center"/>
    </xf>
    <xf numFmtId="0" fontId="4" borderId="7" applyNumberFormat="0" applyFont="1" applyFill="0" applyBorder="1" applyAlignment="1" applyProtection="0">
      <alignment horizontal="center" vertical="center"/>
    </xf>
    <xf numFmtId="1" fontId="4" borderId="7" applyNumberFormat="1" applyFont="1" applyFill="0" applyBorder="1" applyAlignment="1" applyProtection="0">
      <alignment horizontal="center" vertical="center"/>
    </xf>
  </cellXfs>
  <cellStyles count="1">
    <cellStyle name="Normal" xfId="0" builtinId="0"/>
  </cellStyles>
  <dxfs count="464"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  <dxf>
      <font>
        <color rgb="ff000000"/>
      </font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1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9"/>
        </patternFill>
      </fill>
      <border>
        <left style="thin">
          <color indexed="8"/>
        </left>
        <right style="thin">
          <color indexed="8"/>
        </right>
        <top/>
        <bottom style="medium">
          <color indexed="8"/>
        </bottom>
        <diagonal/>
        <vertical style="thin">
          <color indexed="8"/>
        </vertical>
        <horizontal>
          <color indexed="8"/>
        </horizontal>
      </border>
    </dxf>
    <dxf>
      <font>
        <b val="1"/>
        <color rgb="ff000000"/>
      </font>
      <fill>
        <patternFill patternType="solid">
          <fgColor indexed="15"/>
          <bgColor indexed="12"/>
        </patternFill>
      </fill>
      <border>
        <left style="thin">
          <color indexed="10"/>
        </left>
        <right style="thin">
          <color indexed="11"/>
        </right>
        <top style="thin">
          <color indexed="10"/>
        </top>
        <bottom style="thin">
          <color indexed="10"/>
        </bottom>
        <diagonal/>
        <vertical style="thin">
          <color indexed="10"/>
        </vertical>
        <horizontal style="thin">
          <color indexed="10"/>
        </horizontal>
      </border>
    </dxf>
    <dxf>
      <font>
        <b val="1"/>
        <color rgb="ff000000"/>
      </font>
      <fill>
        <patternFill patternType="solid">
          <fgColor indexed="15"/>
          <bgColor indexed="13"/>
        </patternFill>
      </fill>
      <border>
        <left style="thin">
          <color indexed="10"/>
        </left>
        <right style="thin">
          <color indexed="11"/>
        </right>
        <top style="thin">
          <color indexed="8"/>
        </top>
        <bottom style="thin">
          <color indexed="8"/>
        </bottom>
        <diagonal/>
        <vertical style="thin">
          <color indexed="10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6"/>
        </patternFill>
      </fill>
      <border>
        <left style="thin">
          <color indexed="8"/>
        </left>
        <right style="thin">
          <color indexed="8"/>
        </right>
        <top/>
        <bottom/>
        <diagonal/>
        <vertical style="thin">
          <color indexed="8"/>
        </vertical>
        <horizontal>
          <color indexed="8"/>
        </horizontal>
      </border>
    </dxf>
    <dxf>
      <font>
        <color rgb="ff000000"/>
      </font>
      <fill>
        <patternFill patternType="solid">
          <fgColor indexed="15"/>
          <bgColor indexed="17"/>
        </patternFill>
      </fill>
      <border>
        <left/>
        <right/>
        <top style="thin">
          <color indexed="8"/>
        </top>
        <bottom style="thin">
          <color indexed="8"/>
        </bottom>
        <diagonal/>
      </border>
    </dxf>
    <dxf>
      <font>
        <b val="1"/>
        <color rgb="ff000000"/>
      </font>
      <border>
        <left style="thin">
          <color indexed="10"/>
        </left>
        <right style="thin">
          <color indexed="10"/>
        </right>
        <top style="thin">
          <color indexed="11"/>
        </top>
        <bottom style="thin">
          <color indexed="8"/>
        </bottom>
        <diagonal/>
        <vertical style="thin">
          <color indexed="10"/>
        </vertical>
        <horizontal style="thin">
          <color indexed="10"/>
        </horizontal>
      </border>
    </dxf>
  </dxfs>
  <tableStyles count="58">
    <tableStyle name="PivotStyleCustom01">
      <tableStyleElement type="wholeTable" dxfId="0"/>
      <tableStyleElement type="headerRow" dxfId="1"/>
      <tableStyleElement type="firstColumnSubheading" dxfId="2"/>
      <tableStyleElement type="secondColumnSubheading" dxfId="2"/>
      <tableStyleElement type="thirdColumnSubheading" dxfId="2"/>
      <tableStyleElement type="firstColumn" dxfId="3"/>
      <tableStyleElement type="lastColumn" dxfId="3"/>
      <tableStyleElement type="firstRowSubheading" dxfId="4"/>
      <tableStyleElement type="secondRowSubheading" dxfId="4"/>
      <tableStyleElement type="thirdRowSubheading" dxfId="4"/>
      <tableStyleElement type="firstSubtotalColumn" dxfId="5"/>
      <tableStyleElement type="secondSubtotalColumn" dxfId="5"/>
      <tableStyleElement type="thirdSubtotalColumn" dxfId="5"/>
      <tableStyleElement type="firstSubtotalRow" dxfId="6"/>
      <tableStyleElement type="secondSubtotalRow" dxfId="6"/>
      <tableStyleElement type="thirdSubtotalRow" dxfId="6"/>
      <tableStyleElement type="totalRow" dxfId="7"/>
    </tableStyle>
    <tableStyle name="PivotStyleCustom02">
      <tableStyleElement type="wholeTable" dxfId="8"/>
      <tableStyleElement type="headerRow" dxfId="9"/>
      <tableStyleElement type="firstColumnSubheading" dxfId="10"/>
      <tableStyleElement type="secondColumnSubheading" dxfId="10"/>
      <tableStyleElement type="thirdColumnSubheading" dxfId="10"/>
      <tableStyleElement type="firstColumn" dxfId="11"/>
      <tableStyleElement type="lastColumn" dxfId="11"/>
      <tableStyleElement type="firstRowSubheading" dxfId="12"/>
      <tableStyleElement type="secondRowSubheading" dxfId="12"/>
      <tableStyleElement type="thirdRowSubheading" dxfId="12"/>
      <tableStyleElement type="firstSubtotalColumn" dxfId="13"/>
      <tableStyleElement type="secondSubtotalColumn" dxfId="13"/>
      <tableStyleElement type="thirdSubtotalColumn" dxfId="13"/>
      <tableStyleElement type="firstSubtotalRow" dxfId="14"/>
      <tableStyleElement type="secondSubtotalRow" dxfId="14"/>
      <tableStyleElement type="thirdSubtotalRow" dxfId="14"/>
      <tableStyleElement type="totalRow" dxfId="15"/>
    </tableStyle>
    <tableStyle name="PivotStyleCustom03">
      <tableStyleElement type="wholeTable" dxfId="16"/>
      <tableStyleElement type="headerRow" dxfId="17"/>
      <tableStyleElement type="firstColumnSubheading" dxfId="18"/>
      <tableStyleElement type="secondColumnSubheading" dxfId="18"/>
      <tableStyleElement type="thirdColumnSubheading" dxfId="18"/>
      <tableStyleElement type="firstColumn" dxfId="19"/>
      <tableStyleElement type="lastColumn" dxfId="19"/>
      <tableStyleElement type="firstRowSubheading" dxfId="20"/>
      <tableStyleElement type="secondRowSubheading" dxfId="20"/>
      <tableStyleElement type="thirdRowSubheading" dxfId="20"/>
      <tableStyleElement type="firstSubtotalColumn" dxfId="21"/>
      <tableStyleElement type="secondSubtotalColumn" dxfId="21"/>
      <tableStyleElement type="thirdSubtotalColumn" dxfId="21"/>
      <tableStyleElement type="firstSubtotalRow" dxfId="22"/>
      <tableStyleElement type="secondSubtotalRow" dxfId="22"/>
      <tableStyleElement type="thirdSubtotalRow" dxfId="22"/>
      <tableStyleElement type="totalRow" dxfId="23"/>
    </tableStyle>
    <tableStyle name="PivotStyleCustom04">
      <tableStyleElement type="wholeTable" dxfId="24"/>
      <tableStyleElement type="headerRow" dxfId="25"/>
      <tableStyleElement type="firstColumnSubheading" dxfId="26"/>
      <tableStyleElement type="secondColumnSubheading" dxfId="26"/>
      <tableStyleElement type="thirdColumnSubheading" dxfId="26"/>
      <tableStyleElement type="firstColumn" dxfId="27"/>
      <tableStyleElement type="lastColumn" dxfId="27"/>
      <tableStyleElement type="firstRowSubheading" dxfId="28"/>
      <tableStyleElement type="secondRowSubheading" dxfId="28"/>
      <tableStyleElement type="thirdRowSubheading" dxfId="28"/>
      <tableStyleElement type="firstSubtotalColumn" dxfId="29"/>
      <tableStyleElement type="secondSubtotalColumn" dxfId="29"/>
      <tableStyleElement type="thirdSubtotalColumn" dxfId="29"/>
      <tableStyleElement type="firstSubtotalRow" dxfId="30"/>
      <tableStyleElement type="secondSubtotalRow" dxfId="30"/>
      <tableStyleElement type="thirdSubtotalRow" dxfId="30"/>
      <tableStyleElement type="totalRow" dxfId="31"/>
    </tableStyle>
    <tableStyle name="PivotStyleCustom05">
      <tableStyleElement type="wholeTable" dxfId="32"/>
      <tableStyleElement type="headerRow" dxfId="33"/>
      <tableStyleElement type="firstColumnSubheading" dxfId="34"/>
      <tableStyleElement type="secondColumnSubheading" dxfId="34"/>
      <tableStyleElement type="thirdColumnSubheading" dxfId="34"/>
      <tableStyleElement type="firstColumn" dxfId="35"/>
      <tableStyleElement type="lastColumn" dxfId="35"/>
      <tableStyleElement type="firstRowSubheading" dxfId="36"/>
      <tableStyleElement type="secondRowSubheading" dxfId="36"/>
      <tableStyleElement type="thirdRowSubheading" dxfId="36"/>
      <tableStyleElement type="firstSubtotalColumn" dxfId="37"/>
      <tableStyleElement type="secondSubtotalColumn" dxfId="37"/>
      <tableStyleElement type="thirdSubtotalColumn" dxfId="37"/>
      <tableStyleElement type="firstSubtotalRow" dxfId="38"/>
      <tableStyleElement type="secondSubtotalRow" dxfId="38"/>
      <tableStyleElement type="thirdSubtotalRow" dxfId="38"/>
      <tableStyleElement type="totalRow" dxfId="39"/>
    </tableStyle>
    <tableStyle name="PivotStyleCustom06">
      <tableStyleElement type="wholeTable" dxfId="40"/>
      <tableStyleElement type="headerRow" dxfId="41"/>
      <tableStyleElement type="firstColumnSubheading" dxfId="42"/>
      <tableStyleElement type="secondColumnSubheading" dxfId="42"/>
      <tableStyleElement type="thirdColumnSubheading" dxfId="42"/>
      <tableStyleElement type="firstColumn" dxfId="43"/>
      <tableStyleElement type="lastColumn" dxfId="43"/>
      <tableStyleElement type="firstRowSubheading" dxfId="44"/>
      <tableStyleElement type="secondRowSubheading" dxfId="44"/>
      <tableStyleElement type="thirdRowSubheading" dxfId="44"/>
      <tableStyleElement type="firstSubtotalColumn" dxfId="45"/>
      <tableStyleElement type="secondSubtotalColumn" dxfId="45"/>
      <tableStyleElement type="thirdSubtotalColumn" dxfId="45"/>
      <tableStyleElement type="firstSubtotalRow" dxfId="46"/>
      <tableStyleElement type="secondSubtotalRow" dxfId="46"/>
      <tableStyleElement type="thirdSubtotalRow" dxfId="46"/>
      <tableStyleElement type="totalRow" dxfId="47"/>
    </tableStyle>
    <tableStyle name="PivotStyleCustom07">
      <tableStyleElement type="wholeTable" dxfId="48"/>
      <tableStyleElement type="headerRow" dxfId="49"/>
      <tableStyleElement type="firstColumnSubheading" dxfId="50"/>
      <tableStyleElement type="secondColumnSubheading" dxfId="50"/>
      <tableStyleElement type="thirdColumnSubheading" dxfId="50"/>
      <tableStyleElement type="firstColumn" dxfId="51"/>
      <tableStyleElement type="lastColumn" dxfId="51"/>
      <tableStyleElement type="firstRowSubheading" dxfId="52"/>
      <tableStyleElement type="secondRowSubheading" dxfId="52"/>
      <tableStyleElement type="thirdRowSubheading" dxfId="52"/>
      <tableStyleElement type="firstSubtotalColumn" dxfId="53"/>
      <tableStyleElement type="secondSubtotalColumn" dxfId="53"/>
      <tableStyleElement type="thirdSubtotalColumn" dxfId="53"/>
      <tableStyleElement type="firstSubtotalRow" dxfId="54"/>
      <tableStyleElement type="secondSubtotalRow" dxfId="54"/>
      <tableStyleElement type="thirdSubtotalRow" dxfId="54"/>
      <tableStyleElement type="totalRow" dxfId="55"/>
    </tableStyle>
    <tableStyle name="PivotStyleCustom08">
      <tableStyleElement type="wholeTable" dxfId="56"/>
      <tableStyleElement type="headerRow" dxfId="57"/>
      <tableStyleElement type="firstColumnSubheading" dxfId="58"/>
      <tableStyleElement type="secondColumnSubheading" dxfId="58"/>
      <tableStyleElement type="thirdColumnSubheading" dxfId="58"/>
      <tableStyleElement type="firstColumn" dxfId="59"/>
      <tableStyleElement type="lastColumn" dxfId="59"/>
      <tableStyleElement type="firstRowSubheading" dxfId="60"/>
      <tableStyleElement type="secondRowSubheading" dxfId="60"/>
      <tableStyleElement type="thirdRowSubheading" dxfId="60"/>
      <tableStyleElement type="firstSubtotalColumn" dxfId="61"/>
      <tableStyleElement type="secondSubtotalColumn" dxfId="61"/>
      <tableStyleElement type="thirdSubtotalColumn" dxfId="61"/>
      <tableStyleElement type="firstSubtotalRow" dxfId="62"/>
      <tableStyleElement type="secondSubtotalRow" dxfId="62"/>
      <tableStyleElement type="thirdSubtotalRow" dxfId="62"/>
      <tableStyleElement type="totalRow" dxfId="63"/>
    </tableStyle>
    <tableStyle name="PivotStyleCustom09">
      <tableStyleElement type="wholeTable" dxfId="64"/>
      <tableStyleElement type="headerRow" dxfId="65"/>
      <tableStyleElement type="firstColumnSubheading" dxfId="66"/>
      <tableStyleElement type="secondColumnSubheading" dxfId="66"/>
      <tableStyleElement type="thirdColumnSubheading" dxfId="66"/>
      <tableStyleElement type="firstColumn" dxfId="67"/>
      <tableStyleElement type="lastColumn" dxfId="67"/>
      <tableStyleElement type="firstRowSubheading" dxfId="68"/>
      <tableStyleElement type="secondRowSubheading" dxfId="68"/>
      <tableStyleElement type="thirdRowSubheading" dxfId="68"/>
      <tableStyleElement type="firstSubtotalColumn" dxfId="69"/>
      <tableStyleElement type="secondSubtotalColumn" dxfId="69"/>
      <tableStyleElement type="thirdSubtotalColumn" dxfId="69"/>
      <tableStyleElement type="firstSubtotalRow" dxfId="70"/>
      <tableStyleElement type="secondSubtotalRow" dxfId="70"/>
      <tableStyleElement type="thirdSubtotalRow" dxfId="70"/>
      <tableStyleElement type="totalRow" dxfId="71"/>
    </tableStyle>
    <tableStyle name="PivotStyleCustom10">
      <tableStyleElement type="wholeTable" dxfId="72"/>
      <tableStyleElement type="headerRow" dxfId="73"/>
      <tableStyleElement type="firstColumnSubheading" dxfId="74"/>
      <tableStyleElement type="secondColumnSubheading" dxfId="74"/>
      <tableStyleElement type="thirdColumnSubheading" dxfId="74"/>
      <tableStyleElement type="firstColumn" dxfId="75"/>
      <tableStyleElement type="lastColumn" dxfId="75"/>
      <tableStyleElement type="firstRowSubheading" dxfId="76"/>
      <tableStyleElement type="secondRowSubheading" dxfId="76"/>
      <tableStyleElement type="thirdRowSubheading" dxfId="76"/>
      <tableStyleElement type="firstSubtotalColumn" dxfId="77"/>
      <tableStyleElement type="secondSubtotalColumn" dxfId="77"/>
      <tableStyleElement type="thirdSubtotalColumn" dxfId="77"/>
      <tableStyleElement type="firstSubtotalRow" dxfId="78"/>
      <tableStyleElement type="secondSubtotalRow" dxfId="78"/>
      <tableStyleElement type="thirdSubtotalRow" dxfId="78"/>
      <tableStyleElement type="totalRow" dxfId="79"/>
    </tableStyle>
    <tableStyle name="PivotStyleCustom11">
      <tableStyleElement type="wholeTable" dxfId="80"/>
      <tableStyleElement type="headerRow" dxfId="81"/>
      <tableStyleElement type="firstColumnSubheading" dxfId="82"/>
      <tableStyleElement type="secondColumnSubheading" dxfId="82"/>
      <tableStyleElement type="thirdColumnSubheading" dxfId="82"/>
      <tableStyleElement type="firstColumn" dxfId="83"/>
      <tableStyleElement type="lastColumn" dxfId="83"/>
      <tableStyleElement type="firstRowSubheading" dxfId="84"/>
      <tableStyleElement type="secondRowSubheading" dxfId="84"/>
      <tableStyleElement type="thirdRowSubheading" dxfId="84"/>
      <tableStyleElement type="firstSubtotalColumn" dxfId="85"/>
      <tableStyleElement type="secondSubtotalColumn" dxfId="85"/>
      <tableStyleElement type="thirdSubtotalColumn" dxfId="85"/>
      <tableStyleElement type="firstSubtotalRow" dxfId="86"/>
      <tableStyleElement type="secondSubtotalRow" dxfId="86"/>
      <tableStyleElement type="thirdSubtotalRow" dxfId="86"/>
      <tableStyleElement type="totalRow" dxfId="87"/>
    </tableStyle>
    <tableStyle name="PivotStyleCustom12">
      <tableStyleElement type="wholeTable" dxfId="88"/>
      <tableStyleElement type="headerRow" dxfId="89"/>
      <tableStyleElement type="firstColumnSubheading" dxfId="90"/>
      <tableStyleElement type="secondColumnSubheading" dxfId="90"/>
      <tableStyleElement type="thirdColumnSubheading" dxfId="90"/>
      <tableStyleElement type="firstColumn" dxfId="91"/>
      <tableStyleElement type="lastColumn" dxfId="91"/>
      <tableStyleElement type="firstRowSubheading" dxfId="92"/>
      <tableStyleElement type="secondRowSubheading" dxfId="92"/>
      <tableStyleElement type="thirdRowSubheading" dxfId="92"/>
      <tableStyleElement type="firstSubtotalColumn" dxfId="93"/>
      <tableStyleElement type="secondSubtotalColumn" dxfId="93"/>
      <tableStyleElement type="thirdSubtotalColumn" dxfId="93"/>
      <tableStyleElement type="firstSubtotalRow" dxfId="94"/>
      <tableStyleElement type="secondSubtotalRow" dxfId="94"/>
      <tableStyleElement type="thirdSubtotalRow" dxfId="94"/>
      <tableStyleElement type="totalRow" dxfId="95"/>
    </tableStyle>
    <tableStyle name="PivotStyleCustom13">
      <tableStyleElement type="wholeTable" dxfId="96"/>
      <tableStyleElement type="headerRow" dxfId="97"/>
      <tableStyleElement type="firstColumnSubheading" dxfId="98"/>
      <tableStyleElement type="secondColumnSubheading" dxfId="98"/>
      <tableStyleElement type="thirdColumnSubheading" dxfId="98"/>
      <tableStyleElement type="firstColumn" dxfId="99"/>
      <tableStyleElement type="lastColumn" dxfId="99"/>
      <tableStyleElement type="firstRowSubheading" dxfId="100"/>
      <tableStyleElement type="secondRowSubheading" dxfId="100"/>
      <tableStyleElement type="thirdRowSubheading" dxfId="100"/>
      <tableStyleElement type="firstSubtotalColumn" dxfId="101"/>
      <tableStyleElement type="secondSubtotalColumn" dxfId="101"/>
      <tableStyleElement type="thirdSubtotalColumn" dxfId="101"/>
      <tableStyleElement type="firstSubtotalRow" dxfId="102"/>
      <tableStyleElement type="secondSubtotalRow" dxfId="102"/>
      <tableStyleElement type="thirdSubtotalRow" dxfId="102"/>
      <tableStyleElement type="totalRow" dxfId="103"/>
    </tableStyle>
    <tableStyle name="PivotStyleCustom14">
      <tableStyleElement type="wholeTable" dxfId="104"/>
      <tableStyleElement type="headerRow" dxfId="105"/>
      <tableStyleElement type="firstColumnSubheading" dxfId="106"/>
      <tableStyleElement type="secondColumnSubheading" dxfId="106"/>
      <tableStyleElement type="thirdColumnSubheading" dxfId="106"/>
      <tableStyleElement type="firstColumn" dxfId="107"/>
      <tableStyleElement type="lastColumn" dxfId="107"/>
      <tableStyleElement type="firstRowSubheading" dxfId="108"/>
      <tableStyleElement type="secondRowSubheading" dxfId="108"/>
      <tableStyleElement type="thirdRowSubheading" dxfId="108"/>
      <tableStyleElement type="firstSubtotalColumn" dxfId="109"/>
      <tableStyleElement type="secondSubtotalColumn" dxfId="109"/>
      <tableStyleElement type="thirdSubtotalColumn" dxfId="109"/>
      <tableStyleElement type="firstSubtotalRow" dxfId="110"/>
      <tableStyleElement type="secondSubtotalRow" dxfId="110"/>
      <tableStyleElement type="thirdSubtotalRow" dxfId="110"/>
      <tableStyleElement type="totalRow" dxfId="111"/>
    </tableStyle>
    <tableStyle name="PivotStyleCustom15">
      <tableStyleElement type="wholeTable" dxfId="112"/>
      <tableStyleElement type="headerRow" dxfId="113"/>
      <tableStyleElement type="firstColumnSubheading" dxfId="114"/>
      <tableStyleElement type="secondColumnSubheading" dxfId="114"/>
      <tableStyleElement type="thirdColumnSubheading" dxfId="114"/>
      <tableStyleElement type="firstColumn" dxfId="115"/>
      <tableStyleElement type="lastColumn" dxfId="115"/>
      <tableStyleElement type="firstRowSubheading" dxfId="116"/>
      <tableStyleElement type="secondRowSubheading" dxfId="116"/>
      <tableStyleElement type="thirdRowSubheading" dxfId="116"/>
      <tableStyleElement type="firstSubtotalColumn" dxfId="117"/>
      <tableStyleElement type="secondSubtotalColumn" dxfId="117"/>
      <tableStyleElement type="thirdSubtotalColumn" dxfId="117"/>
      <tableStyleElement type="firstSubtotalRow" dxfId="118"/>
      <tableStyleElement type="secondSubtotalRow" dxfId="118"/>
      <tableStyleElement type="thirdSubtotalRow" dxfId="118"/>
      <tableStyleElement type="totalRow" dxfId="119"/>
    </tableStyle>
    <tableStyle name="PivotStyleCustom16">
      <tableStyleElement type="wholeTable" dxfId="120"/>
      <tableStyleElement type="headerRow" dxfId="121"/>
      <tableStyleElement type="firstColumnSubheading" dxfId="122"/>
      <tableStyleElement type="secondColumnSubheading" dxfId="122"/>
      <tableStyleElement type="thirdColumnSubheading" dxfId="122"/>
      <tableStyleElement type="firstColumn" dxfId="123"/>
      <tableStyleElement type="lastColumn" dxfId="123"/>
      <tableStyleElement type="firstRowSubheading" dxfId="124"/>
      <tableStyleElement type="secondRowSubheading" dxfId="124"/>
      <tableStyleElement type="thirdRowSubheading" dxfId="124"/>
      <tableStyleElement type="firstSubtotalColumn" dxfId="125"/>
      <tableStyleElement type="secondSubtotalColumn" dxfId="125"/>
      <tableStyleElement type="thirdSubtotalColumn" dxfId="125"/>
      <tableStyleElement type="firstSubtotalRow" dxfId="126"/>
      <tableStyleElement type="secondSubtotalRow" dxfId="126"/>
      <tableStyleElement type="thirdSubtotalRow" dxfId="126"/>
      <tableStyleElement type="totalRow" dxfId="127"/>
    </tableStyle>
    <tableStyle name="PivotStyleCustom17">
      <tableStyleElement type="wholeTable" dxfId="128"/>
      <tableStyleElement type="headerRow" dxfId="129"/>
      <tableStyleElement type="firstColumnSubheading" dxfId="130"/>
      <tableStyleElement type="secondColumnSubheading" dxfId="130"/>
      <tableStyleElement type="thirdColumnSubheading" dxfId="130"/>
      <tableStyleElement type="firstColumn" dxfId="131"/>
      <tableStyleElement type="lastColumn" dxfId="131"/>
      <tableStyleElement type="firstRowSubheading" dxfId="132"/>
      <tableStyleElement type="secondRowSubheading" dxfId="132"/>
      <tableStyleElement type="thirdRowSubheading" dxfId="132"/>
      <tableStyleElement type="firstSubtotalColumn" dxfId="133"/>
      <tableStyleElement type="secondSubtotalColumn" dxfId="133"/>
      <tableStyleElement type="thirdSubtotalColumn" dxfId="133"/>
      <tableStyleElement type="firstSubtotalRow" dxfId="134"/>
      <tableStyleElement type="secondSubtotalRow" dxfId="134"/>
      <tableStyleElement type="thirdSubtotalRow" dxfId="134"/>
      <tableStyleElement type="totalRow" dxfId="135"/>
    </tableStyle>
    <tableStyle name="PivotStyleCustom18">
      <tableStyleElement type="wholeTable" dxfId="136"/>
      <tableStyleElement type="headerRow" dxfId="137"/>
      <tableStyleElement type="firstColumnSubheading" dxfId="138"/>
      <tableStyleElement type="secondColumnSubheading" dxfId="138"/>
      <tableStyleElement type="thirdColumnSubheading" dxfId="138"/>
      <tableStyleElement type="firstColumn" dxfId="139"/>
      <tableStyleElement type="lastColumn" dxfId="139"/>
      <tableStyleElement type="firstRowSubheading" dxfId="140"/>
      <tableStyleElement type="secondRowSubheading" dxfId="140"/>
      <tableStyleElement type="thirdRowSubheading" dxfId="140"/>
      <tableStyleElement type="firstSubtotalColumn" dxfId="141"/>
      <tableStyleElement type="secondSubtotalColumn" dxfId="141"/>
      <tableStyleElement type="thirdSubtotalColumn" dxfId="141"/>
      <tableStyleElement type="firstSubtotalRow" dxfId="142"/>
      <tableStyleElement type="secondSubtotalRow" dxfId="142"/>
      <tableStyleElement type="thirdSubtotalRow" dxfId="142"/>
      <tableStyleElement type="totalRow" dxfId="143"/>
    </tableStyle>
    <tableStyle name="PivotStyleCustom19">
      <tableStyleElement type="wholeTable" dxfId="144"/>
      <tableStyleElement type="headerRow" dxfId="145"/>
      <tableStyleElement type="firstColumnSubheading" dxfId="146"/>
      <tableStyleElement type="secondColumnSubheading" dxfId="146"/>
      <tableStyleElement type="thirdColumnSubheading" dxfId="146"/>
      <tableStyleElement type="firstColumn" dxfId="147"/>
      <tableStyleElement type="lastColumn" dxfId="147"/>
      <tableStyleElement type="firstRowSubheading" dxfId="148"/>
      <tableStyleElement type="secondRowSubheading" dxfId="148"/>
      <tableStyleElement type="thirdRowSubheading" dxfId="148"/>
      <tableStyleElement type="firstSubtotalColumn" dxfId="149"/>
      <tableStyleElement type="secondSubtotalColumn" dxfId="149"/>
      <tableStyleElement type="thirdSubtotalColumn" dxfId="149"/>
      <tableStyleElement type="firstSubtotalRow" dxfId="150"/>
      <tableStyleElement type="secondSubtotalRow" dxfId="150"/>
      <tableStyleElement type="thirdSubtotalRow" dxfId="150"/>
      <tableStyleElement type="totalRow" dxfId="151"/>
    </tableStyle>
    <tableStyle name="PivotStyleCustom20">
      <tableStyleElement type="wholeTable" dxfId="152"/>
      <tableStyleElement type="headerRow" dxfId="153"/>
      <tableStyleElement type="firstColumnSubheading" dxfId="154"/>
      <tableStyleElement type="secondColumnSubheading" dxfId="154"/>
      <tableStyleElement type="thirdColumnSubheading" dxfId="154"/>
      <tableStyleElement type="firstColumn" dxfId="155"/>
      <tableStyleElement type="lastColumn" dxfId="155"/>
      <tableStyleElement type="firstRowSubheading" dxfId="156"/>
      <tableStyleElement type="secondRowSubheading" dxfId="156"/>
      <tableStyleElement type="thirdRowSubheading" dxfId="156"/>
      <tableStyleElement type="firstSubtotalColumn" dxfId="157"/>
      <tableStyleElement type="secondSubtotalColumn" dxfId="157"/>
      <tableStyleElement type="thirdSubtotalColumn" dxfId="157"/>
      <tableStyleElement type="firstSubtotalRow" dxfId="158"/>
      <tableStyleElement type="secondSubtotalRow" dxfId="158"/>
      <tableStyleElement type="thirdSubtotalRow" dxfId="158"/>
      <tableStyleElement type="totalRow" dxfId="159"/>
    </tableStyle>
    <tableStyle name="PivotStyleCustom21">
      <tableStyleElement type="wholeTable" dxfId="160"/>
      <tableStyleElement type="headerRow" dxfId="161"/>
      <tableStyleElement type="firstColumnSubheading" dxfId="162"/>
      <tableStyleElement type="secondColumnSubheading" dxfId="162"/>
      <tableStyleElement type="thirdColumnSubheading" dxfId="162"/>
      <tableStyleElement type="firstColumn" dxfId="163"/>
      <tableStyleElement type="lastColumn" dxfId="163"/>
      <tableStyleElement type="firstRowSubheading" dxfId="164"/>
      <tableStyleElement type="secondRowSubheading" dxfId="164"/>
      <tableStyleElement type="thirdRowSubheading" dxfId="164"/>
      <tableStyleElement type="firstSubtotalColumn" dxfId="165"/>
      <tableStyleElement type="secondSubtotalColumn" dxfId="165"/>
      <tableStyleElement type="thirdSubtotalColumn" dxfId="165"/>
      <tableStyleElement type="firstSubtotalRow" dxfId="166"/>
      <tableStyleElement type="secondSubtotalRow" dxfId="166"/>
      <tableStyleElement type="thirdSubtotalRow" dxfId="166"/>
      <tableStyleElement type="totalRow" dxfId="167"/>
    </tableStyle>
    <tableStyle name="PivotStyleCustom22">
      <tableStyleElement type="wholeTable" dxfId="168"/>
      <tableStyleElement type="headerRow" dxfId="169"/>
      <tableStyleElement type="firstColumnSubheading" dxfId="170"/>
      <tableStyleElement type="secondColumnSubheading" dxfId="170"/>
      <tableStyleElement type="thirdColumnSubheading" dxfId="170"/>
      <tableStyleElement type="firstColumn" dxfId="171"/>
      <tableStyleElement type="lastColumn" dxfId="171"/>
      <tableStyleElement type="firstRowSubheading" dxfId="172"/>
      <tableStyleElement type="secondRowSubheading" dxfId="172"/>
      <tableStyleElement type="thirdRowSubheading" dxfId="172"/>
      <tableStyleElement type="firstSubtotalColumn" dxfId="173"/>
      <tableStyleElement type="secondSubtotalColumn" dxfId="173"/>
      <tableStyleElement type="thirdSubtotalColumn" dxfId="173"/>
      <tableStyleElement type="firstSubtotalRow" dxfId="174"/>
      <tableStyleElement type="secondSubtotalRow" dxfId="174"/>
      <tableStyleElement type="thirdSubtotalRow" dxfId="174"/>
      <tableStyleElement type="totalRow" dxfId="175"/>
    </tableStyle>
    <tableStyle name="PivotStyleCustom23">
      <tableStyleElement type="wholeTable" dxfId="176"/>
      <tableStyleElement type="headerRow" dxfId="177"/>
      <tableStyleElement type="firstColumnSubheading" dxfId="178"/>
      <tableStyleElement type="secondColumnSubheading" dxfId="178"/>
      <tableStyleElement type="thirdColumnSubheading" dxfId="178"/>
      <tableStyleElement type="firstColumn" dxfId="179"/>
      <tableStyleElement type="lastColumn" dxfId="179"/>
      <tableStyleElement type="firstRowSubheading" dxfId="180"/>
      <tableStyleElement type="secondRowSubheading" dxfId="180"/>
      <tableStyleElement type="thirdRowSubheading" dxfId="180"/>
      <tableStyleElement type="firstSubtotalColumn" dxfId="181"/>
      <tableStyleElement type="secondSubtotalColumn" dxfId="181"/>
      <tableStyleElement type="thirdSubtotalColumn" dxfId="181"/>
      <tableStyleElement type="firstSubtotalRow" dxfId="182"/>
      <tableStyleElement type="secondSubtotalRow" dxfId="182"/>
      <tableStyleElement type="thirdSubtotalRow" dxfId="182"/>
      <tableStyleElement type="totalRow" dxfId="183"/>
    </tableStyle>
    <tableStyle name="PivotStyleCustom24">
      <tableStyleElement type="wholeTable" dxfId="184"/>
      <tableStyleElement type="headerRow" dxfId="185"/>
      <tableStyleElement type="firstColumnSubheading" dxfId="186"/>
      <tableStyleElement type="secondColumnSubheading" dxfId="186"/>
      <tableStyleElement type="thirdColumnSubheading" dxfId="186"/>
      <tableStyleElement type="firstColumn" dxfId="187"/>
      <tableStyleElement type="lastColumn" dxfId="187"/>
      <tableStyleElement type="firstRowSubheading" dxfId="188"/>
      <tableStyleElement type="secondRowSubheading" dxfId="188"/>
      <tableStyleElement type="thirdRowSubheading" dxfId="188"/>
      <tableStyleElement type="firstSubtotalColumn" dxfId="189"/>
      <tableStyleElement type="secondSubtotalColumn" dxfId="189"/>
      <tableStyleElement type="thirdSubtotalColumn" dxfId="189"/>
      <tableStyleElement type="firstSubtotalRow" dxfId="190"/>
      <tableStyleElement type="secondSubtotalRow" dxfId="190"/>
      <tableStyleElement type="thirdSubtotalRow" dxfId="190"/>
      <tableStyleElement type="totalRow" dxfId="191"/>
    </tableStyle>
    <tableStyle name="PivotStyleCustom25">
      <tableStyleElement type="wholeTable" dxfId="192"/>
      <tableStyleElement type="headerRow" dxfId="193"/>
      <tableStyleElement type="firstColumnSubheading" dxfId="194"/>
      <tableStyleElement type="secondColumnSubheading" dxfId="194"/>
      <tableStyleElement type="thirdColumnSubheading" dxfId="194"/>
      <tableStyleElement type="firstColumn" dxfId="195"/>
      <tableStyleElement type="lastColumn" dxfId="195"/>
      <tableStyleElement type="firstRowSubheading" dxfId="196"/>
      <tableStyleElement type="secondRowSubheading" dxfId="196"/>
      <tableStyleElement type="thirdRowSubheading" dxfId="196"/>
      <tableStyleElement type="firstSubtotalColumn" dxfId="197"/>
      <tableStyleElement type="secondSubtotalColumn" dxfId="197"/>
      <tableStyleElement type="thirdSubtotalColumn" dxfId="197"/>
      <tableStyleElement type="firstSubtotalRow" dxfId="198"/>
      <tableStyleElement type="secondSubtotalRow" dxfId="198"/>
      <tableStyleElement type="thirdSubtotalRow" dxfId="198"/>
      <tableStyleElement type="totalRow" dxfId="199"/>
    </tableStyle>
    <tableStyle name="PivotStyleCustom26">
      <tableStyleElement type="wholeTable" dxfId="200"/>
      <tableStyleElement type="headerRow" dxfId="201"/>
      <tableStyleElement type="firstColumnSubheading" dxfId="202"/>
      <tableStyleElement type="secondColumnSubheading" dxfId="202"/>
      <tableStyleElement type="thirdColumnSubheading" dxfId="202"/>
      <tableStyleElement type="firstColumn" dxfId="203"/>
      <tableStyleElement type="lastColumn" dxfId="203"/>
      <tableStyleElement type="firstRowSubheading" dxfId="204"/>
      <tableStyleElement type="secondRowSubheading" dxfId="204"/>
      <tableStyleElement type="thirdRowSubheading" dxfId="204"/>
      <tableStyleElement type="firstSubtotalColumn" dxfId="205"/>
      <tableStyleElement type="secondSubtotalColumn" dxfId="205"/>
      <tableStyleElement type="thirdSubtotalColumn" dxfId="205"/>
      <tableStyleElement type="firstSubtotalRow" dxfId="206"/>
      <tableStyleElement type="secondSubtotalRow" dxfId="206"/>
      <tableStyleElement type="thirdSubtotalRow" dxfId="206"/>
      <tableStyleElement type="totalRow" dxfId="207"/>
    </tableStyle>
    <tableStyle name="PivotStyleCustom27">
      <tableStyleElement type="wholeTable" dxfId="208"/>
      <tableStyleElement type="headerRow" dxfId="209"/>
      <tableStyleElement type="firstColumnSubheading" dxfId="210"/>
      <tableStyleElement type="secondColumnSubheading" dxfId="210"/>
      <tableStyleElement type="thirdColumnSubheading" dxfId="210"/>
      <tableStyleElement type="firstColumn" dxfId="211"/>
      <tableStyleElement type="lastColumn" dxfId="211"/>
      <tableStyleElement type="firstRowSubheading" dxfId="212"/>
      <tableStyleElement type="secondRowSubheading" dxfId="212"/>
      <tableStyleElement type="thirdRowSubheading" dxfId="212"/>
      <tableStyleElement type="firstSubtotalColumn" dxfId="213"/>
      <tableStyleElement type="secondSubtotalColumn" dxfId="213"/>
      <tableStyleElement type="thirdSubtotalColumn" dxfId="213"/>
      <tableStyleElement type="firstSubtotalRow" dxfId="214"/>
      <tableStyleElement type="secondSubtotalRow" dxfId="214"/>
      <tableStyleElement type="thirdSubtotalRow" dxfId="214"/>
      <tableStyleElement type="totalRow" dxfId="215"/>
    </tableStyle>
    <tableStyle name="PivotStyleCustom28">
      <tableStyleElement type="wholeTable" dxfId="216"/>
      <tableStyleElement type="headerRow" dxfId="217"/>
      <tableStyleElement type="firstColumnSubheading" dxfId="218"/>
      <tableStyleElement type="secondColumnSubheading" dxfId="218"/>
      <tableStyleElement type="thirdColumnSubheading" dxfId="218"/>
      <tableStyleElement type="firstColumn" dxfId="219"/>
      <tableStyleElement type="lastColumn" dxfId="219"/>
      <tableStyleElement type="firstRowSubheading" dxfId="220"/>
      <tableStyleElement type="secondRowSubheading" dxfId="220"/>
      <tableStyleElement type="thirdRowSubheading" dxfId="220"/>
      <tableStyleElement type="firstSubtotalColumn" dxfId="221"/>
      <tableStyleElement type="secondSubtotalColumn" dxfId="221"/>
      <tableStyleElement type="thirdSubtotalColumn" dxfId="221"/>
      <tableStyleElement type="firstSubtotalRow" dxfId="222"/>
      <tableStyleElement type="secondSubtotalRow" dxfId="222"/>
      <tableStyleElement type="thirdSubtotalRow" dxfId="222"/>
      <tableStyleElement type="totalRow" dxfId="223"/>
    </tableStyle>
    <tableStyle name="PivotStyleCustom29">
      <tableStyleElement type="wholeTable" dxfId="224"/>
      <tableStyleElement type="headerRow" dxfId="225"/>
      <tableStyleElement type="firstColumnSubheading" dxfId="226"/>
      <tableStyleElement type="secondColumnSubheading" dxfId="226"/>
      <tableStyleElement type="thirdColumnSubheading" dxfId="226"/>
      <tableStyleElement type="firstColumn" dxfId="227"/>
      <tableStyleElement type="lastColumn" dxfId="227"/>
      <tableStyleElement type="firstRowSubheading" dxfId="228"/>
      <tableStyleElement type="secondRowSubheading" dxfId="228"/>
      <tableStyleElement type="thirdRowSubheading" dxfId="228"/>
      <tableStyleElement type="firstSubtotalColumn" dxfId="229"/>
      <tableStyleElement type="secondSubtotalColumn" dxfId="229"/>
      <tableStyleElement type="thirdSubtotalColumn" dxfId="229"/>
      <tableStyleElement type="firstSubtotalRow" dxfId="230"/>
      <tableStyleElement type="secondSubtotalRow" dxfId="230"/>
      <tableStyleElement type="thirdSubtotalRow" dxfId="230"/>
      <tableStyleElement type="totalRow" dxfId="231"/>
    </tableStyle>
    <tableStyle name="PivotStyleCustom30">
      <tableStyleElement type="wholeTable" dxfId="232"/>
      <tableStyleElement type="headerRow" dxfId="233"/>
      <tableStyleElement type="firstColumnSubheading" dxfId="234"/>
      <tableStyleElement type="secondColumnSubheading" dxfId="234"/>
      <tableStyleElement type="thirdColumnSubheading" dxfId="234"/>
      <tableStyleElement type="firstColumn" dxfId="235"/>
      <tableStyleElement type="lastColumn" dxfId="235"/>
      <tableStyleElement type="firstRowSubheading" dxfId="236"/>
      <tableStyleElement type="secondRowSubheading" dxfId="236"/>
      <tableStyleElement type="thirdRowSubheading" dxfId="236"/>
      <tableStyleElement type="firstSubtotalColumn" dxfId="237"/>
      <tableStyleElement type="secondSubtotalColumn" dxfId="237"/>
      <tableStyleElement type="thirdSubtotalColumn" dxfId="237"/>
      <tableStyleElement type="firstSubtotalRow" dxfId="238"/>
      <tableStyleElement type="secondSubtotalRow" dxfId="238"/>
      <tableStyleElement type="thirdSubtotalRow" dxfId="238"/>
      <tableStyleElement type="totalRow" dxfId="239"/>
    </tableStyle>
    <tableStyle name="PivotStyleCustom31">
      <tableStyleElement type="wholeTable" dxfId="240"/>
      <tableStyleElement type="headerRow" dxfId="241"/>
      <tableStyleElement type="firstColumnSubheading" dxfId="242"/>
      <tableStyleElement type="secondColumnSubheading" dxfId="242"/>
      <tableStyleElement type="thirdColumnSubheading" dxfId="242"/>
      <tableStyleElement type="firstColumn" dxfId="243"/>
      <tableStyleElement type="lastColumn" dxfId="243"/>
      <tableStyleElement type="firstRowSubheading" dxfId="244"/>
      <tableStyleElement type="secondRowSubheading" dxfId="244"/>
      <tableStyleElement type="thirdRowSubheading" dxfId="244"/>
      <tableStyleElement type="firstSubtotalColumn" dxfId="245"/>
      <tableStyleElement type="secondSubtotalColumn" dxfId="245"/>
      <tableStyleElement type="thirdSubtotalColumn" dxfId="245"/>
      <tableStyleElement type="firstSubtotalRow" dxfId="246"/>
      <tableStyleElement type="secondSubtotalRow" dxfId="246"/>
      <tableStyleElement type="thirdSubtotalRow" dxfId="246"/>
      <tableStyleElement type="totalRow" dxfId="247"/>
    </tableStyle>
    <tableStyle name="PivotStyleCustom32">
      <tableStyleElement type="wholeTable" dxfId="248"/>
      <tableStyleElement type="headerRow" dxfId="249"/>
      <tableStyleElement type="firstColumnSubheading" dxfId="250"/>
      <tableStyleElement type="secondColumnSubheading" dxfId="250"/>
      <tableStyleElement type="thirdColumnSubheading" dxfId="250"/>
      <tableStyleElement type="firstColumn" dxfId="251"/>
      <tableStyleElement type="lastColumn" dxfId="251"/>
      <tableStyleElement type="firstRowSubheading" dxfId="252"/>
      <tableStyleElement type="secondRowSubheading" dxfId="252"/>
      <tableStyleElement type="thirdRowSubheading" dxfId="252"/>
      <tableStyleElement type="firstSubtotalColumn" dxfId="253"/>
      <tableStyleElement type="secondSubtotalColumn" dxfId="253"/>
      <tableStyleElement type="thirdSubtotalColumn" dxfId="253"/>
      <tableStyleElement type="firstSubtotalRow" dxfId="254"/>
      <tableStyleElement type="secondSubtotalRow" dxfId="254"/>
      <tableStyleElement type="thirdSubtotalRow" dxfId="254"/>
      <tableStyleElement type="totalRow" dxfId="255"/>
    </tableStyle>
    <tableStyle name="PivotStyleCustom33">
      <tableStyleElement type="wholeTable" dxfId="256"/>
      <tableStyleElement type="headerRow" dxfId="257"/>
      <tableStyleElement type="firstColumnSubheading" dxfId="258"/>
      <tableStyleElement type="secondColumnSubheading" dxfId="258"/>
      <tableStyleElement type="thirdColumnSubheading" dxfId="258"/>
      <tableStyleElement type="firstColumn" dxfId="259"/>
      <tableStyleElement type="lastColumn" dxfId="259"/>
      <tableStyleElement type="firstRowSubheading" dxfId="260"/>
      <tableStyleElement type="secondRowSubheading" dxfId="260"/>
      <tableStyleElement type="thirdRowSubheading" dxfId="260"/>
      <tableStyleElement type="firstSubtotalColumn" dxfId="261"/>
      <tableStyleElement type="secondSubtotalColumn" dxfId="261"/>
      <tableStyleElement type="thirdSubtotalColumn" dxfId="261"/>
      <tableStyleElement type="firstSubtotalRow" dxfId="262"/>
      <tableStyleElement type="secondSubtotalRow" dxfId="262"/>
      <tableStyleElement type="thirdSubtotalRow" dxfId="262"/>
      <tableStyleElement type="totalRow" dxfId="263"/>
    </tableStyle>
    <tableStyle name="PivotStyleCustom34">
      <tableStyleElement type="wholeTable" dxfId="264"/>
      <tableStyleElement type="headerRow" dxfId="265"/>
      <tableStyleElement type="firstColumnSubheading" dxfId="266"/>
      <tableStyleElement type="secondColumnSubheading" dxfId="266"/>
      <tableStyleElement type="thirdColumnSubheading" dxfId="266"/>
      <tableStyleElement type="firstColumn" dxfId="267"/>
      <tableStyleElement type="lastColumn" dxfId="267"/>
      <tableStyleElement type="firstRowSubheading" dxfId="268"/>
      <tableStyleElement type="secondRowSubheading" dxfId="268"/>
      <tableStyleElement type="thirdRowSubheading" dxfId="268"/>
      <tableStyleElement type="firstSubtotalColumn" dxfId="269"/>
      <tableStyleElement type="secondSubtotalColumn" dxfId="269"/>
      <tableStyleElement type="thirdSubtotalColumn" dxfId="269"/>
      <tableStyleElement type="firstSubtotalRow" dxfId="270"/>
      <tableStyleElement type="secondSubtotalRow" dxfId="270"/>
      <tableStyleElement type="thirdSubtotalRow" dxfId="270"/>
      <tableStyleElement type="totalRow" dxfId="271"/>
    </tableStyle>
    <tableStyle name="PivotStyleCustom35">
      <tableStyleElement type="wholeTable" dxfId="272"/>
      <tableStyleElement type="headerRow" dxfId="273"/>
      <tableStyleElement type="firstColumnSubheading" dxfId="274"/>
      <tableStyleElement type="secondColumnSubheading" dxfId="274"/>
      <tableStyleElement type="thirdColumnSubheading" dxfId="274"/>
      <tableStyleElement type="firstColumn" dxfId="275"/>
      <tableStyleElement type="lastColumn" dxfId="275"/>
      <tableStyleElement type="firstRowSubheading" dxfId="276"/>
      <tableStyleElement type="secondRowSubheading" dxfId="276"/>
      <tableStyleElement type="thirdRowSubheading" dxfId="276"/>
      <tableStyleElement type="firstSubtotalColumn" dxfId="277"/>
      <tableStyleElement type="secondSubtotalColumn" dxfId="277"/>
      <tableStyleElement type="thirdSubtotalColumn" dxfId="277"/>
      <tableStyleElement type="firstSubtotalRow" dxfId="278"/>
      <tableStyleElement type="secondSubtotalRow" dxfId="278"/>
      <tableStyleElement type="thirdSubtotalRow" dxfId="278"/>
      <tableStyleElement type="totalRow" dxfId="279"/>
    </tableStyle>
    <tableStyle name="PivotStyleCustom36">
      <tableStyleElement type="wholeTable" dxfId="280"/>
      <tableStyleElement type="headerRow" dxfId="281"/>
      <tableStyleElement type="firstColumnSubheading" dxfId="282"/>
      <tableStyleElement type="secondColumnSubheading" dxfId="282"/>
      <tableStyleElement type="thirdColumnSubheading" dxfId="282"/>
      <tableStyleElement type="firstColumn" dxfId="283"/>
      <tableStyleElement type="lastColumn" dxfId="283"/>
      <tableStyleElement type="firstRowSubheading" dxfId="284"/>
      <tableStyleElement type="secondRowSubheading" dxfId="284"/>
      <tableStyleElement type="thirdRowSubheading" dxfId="284"/>
      <tableStyleElement type="firstSubtotalColumn" dxfId="285"/>
      <tableStyleElement type="secondSubtotalColumn" dxfId="285"/>
      <tableStyleElement type="thirdSubtotalColumn" dxfId="285"/>
      <tableStyleElement type="firstSubtotalRow" dxfId="286"/>
      <tableStyleElement type="secondSubtotalRow" dxfId="286"/>
      <tableStyleElement type="thirdSubtotalRow" dxfId="286"/>
      <tableStyleElement type="totalRow" dxfId="287"/>
    </tableStyle>
    <tableStyle name="PivotStyleCustom37">
      <tableStyleElement type="wholeTable" dxfId="288"/>
      <tableStyleElement type="headerRow" dxfId="289"/>
      <tableStyleElement type="firstColumnSubheading" dxfId="290"/>
      <tableStyleElement type="secondColumnSubheading" dxfId="290"/>
      <tableStyleElement type="thirdColumnSubheading" dxfId="290"/>
      <tableStyleElement type="firstColumn" dxfId="291"/>
      <tableStyleElement type="lastColumn" dxfId="291"/>
      <tableStyleElement type="firstRowSubheading" dxfId="292"/>
      <tableStyleElement type="secondRowSubheading" dxfId="292"/>
      <tableStyleElement type="thirdRowSubheading" dxfId="292"/>
      <tableStyleElement type="firstSubtotalColumn" dxfId="293"/>
      <tableStyleElement type="secondSubtotalColumn" dxfId="293"/>
      <tableStyleElement type="thirdSubtotalColumn" dxfId="293"/>
      <tableStyleElement type="firstSubtotalRow" dxfId="294"/>
      <tableStyleElement type="secondSubtotalRow" dxfId="294"/>
      <tableStyleElement type="thirdSubtotalRow" dxfId="294"/>
      <tableStyleElement type="totalRow" dxfId="295"/>
    </tableStyle>
    <tableStyle name="PivotStyleCustom38">
      <tableStyleElement type="wholeTable" dxfId="296"/>
      <tableStyleElement type="headerRow" dxfId="297"/>
      <tableStyleElement type="firstColumnSubheading" dxfId="298"/>
      <tableStyleElement type="secondColumnSubheading" dxfId="298"/>
      <tableStyleElement type="thirdColumnSubheading" dxfId="298"/>
      <tableStyleElement type="firstColumn" dxfId="299"/>
      <tableStyleElement type="lastColumn" dxfId="299"/>
      <tableStyleElement type="firstRowSubheading" dxfId="300"/>
      <tableStyleElement type="secondRowSubheading" dxfId="300"/>
      <tableStyleElement type="thirdRowSubheading" dxfId="300"/>
      <tableStyleElement type="firstSubtotalColumn" dxfId="301"/>
      <tableStyleElement type="secondSubtotalColumn" dxfId="301"/>
      <tableStyleElement type="thirdSubtotalColumn" dxfId="301"/>
      <tableStyleElement type="firstSubtotalRow" dxfId="302"/>
      <tableStyleElement type="secondSubtotalRow" dxfId="302"/>
      <tableStyleElement type="thirdSubtotalRow" dxfId="302"/>
      <tableStyleElement type="totalRow" dxfId="303"/>
    </tableStyle>
    <tableStyle name="PivotStyleCustom39">
      <tableStyleElement type="wholeTable" dxfId="304"/>
      <tableStyleElement type="headerRow" dxfId="305"/>
      <tableStyleElement type="firstColumnSubheading" dxfId="306"/>
      <tableStyleElement type="secondColumnSubheading" dxfId="306"/>
      <tableStyleElement type="thirdColumnSubheading" dxfId="306"/>
      <tableStyleElement type="firstColumn" dxfId="307"/>
      <tableStyleElement type="lastColumn" dxfId="307"/>
      <tableStyleElement type="firstRowSubheading" dxfId="308"/>
      <tableStyleElement type="secondRowSubheading" dxfId="308"/>
      <tableStyleElement type="thirdRowSubheading" dxfId="308"/>
      <tableStyleElement type="firstSubtotalColumn" dxfId="309"/>
      <tableStyleElement type="secondSubtotalColumn" dxfId="309"/>
      <tableStyleElement type="thirdSubtotalColumn" dxfId="309"/>
      <tableStyleElement type="firstSubtotalRow" dxfId="310"/>
      <tableStyleElement type="secondSubtotalRow" dxfId="310"/>
      <tableStyleElement type="thirdSubtotalRow" dxfId="310"/>
      <tableStyleElement type="totalRow" dxfId="311"/>
    </tableStyle>
    <tableStyle name="PivotStyleCustom40">
      <tableStyleElement type="wholeTable" dxfId="312"/>
      <tableStyleElement type="headerRow" dxfId="313"/>
      <tableStyleElement type="firstColumnSubheading" dxfId="314"/>
      <tableStyleElement type="secondColumnSubheading" dxfId="314"/>
      <tableStyleElement type="thirdColumnSubheading" dxfId="314"/>
      <tableStyleElement type="firstColumn" dxfId="315"/>
      <tableStyleElement type="lastColumn" dxfId="315"/>
      <tableStyleElement type="firstRowSubheading" dxfId="316"/>
      <tableStyleElement type="secondRowSubheading" dxfId="316"/>
      <tableStyleElement type="thirdRowSubheading" dxfId="316"/>
      <tableStyleElement type="firstSubtotalColumn" dxfId="317"/>
      <tableStyleElement type="secondSubtotalColumn" dxfId="317"/>
      <tableStyleElement type="thirdSubtotalColumn" dxfId="317"/>
      <tableStyleElement type="firstSubtotalRow" dxfId="318"/>
      <tableStyleElement type="secondSubtotalRow" dxfId="318"/>
      <tableStyleElement type="thirdSubtotalRow" dxfId="318"/>
      <tableStyleElement type="totalRow" dxfId="319"/>
    </tableStyle>
    <tableStyle name="PivotStyleCustom41">
      <tableStyleElement type="wholeTable" dxfId="320"/>
      <tableStyleElement type="headerRow" dxfId="321"/>
      <tableStyleElement type="firstColumnSubheading" dxfId="322"/>
      <tableStyleElement type="secondColumnSubheading" dxfId="322"/>
      <tableStyleElement type="thirdColumnSubheading" dxfId="322"/>
      <tableStyleElement type="firstColumn" dxfId="323"/>
      <tableStyleElement type="lastColumn" dxfId="323"/>
      <tableStyleElement type="firstRowSubheading" dxfId="324"/>
      <tableStyleElement type="secondRowSubheading" dxfId="324"/>
      <tableStyleElement type="thirdRowSubheading" dxfId="324"/>
      <tableStyleElement type="firstSubtotalColumn" dxfId="325"/>
      <tableStyleElement type="secondSubtotalColumn" dxfId="325"/>
      <tableStyleElement type="thirdSubtotalColumn" dxfId="325"/>
      <tableStyleElement type="firstSubtotalRow" dxfId="326"/>
      <tableStyleElement type="secondSubtotalRow" dxfId="326"/>
      <tableStyleElement type="thirdSubtotalRow" dxfId="326"/>
      <tableStyleElement type="totalRow" dxfId="327"/>
    </tableStyle>
    <tableStyle name="PivotStyleCustom42">
      <tableStyleElement type="wholeTable" dxfId="328"/>
      <tableStyleElement type="headerRow" dxfId="329"/>
      <tableStyleElement type="firstColumnSubheading" dxfId="330"/>
      <tableStyleElement type="secondColumnSubheading" dxfId="330"/>
      <tableStyleElement type="thirdColumnSubheading" dxfId="330"/>
      <tableStyleElement type="firstColumn" dxfId="331"/>
      <tableStyleElement type="lastColumn" dxfId="331"/>
      <tableStyleElement type="firstRowSubheading" dxfId="332"/>
      <tableStyleElement type="secondRowSubheading" dxfId="332"/>
      <tableStyleElement type="thirdRowSubheading" dxfId="332"/>
      <tableStyleElement type="firstSubtotalColumn" dxfId="333"/>
      <tableStyleElement type="secondSubtotalColumn" dxfId="333"/>
      <tableStyleElement type="thirdSubtotalColumn" dxfId="333"/>
      <tableStyleElement type="firstSubtotalRow" dxfId="334"/>
      <tableStyleElement type="secondSubtotalRow" dxfId="334"/>
      <tableStyleElement type="thirdSubtotalRow" dxfId="334"/>
      <tableStyleElement type="totalRow" dxfId="335"/>
    </tableStyle>
    <tableStyle name="PivotStyleCustom43">
      <tableStyleElement type="wholeTable" dxfId="336"/>
      <tableStyleElement type="headerRow" dxfId="337"/>
      <tableStyleElement type="firstColumnSubheading" dxfId="338"/>
      <tableStyleElement type="secondColumnSubheading" dxfId="338"/>
      <tableStyleElement type="thirdColumnSubheading" dxfId="338"/>
      <tableStyleElement type="firstColumn" dxfId="339"/>
      <tableStyleElement type="lastColumn" dxfId="339"/>
      <tableStyleElement type="firstRowSubheading" dxfId="340"/>
      <tableStyleElement type="secondRowSubheading" dxfId="340"/>
      <tableStyleElement type="thirdRowSubheading" dxfId="340"/>
      <tableStyleElement type="firstSubtotalColumn" dxfId="341"/>
      <tableStyleElement type="secondSubtotalColumn" dxfId="341"/>
      <tableStyleElement type="thirdSubtotalColumn" dxfId="341"/>
      <tableStyleElement type="firstSubtotalRow" dxfId="342"/>
      <tableStyleElement type="secondSubtotalRow" dxfId="342"/>
      <tableStyleElement type="thirdSubtotalRow" dxfId="342"/>
      <tableStyleElement type="totalRow" dxfId="343"/>
    </tableStyle>
    <tableStyle name="PivotStyleCustom44">
      <tableStyleElement type="wholeTable" dxfId="344"/>
      <tableStyleElement type="headerRow" dxfId="345"/>
      <tableStyleElement type="firstColumnSubheading" dxfId="346"/>
      <tableStyleElement type="secondColumnSubheading" dxfId="346"/>
      <tableStyleElement type="thirdColumnSubheading" dxfId="346"/>
      <tableStyleElement type="firstColumn" dxfId="347"/>
      <tableStyleElement type="lastColumn" dxfId="347"/>
      <tableStyleElement type="firstRowSubheading" dxfId="348"/>
      <tableStyleElement type="secondRowSubheading" dxfId="348"/>
      <tableStyleElement type="thirdRowSubheading" dxfId="348"/>
      <tableStyleElement type="firstSubtotalColumn" dxfId="349"/>
      <tableStyleElement type="secondSubtotalColumn" dxfId="349"/>
      <tableStyleElement type="thirdSubtotalColumn" dxfId="349"/>
      <tableStyleElement type="firstSubtotalRow" dxfId="350"/>
      <tableStyleElement type="secondSubtotalRow" dxfId="350"/>
      <tableStyleElement type="thirdSubtotalRow" dxfId="350"/>
      <tableStyleElement type="totalRow" dxfId="351"/>
    </tableStyle>
    <tableStyle name="PivotStyleCustom45">
      <tableStyleElement type="wholeTable" dxfId="352"/>
      <tableStyleElement type="headerRow" dxfId="353"/>
      <tableStyleElement type="firstColumnSubheading" dxfId="354"/>
      <tableStyleElement type="secondColumnSubheading" dxfId="354"/>
      <tableStyleElement type="thirdColumnSubheading" dxfId="354"/>
      <tableStyleElement type="firstColumn" dxfId="355"/>
      <tableStyleElement type="lastColumn" dxfId="355"/>
      <tableStyleElement type="firstRowSubheading" dxfId="356"/>
      <tableStyleElement type="secondRowSubheading" dxfId="356"/>
      <tableStyleElement type="thirdRowSubheading" dxfId="356"/>
      <tableStyleElement type="firstSubtotalColumn" dxfId="357"/>
      <tableStyleElement type="secondSubtotalColumn" dxfId="357"/>
      <tableStyleElement type="thirdSubtotalColumn" dxfId="357"/>
      <tableStyleElement type="firstSubtotalRow" dxfId="358"/>
      <tableStyleElement type="secondSubtotalRow" dxfId="358"/>
      <tableStyleElement type="thirdSubtotalRow" dxfId="358"/>
      <tableStyleElement type="totalRow" dxfId="359"/>
    </tableStyle>
    <tableStyle name="PivotStyleCustom46">
      <tableStyleElement type="wholeTable" dxfId="360"/>
      <tableStyleElement type="headerRow" dxfId="361"/>
      <tableStyleElement type="firstColumnSubheading" dxfId="362"/>
      <tableStyleElement type="secondColumnSubheading" dxfId="362"/>
      <tableStyleElement type="thirdColumnSubheading" dxfId="362"/>
      <tableStyleElement type="firstColumn" dxfId="363"/>
      <tableStyleElement type="lastColumn" dxfId="363"/>
      <tableStyleElement type="firstRowSubheading" dxfId="364"/>
      <tableStyleElement type="secondRowSubheading" dxfId="364"/>
      <tableStyleElement type="thirdRowSubheading" dxfId="364"/>
      <tableStyleElement type="firstSubtotalColumn" dxfId="365"/>
      <tableStyleElement type="secondSubtotalColumn" dxfId="365"/>
      <tableStyleElement type="thirdSubtotalColumn" dxfId="365"/>
      <tableStyleElement type="firstSubtotalRow" dxfId="366"/>
      <tableStyleElement type="secondSubtotalRow" dxfId="366"/>
      <tableStyleElement type="thirdSubtotalRow" dxfId="366"/>
      <tableStyleElement type="totalRow" dxfId="367"/>
    </tableStyle>
    <tableStyle name="PivotStyleCustom47">
      <tableStyleElement type="wholeTable" dxfId="368"/>
      <tableStyleElement type="headerRow" dxfId="369"/>
      <tableStyleElement type="firstColumnSubheading" dxfId="370"/>
      <tableStyleElement type="secondColumnSubheading" dxfId="370"/>
      <tableStyleElement type="thirdColumnSubheading" dxfId="370"/>
      <tableStyleElement type="firstColumn" dxfId="371"/>
      <tableStyleElement type="lastColumn" dxfId="371"/>
      <tableStyleElement type="firstRowSubheading" dxfId="372"/>
      <tableStyleElement type="secondRowSubheading" dxfId="372"/>
      <tableStyleElement type="thirdRowSubheading" dxfId="372"/>
      <tableStyleElement type="firstSubtotalColumn" dxfId="373"/>
      <tableStyleElement type="secondSubtotalColumn" dxfId="373"/>
      <tableStyleElement type="thirdSubtotalColumn" dxfId="373"/>
      <tableStyleElement type="firstSubtotalRow" dxfId="374"/>
      <tableStyleElement type="secondSubtotalRow" dxfId="374"/>
      <tableStyleElement type="thirdSubtotalRow" dxfId="374"/>
      <tableStyleElement type="totalRow" dxfId="375"/>
    </tableStyle>
    <tableStyle name="PivotStyleCustom48">
      <tableStyleElement type="wholeTable" dxfId="376"/>
      <tableStyleElement type="headerRow" dxfId="377"/>
      <tableStyleElement type="firstColumnSubheading" dxfId="378"/>
      <tableStyleElement type="secondColumnSubheading" dxfId="378"/>
      <tableStyleElement type="thirdColumnSubheading" dxfId="378"/>
      <tableStyleElement type="firstColumn" dxfId="379"/>
      <tableStyleElement type="lastColumn" dxfId="379"/>
      <tableStyleElement type="firstRowSubheading" dxfId="380"/>
      <tableStyleElement type="secondRowSubheading" dxfId="380"/>
      <tableStyleElement type="thirdRowSubheading" dxfId="380"/>
      <tableStyleElement type="firstSubtotalColumn" dxfId="381"/>
      <tableStyleElement type="secondSubtotalColumn" dxfId="381"/>
      <tableStyleElement type="thirdSubtotalColumn" dxfId="381"/>
      <tableStyleElement type="firstSubtotalRow" dxfId="382"/>
      <tableStyleElement type="secondSubtotalRow" dxfId="382"/>
      <tableStyleElement type="thirdSubtotalRow" dxfId="382"/>
      <tableStyleElement type="totalRow" dxfId="383"/>
    </tableStyle>
    <tableStyle name="PivotStyleCustom49">
      <tableStyleElement type="wholeTable" dxfId="384"/>
      <tableStyleElement type="headerRow" dxfId="385"/>
      <tableStyleElement type="firstColumnSubheading" dxfId="386"/>
      <tableStyleElement type="secondColumnSubheading" dxfId="386"/>
      <tableStyleElement type="thirdColumnSubheading" dxfId="386"/>
      <tableStyleElement type="firstColumn" dxfId="387"/>
      <tableStyleElement type="lastColumn" dxfId="387"/>
      <tableStyleElement type="firstRowSubheading" dxfId="388"/>
      <tableStyleElement type="secondRowSubheading" dxfId="388"/>
      <tableStyleElement type="thirdRowSubheading" dxfId="388"/>
      <tableStyleElement type="firstSubtotalColumn" dxfId="389"/>
      <tableStyleElement type="secondSubtotalColumn" dxfId="389"/>
      <tableStyleElement type="thirdSubtotalColumn" dxfId="389"/>
      <tableStyleElement type="firstSubtotalRow" dxfId="390"/>
      <tableStyleElement type="secondSubtotalRow" dxfId="390"/>
      <tableStyleElement type="thirdSubtotalRow" dxfId="390"/>
      <tableStyleElement type="totalRow" dxfId="391"/>
    </tableStyle>
    <tableStyle name="PivotStyleCustom50">
      <tableStyleElement type="wholeTable" dxfId="392"/>
      <tableStyleElement type="headerRow" dxfId="393"/>
      <tableStyleElement type="firstColumnSubheading" dxfId="394"/>
      <tableStyleElement type="secondColumnSubheading" dxfId="394"/>
      <tableStyleElement type="thirdColumnSubheading" dxfId="394"/>
      <tableStyleElement type="firstColumn" dxfId="395"/>
      <tableStyleElement type="lastColumn" dxfId="395"/>
      <tableStyleElement type="firstRowSubheading" dxfId="396"/>
      <tableStyleElement type="secondRowSubheading" dxfId="396"/>
      <tableStyleElement type="thirdRowSubheading" dxfId="396"/>
      <tableStyleElement type="firstSubtotalColumn" dxfId="397"/>
      <tableStyleElement type="secondSubtotalColumn" dxfId="397"/>
      <tableStyleElement type="thirdSubtotalColumn" dxfId="397"/>
      <tableStyleElement type="firstSubtotalRow" dxfId="398"/>
      <tableStyleElement type="secondSubtotalRow" dxfId="398"/>
      <tableStyleElement type="thirdSubtotalRow" dxfId="398"/>
      <tableStyleElement type="totalRow" dxfId="399"/>
    </tableStyle>
    <tableStyle name="PivotStyleCustom51">
      <tableStyleElement type="wholeTable" dxfId="400"/>
      <tableStyleElement type="headerRow" dxfId="401"/>
      <tableStyleElement type="firstColumnSubheading" dxfId="402"/>
      <tableStyleElement type="secondColumnSubheading" dxfId="402"/>
      <tableStyleElement type="thirdColumnSubheading" dxfId="402"/>
      <tableStyleElement type="firstColumn" dxfId="403"/>
      <tableStyleElement type="lastColumn" dxfId="403"/>
      <tableStyleElement type="firstRowSubheading" dxfId="404"/>
      <tableStyleElement type="secondRowSubheading" dxfId="404"/>
      <tableStyleElement type="thirdRowSubheading" dxfId="404"/>
      <tableStyleElement type="firstSubtotalColumn" dxfId="405"/>
      <tableStyleElement type="secondSubtotalColumn" dxfId="405"/>
      <tableStyleElement type="thirdSubtotalColumn" dxfId="405"/>
      <tableStyleElement type="firstSubtotalRow" dxfId="406"/>
      <tableStyleElement type="secondSubtotalRow" dxfId="406"/>
      <tableStyleElement type="thirdSubtotalRow" dxfId="406"/>
      <tableStyleElement type="totalRow" dxfId="407"/>
    </tableStyle>
    <tableStyle name="PivotStyleCustom52">
      <tableStyleElement type="wholeTable" dxfId="408"/>
      <tableStyleElement type="headerRow" dxfId="409"/>
      <tableStyleElement type="firstColumnSubheading" dxfId="410"/>
      <tableStyleElement type="secondColumnSubheading" dxfId="410"/>
      <tableStyleElement type="thirdColumnSubheading" dxfId="410"/>
      <tableStyleElement type="firstColumn" dxfId="411"/>
      <tableStyleElement type="lastColumn" dxfId="411"/>
      <tableStyleElement type="firstRowSubheading" dxfId="412"/>
      <tableStyleElement type="secondRowSubheading" dxfId="412"/>
      <tableStyleElement type="thirdRowSubheading" dxfId="412"/>
      <tableStyleElement type="firstSubtotalColumn" dxfId="413"/>
      <tableStyleElement type="secondSubtotalColumn" dxfId="413"/>
      <tableStyleElement type="thirdSubtotalColumn" dxfId="413"/>
      <tableStyleElement type="firstSubtotalRow" dxfId="414"/>
      <tableStyleElement type="secondSubtotalRow" dxfId="414"/>
      <tableStyleElement type="thirdSubtotalRow" dxfId="414"/>
      <tableStyleElement type="totalRow" dxfId="415"/>
    </tableStyle>
    <tableStyle name="PivotStyleCustom53">
      <tableStyleElement type="wholeTable" dxfId="416"/>
      <tableStyleElement type="headerRow" dxfId="417"/>
      <tableStyleElement type="firstColumnSubheading" dxfId="418"/>
      <tableStyleElement type="secondColumnSubheading" dxfId="418"/>
      <tableStyleElement type="thirdColumnSubheading" dxfId="418"/>
      <tableStyleElement type="firstColumn" dxfId="419"/>
      <tableStyleElement type="lastColumn" dxfId="419"/>
      <tableStyleElement type="firstRowSubheading" dxfId="420"/>
      <tableStyleElement type="secondRowSubheading" dxfId="420"/>
      <tableStyleElement type="thirdRowSubheading" dxfId="420"/>
      <tableStyleElement type="firstSubtotalColumn" dxfId="421"/>
      <tableStyleElement type="secondSubtotalColumn" dxfId="421"/>
      <tableStyleElement type="thirdSubtotalColumn" dxfId="421"/>
      <tableStyleElement type="firstSubtotalRow" dxfId="422"/>
      <tableStyleElement type="secondSubtotalRow" dxfId="422"/>
      <tableStyleElement type="thirdSubtotalRow" dxfId="422"/>
      <tableStyleElement type="totalRow" dxfId="423"/>
    </tableStyle>
    <tableStyle name="PivotStyleCustom54">
      <tableStyleElement type="wholeTable" dxfId="424"/>
      <tableStyleElement type="headerRow" dxfId="425"/>
      <tableStyleElement type="firstColumnSubheading" dxfId="426"/>
      <tableStyleElement type="secondColumnSubheading" dxfId="426"/>
      <tableStyleElement type="thirdColumnSubheading" dxfId="426"/>
      <tableStyleElement type="firstColumn" dxfId="427"/>
      <tableStyleElement type="lastColumn" dxfId="427"/>
      <tableStyleElement type="firstRowSubheading" dxfId="428"/>
      <tableStyleElement type="secondRowSubheading" dxfId="428"/>
      <tableStyleElement type="thirdRowSubheading" dxfId="428"/>
      <tableStyleElement type="firstSubtotalColumn" dxfId="429"/>
      <tableStyleElement type="secondSubtotalColumn" dxfId="429"/>
      <tableStyleElement type="thirdSubtotalColumn" dxfId="429"/>
      <tableStyleElement type="firstSubtotalRow" dxfId="430"/>
      <tableStyleElement type="secondSubtotalRow" dxfId="430"/>
      <tableStyleElement type="thirdSubtotalRow" dxfId="430"/>
      <tableStyleElement type="totalRow" dxfId="431"/>
    </tableStyle>
    <tableStyle name="PivotStyleCustom55">
      <tableStyleElement type="wholeTable" dxfId="432"/>
      <tableStyleElement type="headerRow" dxfId="433"/>
      <tableStyleElement type="firstColumnSubheading" dxfId="434"/>
      <tableStyleElement type="secondColumnSubheading" dxfId="434"/>
      <tableStyleElement type="thirdColumnSubheading" dxfId="434"/>
      <tableStyleElement type="firstColumn" dxfId="435"/>
      <tableStyleElement type="lastColumn" dxfId="435"/>
      <tableStyleElement type="firstRowSubheading" dxfId="436"/>
      <tableStyleElement type="secondRowSubheading" dxfId="436"/>
      <tableStyleElement type="thirdRowSubheading" dxfId="436"/>
      <tableStyleElement type="firstSubtotalColumn" dxfId="437"/>
      <tableStyleElement type="secondSubtotalColumn" dxfId="437"/>
      <tableStyleElement type="thirdSubtotalColumn" dxfId="437"/>
      <tableStyleElement type="firstSubtotalRow" dxfId="438"/>
      <tableStyleElement type="secondSubtotalRow" dxfId="438"/>
      <tableStyleElement type="thirdSubtotalRow" dxfId="438"/>
      <tableStyleElement type="totalRow" dxfId="439"/>
    </tableStyle>
    <tableStyle name="PivotStyleCustom56">
      <tableStyleElement type="wholeTable" dxfId="440"/>
      <tableStyleElement type="headerRow" dxfId="441"/>
      <tableStyleElement type="firstColumnSubheading" dxfId="442"/>
      <tableStyleElement type="secondColumnSubheading" dxfId="442"/>
      <tableStyleElement type="thirdColumnSubheading" dxfId="442"/>
      <tableStyleElement type="firstColumn" dxfId="443"/>
      <tableStyleElement type="lastColumn" dxfId="443"/>
      <tableStyleElement type="firstRowSubheading" dxfId="444"/>
      <tableStyleElement type="secondRowSubheading" dxfId="444"/>
      <tableStyleElement type="thirdRowSubheading" dxfId="444"/>
      <tableStyleElement type="firstSubtotalColumn" dxfId="445"/>
      <tableStyleElement type="secondSubtotalColumn" dxfId="445"/>
      <tableStyleElement type="thirdSubtotalColumn" dxfId="445"/>
      <tableStyleElement type="firstSubtotalRow" dxfId="446"/>
      <tableStyleElement type="secondSubtotalRow" dxfId="446"/>
      <tableStyleElement type="thirdSubtotalRow" dxfId="446"/>
      <tableStyleElement type="totalRow" dxfId="447"/>
    </tableStyle>
    <tableStyle name="PivotStyleCustom57">
      <tableStyleElement type="wholeTable" dxfId="448"/>
      <tableStyleElement type="headerRow" dxfId="449"/>
      <tableStyleElement type="firstColumnSubheading" dxfId="450"/>
      <tableStyleElement type="secondColumnSubheading" dxfId="450"/>
      <tableStyleElement type="thirdColumnSubheading" dxfId="450"/>
      <tableStyleElement type="firstColumn" dxfId="451"/>
      <tableStyleElement type="lastColumn" dxfId="451"/>
      <tableStyleElement type="firstRowSubheading" dxfId="452"/>
      <tableStyleElement type="secondRowSubheading" dxfId="452"/>
      <tableStyleElement type="thirdRowSubheading" dxfId="452"/>
      <tableStyleElement type="firstSubtotalColumn" dxfId="453"/>
      <tableStyleElement type="secondSubtotalColumn" dxfId="453"/>
      <tableStyleElement type="thirdSubtotalColumn" dxfId="453"/>
      <tableStyleElement type="firstSubtotalRow" dxfId="454"/>
      <tableStyleElement type="secondSubtotalRow" dxfId="454"/>
      <tableStyleElement type="thirdSubtotalRow" dxfId="454"/>
      <tableStyleElement type="totalRow" dxfId="455"/>
    </tableStyle>
    <tableStyle name="PivotStyleCustom58">
      <tableStyleElement type="wholeTable" dxfId="456"/>
      <tableStyleElement type="headerRow" dxfId="457"/>
      <tableStyleElement type="firstColumnSubheading" dxfId="458"/>
      <tableStyleElement type="secondColumnSubheading" dxfId="458"/>
      <tableStyleElement type="thirdColumnSubheading" dxfId="458"/>
      <tableStyleElement type="firstColumn" dxfId="459"/>
      <tableStyleElement type="lastColumn" dxfId="459"/>
      <tableStyleElement type="firstRowSubheading" dxfId="460"/>
      <tableStyleElement type="secondRowSubheading" dxfId="460"/>
      <tableStyleElement type="thirdRowSubheading" dxfId="460"/>
      <tableStyleElement type="firstSubtotalColumn" dxfId="461"/>
      <tableStyleElement type="secondSubtotalColumn" dxfId="461"/>
      <tableStyleElement type="thirdSubtotalColumn" dxfId="461"/>
      <tableStyleElement type="firstSubtotalRow" dxfId="462"/>
      <tableStyleElement type="secondSubtotalRow" dxfId="462"/>
      <tableStyleElement type="thirdSubtotalRow" dxfId="462"/>
      <tableStyleElement type="totalRow" dxfId="463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d3d3d3"/>
      <rgbColor rgb="ffffffff"/>
      <rgbColor rgb="00000000"/>
      <rgbColor rgb="fff4f4f4"/>
      <rgbColor rgb="ffe3e3e3"/>
      <rgbColor rgb="fff6be98"/>
      <rgbColor rgb="ffdddddd"/>
      <rgbColor rgb="ff878787"/>
      <rgbColor rgb="ffc40f09"/>
      <rgbColor rgb="ffebed1d"/>
      <rgbColor rgb="ff3768a5"/>
      <rgbColor rgb="ffadcde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pivotCacheDefinition" Target="pivotCache/pivotCacheDefinition1.xml"/><Relationship Id="rId36" Type="http://schemas.openxmlformats.org/officeDocument/2006/relationships/pivotCacheDefinition" Target="pivotCache/pivotCacheDefinition2.xml"/><Relationship Id="rId37" Type="http://schemas.openxmlformats.org/officeDocument/2006/relationships/pivotCacheDefinition" Target="pivotCache/pivotCacheDefinition3.xml"/><Relationship Id="rId38" Type="http://schemas.openxmlformats.org/officeDocument/2006/relationships/pivotCacheDefinition" Target="pivotCache/pivotCacheDefinition4.xml"/><Relationship Id="rId39" Type="http://schemas.openxmlformats.org/officeDocument/2006/relationships/pivotCacheDefinition" Target="pivotCache/pivotCacheDefinition5.xml"/><Relationship Id="rId40" Type="http://schemas.openxmlformats.org/officeDocument/2006/relationships/pivotCacheDefinition" Target="pivotCache/pivotCacheDefinition6.xml"/><Relationship Id="rId41" Type="http://schemas.openxmlformats.org/officeDocument/2006/relationships/pivotCacheDefinition" Target="pivotCache/pivotCacheDefinition7.xml"/><Relationship Id="rId42" Type="http://schemas.openxmlformats.org/officeDocument/2006/relationships/pivotCacheDefinition" Target="pivotCache/pivotCacheDefinition8.xml"/><Relationship Id="rId43" Type="http://schemas.openxmlformats.org/officeDocument/2006/relationships/pivotCacheDefinition" Target="pivotCache/pivotCacheDefinition9.xml"/><Relationship Id="rId44" Type="http://schemas.openxmlformats.org/officeDocument/2006/relationships/pivotCacheDefinition" Target="pivotCache/pivotCacheDefinition10.xml"/><Relationship Id="rId45" Type="http://schemas.openxmlformats.org/officeDocument/2006/relationships/pivotCacheDefinition" Target="pivotCache/pivotCacheDefinition11.xml"/><Relationship Id="rId46" Type="http://schemas.openxmlformats.org/officeDocument/2006/relationships/pivotCacheDefinition" Target="pivotCache/pivotCacheDefinition12.xml"/><Relationship Id="rId47" Type="http://schemas.openxmlformats.org/officeDocument/2006/relationships/pivotCacheDefinition" Target="pivotCache/pivotCacheDefinition13.xml"/><Relationship Id="rId48" Type="http://schemas.openxmlformats.org/officeDocument/2006/relationships/pivotCacheDefinition" Target="pivotCache/pivotCacheDefinition14.xml"/><Relationship Id="rId49" Type="http://schemas.openxmlformats.org/officeDocument/2006/relationships/pivotCacheDefinition" Target="pivotCache/pivotCacheDefinition15.xml"/><Relationship Id="rId50" Type="http://schemas.openxmlformats.org/officeDocument/2006/relationships/pivotCacheDefinition" Target="pivotCache/pivotCacheDefinition16.xml"/><Relationship Id="rId51" Type="http://schemas.openxmlformats.org/officeDocument/2006/relationships/pivotCacheDefinition" Target="pivotCache/pivotCacheDefinition17.xml"/><Relationship Id="rId52" Type="http://schemas.openxmlformats.org/officeDocument/2006/relationships/pivotCacheDefinition" Target="pivotCache/pivotCacheDefinition18.xml"/><Relationship Id="rId53" Type="http://schemas.openxmlformats.org/officeDocument/2006/relationships/pivotCacheDefinition" Target="pivotCache/pivotCacheDefinition19.xml"/><Relationship Id="rId54" Type="http://schemas.openxmlformats.org/officeDocument/2006/relationships/pivotCacheDefinition" Target="pivotCache/pivotCacheDefinition20.xml"/><Relationship Id="rId55" Type="http://schemas.openxmlformats.org/officeDocument/2006/relationships/pivotCacheDefinition" Target="pivotCache/pivotCacheDefinition21.xml"/><Relationship Id="rId56" Type="http://schemas.openxmlformats.org/officeDocument/2006/relationships/pivotCacheDefinition" Target="pivotCache/pivotCacheDefinition22.xml"/><Relationship Id="rId57" Type="http://schemas.openxmlformats.org/officeDocument/2006/relationships/pivotCacheDefinition" Target="pivotCache/pivotCacheDefinition23.xml"/><Relationship Id="rId58" Type="http://schemas.openxmlformats.org/officeDocument/2006/relationships/pivotCacheDefinition" Target="pivotCache/pivotCacheDefinition24.xml"/><Relationship Id="rId59" Type="http://schemas.openxmlformats.org/officeDocument/2006/relationships/pivotCacheDefinition" Target="pivotCache/pivotCacheDefinition25.xml"/><Relationship Id="rId60" Type="http://schemas.openxmlformats.org/officeDocument/2006/relationships/pivotCacheDefinition" Target="pivotCache/pivotCacheDefinition26.xml"/><Relationship Id="rId61" Type="http://schemas.openxmlformats.org/officeDocument/2006/relationships/pivotCacheDefinition" Target="pivotCache/pivotCacheDefinition27.xml"/><Relationship Id="rId62" Type="http://schemas.openxmlformats.org/officeDocument/2006/relationships/pivotCacheDefinition" Target="pivotCache/pivotCacheDefinition28.xml"/><Relationship Id="rId63" Type="http://schemas.openxmlformats.org/officeDocument/2006/relationships/pivotCacheDefinition" Target="pivotCache/pivotCacheDefinition29.xml"/><Relationship Id="rId64" Type="http://schemas.openxmlformats.org/officeDocument/2006/relationships/pivotCacheDefinition" Target="pivotCache/pivotCacheDefinition30.xml"/><Relationship Id="rId65" Type="http://schemas.openxmlformats.org/officeDocument/2006/relationships/pivotCacheDefinition" Target="pivotCache/pivotCacheDefinition31.xml"/><Relationship Id="rId66" Type="http://schemas.openxmlformats.org/officeDocument/2006/relationships/pivotCacheDefinition" Target="pivotCache/pivotCacheDefinition32.xml"/><Relationship Id="rId67" Type="http://schemas.openxmlformats.org/officeDocument/2006/relationships/pivotCacheDefinition" Target="pivotCache/pivotCacheDefinition33.xml"/><Relationship Id="rId68" Type="http://schemas.openxmlformats.org/officeDocument/2006/relationships/pivotCacheDefinition" Target="pivotCache/pivotCacheDefinition34.xml"/><Relationship Id="rId69" Type="http://schemas.openxmlformats.org/officeDocument/2006/relationships/pivotCacheDefinition" Target="pivotCache/pivotCacheDefinition35.xml"/><Relationship Id="rId70" Type="http://schemas.openxmlformats.org/officeDocument/2006/relationships/pivotCacheDefinition" Target="pivotCache/pivotCacheDefinition36.xml"/><Relationship Id="rId71" Type="http://schemas.openxmlformats.org/officeDocument/2006/relationships/pivotCacheDefinition" Target="pivotCache/pivotCacheDefinition37.xml"/><Relationship Id="rId72" Type="http://schemas.openxmlformats.org/officeDocument/2006/relationships/pivotCacheDefinition" Target="pivotCache/pivotCacheDefinition38.xml"/><Relationship Id="rId73" Type="http://schemas.openxmlformats.org/officeDocument/2006/relationships/pivotCacheDefinition" Target="pivotCache/pivotCacheDefinition39.xml"/><Relationship Id="rId74" Type="http://schemas.openxmlformats.org/officeDocument/2006/relationships/pivotCacheDefinition" Target="pivotCache/pivotCacheDefinition40.xml"/><Relationship Id="rId75" Type="http://schemas.openxmlformats.org/officeDocument/2006/relationships/pivotCacheDefinition" Target="pivotCache/pivotCacheDefinition41.xml"/><Relationship Id="rId76" Type="http://schemas.openxmlformats.org/officeDocument/2006/relationships/pivotCacheDefinition" Target="pivotCache/pivotCacheDefinition42.xml"/><Relationship Id="rId77" Type="http://schemas.openxmlformats.org/officeDocument/2006/relationships/pivotCacheDefinition" Target="pivotCache/pivotCacheDefinition43.xml"/><Relationship Id="rId78" Type="http://schemas.openxmlformats.org/officeDocument/2006/relationships/pivotCacheDefinition" Target="pivotCache/pivotCacheDefinition44.xml"/><Relationship Id="rId79" Type="http://schemas.openxmlformats.org/officeDocument/2006/relationships/pivotCacheDefinition" Target="pivotCache/pivotCacheDefinition45.xml"/><Relationship Id="rId80" Type="http://schemas.openxmlformats.org/officeDocument/2006/relationships/pivotCacheDefinition" Target="pivotCache/pivotCacheDefinition46.xml"/><Relationship Id="rId81" Type="http://schemas.openxmlformats.org/officeDocument/2006/relationships/pivotCacheDefinition" Target="pivotCache/pivotCacheDefinition47.xml"/><Relationship Id="rId82" Type="http://schemas.openxmlformats.org/officeDocument/2006/relationships/pivotCacheDefinition" Target="pivotCache/pivotCacheDefinition48.xml"/><Relationship Id="rId83" Type="http://schemas.openxmlformats.org/officeDocument/2006/relationships/pivotCacheDefinition" Target="pivotCache/pivotCacheDefinition49.xml"/><Relationship Id="rId84" Type="http://schemas.openxmlformats.org/officeDocument/2006/relationships/pivotCacheDefinition" Target="pivotCache/pivotCacheDefinition50.xml"/><Relationship Id="rId85" Type="http://schemas.openxmlformats.org/officeDocument/2006/relationships/pivotCacheDefinition" Target="pivotCache/pivotCacheDefinition51.xml"/><Relationship Id="rId86" Type="http://schemas.openxmlformats.org/officeDocument/2006/relationships/pivotCacheDefinition" Target="pivotCache/pivotCacheDefinition52.xml"/><Relationship Id="rId87" Type="http://schemas.openxmlformats.org/officeDocument/2006/relationships/pivotCacheDefinition" Target="pivotCache/pivotCacheDefinition53.xml"/><Relationship Id="rId88" Type="http://schemas.openxmlformats.org/officeDocument/2006/relationships/pivotCacheDefinition" Target="pivotCache/pivotCacheDefinition54.xml"/><Relationship Id="rId89" Type="http://schemas.openxmlformats.org/officeDocument/2006/relationships/pivotCacheDefinition" Target="pivotCache/pivotCacheDefinition55.xml"/><Relationship Id="rId90" Type="http://schemas.openxmlformats.org/officeDocument/2006/relationships/pivotCacheDefinition" Target="pivotCache/pivotCacheDefinition56.xml"/><Relationship Id="rId91" Type="http://schemas.openxmlformats.org/officeDocument/2006/relationships/pivotCacheDefinition" Target="pivotCache/pivotCacheDefinition57.xml"/><Relationship Id="rId92" Type="http://schemas.openxmlformats.org/officeDocument/2006/relationships/pivotCacheDefinition" Target="pivotCache/pivotCacheDefinition58.xml"/></Relationships>

</file>

<file path=xl/charts/_rels/chart4.xml.rels><?xml version="1.0" encoding="UTF-8"?>
<Relationships xmlns="http://schemas.openxmlformats.org/package/2006/relationships"><Relationship Id="rId1" Type="http://schemas.openxmlformats.org/officeDocument/2006/relationships/image" Target="../media/image1.tif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465561"/>
          <c:y val="0.100778"/>
          <c:w val="0.948444"/>
          <c:h val="0.8354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'Controllers Sales 2024'!$A$3</c:f>
              <c:strCache>
                <c:ptCount val="1"/>
                <c:pt idx="0">
                  <c:v>The Button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2024'!$B$3:$M$3</c:f>
              <c:numCache>
                <c:ptCount val="9"/>
                <c:pt idx="0">
                  <c:v>10.000000</c:v>
                </c:pt>
                <c:pt idx="1">
                  <c:v>16.000000</c:v>
                </c:pt>
                <c:pt idx="2">
                  <c:v>15.000000</c:v>
                </c:pt>
                <c:pt idx="3">
                  <c:v>17.000000</c:v>
                </c:pt>
                <c:pt idx="4">
                  <c:v>23.000000</c:v>
                </c:pt>
                <c:pt idx="5">
                  <c:v>18.000000</c:v>
                </c:pt>
                <c:pt idx="6">
                  <c:v>15.000000</c:v>
                </c:pt>
                <c:pt idx="7">
                  <c:v>17.000000</c:v>
                </c:pt>
                <c:pt idx="8">
                  <c:v>18.000000</c:v>
                </c:pt>
              </c:numCache>
            </c:numRef>
          </c:val>
        </c:ser>
        <c:ser>
          <c:idx val="1"/>
          <c:order val="1"/>
          <c:tx>
            <c:strRef>
              <c:f>'Controllers Sales 2024'!$A$4</c:f>
              <c:strCache>
                <c:ptCount val="1"/>
                <c:pt idx="0">
                  <c:v>ShoStarter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2024'!$B$4:$M$4</c:f>
              <c:numCache>
                <c:ptCount val="9"/>
                <c:pt idx="0">
                  <c:v>2.000000</c:v>
                </c:pt>
                <c:pt idx="1">
                  <c:v>6.000000</c:v>
                </c:pt>
                <c:pt idx="2">
                  <c:v>11.000000</c:v>
                </c:pt>
                <c:pt idx="3">
                  <c:v>5.000000</c:v>
                </c:pt>
                <c:pt idx="4">
                  <c:v>5.000000</c:v>
                </c:pt>
                <c:pt idx="5">
                  <c:v>5.000000</c:v>
                </c:pt>
                <c:pt idx="6">
                  <c:v>10.000000</c:v>
                </c:pt>
                <c:pt idx="7">
                  <c:v>9.000000</c:v>
                </c:pt>
                <c:pt idx="8">
                  <c:v>5.000000</c:v>
                </c:pt>
              </c:numCache>
            </c:numRef>
          </c:val>
        </c:ser>
        <c:ser>
          <c:idx val="2"/>
          <c:order val="2"/>
          <c:tx>
            <c:strRef>
              <c:f>'Controllers Sales 2024'!$A$5</c:f>
              <c:strCache>
                <c:ptCount val="1"/>
                <c:pt idx="0">
                  <c:v>ShoMaster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2024'!$B$5:$M$5</c:f>
              <c:numCache>
                <c:ptCount val="9"/>
                <c:pt idx="0">
                  <c:v>0.000000</c:v>
                </c:pt>
                <c:pt idx="1">
                  <c:v>0.000000</c:v>
                </c:pt>
                <c:pt idx="2">
                  <c:v>1.000000</c:v>
                </c:pt>
                <c:pt idx="3">
                  <c:v>4.000000</c:v>
                </c:pt>
                <c:pt idx="4">
                  <c:v>6.000000</c:v>
                </c:pt>
                <c:pt idx="5">
                  <c:v>0.000000</c:v>
                </c:pt>
                <c:pt idx="6">
                  <c:v>1.000000</c:v>
                </c:pt>
                <c:pt idx="7">
                  <c:v>6.000000</c:v>
                </c:pt>
                <c:pt idx="8">
                  <c:v>5.000000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Controllers Sold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4"/>
        <c:minorUnit val="2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32561"/>
          <c:y val="0"/>
          <c:w val="0.887442"/>
          <c:h val="0.0585925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517319"/>
          <c:y val="0.108982"/>
          <c:w val="0.943268"/>
          <c:h val="0.8230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'Jet Sales 2024'!$A$3</c:f>
              <c:strCache>
                <c:ptCount val="1"/>
                <c:pt idx="0">
                  <c:v>Pro Jet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2024'!$B$3:$M$3</c:f>
              <c:numCache>
                <c:ptCount val="9"/>
                <c:pt idx="0">
                  <c:v>16.000000</c:v>
                </c:pt>
                <c:pt idx="1">
                  <c:v>42.000000</c:v>
                </c:pt>
                <c:pt idx="2">
                  <c:v>31.000000</c:v>
                </c:pt>
                <c:pt idx="3">
                  <c:v>16.000000</c:v>
                </c:pt>
                <c:pt idx="4">
                  <c:v>48.000000</c:v>
                </c:pt>
                <c:pt idx="5">
                  <c:v>36.000000</c:v>
                </c:pt>
                <c:pt idx="6">
                  <c:v>26.000000</c:v>
                </c:pt>
                <c:pt idx="7">
                  <c:v>24.000000</c:v>
                </c:pt>
                <c:pt idx="8">
                  <c:v>28.000000</c:v>
                </c:pt>
              </c:numCache>
            </c:numRef>
          </c:val>
        </c:ser>
        <c:ser>
          <c:idx val="1"/>
          <c:order val="1"/>
          <c:tx>
            <c:strRef>
              <c:f>'Jet Sales 2024'!$A$4</c:f>
              <c:strCache>
                <c:ptCount val="1"/>
                <c:pt idx="0">
                  <c:v>Quad Jet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2024'!$B$4:$M$4</c:f>
              <c:numCache>
                <c:ptCount val="9"/>
                <c:pt idx="0">
                  <c:v>3.000000</c:v>
                </c:pt>
                <c:pt idx="1">
                  <c:v>8.000000</c:v>
                </c:pt>
                <c:pt idx="2">
                  <c:v>56.000000</c:v>
                </c:pt>
                <c:pt idx="3">
                  <c:v>2.000000</c:v>
                </c:pt>
                <c:pt idx="4">
                  <c:v>2.000000</c:v>
                </c:pt>
                <c:pt idx="5">
                  <c:v>2.000000</c:v>
                </c:pt>
                <c:pt idx="6">
                  <c:v>4.000000</c:v>
                </c:pt>
                <c:pt idx="7">
                  <c:v>14.000000</c:v>
                </c:pt>
                <c:pt idx="8">
                  <c:v>1.000000</c:v>
                </c:pt>
              </c:numCache>
            </c:numRef>
          </c:val>
        </c:ser>
        <c:ser>
          <c:idx val="2"/>
          <c:order val="2"/>
          <c:tx>
            <c:strRef>
              <c:f>'Jet Sales 2024'!$A$5</c:f>
              <c:strCache>
                <c:ptCount val="1"/>
                <c:pt idx="0">
                  <c:v>Micro Jet MKII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2024'!$B$5:$M$5</c:f>
              <c:numCache>
                <c:ptCount val="9"/>
                <c:pt idx="0">
                  <c:v>28.000000</c:v>
                </c:pt>
                <c:pt idx="1">
                  <c:v>21.000000</c:v>
                </c:pt>
                <c:pt idx="2">
                  <c:v>33.000000</c:v>
                </c:pt>
                <c:pt idx="3">
                  <c:v>21.000000</c:v>
                </c:pt>
                <c:pt idx="4">
                  <c:v>17.000000</c:v>
                </c:pt>
                <c:pt idx="5">
                  <c:v>24.000000</c:v>
                </c:pt>
                <c:pt idx="6">
                  <c:v>28.000000</c:v>
                </c:pt>
                <c:pt idx="7">
                  <c:v>43.000000</c:v>
                </c:pt>
                <c:pt idx="8">
                  <c:v>23.000000</c:v>
                </c:pt>
              </c:numCache>
            </c:numRef>
          </c:val>
        </c:ser>
        <c:ser>
          <c:idx val="3"/>
          <c:order val="3"/>
          <c:tx>
            <c:strRef>
              <c:f>'Jet Sales 2024'!$A$6</c:f>
              <c:strCache>
                <c:ptCount val="1"/>
                <c:pt idx="0">
                  <c:v>Cryo Clamp</c:v>
                </c:pt>
              </c:strCache>
            </c:strRef>
          </c:tx>
          <c:spPr>
            <a:solidFill>
              <a:schemeClr val="accent4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2024'!$B$6:$M$6</c:f>
              <c:numCache>
                <c:ptCount val="9"/>
                <c:pt idx="0">
                  <c:v>22.000000</c:v>
                </c:pt>
                <c:pt idx="1">
                  <c:v>7.000000</c:v>
                </c:pt>
                <c:pt idx="2">
                  <c:v>6.000000</c:v>
                </c:pt>
                <c:pt idx="3">
                  <c:v>9.000000</c:v>
                </c:pt>
                <c:pt idx="4">
                  <c:v>10.000000</c:v>
                </c:pt>
                <c:pt idx="5">
                  <c:v>23.000000</c:v>
                </c:pt>
                <c:pt idx="6">
                  <c:v>14.000000</c:v>
                </c:pt>
                <c:pt idx="7">
                  <c:v>27.000000</c:v>
                </c:pt>
                <c:pt idx="8">
                  <c:v>16.000000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Jets Sold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10"/>
        <c:minorUnit val="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89778"/>
          <c:y val="0"/>
          <c:w val="0.882021"/>
          <c:h val="0.0613273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465561"/>
          <c:y val="0.112283"/>
          <c:w val="0.948444"/>
          <c:h val="0.8181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'Handheld Sales 2024'!$A$3</c:f>
              <c:strCache>
                <c:ptCount val="1"/>
                <c:pt idx="0">
                  <c:v>8FT - No Case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2024'!$B$3:$M$3</c:f>
              <c:numCache>
                <c:ptCount val="9"/>
                <c:pt idx="0">
                  <c:v>26.000000</c:v>
                </c:pt>
                <c:pt idx="1">
                  <c:v>13.000000</c:v>
                </c:pt>
                <c:pt idx="2">
                  <c:v>7.000000</c:v>
                </c:pt>
                <c:pt idx="3">
                  <c:v>15.000000</c:v>
                </c:pt>
                <c:pt idx="4">
                  <c:v>12.000000</c:v>
                </c:pt>
                <c:pt idx="5">
                  <c:v>12.000000</c:v>
                </c:pt>
                <c:pt idx="6">
                  <c:v>22.000000</c:v>
                </c:pt>
                <c:pt idx="7">
                  <c:v>30.000000</c:v>
                </c:pt>
                <c:pt idx="8">
                  <c:v>11.000000</c:v>
                </c:pt>
              </c:numCache>
            </c:numRef>
          </c:val>
        </c:ser>
        <c:ser>
          <c:idx val="1"/>
          <c:order val="1"/>
          <c:tx>
            <c:strRef>
              <c:f>'Handheld Sales 2024'!$A$4</c:f>
              <c:strCache>
                <c:ptCount val="1"/>
                <c:pt idx="0">
                  <c:v>8FT - Travel Case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2024'!$B$4:$M$4</c:f>
              <c:numCache>
                <c:ptCount val="9"/>
                <c:pt idx="0">
                  <c:v>4.000000</c:v>
                </c:pt>
                <c:pt idx="1">
                  <c:v>2.000000</c:v>
                </c:pt>
                <c:pt idx="2">
                  <c:v>8.000000</c:v>
                </c:pt>
                <c:pt idx="3">
                  <c:v>6.000000</c:v>
                </c:pt>
                <c:pt idx="4">
                  <c:v>8.000000</c:v>
                </c:pt>
                <c:pt idx="5">
                  <c:v>5.000000</c:v>
                </c:pt>
                <c:pt idx="6">
                  <c:v>1.000000</c:v>
                </c:pt>
                <c:pt idx="7">
                  <c:v>11.000000</c:v>
                </c:pt>
                <c:pt idx="8">
                  <c:v>6.000000</c:v>
                </c:pt>
              </c:numCache>
            </c:numRef>
          </c:val>
        </c:ser>
        <c:ser>
          <c:idx val="2"/>
          <c:order val="2"/>
          <c:tx>
            <c:strRef>
              <c:f>'Handheld Sales 2024'!$A$5</c:f>
              <c:strCache>
                <c:ptCount val="1"/>
                <c:pt idx="0">
                  <c:v>15FT - No Case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2024'!$B$5:$M$5</c:f>
              <c:numCache>
                <c:ptCount val="9"/>
                <c:pt idx="0">
                  <c:v>3.000000</c:v>
                </c:pt>
                <c:pt idx="1">
                  <c:v>12.000000</c:v>
                </c:pt>
                <c:pt idx="2">
                  <c:v>5.000000</c:v>
                </c:pt>
                <c:pt idx="3">
                  <c:v>9.000000</c:v>
                </c:pt>
                <c:pt idx="4">
                  <c:v>9.000000</c:v>
                </c:pt>
                <c:pt idx="5">
                  <c:v>8.000000</c:v>
                </c:pt>
                <c:pt idx="6">
                  <c:v>6.000000</c:v>
                </c:pt>
                <c:pt idx="7">
                  <c:v>17.000000</c:v>
                </c:pt>
                <c:pt idx="8">
                  <c:v>16.000000</c:v>
                </c:pt>
              </c:numCache>
            </c:numRef>
          </c:val>
        </c:ser>
        <c:ser>
          <c:idx val="3"/>
          <c:order val="3"/>
          <c:tx>
            <c:strRef>
              <c:f>'Handheld Sales 2024'!$A$6</c:f>
              <c:strCache>
                <c:ptCount val="1"/>
                <c:pt idx="0">
                  <c:v>15FT Travel Case</c:v>
                </c:pt>
              </c:strCache>
            </c:strRef>
          </c:tx>
          <c:spPr>
            <a:solidFill>
              <a:schemeClr val="accent4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2024'!$B$2:$M$2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2024'!$B$6:$M$6</c:f>
              <c:numCache>
                <c:ptCount val="9"/>
                <c:pt idx="0">
                  <c:v>6.000000</c:v>
                </c:pt>
                <c:pt idx="1">
                  <c:v>11.000000</c:v>
                </c:pt>
                <c:pt idx="2">
                  <c:v>15.000000</c:v>
                </c:pt>
                <c:pt idx="3">
                  <c:v>8.000000</c:v>
                </c:pt>
                <c:pt idx="4">
                  <c:v>14.000000</c:v>
                </c:pt>
                <c:pt idx="5">
                  <c:v>2.000000</c:v>
                </c:pt>
                <c:pt idx="6">
                  <c:v>15.000000</c:v>
                </c:pt>
                <c:pt idx="7">
                  <c:v>13.000000</c:v>
                </c:pt>
                <c:pt idx="8">
                  <c:v>17.000000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Handheld Sales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8"/>
        <c:minorUnit val="4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32561"/>
          <c:y val="0"/>
          <c:w val="0.887442"/>
          <c:h val="0.0624278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517319"/>
          <c:y val="0.108982"/>
          <c:w val="0.943268"/>
          <c:h val="0.82309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'Jet Sales 2023'!$A$3</c:f>
              <c:strCache>
                <c:ptCount val="1"/>
                <c:pt idx="0">
                  <c:v>Pro Jet</c:v>
                </c:pt>
              </c:strCache>
            </c:strRef>
          </c:tx>
          <c:spPr>
            <a:solidFill>
              <a:srgbClr val="C41009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2023'!$B$3:$M$3</c:f>
              <c:numCache>
                <c:ptCount val="12"/>
                <c:pt idx="0">
                  <c:v>49.000000</c:v>
                </c:pt>
                <c:pt idx="1">
                  <c:v>24.000000</c:v>
                </c:pt>
                <c:pt idx="2">
                  <c:v>31.000000</c:v>
                </c:pt>
                <c:pt idx="3">
                  <c:v>47.000000</c:v>
                </c:pt>
                <c:pt idx="4">
                  <c:v>36.000000</c:v>
                </c:pt>
                <c:pt idx="5">
                  <c:v>34.000000</c:v>
                </c:pt>
                <c:pt idx="6">
                  <c:v>44.000000</c:v>
                </c:pt>
                <c:pt idx="7">
                  <c:v>78.000000</c:v>
                </c:pt>
                <c:pt idx="8">
                  <c:v>35.000000</c:v>
                </c:pt>
                <c:pt idx="9">
                  <c:v>23.000000</c:v>
                </c:pt>
                <c:pt idx="10">
                  <c:v>19.000000</c:v>
                </c:pt>
                <c:pt idx="11">
                  <c:v>8.000000</c:v>
                </c:pt>
              </c:numCache>
            </c:numRef>
          </c:val>
        </c:ser>
        <c:ser>
          <c:idx val="1"/>
          <c:order val="1"/>
          <c:tx>
            <c:strRef>
              <c:f>'Jet Sales 2023'!$A$4</c:f>
              <c:strCache>
                <c:ptCount val="1"/>
                <c:pt idx="0">
                  <c:v>Quad Jet</c:v>
                </c:pt>
              </c:strCache>
            </c:strRef>
          </c:tx>
          <c:spPr>
            <a:solidFill>
              <a:srgbClr val="EBED1D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2023'!$B$4:$M$4</c:f>
              <c:numCache>
                <c:ptCount val="12"/>
                <c:pt idx="0">
                  <c:v>13.000000</c:v>
                </c:pt>
                <c:pt idx="1">
                  <c:v>19.000000</c:v>
                </c:pt>
                <c:pt idx="2">
                  <c:v>1.000000</c:v>
                </c:pt>
                <c:pt idx="3">
                  <c:v>0.000000</c:v>
                </c:pt>
                <c:pt idx="4">
                  <c:v>0.000000</c:v>
                </c:pt>
                <c:pt idx="5">
                  <c:v>2.000000</c:v>
                </c:pt>
                <c:pt idx="6">
                  <c:v>15.000000</c:v>
                </c:pt>
                <c:pt idx="7">
                  <c:v>9.000000</c:v>
                </c:pt>
                <c:pt idx="8">
                  <c:v>7.000000</c:v>
                </c:pt>
                <c:pt idx="9">
                  <c:v>13.000000</c:v>
                </c:pt>
                <c:pt idx="10">
                  <c:v>17.000000</c:v>
                </c:pt>
                <c:pt idx="11">
                  <c:v>0.000000</c:v>
                </c:pt>
              </c:numCache>
            </c:numRef>
          </c:val>
        </c:ser>
        <c:ser>
          <c:idx val="2"/>
          <c:order val="2"/>
          <c:tx>
            <c:strRef>
              <c:f>'Jet Sales 2023'!$A$5</c:f>
              <c:strCache>
                <c:ptCount val="1"/>
                <c:pt idx="0">
                  <c:v>Micro Jet MKII</c:v>
                </c:pt>
              </c:strCache>
            </c:strRef>
          </c:tx>
          <c:spPr>
            <a:solidFill>
              <a:srgbClr val="3769A5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2023'!$B$5:$M$5</c:f>
              <c:numCache>
                <c:ptCount val="12"/>
                <c:pt idx="0">
                  <c:v>18.000000</c:v>
                </c:pt>
                <c:pt idx="1">
                  <c:v>54.000000</c:v>
                </c:pt>
                <c:pt idx="2">
                  <c:v>29.000000</c:v>
                </c:pt>
                <c:pt idx="3">
                  <c:v>24.000000</c:v>
                </c:pt>
                <c:pt idx="4">
                  <c:v>22.000000</c:v>
                </c:pt>
                <c:pt idx="5">
                  <c:v>20.000000</c:v>
                </c:pt>
                <c:pt idx="6">
                  <c:v>17.000000</c:v>
                </c:pt>
                <c:pt idx="7">
                  <c:v>26.000000</c:v>
                </c:pt>
                <c:pt idx="8">
                  <c:v>16.000000</c:v>
                </c:pt>
                <c:pt idx="9">
                  <c:v>20.000000</c:v>
                </c:pt>
                <c:pt idx="10">
                  <c:v>23.000000</c:v>
                </c:pt>
                <c:pt idx="11">
                  <c:v>16.000000</c:v>
                </c:pt>
              </c:numCache>
            </c:numRef>
          </c:val>
        </c:ser>
        <c:ser>
          <c:idx val="3"/>
          <c:order val="3"/>
          <c:tx>
            <c:strRef>
              <c:f>'Jet Sales 2023'!$A$6</c:f>
              <c:strCache>
                <c:ptCount val="1"/>
                <c:pt idx="0">
                  <c:v>Cryo Clamp</c:v>
                </c:pt>
              </c:strCache>
            </c:strRef>
          </c:tx>
          <c:spPr>
            <a:blipFill rotWithShape="1">
              <a:blip r:embed="rId1"/>
              <a:srcRect l="0" t="0" r="0" b="0"/>
              <a:tile tx="0" ty="0" sx="100000" sy="100000" flip="none" algn="tl"/>
            </a:blip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2023'!$B$6:$M$6</c:f>
              <c:numCache>
                <c:ptCount val="12"/>
                <c:pt idx="0">
                  <c:v>0.000000</c:v>
                </c:pt>
                <c:pt idx="1">
                  <c:v>0.000000</c:v>
                </c:pt>
                <c:pt idx="2">
                  <c:v>18.000000</c:v>
                </c:pt>
                <c:pt idx="3">
                  <c:v>9.000000</c:v>
                </c:pt>
                <c:pt idx="4">
                  <c:v>36.000000</c:v>
                </c:pt>
                <c:pt idx="5">
                  <c:v>15.000000</c:v>
                </c:pt>
                <c:pt idx="6">
                  <c:v>30.000000</c:v>
                </c:pt>
                <c:pt idx="7">
                  <c:v>42.000000</c:v>
                </c:pt>
                <c:pt idx="8">
                  <c:v>19.000000</c:v>
                </c:pt>
                <c:pt idx="9">
                  <c:v>3.000000</c:v>
                </c:pt>
                <c:pt idx="10">
                  <c:v>7.000000</c:v>
                </c:pt>
                <c:pt idx="11">
                  <c:v>8.000000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Jets Sold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10"/>
        <c:minorUnit val="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89778"/>
          <c:y val="0"/>
          <c:w val="0.882021"/>
          <c:h val="0.0613273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258515"/>
          <c:y val="0.0992019"/>
          <c:w val="0.946809"/>
          <c:h val="0.837852"/>
        </c:manualLayout>
      </c:layout>
      <c:lineChart>
        <c:grouping val="standard"/>
        <c:varyColors val="0"/>
        <c:ser>
          <c:idx val="0"/>
          <c:order val="0"/>
          <c:tx>
            <c:strRef>
              <c:f>'Jet Sales 2023'!$A$3</c:f>
              <c:strCache>
                <c:ptCount val="1"/>
                <c:pt idx="0">
                  <c:v>Pro Jet</c:v>
                </c:pt>
              </c:strCache>
            </c:strRef>
          </c:tx>
          <c:spPr>
            <a:solidFill>
              <a:schemeClr val="accent1"/>
            </a:solidFill>
            <a:ln w="31750" cap="flat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2023'!$B$3:$M$3</c:f>
              <c:numCache>
                <c:ptCount val="12"/>
                <c:pt idx="0">
                  <c:v>49.000000</c:v>
                </c:pt>
                <c:pt idx="1">
                  <c:v>24.000000</c:v>
                </c:pt>
                <c:pt idx="2">
                  <c:v>31.000000</c:v>
                </c:pt>
                <c:pt idx="3">
                  <c:v>47.000000</c:v>
                </c:pt>
                <c:pt idx="4">
                  <c:v>36.000000</c:v>
                </c:pt>
                <c:pt idx="5">
                  <c:v>34.000000</c:v>
                </c:pt>
                <c:pt idx="6">
                  <c:v>44.000000</c:v>
                </c:pt>
                <c:pt idx="7">
                  <c:v>78.000000</c:v>
                </c:pt>
                <c:pt idx="8">
                  <c:v>35.000000</c:v>
                </c:pt>
                <c:pt idx="9">
                  <c:v>23.000000</c:v>
                </c:pt>
                <c:pt idx="10">
                  <c:v>19.000000</c:v>
                </c:pt>
                <c:pt idx="11">
                  <c:v>8.000000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'Jet Sales 2023'!$A$4</c:f>
              <c:strCache>
                <c:ptCount val="1"/>
                <c:pt idx="0">
                  <c:v>Quad Jet</c:v>
                </c:pt>
              </c:strCache>
            </c:strRef>
          </c:tx>
          <c:spPr>
            <a:solidFill>
              <a:schemeClr val="accent2"/>
            </a:solidFill>
            <a:ln w="31750" cap="flat">
              <a:solidFill>
                <a:schemeClr val="accent2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6350" cap="flat">
                <a:solidFill>
                  <a:schemeClr val="accent2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2023'!$B$4:$M$4</c:f>
              <c:numCache>
                <c:ptCount val="12"/>
                <c:pt idx="0">
                  <c:v>13.000000</c:v>
                </c:pt>
                <c:pt idx="1">
                  <c:v>19.000000</c:v>
                </c:pt>
                <c:pt idx="2">
                  <c:v>1.000000</c:v>
                </c:pt>
                <c:pt idx="3">
                  <c:v>0.000000</c:v>
                </c:pt>
                <c:pt idx="4">
                  <c:v>0.000000</c:v>
                </c:pt>
                <c:pt idx="5">
                  <c:v>2.000000</c:v>
                </c:pt>
                <c:pt idx="6">
                  <c:v>15.000000</c:v>
                </c:pt>
                <c:pt idx="7">
                  <c:v>9.000000</c:v>
                </c:pt>
                <c:pt idx="8">
                  <c:v>7.000000</c:v>
                </c:pt>
                <c:pt idx="9">
                  <c:v>13.000000</c:v>
                </c:pt>
                <c:pt idx="10">
                  <c:v>17.000000</c:v>
                </c:pt>
                <c:pt idx="11">
                  <c:v>0.000000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'Jet Sales 2023'!$A$5</c:f>
              <c:strCache>
                <c:ptCount val="1"/>
                <c:pt idx="0">
                  <c:v>Micro Jet MKII</c:v>
                </c:pt>
              </c:strCache>
            </c:strRef>
          </c:tx>
          <c:spPr>
            <a:solidFill>
              <a:schemeClr val="accent3"/>
            </a:solidFill>
            <a:ln w="31750" cap="flat">
              <a:solidFill>
                <a:schemeClr val="accent3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6350" cap="flat">
                <a:solidFill>
                  <a:schemeClr val="accent3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2023'!$B$5:$M$5</c:f>
              <c:numCache>
                <c:ptCount val="12"/>
                <c:pt idx="0">
                  <c:v>18.000000</c:v>
                </c:pt>
                <c:pt idx="1">
                  <c:v>54.000000</c:v>
                </c:pt>
                <c:pt idx="2">
                  <c:v>29.000000</c:v>
                </c:pt>
                <c:pt idx="3">
                  <c:v>24.000000</c:v>
                </c:pt>
                <c:pt idx="4">
                  <c:v>22.000000</c:v>
                </c:pt>
                <c:pt idx="5">
                  <c:v>20.000000</c:v>
                </c:pt>
                <c:pt idx="6">
                  <c:v>17.000000</c:v>
                </c:pt>
                <c:pt idx="7">
                  <c:v>26.000000</c:v>
                </c:pt>
                <c:pt idx="8">
                  <c:v>16.000000</c:v>
                </c:pt>
                <c:pt idx="9">
                  <c:v>20.000000</c:v>
                </c:pt>
                <c:pt idx="10">
                  <c:v>23.000000</c:v>
                </c:pt>
                <c:pt idx="11">
                  <c:v>16.000000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'Jet Sales 2023'!$A$6</c:f>
              <c:strCache>
                <c:ptCount val="1"/>
                <c:pt idx="0">
                  <c:v>Cryo Clamp</c:v>
                </c:pt>
              </c:strCache>
            </c:strRef>
          </c:tx>
          <c:spPr>
            <a:solidFill>
              <a:schemeClr val="accent4"/>
            </a:solidFill>
            <a:ln w="31750" cap="flat">
              <a:solidFill>
                <a:schemeClr val="accent4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6350" cap="flat">
                <a:solidFill>
                  <a:schemeClr val="accent4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'Jet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'Jet Sales 2023'!$B$6:$M$6</c:f>
              <c:numCache>
                <c:ptCount val="12"/>
                <c:pt idx="0">
                  <c:v>0.000000</c:v>
                </c:pt>
                <c:pt idx="1">
                  <c:v>0.000000</c:v>
                </c:pt>
                <c:pt idx="2">
                  <c:v>18.000000</c:v>
                </c:pt>
                <c:pt idx="3">
                  <c:v>9.000000</c:v>
                </c:pt>
                <c:pt idx="4">
                  <c:v>36.000000</c:v>
                </c:pt>
                <c:pt idx="5">
                  <c:v>15.000000</c:v>
                </c:pt>
                <c:pt idx="6">
                  <c:v>30.000000</c:v>
                </c:pt>
                <c:pt idx="7">
                  <c:v>42.000000</c:v>
                </c:pt>
                <c:pt idx="8">
                  <c:v>19.000000</c:v>
                </c:pt>
                <c:pt idx="9">
                  <c:v>3.000000</c:v>
                </c:pt>
                <c:pt idx="10">
                  <c:v>7.000000</c:v>
                </c:pt>
                <c:pt idx="11">
                  <c:v>8.000000</c:v>
                </c:pt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midCat"/>
        <c:majorUnit val="20"/>
        <c:minorUnit val="10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545178"/>
          <c:y val="0"/>
          <c:w val="0.9"/>
          <c:h val="0.0580673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465561"/>
          <c:y val="0.100778"/>
          <c:w val="0.948444"/>
          <c:h val="0.8354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'Controllers Sales 2023'!$A$3</c:f>
              <c:strCache>
                <c:ptCount val="1"/>
                <c:pt idx="0">
                  <c:v>The Button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2023'!$B$3:$M$3</c:f>
              <c:numCache>
                <c:ptCount val="12"/>
                <c:pt idx="0">
                  <c:v>19.000000</c:v>
                </c:pt>
                <c:pt idx="1">
                  <c:v>32.000000</c:v>
                </c:pt>
                <c:pt idx="2">
                  <c:v>18.000000</c:v>
                </c:pt>
                <c:pt idx="3">
                  <c:v>23.000000</c:v>
                </c:pt>
                <c:pt idx="4">
                  <c:v>33.000000</c:v>
                </c:pt>
                <c:pt idx="5">
                  <c:v>26.000000</c:v>
                </c:pt>
                <c:pt idx="6">
                  <c:v>26.000000</c:v>
                </c:pt>
                <c:pt idx="7">
                  <c:v>38.000000</c:v>
                </c:pt>
                <c:pt idx="8">
                  <c:v>56.000000</c:v>
                </c:pt>
                <c:pt idx="9">
                  <c:v>32.000000</c:v>
                </c:pt>
                <c:pt idx="10">
                  <c:v>32.000000</c:v>
                </c:pt>
                <c:pt idx="11">
                  <c:v>16.000000</c:v>
                </c:pt>
              </c:numCache>
            </c:numRef>
          </c:val>
        </c:ser>
        <c:ser>
          <c:idx val="1"/>
          <c:order val="1"/>
          <c:tx>
            <c:strRef>
              <c:f>'Controllers Sales 2023'!$A$4</c:f>
              <c:strCache>
                <c:ptCount val="1"/>
                <c:pt idx="0">
                  <c:v>ShoStarter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2023'!$B$4:$M$4</c:f>
              <c:numCache>
                <c:ptCount val="12"/>
                <c:pt idx="0">
                  <c:v>14.000000</c:v>
                </c:pt>
                <c:pt idx="1">
                  <c:v>15.000000</c:v>
                </c:pt>
                <c:pt idx="2">
                  <c:v>9.000000</c:v>
                </c:pt>
                <c:pt idx="3">
                  <c:v>11.000000</c:v>
                </c:pt>
                <c:pt idx="4">
                  <c:v>14.000000</c:v>
                </c:pt>
                <c:pt idx="5">
                  <c:v>5.000000</c:v>
                </c:pt>
                <c:pt idx="6">
                  <c:v>7.000000</c:v>
                </c:pt>
                <c:pt idx="7">
                  <c:v>6.000000</c:v>
                </c:pt>
                <c:pt idx="8">
                  <c:v>6.000000</c:v>
                </c:pt>
                <c:pt idx="9">
                  <c:v>5.000000</c:v>
                </c:pt>
                <c:pt idx="10">
                  <c:v>19.000000</c:v>
                </c:pt>
                <c:pt idx="11">
                  <c:v>6.000000</c:v>
                </c:pt>
              </c:numCache>
            </c:numRef>
          </c:val>
        </c:ser>
        <c:ser>
          <c:idx val="2"/>
          <c:order val="2"/>
          <c:tx>
            <c:strRef>
              <c:f>'Controllers Sales 2023'!$A$5</c:f>
              <c:strCache>
                <c:ptCount val="1"/>
                <c:pt idx="0">
                  <c:v>ShoMaster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2023'!$B$5:$M$5</c:f>
              <c:numCache>
                <c:ptCount val="12"/>
                <c:pt idx="0">
                  <c:v>5.000000</c:v>
                </c:pt>
                <c:pt idx="1">
                  <c:v>8.000000</c:v>
                </c:pt>
                <c:pt idx="2">
                  <c:v>4.000000</c:v>
                </c:pt>
                <c:pt idx="3">
                  <c:v>1.000000</c:v>
                </c:pt>
                <c:pt idx="4">
                  <c:v>2.000000</c:v>
                </c:pt>
                <c:pt idx="5">
                  <c:v>4.000000</c:v>
                </c:pt>
                <c:pt idx="6">
                  <c:v>0.000000</c:v>
                </c:pt>
                <c:pt idx="7">
                  <c:v>7.000000</c:v>
                </c:pt>
                <c:pt idx="8">
                  <c:v>1.000000</c:v>
                </c:pt>
                <c:pt idx="9">
                  <c:v>2.000000</c:v>
                </c:pt>
                <c:pt idx="10">
                  <c:v>1.000000</c:v>
                </c:pt>
                <c:pt idx="11">
                  <c:v>0.000000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Controllers Sold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5"/>
        <c:minorUnit val="2.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32561"/>
          <c:y val="0"/>
          <c:w val="0.887442"/>
          <c:h val="0.0585925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266588"/>
          <c:y val="0.103506"/>
          <c:w val="0.945148"/>
          <c:h val="0.83136"/>
        </c:manualLayout>
      </c:layout>
      <c:lineChart>
        <c:grouping val="standard"/>
        <c:varyColors val="0"/>
        <c:ser>
          <c:idx val="0"/>
          <c:order val="0"/>
          <c:tx>
            <c:strRef>
              <c:f>'Controllers Sales 2023'!$A$3</c:f>
              <c:strCache>
                <c:ptCount val="1"/>
                <c:pt idx="0">
                  <c:v>The Button</c:v>
                </c:pt>
              </c:strCache>
            </c:strRef>
          </c:tx>
          <c:spPr>
            <a:solidFill>
              <a:schemeClr val="accent1"/>
            </a:solidFill>
            <a:ln w="31750" cap="flat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2023'!$B$3:$M$3</c:f>
              <c:numCache>
                <c:ptCount val="12"/>
                <c:pt idx="0">
                  <c:v>19.000000</c:v>
                </c:pt>
                <c:pt idx="1">
                  <c:v>32.000000</c:v>
                </c:pt>
                <c:pt idx="2">
                  <c:v>18.000000</c:v>
                </c:pt>
                <c:pt idx="3">
                  <c:v>23.000000</c:v>
                </c:pt>
                <c:pt idx="4">
                  <c:v>33.000000</c:v>
                </c:pt>
                <c:pt idx="5">
                  <c:v>26.000000</c:v>
                </c:pt>
                <c:pt idx="6">
                  <c:v>26.000000</c:v>
                </c:pt>
                <c:pt idx="7">
                  <c:v>38.000000</c:v>
                </c:pt>
                <c:pt idx="8">
                  <c:v>56.000000</c:v>
                </c:pt>
                <c:pt idx="9">
                  <c:v>32.000000</c:v>
                </c:pt>
                <c:pt idx="10">
                  <c:v>32.000000</c:v>
                </c:pt>
                <c:pt idx="11">
                  <c:v>16.000000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'Controllers Sales 2023'!$A$4</c:f>
              <c:strCache>
                <c:ptCount val="1"/>
                <c:pt idx="0">
                  <c:v>ShoStarter</c:v>
                </c:pt>
              </c:strCache>
            </c:strRef>
          </c:tx>
          <c:spPr>
            <a:solidFill>
              <a:schemeClr val="accent2"/>
            </a:solidFill>
            <a:ln w="31750" cap="flat">
              <a:solidFill>
                <a:schemeClr val="accent2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6350" cap="flat">
                <a:solidFill>
                  <a:schemeClr val="accent2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2023'!$B$4:$M$4</c:f>
              <c:numCache>
                <c:ptCount val="12"/>
                <c:pt idx="0">
                  <c:v>14.000000</c:v>
                </c:pt>
                <c:pt idx="1">
                  <c:v>15.000000</c:v>
                </c:pt>
                <c:pt idx="2">
                  <c:v>9.000000</c:v>
                </c:pt>
                <c:pt idx="3">
                  <c:v>11.000000</c:v>
                </c:pt>
                <c:pt idx="4">
                  <c:v>14.000000</c:v>
                </c:pt>
                <c:pt idx="5">
                  <c:v>5.000000</c:v>
                </c:pt>
                <c:pt idx="6">
                  <c:v>7.000000</c:v>
                </c:pt>
                <c:pt idx="7">
                  <c:v>6.000000</c:v>
                </c:pt>
                <c:pt idx="8">
                  <c:v>6.000000</c:v>
                </c:pt>
                <c:pt idx="9">
                  <c:v>5.000000</c:v>
                </c:pt>
                <c:pt idx="10">
                  <c:v>19.000000</c:v>
                </c:pt>
                <c:pt idx="11">
                  <c:v>6.000000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'Controllers Sales 2023'!$A$5</c:f>
              <c:strCache>
                <c:ptCount val="1"/>
                <c:pt idx="0">
                  <c:v>ShoMaster</c:v>
                </c:pt>
              </c:strCache>
            </c:strRef>
          </c:tx>
          <c:spPr>
            <a:solidFill>
              <a:schemeClr val="accent3"/>
            </a:solidFill>
            <a:ln w="31750" cap="flat">
              <a:solidFill>
                <a:schemeClr val="accent3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6350" cap="flat">
                <a:solidFill>
                  <a:schemeClr val="accent3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'Controllers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'Controllers Sales 2023'!$B$5:$M$5</c:f>
              <c:numCache>
                <c:ptCount val="12"/>
                <c:pt idx="0">
                  <c:v>5.000000</c:v>
                </c:pt>
                <c:pt idx="1">
                  <c:v>8.000000</c:v>
                </c:pt>
                <c:pt idx="2">
                  <c:v>4.000000</c:v>
                </c:pt>
                <c:pt idx="3">
                  <c:v>1.000000</c:v>
                </c:pt>
                <c:pt idx="4">
                  <c:v>2.000000</c:v>
                </c:pt>
                <c:pt idx="5">
                  <c:v>4.000000</c:v>
                </c:pt>
                <c:pt idx="6">
                  <c:v>0.000000</c:v>
                </c:pt>
                <c:pt idx="7">
                  <c:v>7.000000</c:v>
                </c:pt>
                <c:pt idx="8">
                  <c:v>1.000000</c:v>
                </c:pt>
                <c:pt idx="9">
                  <c:v>2.000000</c:v>
                </c:pt>
                <c:pt idx="10">
                  <c:v>1.000000</c:v>
                </c:pt>
                <c:pt idx="11">
                  <c:v>0.000000</c:v>
                </c:pt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midCat"/>
        <c:majorUnit val="15"/>
        <c:minorUnit val="7.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22693"/>
          <c:y val="0"/>
          <c:w val="0.909047"/>
          <c:h val="0.0595019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465561"/>
          <c:y val="0.112283"/>
          <c:w val="0.948444"/>
          <c:h val="0.8181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'Handheld Sales 2023'!$A$3</c:f>
              <c:strCache>
                <c:ptCount val="1"/>
                <c:pt idx="0">
                  <c:v>8FT - No Case</c:v>
                </c:pt>
              </c:strCache>
            </c:strRef>
          </c:tx>
          <c:spPr>
            <a:solidFill>
              <a:schemeClr val="accent1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2023'!$B$3:$M$3</c:f>
              <c:numCache>
                <c:ptCount val="12"/>
                <c:pt idx="0">
                  <c:v>15.000000</c:v>
                </c:pt>
                <c:pt idx="1">
                  <c:v>7.000000</c:v>
                </c:pt>
                <c:pt idx="2">
                  <c:v>19.000000</c:v>
                </c:pt>
                <c:pt idx="3">
                  <c:v>12.000000</c:v>
                </c:pt>
                <c:pt idx="4">
                  <c:v>15.000000</c:v>
                </c:pt>
                <c:pt idx="5">
                  <c:v>29.000000</c:v>
                </c:pt>
                <c:pt idx="6">
                  <c:v>9.000000</c:v>
                </c:pt>
                <c:pt idx="7">
                  <c:v>15.000000</c:v>
                </c:pt>
                <c:pt idx="8">
                  <c:v>18.000000</c:v>
                </c:pt>
                <c:pt idx="9">
                  <c:v>11.000000</c:v>
                </c:pt>
                <c:pt idx="10">
                  <c:v>10.000000</c:v>
                </c:pt>
                <c:pt idx="11">
                  <c:v>17.000000</c:v>
                </c:pt>
              </c:numCache>
            </c:numRef>
          </c:val>
        </c:ser>
        <c:ser>
          <c:idx val="1"/>
          <c:order val="1"/>
          <c:tx>
            <c:strRef>
              <c:f>'Handheld Sales 2023'!$A$4</c:f>
              <c:strCache>
                <c:ptCount val="1"/>
                <c:pt idx="0">
                  <c:v>8FT - Travel Case</c:v>
                </c:pt>
              </c:strCache>
            </c:strRef>
          </c:tx>
          <c:spPr>
            <a:solidFill>
              <a:schemeClr val="accent2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2023'!$B$4:$M$4</c:f>
              <c:numCache>
                <c:ptCount val="12"/>
                <c:pt idx="0">
                  <c:v>7.000000</c:v>
                </c:pt>
                <c:pt idx="1">
                  <c:v>6.000000</c:v>
                </c:pt>
                <c:pt idx="2">
                  <c:v>9.000000</c:v>
                </c:pt>
                <c:pt idx="3">
                  <c:v>7.000000</c:v>
                </c:pt>
                <c:pt idx="4">
                  <c:v>5.000000</c:v>
                </c:pt>
                <c:pt idx="5">
                  <c:v>5.000000</c:v>
                </c:pt>
                <c:pt idx="6">
                  <c:v>2.000000</c:v>
                </c:pt>
                <c:pt idx="7">
                  <c:v>9.000000</c:v>
                </c:pt>
                <c:pt idx="8">
                  <c:v>6.000000</c:v>
                </c:pt>
                <c:pt idx="9">
                  <c:v>8.000000</c:v>
                </c:pt>
                <c:pt idx="10">
                  <c:v>5.000000</c:v>
                </c:pt>
                <c:pt idx="11">
                  <c:v>1.000000</c:v>
                </c:pt>
              </c:numCache>
            </c:numRef>
          </c:val>
        </c:ser>
        <c:ser>
          <c:idx val="2"/>
          <c:order val="2"/>
          <c:tx>
            <c:strRef>
              <c:f>'Handheld Sales 2023'!$A$5</c:f>
              <c:strCache>
                <c:ptCount val="1"/>
                <c:pt idx="0">
                  <c:v>15FT - No Case</c:v>
                </c:pt>
              </c:strCache>
            </c:strRef>
          </c:tx>
          <c:spPr>
            <a:solidFill>
              <a:schemeClr val="accent3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2023'!$B$5:$M$5</c:f>
              <c:numCache>
                <c:ptCount val="12"/>
                <c:pt idx="0">
                  <c:v>10.000000</c:v>
                </c:pt>
                <c:pt idx="1">
                  <c:v>14.000000</c:v>
                </c:pt>
                <c:pt idx="2">
                  <c:v>6.000000</c:v>
                </c:pt>
                <c:pt idx="3">
                  <c:v>13.000000</c:v>
                </c:pt>
                <c:pt idx="4">
                  <c:v>8.000000</c:v>
                </c:pt>
                <c:pt idx="5">
                  <c:v>5.000000</c:v>
                </c:pt>
                <c:pt idx="6">
                  <c:v>14.000000</c:v>
                </c:pt>
                <c:pt idx="7">
                  <c:v>16.000000</c:v>
                </c:pt>
                <c:pt idx="8">
                  <c:v>9.000000</c:v>
                </c:pt>
                <c:pt idx="9">
                  <c:v>9.000000</c:v>
                </c:pt>
                <c:pt idx="10">
                  <c:v>7.000000</c:v>
                </c:pt>
                <c:pt idx="11">
                  <c:v>4.000000</c:v>
                </c:pt>
              </c:numCache>
            </c:numRef>
          </c:val>
        </c:ser>
        <c:ser>
          <c:idx val="3"/>
          <c:order val="3"/>
          <c:tx>
            <c:strRef>
              <c:f>'Handheld Sales 2023'!$A$6</c:f>
              <c:strCache>
                <c:ptCount val="1"/>
                <c:pt idx="0">
                  <c:v>15FT Travel Case</c:v>
                </c:pt>
              </c:strCache>
            </c:strRef>
          </c:tx>
          <c:spPr>
            <a:solidFill>
              <a:schemeClr val="accent4"/>
            </a:solidFill>
            <a:ln w="6350" cap="flat">
              <a:solidFill>
                <a:srgbClr val="FFFFFF"/>
              </a:solidFill>
              <a:prstDash val="solid"/>
              <a:miter lim="800000"/>
            </a:ln>
            <a:effectLst/>
          </c:spPr>
          <c:invertIfNegative val="0"/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2023'!$B$6:$M$6</c:f>
              <c:numCache>
                <c:ptCount val="12"/>
                <c:pt idx="0">
                  <c:v>10.000000</c:v>
                </c:pt>
                <c:pt idx="1">
                  <c:v>11.000000</c:v>
                </c:pt>
                <c:pt idx="2">
                  <c:v>0.000000</c:v>
                </c:pt>
                <c:pt idx="3">
                  <c:v>9.000000</c:v>
                </c:pt>
                <c:pt idx="4">
                  <c:v>15.000000</c:v>
                </c:pt>
                <c:pt idx="5">
                  <c:v>11.000000</c:v>
                </c:pt>
                <c:pt idx="6">
                  <c:v>6.000000</c:v>
                </c:pt>
                <c:pt idx="7">
                  <c:v>21.000000</c:v>
                </c:pt>
                <c:pt idx="8">
                  <c:v>10.000000</c:v>
                </c:pt>
                <c:pt idx="9">
                  <c:v>11.000000</c:v>
                </c:pt>
                <c:pt idx="10">
                  <c:v>3.000000</c:v>
                </c:pt>
                <c:pt idx="11">
                  <c:v>3.000000</c:v>
                </c:pt>
              </c:numCache>
            </c:numRef>
          </c:val>
        </c:ser>
        <c:gapWidth val="150"/>
        <c:overlap val="100"/>
        <c:axId val="2094734552"/>
        <c:axId val="2094734553"/>
      </c:bar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title>
          <c:tx>
            <c:rich>
              <a:bodyPr rot="-5400000"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  <a:r>
                  <a:rPr b="0" i="0" strike="noStrike" sz="1800" u="none">
                    <a:solidFill>
                      <a:srgbClr val="000000"/>
                    </a:solidFill>
                    <a:latin typeface="Calibri"/>
                  </a:rPr>
                  <a:t>Total Handheld Sales</a:t>
                </a:r>
              </a:p>
            </c:rich>
          </c:tx>
          <c:layout/>
          <c:overlay val="1"/>
        </c:title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between"/>
        <c:majorUnit val="5"/>
        <c:minorUnit val="2.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632561"/>
          <c:y val="0"/>
          <c:w val="0.887442"/>
          <c:h val="0.0624278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autoTitleDeleted val="1"/>
    <c:plotArea>
      <c:layout>
        <c:manualLayout>
          <c:layoutTarget val="inner"/>
          <c:xMode val="edge"/>
          <c:yMode val="edge"/>
          <c:x val="0.0356712"/>
          <c:y val="0.119223"/>
          <c:w val="0.936934"/>
          <c:h val="0.80765"/>
        </c:manualLayout>
      </c:layout>
      <c:lineChart>
        <c:grouping val="standard"/>
        <c:varyColors val="0"/>
        <c:ser>
          <c:idx val="0"/>
          <c:order val="0"/>
          <c:tx>
            <c:strRef>
              <c:f>'Handheld Sales 2023'!$A$3</c:f>
              <c:strCache>
                <c:ptCount val="1"/>
                <c:pt idx="0">
                  <c:v>8FT - No Case</c:v>
                </c:pt>
              </c:strCache>
            </c:strRef>
          </c:tx>
          <c:spPr>
            <a:solidFill>
              <a:schemeClr val="accent1"/>
            </a:solidFill>
            <a:ln w="31750" cap="flat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 cap="flat">
                <a:solidFill>
                  <a:schemeClr val="accent1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2023'!$B$3:$M$3</c:f>
              <c:numCache>
                <c:ptCount val="12"/>
                <c:pt idx="0">
                  <c:v>15.000000</c:v>
                </c:pt>
                <c:pt idx="1">
                  <c:v>7.000000</c:v>
                </c:pt>
                <c:pt idx="2">
                  <c:v>19.000000</c:v>
                </c:pt>
                <c:pt idx="3">
                  <c:v>12.000000</c:v>
                </c:pt>
                <c:pt idx="4">
                  <c:v>15.000000</c:v>
                </c:pt>
                <c:pt idx="5">
                  <c:v>29.000000</c:v>
                </c:pt>
                <c:pt idx="6">
                  <c:v>9.000000</c:v>
                </c:pt>
                <c:pt idx="7">
                  <c:v>15.000000</c:v>
                </c:pt>
                <c:pt idx="8">
                  <c:v>18.000000</c:v>
                </c:pt>
                <c:pt idx="9">
                  <c:v>11.000000</c:v>
                </c:pt>
                <c:pt idx="10">
                  <c:v>10.000000</c:v>
                </c:pt>
                <c:pt idx="11">
                  <c:v>17.000000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'Handheld Sales 2023'!$A$4</c:f>
              <c:strCache>
                <c:ptCount val="1"/>
                <c:pt idx="0">
                  <c:v>8FT - Travel Case</c:v>
                </c:pt>
              </c:strCache>
            </c:strRef>
          </c:tx>
          <c:spPr>
            <a:solidFill>
              <a:schemeClr val="accent2"/>
            </a:solidFill>
            <a:ln w="31750" cap="flat">
              <a:solidFill>
                <a:schemeClr val="accent2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6350" cap="flat">
                <a:solidFill>
                  <a:schemeClr val="accent2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2023'!$B$4:$M$4</c:f>
              <c:numCache>
                <c:ptCount val="12"/>
                <c:pt idx="0">
                  <c:v>7.000000</c:v>
                </c:pt>
                <c:pt idx="1">
                  <c:v>6.000000</c:v>
                </c:pt>
                <c:pt idx="2">
                  <c:v>9.000000</c:v>
                </c:pt>
                <c:pt idx="3">
                  <c:v>7.000000</c:v>
                </c:pt>
                <c:pt idx="4">
                  <c:v>5.000000</c:v>
                </c:pt>
                <c:pt idx="5">
                  <c:v>5.000000</c:v>
                </c:pt>
                <c:pt idx="6">
                  <c:v>2.000000</c:v>
                </c:pt>
                <c:pt idx="7">
                  <c:v>9.000000</c:v>
                </c:pt>
                <c:pt idx="8">
                  <c:v>6.000000</c:v>
                </c:pt>
                <c:pt idx="9">
                  <c:v>8.000000</c:v>
                </c:pt>
                <c:pt idx="10">
                  <c:v>5.000000</c:v>
                </c:pt>
                <c:pt idx="11">
                  <c:v>1.000000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'Handheld Sales 2023'!$A$5</c:f>
              <c:strCache>
                <c:ptCount val="1"/>
                <c:pt idx="0">
                  <c:v>15FT - No Case</c:v>
                </c:pt>
              </c:strCache>
            </c:strRef>
          </c:tx>
          <c:spPr>
            <a:solidFill>
              <a:schemeClr val="accent3"/>
            </a:solidFill>
            <a:ln w="31750" cap="flat">
              <a:solidFill>
                <a:schemeClr val="accent3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6350" cap="flat">
                <a:solidFill>
                  <a:schemeClr val="accent3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2023'!$B$5:$M$5</c:f>
              <c:numCache>
                <c:ptCount val="12"/>
                <c:pt idx="0">
                  <c:v>10.000000</c:v>
                </c:pt>
                <c:pt idx="1">
                  <c:v>14.000000</c:v>
                </c:pt>
                <c:pt idx="2">
                  <c:v>6.000000</c:v>
                </c:pt>
                <c:pt idx="3">
                  <c:v>13.000000</c:v>
                </c:pt>
                <c:pt idx="4">
                  <c:v>8.000000</c:v>
                </c:pt>
                <c:pt idx="5">
                  <c:v>5.000000</c:v>
                </c:pt>
                <c:pt idx="6">
                  <c:v>14.000000</c:v>
                </c:pt>
                <c:pt idx="7">
                  <c:v>16.000000</c:v>
                </c:pt>
                <c:pt idx="8">
                  <c:v>9.000000</c:v>
                </c:pt>
                <c:pt idx="9">
                  <c:v>9.000000</c:v>
                </c:pt>
                <c:pt idx="10">
                  <c:v>7.000000</c:v>
                </c:pt>
                <c:pt idx="11">
                  <c:v>4.000000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'Handheld Sales 2023'!$A$6</c:f>
              <c:strCache>
                <c:ptCount val="1"/>
                <c:pt idx="0">
                  <c:v>15FT Travel Case</c:v>
                </c:pt>
              </c:strCache>
            </c:strRef>
          </c:tx>
          <c:spPr>
            <a:solidFill>
              <a:schemeClr val="accent4"/>
            </a:solidFill>
            <a:ln w="31750" cap="flat">
              <a:solidFill>
                <a:schemeClr val="accent4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accent4"/>
              </a:solidFill>
              <a:ln w="6350" cap="flat">
                <a:solidFill>
                  <a:schemeClr val="accent4"/>
                </a:solidFill>
                <a:prstDash val="solid"/>
                <a:miter lim="800000"/>
              </a:ln>
              <a:effectLst/>
            </c:spPr>
          </c:marker>
          <c:dLbls>
            <c:numFmt formatCode="#,##0" sourceLinked="1"/>
            <c:txPr>
              <a:bodyPr/>
              <a:lstStyle/>
              <a:p>
                <a:pPr>
                  <a:defRPr b="0" i="0" strike="noStrike" sz="1800" u="non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</c:dLbls>
          <c:cat>
            <c:strRef>
              <c:f>'Handheld Sales 2023'!$B$2:$M$2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'Handheld Sales 2023'!$B$6:$M$6</c:f>
              <c:numCache>
                <c:ptCount val="12"/>
                <c:pt idx="0">
                  <c:v>10.000000</c:v>
                </c:pt>
                <c:pt idx="1">
                  <c:v>11.000000</c:v>
                </c:pt>
                <c:pt idx="2">
                  <c:v>0.000000</c:v>
                </c:pt>
                <c:pt idx="3">
                  <c:v>9.000000</c:v>
                </c:pt>
                <c:pt idx="4">
                  <c:v>15.000000</c:v>
                </c:pt>
                <c:pt idx="5">
                  <c:v>11.000000</c:v>
                </c:pt>
                <c:pt idx="6">
                  <c:v>6.000000</c:v>
                </c:pt>
                <c:pt idx="7">
                  <c:v>21.000000</c:v>
                </c:pt>
                <c:pt idx="8">
                  <c:v>10.000000</c:v>
                </c:pt>
                <c:pt idx="9">
                  <c:v>11.000000</c:v>
                </c:pt>
                <c:pt idx="10">
                  <c:v>3.000000</c:v>
                </c:pt>
                <c:pt idx="11">
                  <c:v>3.000000</c:v>
                </c:pt>
              </c:numCache>
            </c:numRef>
          </c:val>
          <c:smooth val="0"/>
        </c:ser>
        <c:marker val="1"/>
        <c:axId val="2094734552"/>
        <c:axId val="2094734553"/>
      </c:lineChart>
      <c:catAx>
        <c:axId val="2094734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3"/>
        <c:crosses val="autoZero"/>
        <c:auto val="1"/>
        <c:lblAlgn val="ctr"/>
        <c:noMultiLvlLbl val="1"/>
      </c:catAx>
      <c:valAx>
        <c:axId val="2094734553"/>
        <c:scaling>
          <c:orientation val="minMax"/>
        </c:scaling>
        <c:delete val="0"/>
        <c:axPos val="l"/>
        <c:majorGridlines>
          <c:spPr>
            <a:ln w="12700" cap="flat">
              <a:solidFill>
                <a:srgbClr val="888888"/>
              </a:solidFill>
              <a:prstDash val="solid"/>
              <a:miter lim="800000"/>
            </a:ln>
          </c:spPr>
        </c:majorGridlines>
        <c:numFmt formatCode="General" sourceLinked="1"/>
        <c:majorTickMark val="out"/>
        <c:minorTickMark val="none"/>
        <c:tickLblPos val="nextTo"/>
        <c:spPr>
          <a:ln w="12700" cap="flat">
            <a:solidFill>
              <a:srgbClr val="888888"/>
            </a:solidFill>
            <a:prstDash val="solid"/>
            <a:miter lim="800000"/>
          </a:ln>
        </c:spPr>
        <c:txPr>
          <a:bodyPr rot="0"/>
          <a:lstStyle/>
          <a:p>
            <a:pPr>
              <a:defRPr b="0" i="0" strike="noStrike" sz="1800" u="none">
                <a:solidFill>
                  <a:srgbClr val="000000"/>
                </a:solidFill>
                <a:latin typeface="Calibri"/>
              </a:defRPr>
            </a:pPr>
          </a:p>
        </c:txPr>
        <c:crossAx val="2094734552"/>
        <c:crosses val="autoZero"/>
        <c:crossBetween val="midCat"/>
        <c:majorUnit val="7.5"/>
        <c:minorUnit val="3.75"/>
      </c:valAx>
      <c:spPr>
        <a:solidFill>
          <a:srgbClr val="FFFFFF"/>
        </a:solidFill>
        <a:ln w="12700" cap="flat">
          <a:noFill/>
          <a:miter lim="400000"/>
        </a:ln>
        <a:effectLst/>
      </c:spPr>
    </c:plotArea>
    <c:legend>
      <c:legendPos val="t"/>
      <c:layout>
        <c:manualLayout>
          <c:xMode val="edge"/>
          <c:yMode val="edge"/>
          <c:x val="0.0716015"/>
          <c:y val="0"/>
          <c:w val="0.9"/>
          <c:h val="0.0647409"/>
        </c:manualLayout>
      </c:layout>
      <c:overlay val="1"/>
      <c:spPr>
        <a:noFill/>
        <a:ln w="12700" cap="flat">
          <a:noFill/>
          <a:miter lim="400000"/>
        </a:ln>
        <a:effectLst/>
      </c:spPr>
      <c:txPr>
        <a:bodyPr rot="0"/>
        <a:lstStyle/>
        <a:p>
          <a:pPr>
            <a:defRPr b="0" i="0" strike="noStrike" sz="1800" u="non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12700" cap="flat">
      <a:solidFill>
        <a:srgbClr val="888888"/>
      </a:solidFill>
      <a:prstDash val="solid"/>
      <a:miter lim="800000"/>
    </a:ln>
    <a:effectLst/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25</xdr:row>
      <xdr:rowOff>59759</xdr:rowOff>
    </xdr:from>
    <xdr:to>
      <xdr:col>14</xdr:col>
      <xdr:colOff>248831</xdr:colOff>
      <xdr:row>62</xdr:row>
      <xdr:rowOff>16777</xdr:rowOff>
    </xdr:to>
    <xdr:graphicFrame>
      <xdr:nvGraphicFramePr>
        <xdr:cNvPr id="2" name="2D Stacked Column Chart"/>
        <xdr:cNvGraphicFramePr/>
      </xdr:nvGraphicFramePr>
      <xdr:xfrm>
        <a:off x="-246609" y="4898459"/>
        <a:ext cx="17673233" cy="7193479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29</xdr:row>
      <xdr:rowOff>61044</xdr:rowOff>
    </xdr:from>
    <xdr:to>
      <xdr:col>14</xdr:col>
      <xdr:colOff>364694</xdr:colOff>
      <xdr:row>63</xdr:row>
      <xdr:rowOff>63266</xdr:rowOff>
    </xdr:to>
    <xdr:graphicFrame>
      <xdr:nvGraphicFramePr>
        <xdr:cNvPr id="4" name="2D Stacked Column Chart"/>
        <xdr:cNvGraphicFramePr/>
      </xdr:nvGraphicFramePr>
      <xdr:xfrm>
        <a:off x="-362471" y="5639519"/>
        <a:ext cx="18144695" cy="6651943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29</xdr:row>
      <xdr:rowOff>60890</xdr:rowOff>
    </xdr:from>
    <xdr:to>
      <xdr:col>14</xdr:col>
      <xdr:colOff>248831</xdr:colOff>
      <xdr:row>62</xdr:row>
      <xdr:rowOff>63113</xdr:rowOff>
    </xdr:to>
    <xdr:graphicFrame>
      <xdr:nvGraphicFramePr>
        <xdr:cNvPr id="6" name="2D Stacked Column Chart"/>
        <xdr:cNvGraphicFramePr/>
      </xdr:nvGraphicFramePr>
      <xdr:xfrm>
        <a:off x="-246609" y="5666670"/>
        <a:ext cx="17673233" cy="6456364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29</xdr:row>
      <xdr:rowOff>61044</xdr:rowOff>
    </xdr:from>
    <xdr:to>
      <xdr:col>14</xdr:col>
      <xdr:colOff>364694</xdr:colOff>
      <xdr:row>63</xdr:row>
      <xdr:rowOff>63266</xdr:rowOff>
    </xdr:to>
    <xdr:graphicFrame>
      <xdr:nvGraphicFramePr>
        <xdr:cNvPr id="8" name="2D Stacked Column Chart"/>
        <xdr:cNvGraphicFramePr/>
      </xdr:nvGraphicFramePr>
      <xdr:xfrm>
        <a:off x="-362471" y="5639519"/>
        <a:ext cx="18144695" cy="6651943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0</xdr:col>
      <xdr:colOff>0</xdr:colOff>
      <xdr:row>66</xdr:row>
      <xdr:rowOff>111527</xdr:rowOff>
    </xdr:from>
    <xdr:to>
      <xdr:col>14</xdr:col>
      <xdr:colOff>26497</xdr:colOff>
      <xdr:row>103</xdr:row>
      <xdr:rowOff>182805</xdr:rowOff>
    </xdr:to>
    <xdr:graphicFrame>
      <xdr:nvGraphicFramePr>
        <xdr:cNvPr id="9" name="2D Line Chart"/>
        <xdr:cNvGraphicFramePr/>
      </xdr:nvGraphicFramePr>
      <xdr:xfrm>
        <a:off x="0" y="12926462"/>
        <a:ext cx="17806498" cy="7307739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25</xdr:row>
      <xdr:rowOff>59759</xdr:rowOff>
    </xdr:from>
    <xdr:to>
      <xdr:col>14</xdr:col>
      <xdr:colOff>248831</xdr:colOff>
      <xdr:row>62</xdr:row>
      <xdr:rowOff>16777</xdr:rowOff>
    </xdr:to>
    <xdr:graphicFrame>
      <xdr:nvGraphicFramePr>
        <xdr:cNvPr id="11" name="2D Stacked Column Chart"/>
        <xdr:cNvGraphicFramePr/>
      </xdr:nvGraphicFramePr>
      <xdr:xfrm>
        <a:off x="-246609" y="4898459"/>
        <a:ext cx="17673233" cy="7193479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0</xdr:col>
      <xdr:colOff>173570</xdr:colOff>
      <xdr:row>65</xdr:row>
      <xdr:rowOff>65037</xdr:rowOff>
    </xdr:from>
    <xdr:to>
      <xdr:col>14</xdr:col>
      <xdr:colOff>16485</xdr:colOff>
      <xdr:row>101</xdr:row>
      <xdr:rowOff>28048</xdr:rowOff>
    </xdr:to>
    <xdr:graphicFrame>
      <xdr:nvGraphicFramePr>
        <xdr:cNvPr id="12" name="2D Line Chart"/>
        <xdr:cNvGraphicFramePr/>
      </xdr:nvGraphicFramePr>
      <xdr:xfrm>
        <a:off x="173570" y="12726937"/>
        <a:ext cx="17267316" cy="7003892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</xdr:wsDr>
</file>

<file path=xl/drawings/drawing6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0</xdr:col>
      <xdr:colOff>0</xdr:colOff>
      <xdr:row>36</xdr:row>
      <xdr:rowOff>62870</xdr:rowOff>
    </xdr:from>
    <xdr:to>
      <xdr:col>14</xdr:col>
      <xdr:colOff>248831</xdr:colOff>
      <xdr:row>69</xdr:row>
      <xdr:rowOff>65092</xdr:rowOff>
    </xdr:to>
    <xdr:graphicFrame>
      <xdr:nvGraphicFramePr>
        <xdr:cNvPr id="14" name="2D Stacked Column Chart"/>
        <xdr:cNvGraphicFramePr/>
      </xdr:nvGraphicFramePr>
      <xdr:xfrm>
        <a:off x="-246609" y="7011040"/>
        <a:ext cx="17673233" cy="6456363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  <xdr:twoCellAnchor>
    <xdr:from>
      <xdr:col>0</xdr:col>
      <xdr:colOff>0</xdr:colOff>
      <xdr:row>72</xdr:row>
      <xdr:rowOff>103192</xdr:rowOff>
    </xdr:from>
    <xdr:to>
      <xdr:col>14</xdr:col>
      <xdr:colOff>346143</xdr:colOff>
      <xdr:row>103</xdr:row>
      <xdr:rowOff>120773</xdr:rowOff>
    </xdr:to>
    <xdr:graphicFrame>
      <xdr:nvGraphicFramePr>
        <xdr:cNvPr id="15" name="2D Line Chart"/>
        <xdr:cNvGraphicFramePr/>
      </xdr:nvGraphicFramePr>
      <xdr:xfrm>
        <a:off x="-246609" y="14092242"/>
        <a:ext cx="17770545" cy="6080562"/>
      </xdr:xfrm>
      <a:graphic xmlns:a="http://schemas.openxmlformats.org/drawingml/2006/main">
        <a:graphicData uri="http://schemas.openxmlformats.org/drawingml/2006/chart">
          <c:chart xmlns:c="http://schemas.openxmlformats.org/drawingml/2006/chart" r:id="rId2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</Relationships>
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</Relationships>
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</Relationships>
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</Relationships>
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</Relationships>
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</Relationships>

</file>

<file path=xl/pivotCache/_rels/pivotCacheDefinition7.xml.rels><?xml version="1.0" encoding="UTF-8"?>
<Relationships xmlns="http://schemas.openxmlformats.org/package/2006/relationships"><Relationship Id="rId1" Type="http://schemas.openxmlformats.org/officeDocument/2006/relationships/pivotCacheRecords" Target="pivotCacheRecords7.xml"/></Relationships>

</file>

<file path=xl/pivotCache/_rels/pivotCacheDefinition8.xml.rels><?xml version="1.0" encoding="UTF-8"?>
<Relationships xmlns="http://schemas.openxmlformats.org/package/2006/relationships"><Relationship Id="rId1" Type="http://schemas.openxmlformats.org/officeDocument/2006/relationships/pivotCacheRecords" Target="pivotCacheRecords8.xml"/></Relationships>

</file>

<file path=xl/pivotCache/_rels/pivotCacheDefinition9.xml.rels><?xml version="1.0" encoding="UTF-8"?>
<Relationships xmlns="http://schemas.openxmlformats.org/package/2006/relationships"><Relationship Id="rId1" Type="http://schemas.openxmlformats.org/officeDocument/2006/relationships/pivotCacheRecords" Target="pivotCacheRecords9.xml"/></Relationships>

</file>

<file path=xl/pivotCache/_rels/pivotCacheDefinition10.xml.rels><?xml version="1.0" encoding="UTF-8"?>
<Relationships xmlns="http://schemas.openxmlformats.org/package/2006/relationships"><Relationship Id="rId1" Type="http://schemas.openxmlformats.org/officeDocument/2006/relationships/pivotCacheRecords" Target="pivotCacheRecords10.xml"/></Relationships>

</file>

<file path=xl/pivotCache/_rels/pivotCacheDefinition11.xml.rels><?xml version="1.0" encoding="UTF-8"?>
<Relationships xmlns="http://schemas.openxmlformats.org/package/2006/relationships"><Relationship Id="rId1" Type="http://schemas.openxmlformats.org/officeDocument/2006/relationships/pivotCacheRecords" Target="pivotCacheRecords11.xml"/></Relationships>

</file>

<file path=xl/pivotCache/_rels/pivotCacheDefinition12.xml.rels><?xml version="1.0" encoding="UTF-8"?>
<Relationships xmlns="http://schemas.openxmlformats.org/package/2006/relationships"><Relationship Id="rId1" Type="http://schemas.openxmlformats.org/officeDocument/2006/relationships/pivotCacheRecords" Target="pivotCacheRecords12.xml"/></Relationships>

</file>

<file path=xl/pivotCache/_rels/pivotCacheDefinition13.xml.rels><?xml version="1.0" encoding="UTF-8"?>
<Relationships xmlns="http://schemas.openxmlformats.org/package/2006/relationships"><Relationship Id="rId1" Type="http://schemas.openxmlformats.org/officeDocument/2006/relationships/pivotCacheRecords" Target="pivotCacheRecords13.xml"/></Relationships>

</file>

<file path=xl/pivotCache/_rels/pivotCacheDefinition14.xml.rels><?xml version="1.0" encoding="UTF-8"?>
<Relationships xmlns="http://schemas.openxmlformats.org/package/2006/relationships"><Relationship Id="rId1" Type="http://schemas.openxmlformats.org/officeDocument/2006/relationships/pivotCacheRecords" Target="pivotCacheRecords14.xml"/></Relationships>

</file>

<file path=xl/pivotCache/_rels/pivotCacheDefinition15.xml.rels><?xml version="1.0" encoding="UTF-8"?>
<Relationships xmlns="http://schemas.openxmlformats.org/package/2006/relationships"><Relationship Id="rId1" Type="http://schemas.openxmlformats.org/officeDocument/2006/relationships/pivotCacheRecords" Target="pivotCacheRecords15.xml"/></Relationships>

</file>

<file path=xl/pivotCache/_rels/pivotCacheDefinition16.xml.rels><?xml version="1.0" encoding="UTF-8"?>
<Relationships xmlns="http://schemas.openxmlformats.org/package/2006/relationships"><Relationship Id="rId1" Type="http://schemas.openxmlformats.org/officeDocument/2006/relationships/pivotCacheRecords" Target="pivotCacheRecords16.xml"/></Relationships>

</file>

<file path=xl/pivotCache/_rels/pivotCacheDefinition17.xml.rels><?xml version="1.0" encoding="UTF-8"?>
<Relationships xmlns="http://schemas.openxmlformats.org/package/2006/relationships"><Relationship Id="rId1" Type="http://schemas.openxmlformats.org/officeDocument/2006/relationships/pivotCacheRecords" Target="pivotCacheRecords17.xml"/></Relationships>

</file>

<file path=xl/pivotCache/_rels/pivotCacheDefinition18.xml.rels><?xml version="1.0" encoding="UTF-8"?>
<Relationships xmlns="http://schemas.openxmlformats.org/package/2006/relationships"><Relationship Id="rId1" Type="http://schemas.openxmlformats.org/officeDocument/2006/relationships/pivotCacheRecords" Target="pivotCacheRecords18.xml"/></Relationships>

</file>

<file path=xl/pivotCache/_rels/pivotCacheDefinition19.xml.rels><?xml version="1.0" encoding="UTF-8"?>
<Relationships xmlns="http://schemas.openxmlformats.org/package/2006/relationships"><Relationship Id="rId1" Type="http://schemas.openxmlformats.org/officeDocument/2006/relationships/pivotCacheRecords" Target="pivotCacheRecords19.xml"/></Relationships>

</file>

<file path=xl/pivotCache/_rels/pivotCacheDefinition20.xml.rels><?xml version="1.0" encoding="UTF-8"?>
<Relationships xmlns="http://schemas.openxmlformats.org/package/2006/relationships"><Relationship Id="rId1" Type="http://schemas.openxmlformats.org/officeDocument/2006/relationships/pivotCacheRecords" Target="pivotCacheRecords20.xml"/></Relationships>

</file>

<file path=xl/pivotCache/_rels/pivotCacheDefinition21.xml.rels><?xml version="1.0" encoding="UTF-8"?>
<Relationships xmlns="http://schemas.openxmlformats.org/package/2006/relationships"><Relationship Id="rId1" Type="http://schemas.openxmlformats.org/officeDocument/2006/relationships/pivotCacheRecords" Target="pivotCacheRecords21.xml"/></Relationships>

</file>

<file path=xl/pivotCache/_rels/pivotCacheDefinition22.xml.rels><?xml version="1.0" encoding="UTF-8"?>
<Relationships xmlns="http://schemas.openxmlformats.org/package/2006/relationships"><Relationship Id="rId1" Type="http://schemas.openxmlformats.org/officeDocument/2006/relationships/pivotCacheRecords" Target="pivotCacheRecords22.xml"/></Relationships>

</file>

<file path=xl/pivotCache/_rels/pivotCacheDefinition23.xml.rels><?xml version="1.0" encoding="UTF-8"?>
<Relationships xmlns="http://schemas.openxmlformats.org/package/2006/relationships"><Relationship Id="rId1" Type="http://schemas.openxmlformats.org/officeDocument/2006/relationships/pivotCacheRecords" Target="pivotCacheRecords23.xml"/></Relationships>

</file>

<file path=xl/pivotCache/_rels/pivotCacheDefinition24.xml.rels><?xml version="1.0" encoding="UTF-8"?>
<Relationships xmlns="http://schemas.openxmlformats.org/package/2006/relationships"><Relationship Id="rId1" Type="http://schemas.openxmlformats.org/officeDocument/2006/relationships/pivotCacheRecords" Target="pivotCacheRecords24.xml"/></Relationships>

</file>

<file path=xl/pivotCache/_rels/pivotCacheDefinition25.xml.rels><?xml version="1.0" encoding="UTF-8"?>
<Relationships xmlns="http://schemas.openxmlformats.org/package/2006/relationships"><Relationship Id="rId1" Type="http://schemas.openxmlformats.org/officeDocument/2006/relationships/pivotCacheRecords" Target="pivotCacheRecords25.xml"/></Relationships>

</file>

<file path=xl/pivotCache/_rels/pivotCacheDefinition26.xml.rels><?xml version="1.0" encoding="UTF-8"?>
<Relationships xmlns="http://schemas.openxmlformats.org/package/2006/relationships"><Relationship Id="rId1" Type="http://schemas.openxmlformats.org/officeDocument/2006/relationships/pivotCacheRecords" Target="pivotCacheRecords26.xml"/></Relationships>

</file>

<file path=xl/pivotCache/_rels/pivotCacheDefinition27.xml.rels><?xml version="1.0" encoding="UTF-8"?>
<Relationships xmlns="http://schemas.openxmlformats.org/package/2006/relationships"><Relationship Id="rId1" Type="http://schemas.openxmlformats.org/officeDocument/2006/relationships/pivotCacheRecords" Target="pivotCacheRecords27.xml"/></Relationships>

</file>

<file path=xl/pivotCache/_rels/pivotCacheDefinition28.xml.rels><?xml version="1.0" encoding="UTF-8"?>
<Relationships xmlns="http://schemas.openxmlformats.org/package/2006/relationships"><Relationship Id="rId1" Type="http://schemas.openxmlformats.org/officeDocument/2006/relationships/pivotCacheRecords" Target="pivotCacheRecords28.xml"/></Relationships>

</file>

<file path=xl/pivotCache/_rels/pivotCacheDefinition29.xml.rels><?xml version="1.0" encoding="UTF-8"?>
<Relationships xmlns="http://schemas.openxmlformats.org/package/2006/relationships"><Relationship Id="rId1" Type="http://schemas.openxmlformats.org/officeDocument/2006/relationships/pivotCacheRecords" Target="pivotCacheRecords29.xml"/></Relationships>

</file>

<file path=xl/pivotCache/_rels/pivotCacheDefinition30.xml.rels><?xml version="1.0" encoding="UTF-8"?>
<Relationships xmlns="http://schemas.openxmlformats.org/package/2006/relationships"><Relationship Id="rId1" Type="http://schemas.openxmlformats.org/officeDocument/2006/relationships/pivotCacheRecords" Target="pivotCacheRecords30.xml"/></Relationships>

</file>

<file path=xl/pivotCache/_rels/pivotCacheDefinition31.xml.rels><?xml version="1.0" encoding="UTF-8"?>
<Relationships xmlns="http://schemas.openxmlformats.org/package/2006/relationships"><Relationship Id="rId1" Type="http://schemas.openxmlformats.org/officeDocument/2006/relationships/pivotCacheRecords" Target="pivotCacheRecords31.xml"/></Relationships>

</file>

<file path=xl/pivotCache/_rels/pivotCacheDefinition32.xml.rels><?xml version="1.0" encoding="UTF-8"?>
<Relationships xmlns="http://schemas.openxmlformats.org/package/2006/relationships"><Relationship Id="rId1" Type="http://schemas.openxmlformats.org/officeDocument/2006/relationships/pivotCacheRecords" Target="pivotCacheRecords32.xml"/></Relationships>

</file>

<file path=xl/pivotCache/_rels/pivotCacheDefinition33.xml.rels><?xml version="1.0" encoding="UTF-8"?>
<Relationships xmlns="http://schemas.openxmlformats.org/package/2006/relationships"><Relationship Id="rId1" Type="http://schemas.openxmlformats.org/officeDocument/2006/relationships/pivotCacheRecords" Target="pivotCacheRecords33.xml"/></Relationships>

</file>

<file path=xl/pivotCache/_rels/pivotCacheDefinition34.xml.rels><?xml version="1.0" encoding="UTF-8"?>
<Relationships xmlns="http://schemas.openxmlformats.org/package/2006/relationships"><Relationship Id="rId1" Type="http://schemas.openxmlformats.org/officeDocument/2006/relationships/pivotCacheRecords" Target="pivotCacheRecords34.xml"/></Relationships>

</file>

<file path=xl/pivotCache/_rels/pivotCacheDefinition35.xml.rels><?xml version="1.0" encoding="UTF-8"?>
<Relationships xmlns="http://schemas.openxmlformats.org/package/2006/relationships"><Relationship Id="rId1" Type="http://schemas.openxmlformats.org/officeDocument/2006/relationships/pivotCacheRecords" Target="pivotCacheRecords35.xml"/></Relationships>

</file>

<file path=xl/pivotCache/_rels/pivotCacheDefinition36.xml.rels><?xml version="1.0" encoding="UTF-8"?>
<Relationships xmlns="http://schemas.openxmlformats.org/package/2006/relationships"><Relationship Id="rId1" Type="http://schemas.openxmlformats.org/officeDocument/2006/relationships/pivotCacheRecords" Target="pivotCacheRecords36.xml"/></Relationships>

</file>

<file path=xl/pivotCache/_rels/pivotCacheDefinition37.xml.rels><?xml version="1.0" encoding="UTF-8"?>
<Relationships xmlns="http://schemas.openxmlformats.org/package/2006/relationships"><Relationship Id="rId1" Type="http://schemas.openxmlformats.org/officeDocument/2006/relationships/pivotCacheRecords" Target="pivotCacheRecords37.xml"/></Relationships>

</file>

<file path=xl/pivotCache/_rels/pivotCacheDefinition38.xml.rels><?xml version="1.0" encoding="UTF-8"?>
<Relationships xmlns="http://schemas.openxmlformats.org/package/2006/relationships"><Relationship Id="rId1" Type="http://schemas.openxmlformats.org/officeDocument/2006/relationships/pivotCacheRecords" Target="pivotCacheRecords38.xml"/></Relationships>

</file>

<file path=xl/pivotCache/_rels/pivotCacheDefinition39.xml.rels><?xml version="1.0" encoding="UTF-8"?>
<Relationships xmlns="http://schemas.openxmlformats.org/package/2006/relationships"><Relationship Id="rId1" Type="http://schemas.openxmlformats.org/officeDocument/2006/relationships/pivotCacheRecords" Target="pivotCacheRecords39.xml"/></Relationships>

</file>

<file path=xl/pivotCache/_rels/pivotCacheDefinition40.xml.rels><?xml version="1.0" encoding="UTF-8"?>
<Relationships xmlns="http://schemas.openxmlformats.org/package/2006/relationships"><Relationship Id="rId1" Type="http://schemas.openxmlformats.org/officeDocument/2006/relationships/pivotCacheRecords" Target="pivotCacheRecords40.xml"/></Relationships>

</file>

<file path=xl/pivotCache/_rels/pivotCacheDefinition41.xml.rels><?xml version="1.0" encoding="UTF-8"?>
<Relationships xmlns="http://schemas.openxmlformats.org/package/2006/relationships"><Relationship Id="rId1" Type="http://schemas.openxmlformats.org/officeDocument/2006/relationships/pivotCacheRecords" Target="pivotCacheRecords41.xml"/></Relationships>

</file>

<file path=xl/pivotCache/_rels/pivotCacheDefinition42.xml.rels><?xml version="1.0" encoding="UTF-8"?>
<Relationships xmlns="http://schemas.openxmlformats.org/package/2006/relationships"><Relationship Id="rId1" Type="http://schemas.openxmlformats.org/officeDocument/2006/relationships/pivotCacheRecords" Target="pivotCacheRecords42.xml"/></Relationships>

</file>

<file path=xl/pivotCache/_rels/pivotCacheDefinition43.xml.rels><?xml version="1.0" encoding="UTF-8"?>
<Relationships xmlns="http://schemas.openxmlformats.org/package/2006/relationships"><Relationship Id="rId1" Type="http://schemas.openxmlformats.org/officeDocument/2006/relationships/pivotCacheRecords" Target="pivotCacheRecords43.xml"/></Relationships>

</file>

<file path=xl/pivotCache/_rels/pivotCacheDefinition44.xml.rels><?xml version="1.0" encoding="UTF-8"?>
<Relationships xmlns="http://schemas.openxmlformats.org/package/2006/relationships"><Relationship Id="rId1" Type="http://schemas.openxmlformats.org/officeDocument/2006/relationships/pivotCacheRecords" Target="pivotCacheRecords44.xml"/></Relationships>

</file>

<file path=xl/pivotCache/_rels/pivotCacheDefinition45.xml.rels><?xml version="1.0" encoding="UTF-8"?>
<Relationships xmlns="http://schemas.openxmlformats.org/package/2006/relationships"><Relationship Id="rId1" Type="http://schemas.openxmlformats.org/officeDocument/2006/relationships/pivotCacheRecords" Target="pivotCacheRecords45.xml"/></Relationships>

</file>

<file path=xl/pivotCache/_rels/pivotCacheDefinition46.xml.rels><?xml version="1.0" encoding="UTF-8"?>
<Relationships xmlns="http://schemas.openxmlformats.org/package/2006/relationships"><Relationship Id="rId1" Type="http://schemas.openxmlformats.org/officeDocument/2006/relationships/pivotCacheRecords" Target="pivotCacheRecords46.xml"/></Relationships>

</file>

<file path=xl/pivotCache/_rels/pivotCacheDefinition47.xml.rels><?xml version="1.0" encoding="UTF-8"?>
<Relationships xmlns="http://schemas.openxmlformats.org/package/2006/relationships"><Relationship Id="rId1" Type="http://schemas.openxmlformats.org/officeDocument/2006/relationships/pivotCacheRecords" Target="pivotCacheRecords47.xml"/></Relationships>

</file>

<file path=xl/pivotCache/_rels/pivotCacheDefinition48.xml.rels><?xml version="1.0" encoding="UTF-8"?>
<Relationships xmlns="http://schemas.openxmlformats.org/package/2006/relationships"><Relationship Id="rId1" Type="http://schemas.openxmlformats.org/officeDocument/2006/relationships/pivotCacheRecords" Target="pivotCacheRecords48.xml"/></Relationships>

</file>

<file path=xl/pivotCache/_rels/pivotCacheDefinition49.xml.rels><?xml version="1.0" encoding="UTF-8"?>
<Relationships xmlns="http://schemas.openxmlformats.org/package/2006/relationships"><Relationship Id="rId1" Type="http://schemas.openxmlformats.org/officeDocument/2006/relationships/pivotCacheRecords" Target="pivotCacheRecords49.xml"/></Relationships>

</file>

<file path=xl/pivotCache/_rels/pivotCacheDefinition50.xml.rels><?xml version="1.0" encoding="UTF-8"?>
<Relationships xmlns="http://schemas.openxmlformats.org/package/2006/relationships"><Relationship Id="rId1" Type="http://schemas.openxmlformats.org/officeDocument/2006/relationships/pivotCacheRecords" Target="pivotCacheRecords50.xml"/></Relationships>

</file>

<file path=xl/pivotCache/_rels/pivotCacheDefinition51.xml.rels><?xml version="1.0" encoding="UTF-8"?>
<Relationships xmlns="http://schemas.openxmlformats.org/package/2006/relationships"><Relationship Id="rId1" Type="http://schemas.openxmlformats.org/officeDocument/2006/relationships/pivotCacheRecords" Target="pivotCacheRecords51.xml"/></Relationships>

</file>

<file path=xl/pivotCache/_rels/pivotCacheDefinition52.xml.rels><?xml version="1.0" encoding="UTF-8"?>
<Relationships xmlns="http://schemas.openxmlformats.org/package/2006/relationships"><Relationship Id="rId1" Type="http://schemas.openxmlformats.org/officeDocument/2006/relationships/pivotCacheRecords" Target="pivotCacheRecords52.xml"/></Relationships>

</file>

<file path=xl/pivotCache/_rels/pivotCacheDefinition53.xml.rels><?xml version="1.0" encoding="UTF-8"?>
<Relationships xmlns="http://schemas.openxmlformats.org/package/2006/relationships"><Relationship Id="rId1" Type="http://schemas.openxmlformats.org/officeDocument/2006/relationships/pivotCacheRecords" Target="pivotCacheRecords53.xml"/></Relationships>

</file>

<file path=xl/pivotCache/_rels/pivotCacheDefinition54.xml.rels><?xml version="1.0" encoding="UTF-8"?>
<Relationships xmlns="http://schemas.openxmlformats.org/package/2006/relationships"><Relationship Id="rId1" Type="http://schemas.openxmlformats.org/officeDocument/2006/relationships/pivotCacheRecords" Target="pivotCacheRecords54.xml"/></Relationships>

</file>

<file path=xl/pivotCache/_rels/pivotCacheDefinition55.xml.rels><?xml version="1.0" encoding="UTF-8"?>
<Relationships xmlns="http://schemas.openxmlformats.org/package/2006/relationships"><Relationship Id="rId1" Type="http://schemas.openxmlformats.org/officeDocument/2006/relationships/pivotCacheRecords" Target="pivotCacheRecords55.xml"/></Relationships>

</file>

<file path=xl/pivotCache/_rels/pivotCacheDefinition56.xml.rels><?xml version="1.0" encoding="UTF-8"?>
<Relationships xmlns="http://schemas.openxmlformats.org/package/2006/relationships"><Relationship Id="rId1" Type="http://schemas.openxmlformats.org/officeDocument/2006/relationships/pivotCacheRecords" Target="pivotCacheRecords56.xml"/></Relationships>

</file>

<file path=xl/pivotCache/_rels/pivotCacheDefinition57.xml.rels><?xml version="1.0" encoding="UTF-8"?>
<Relationships xmlns="http://schemas.openxmlformats.org/package/2006/relationships"><Relationship Id="rId1" Type="http://schemas.openxmlformats.org/officeDocument/2006/relationships/pivotCacheRecords" Target="pivotCacheRecords57.xml"/></Relationships>

</file>

<file path=xl/pivotCache/_rels/pivotCacheDefinition58.xml.rels><?xml version="1.0" encoding="UTF-8"?>
<Relationships xmlns="http://schemas.openxmlformats.org/package/2006/relationships"><Relationship Id="rId1" Type="http://schemas.openxmlformats.org/officeDocument/2006/relationships/pivotCacheRecords" Target="pivotCacheRecords58.xml"/></Relationships>

</file>

<file path=xl/pivotCache/pivotCacheDefinition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12" createdVersion="7">
  <cacheSource type="worksheet">
    <worksheetSource ref="B2:I498" sheet="September 2024"/>
  </cacheSource>
  <cacheFields count="8">
    <cacheField name="Sales Order" numFmtId="0">
      <sharedItems containsNonDate="0" count="205">
        <s v="5720"/>
        <s v="5717"/>
        <s v="5715"/>
        <s v="5713"/>
        <s v="5712"/>
        <s v="5711"/>
        <s v="5708"/>
        <s v="5707"/>
        <s v="5714"/>
        <s v="5716"/>
        <s v="5709"/>
        <s v="5710"/>
        <s v="5719"/>
        <s v="5706"/>
        <s v="5705"/>
        <s v="5704"/>
        <s v="5703"/>
        <s v="5702"/>
        <s v="5700"/>
        <s v="5699"/>
        <s v="5695"/>
        <s v="5693"/>
        <s v="5692"/>
        <s v="5691"/>
        <s v="5690"/>
        <s v="5694"/>
        <s v="5689"/>
        <s v="5688"/>
        <s v="5687"/>
        <s v="5686"/>
        <s v="5685"/>
        <s v="5684"/>
        <s v="5682"/>
        <s v="5681"/>
        <s v="5680"/>
        <s v="5679"/>
        <s v="5678"/>
        <s v="5677"/>
        <s v="5676"/>
        <s v="5683"/>
        <s v="5675"/>
        <s v="5674"/>
        <s v="5673"/>
        <s v="5672"/>
        <s v="5671"/>
        <s v="5670"/>
        <s v="5669"/>
        <s v="5668"/>
        <s v="5667"/>
        <s v="5666"/>
        <s v="5665"/>
        <s v="5663"/>
        <s v="5659"/>
        <s v="5658"/>
        <s v="5654"/>
        <s v="5653"/>
        <s v="5664"/>
        <s v="5662"/>
        <s v="5657"/>
        <s v="5660"/>
        <s v="5661"/>
        <s v="5652"/>
        <s v="5651"/>
        <s v="5650"/>
        <s v="5649"/>
        <s v="5644"/>
        <s v="5643"/>
        <s v="5642"/>
        <s v="5641"/>
        <s v="5639"/>
        <s v="5638"/>
        <s v="5637"/>
        <s v="5635"/>
        <s v="5633"/>
        <s v="5636"/>
        <s v="5640"/>
        <s v="5632"/>
        <s v="5631"/>
        <s v="5630"/>
        <s v="5629"/>
        <s v="5628"/>
        <s v="5627"/>
        <s v="5626"/>
        <s v="5624"/>
        <s v="5623"/>
        <s v="5622"/>
        <s v="5621"/>
        <s v="5620"/>
        <s v="5619"/>
        <s v="5618"/>
        <s v="5616"/>
        <s v="5625"/>
        <s v="5617"/>
        <s v="5615"/>
        <s v="5614"/>
        <s v="5612"/>
        <s v="5610"/>
        <s v="5609"/>
        <s v="5608"/>
        <s v="5606"/>
        <s v="5605"/>
        <s v="5604"/>
        <s v="5611"/>
        <s v="5607"/>
        <s v="5613"/>
        <s v="5603"/>
        <s v="5601"/>
        <s v="5598"/>
        <s v="5597"/>
        <s v="5596"/>
        <s v="5595"/>
        <s v="5594"/>
        <s v="5593"/>
        <s v="5599"/>
        <s v="5602"/>
        <s v="5600"/>
        <s v="5592"/>
        <s v="5591"/>
        <s v="5590"/>
        <s v="5589"/>
        <s v="5588"/>
        <s v="5587"/>
        <s v="5586"/>
        <s v="5585"/>
        <s v="5584"/>
        <s v="5580"/>
        <s v="5578"/>
        <s v="5577"/>
        <s v="5583"/>
        <s v="5581"/>
        <s v="5582"/>
        <s v="5575"/>
        <s v="5574"/>
        <s v="5573"/>
        <s v="5570"/>
        <s v="5569"/>
        <s v="5568"/>
        <s v="5567"/>
        <s v="5566"/>
        <s v="5572"/>
        <s v="5571"/>
        <s v="5576"/>
        <s v="5564"/>
        <s v="5562"/>
        <s v="5561"/>
        <s v="5565"/>
        <s v="5563"/>
        <s v="5557"/>
        <s v="5554"/>
        <s v="5553"/>
        <s v="5558"/>
        <s v="5560"/>
        <s v="5556"/>
        <s v="5555"/>
        <s v="5559"/>
        <s v="5552"/>
        <s v="5549"/>
        <s v="5548"/>
        <s v="5546"/>
        <s v="5551"/>
        <s v="5547"/>
        <s v="5545"/>
        <s v="5544"/>
        <s v="5543"/>
        <s v="5541"/>
        <s v="5542"/>
        <s v="5540"/>
        <s v="5539"/>
        <s v="5538"/>
        <s v="5537"/>
        <s v="5536"/>
        <s v="5535"/>
        <s v="5534"/>
        <s v="5532"/>
        <s v="5530"/>
        <s v="5529"/>
        <s v="5533"/>
        <s v="5531"/>
        <s v="5524"/>
        <s v="5522"/>
        <s v="5521"/>
        <s v="5520"/>
        <s v="5526"/>
        <s v="5527"/>
        <s v="5523"/>
        <s v="5525"/>
        <s v="5528"/>
        <s v="5517"/>
        <s v="5516"/>
        <s v="5515"/>
        <s v="5514"/>
        <s v="5511"/>
        <s v="5510"/>
        <s v="5507"/>
        <s v="5506"/>
        <s v="5505"/>
        <s v="5519"/>
        <s v="5513"/>
        <s v="5508"/>
        <s v="5512"/>
        <s v="5518"/>
        <s v="5509"/>
        <s v="5504"/>
        <s v="5503"/>
        <s v="5502"/>
      </sharedItems>
    </cacheField>
    <cacheField name="Customer" numFmtId="0">
      <sharedItems containsNonDate="0" count="175">
        <s v="David Jenko"/>
        <s v="Michael Nappi"/>
        <s v="DEVIN MAGGIO"/>
        <s v="Charlie Fisher"/>
        <s v="Lorenzo Loche"/>
        <s v="Sammy McKamie"/>
        <s v="Ephraim Vasquez"/>
        <s v="Shamus Burns"/>
        <s v="Pyrotek FX"/>
        <s v="Texas State University"/>
        <s v="Sean Atkins"/>
        <s v="Joe Bunn"/>
        <s v="ER Productions"/>
        <s v="paul rozsa"/>
        <s v="Lorenzo Gonzales"/>
        <s v="Ethan Mercado"/>
        <s v="TJ Schlick"/>
        <s v="Donald Hines"/>
        <s v="Jeremy Glassman"/>
        <s v="David Gillispie"/>
        <s v="Sunsation Powerboats"/>
        <s v="Joe Spray"/>
        <s v="Olyn Taylor"/>
        <s v="Special FX Rentals"/>
        <s v="Chris Martin"/>
        <s v="Matt McCarty McCarty"/>
        <s v="Francisco Ortiz"/>
        <s v="Sox Sox"/>
        <s v="Eliot Pirone"/>
        <s v="cesar cantu de la paz"/>
        <s v="Kaitlynn Bauman"/>
        <s v="Miami Sound Rental"/>
        <s v="Gus Ruggiero"/>
        <s v="Joe Torres"/>
        <s v="Ivan Sanchez"/>
        <s v="Jarrod Conner"/>
        <s v="AFX Pro / Jackie Johnson"/>
        <s v="Javier Carlos"/>
        <s v="Stephen Escosio"/>
        <s v="gus vivian"/>
        <s v="Gary Alan Collins"/>
        <s v="allen tauber"/>
        <s v="Renton Reese"/>
        <s v="Kenny Stacy"/>
        <s v="Edgar Guerrero"/>
        <s v="Estefania Urban"/>
        <s v="Pablo Alejandro"/>
        <s v="Leonardo Gomez"/>
        <s v="Ronald Michel"/>
        <s v="John Macaluso"/>
        <s v="Josh Carbaugh"/>
        <s v="kryspin gietkowski"/>
        <s v="Bob Hickman"/>
        <s v="Travis Johnson"/>
        <s v="4WALL ENTERTAINMENT, INC."/>
        <s v="Dustin Raphael"/>
        <s v="Jorge Torres"/>
        <s v="Josh Blum"/>
        <s v="Jeremy Thompson"/>
        <s v="Zachary Rioux"/>
        <s v="Tabitha Oneill"/>
        <s v="Kevin Solis"/>
        <s v="Arturo Ramos"/>
        <s v="Tyler Shawaf"/>
        <s v="Alex Ranger"/>
        <s v="Jared Lopez"/>
        <s v="Daniel Heape"/>
        <s v="Alan Tudanger"/>
        <s v="Tin Roof Bars"/>
        <s v="Orlando Hernandez"/>
        <s v="Kevin Mignone"/>
        <s v="Patrick Henry HS-ASB"/>
        <s v="Collins Atuquayfio"/>
        <s v="Andrew Wise"/>
        <s v="William Brighton"/>
        <s v="Dwayne Parker"/>
        <s v="Kevin Celestino"/>
        <s v="Donald Henry"/>
        <s v="Mike Jimenez"/>
        <s v="Jaideep Sharma"/>
        <s v="Michael El Khoury"/>
        <s v="Chris Hill"/>
        <s v="Yosef Levy"/>
        <s v="Manuel Diaz"/>
        <s v="Frankie Duong"/>
        <s v="Kenneth Wong"/>
        <s v="Christopher Harmon"/>
        <s v="Conan Mastrangelo 728"/>
        <s v="Brian Waltz"/>
        <s v="Lee Grillo"/>
        <s v="wilbur leonard"/>
        <s v="Justin Icenroad"/>
        <s v="Jorge Ayala"/>
        <s v="Felipe Moreno"/>
        <s v="Emily Meister"/>
        <s v="Clayton James"/>
        <s v="Korben Feldstein"/>
        <s v="Matthew Dickman"/>
        <s v="Justin Babbitt"/>
        <s v="Samuel Eufemia"/>
        <s v="Edward Barajas"/>
        <s v="LUIS SALGADO"/>
        <s v="Eddy Capitani"/>
        <s v="Yazen Ayoub"/>
        <s v="Michael Wheeler"/>
        <s v="HUGO FELICIANO"/>
        <s v="Whalen David"/>
        <s v="Dimitri Fostinis"/>
        <s v="Mario Vengoechea"/>
        <s v="Taylor Iwaasa"/>
        <s v="Dani Zadorian"/>
        <s v="nick chiumento"/>
        <s v="David Brooks"/>
        <s v="Ultratec Special Effects"/>
        <s v="Dios Vazquez"/>
        <s v="Marc Silva"/>
        <s v="Edwin Raymundo"/>
        <s v="Zach Fiest"/>
        <s v="Abdelaziz Idhamou"/>
        <s v="Jack Hanson"/>
        <s v="Joshua McClure"/>
        <s v="Jose Luis Ayala"/>
        <s v="Michael bramson"/>
        <s v="Dean Entertainment"/>
        <s v="Hector Bueno"/>
        <s v="Adam Rosen"/>
        <s v="Jordan Solender"/>
        <s v="Alexandru Grigorescu"/>
        <s v="Ben Londo / Cal Poly Rodeo"/>
        <s v="Mario Auda"/>
        <s v="Rolf Nagtzaam"/>
        <s v="Steven Negron"/>
        <s v="Khalil Charif"/>
        <s v="Morrie Silver"/>
        <s v="PYROTECNICO"/>
        <s v="Image Engineering"/>
        <s v="Scott Kuren"/>
        <s v="Eyal Simkovits"/>
        <s v="Gustavo adolfo Rodriguez"/>
        <s v="Source Audio Systems"/>
        <s v="Jackson Clark"/>
        <s v="Eric Terzyan"/>
        <s v="Jeremy Kalisz"/>
        <s v="Cory Colwell"/>
        <s v="Two Nickel Touring"/>
        <s v="Rene Vazquez"/>
        <s v="Bes Entertainment / Matt Besemer"/>
        <s v="Steven Bryant"/>
        <s v="Taylor Gunderson"/>
        <s v="Misty Smith"/>
        <s v="Brian Farley"/>
        <s v="Joseph Fraga"/>
        <s v="Chris Valentin"/>
        <s v="Daniel Barnett"/>
        <s v="stephen taminosian"/>
        <s v="Tim Cruz"/>
        <s v="Scott Jordan"/>
        <s v="Emerson Wellens"/>
        <s v="Gear Club Direct "/>
        <s v="Dustin Hensley"/>
        <s v="Joshua Morris"/>
        <s v="Walker White"/>
        <s v="Ryan Competti"/>
        <s v="Araceli Hernandez"/>
        <s v="Jose Aguilar medina"/>
        <s v="Guillermo Gonzalez"/>
        <s v="Mickey Hamilton"/>
        <s v="Steven Mather"/>
        <s v="Flutter Fetti"/>
        <s v="University of Alabama"/>
        <s v="House of Music Productions"/>
        <s v="Joshua Palace"/>
        <s v="GREG ERMANN"/>
        <s v="Christian Madrigal"/>
        <s v="Kimberly Bertrand"/>
      </sharedItems>
    </cacheField>
    <cacheField name="Ordered Date" numFmtId="0">
      <sharedItems containsSemiMixedTypes="0" containsNonDate="0" containsDate="1" containsString="0" minDate="2024-09-01T12:25:56" maxDate="2024-09-30T23:26:49" count="171">
        <d v="2024-09-30T23:26:49"/>
        <d v="2024-09-30T21:14:07"/>
        <d v="2024-09-30T20:20:56"/>
        <d v="2024-09-30T19:52:32"/>
        <d v="2024-09-30T19:29:50"/>
        <d v="2024-09-30T19:08:59"/>
        <d v="2024-09-30T11:34:48"/>
        <d v="2024-09-30T01:26:19"/>
        <d v="2024-09-30T00:00:00"/>
        <d v="2024-09-29T18:12:47"/>
        <d v="2024-09-29T07:06:47"/>
        <d v="2024-09-29T06:30:14"/>
        <d v="2024-09-29T06:28:06"/>
        <d v="2024-09-28T23:27:35"/>
        <d v="2024-09-28T14:15:59"/>
        <d v="2024-09-28T14:05:55"/>
        <d v="2024-09-27T22:21:09"/>
        <d v="2024-09-27T19:22:17"/>
        <d v="2024-09-27T15:55:12"/>
        <d v="2024-09-27T14:21:04"/>
        <d v="2024-09-27T03:34:35"/>
        <d v="2024-09-27T00:00:00"/>
        <d v="2024-09-26T23:58:38"/>
        <d v="2024-09-26T20:01:55"/>
        <d v="2024-09-26T19:09:56"/>
        <d v="2024-09-26T17:48:01"/>
        <d v="2024-09-26T14:01:24"/>
        <d v="2024-09-25T22:48:12"/>
        <d v="2024-09-25T20:53:56"/>
        <d v="2024-09-25T20:49:14"/>
        <d v="2024-09-25T20:39:00"/>
        <d v="2024-09-25T20:33:30"/>
        <d v="2024-09-25T18:03:45"/>
        <d v="2024-09-25T16:26:37"/>
        <d v="2024-09-25T15:08:02"/>
        <d v="2024-09-25T00:00:00"/>
        <d v="2024-09-24T22:23:17"/>
        <d v="2024-09-24T21:40:32"/>
        <d v="2024-09-24T19:53:23"/>
        <d v="2024-09-24T19:47:26"/>
        <d v="2024-09-24T19:03:56"/>
        <d v="2024-09-24T18:15:08"/>
        <d v="2024-09-24T15:22:58"/>
        <d v="2024-09-24T03:19:42"/>
        <d v="2024-09-23T22:19:15"/>
        <d v="2024-09-23T22:11:03"/>
        <d v="2024-09-23T21:49:02"/>
        <d v="2024-09-23T20:22:13"/>
        <d v="2024-09-23T16:25:53"/>
        <d v="2024-09-23T16:22:50"/>
        <d v="2024-09-23T03:56:08"/>
        <d v="2024-09-23T03:55:58"/>
        <d v="2024-09-23T00:00:00"/>
        <d v="2024-09-22T23:45:32"/>
        <d v="2024-09-22T23:45:22"/>
        <d v="2024-09-22T23:36:59"/>
        <d v="2024-09-22T21:53:42"/>
        <d v="2024-09-21T19:14:54"/>
        <d v="2024-09-21T18:35:09"/>
        <d v="2024-09-21T18:04:50"/>
        <d v="2024-09-21T02:50:51"/>
        <d v="2024-09-20T22:08:16"/>
        <d v="2024-09-20T18:18:57"/>
        <d v="2024-09-20T18:15:47"/>
        <d v="2024-09-20T12:55:22"/>
        <d v="2024-09-20T03:25:16"/>
        <d v="2024-09-20T00:00:00"/>
        <d v="2024-09-19T22:07:43"/>
        <d v="2024-09-19T20:45:02"/>
        <d v="2024-09-19T19:52:51"/>
        <d v="2024-09-19T18:56:25"/>
        <d v="2024-09-19T04:03:44"/>
        <d v="2024-09-19T03:14:55"/>
        <d v="2024-09-19T01:43:38"/>
        <d v="2024-09-18T22:24:54"/>
        <d v="2024-09-18T22:03:51"/>
        <d v="2024-09-18T20:54:38"/>
        <d v="2024-09-18T19:47:44"/>
        <d v="2024-09-18T18:52:40"/>
        <d v="2024-09-18T18:16:48"/>
        <d v="2024-09-18T17:48:25"/>
        <d v="2024-09-18T17:10:50"/>
        <d v="2024-09-18T00:00:00"/>
        <d v="2024-09-17T23:40:48"/>
        <d v="2024-09-17T21:27:55"/>
        <d v="2024-09-17T20:15:26"/>
        <d v="2024-09-17T17:12:04"/>
        <d v="2024-09-17T17:09:17"/>
        <d v="2024-09-17T16:07:37"/>
        <d v="2024-09-17T14:17:28"/>
        <d v="2024-09-17T02:37:37"/>
        <d v="2024-09-17T01:04:24"/>
        <d v="2024-09-17T00:00:00"/>
        <d v="2024-09-16T22:23:47"/>
        <d v="2024-09-16T18:40:45"/>
        <d v="2024-09-16T16:37:34"/>
        <d v="2024-09-16T16:16:56"/>
        <d v="2024-09-16T16:15:25"/>
        <d v="2024-09-16T16:11:47"/>
        <d v="2024-09-16T14:41:24"/>
        <d v="2024-09-16T05:11:30"/>
        <d v="2024-09-16T00:00:00"/>
        <d v="2024-09-15T16:37:53"/>
        <d v="2024-09-15T05:02:48"/>
        <d v="2024-09-14T19:50:03"/>
        <d v="2024-09-14T17:31:15"/>
        <d v="2024-09-14T15:53:29"/>
        <d v="2024-09-14T05:21:44"/>
        <d v="2024-09-14T03:29:35"/>
        <d v="2024-09-14T01:24:33"/>
        <d v="2024-09-14T01:19:56"/>
        <d v="2024-09-13T19:07:58"/>
        <d v="2024-09-13T01:44:03"/>
        <d v="2024-09-13T00:37:38"/>
        <d v="2024-09-13T00:00:00"/>
        <d v="2024-09-12T19:18:59"/>
        <d v="2024-09-12T18:47:08"/>
        <d v="2024-09-12T18:06:19"/>
        <d v="2024-09-12T13:48:34"/>
        <d v="2024-09-12T05:26:12"/>
        <d v="2024-09-12T03:33:06"/>
        <d v="2024-09-12T02:12:30"/>
        <d v="2024-09-12T01:46:25"/>
        <d v="2024-09-12T00:00:00"/>
        <d v="2024-09-11T21:32:39"/>
        <d v="2024-09-11T15:07:14"/>
        <d v="2024-09-11T00:35:23"/>
        <d v="2024-09-11T00:00:00"/>
        <d v="2024-09-10T15:28:24"/>
        <d v="2024-09-10T10:56:41"/>
        <d v="2024-09-10T01:03:42"/>
        <d v="2024-09-10T00:00:00"/>
        <d v="2024-09-09T23:36:29"/>
        <d v="2024-09-09T22:11:14"/>
        <d v="2024-09-09T21:49:33"/>
        <d v="2024-09-09T17:18:52"/>
        <d v="2024-09-09T00:00:00"/>
        <d v="2024-09-08T23:23:59"/>
        <d v="2024-09-07T21:11:30"/>
        <d v="2024-09-07T20:49:59"/>
        <d v="2024-09-07T14:40:36"/>
        <d v="2024-09-07T00:00:00"/>
        <d v="2024-09-06T21:21:15"/>
        <d v="2024-09-06T20:38:06"/>
        <d v="2024-09-06T20:13:07"/>
        <d v="2024-09-06T18:00:48"/>
        <d v="2024-09-06T17:28:40"/>
        <d v="2024-09-06T15:17:21"/>
        <d v="2024-09-06T00:00:00"/>
        <d v="2024-09-05T20:58:08"/>
        <d v="2024-09-05T17:17:41"/>
        <d v="2024-09-05T03:39:49"/>
        <d v="2024-09-05T00:00:00"/>
        <d v="2024-09-04T17:05:46"/>
        <d v="2024-09-04T16:01:38"/>
        <d v="2024-09-04T15:52:12"/>
        <d v="2024-09-04T14:11:09"/>
        <d v="2024-09-04T00:00:00"/>
        <d v="2024-09-03T20:58:38"/>
        <d v="2024-09-03T20:15:00"/>
        <d v="2024-09-03T20:09:28"/>
        <d v="2024-09-03T18:32:15"/>
        <d v="2024-09-03T16:15:15"/>
        <d v="2024-09-03T15:45:56"/>
        <d v="2024-09-03T13:52:47"/>
        <d v="2024-09-03T13:17:47"/>
        <d v="2024-09-03T02:41:16"/>
        <d v="2024-09-03T00:00:00"/>
        <d v="2024-09-02T05:02:20"/>
        <d v="2024-09-01T23:37:05"/>
        <d v="2024-09-01T12:25:56"/>
      </sharedItems>
      <fieldGroup base="2">
        <rangePr startDate="2024-09-01T12:25:56" endDate="2024-09-30T23:26:49" groupBy="days"/>
        <groupItems count="368">
          <s v="&lt;09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/30/2024"/>
        </groupItems>
      </fieldGroup>
    </cacheField>
    <cacheField name="Line Item Name" numFmtId="0">
      <sharedItems containsNonDate="0" count="108">
        <s v="CC-HCCMKII-15-NC"/>
        <s v="CC-WASH-10"/>
        <s v="CC-AC-CCL"/>
        <s v="CC-CH-15-STD"/>
        <s v="CC-VV-KIT"/>
        <s v="CC-HCCMKII-15-TC"/>
        <s v="CC-CTC-20"/>
        <s v="CC-CH-08-STD"/>
        <s v="General Purpose Shipper"/>
        <s v="Shipping Fees"/>
        <s v="CC-PROJ-5-110"/>
        <s v="CC-NPTC-06-STD"/>
        <s v="CC-F-COT"/>
        <s v="CC-AC-CTAT"/>
        <s v="CC-AC-LA2"/>
        <s v="CC-SS-35"/>
        <s v="Shipping Charges"/>
        <s v="CC-HCCMKII-25-TC"/>
        <s v="CC-TB-35"/>
        <s v="CC-F-HEA"/>
        <s v="CC-MJMKII-3-110"/>
        <s v="CC-AC-OP"/>
        <s v="CC-CTC-50"/>
        <s v="CC-HCCMKII-08-NC"/>
        <s v="CC-CH-XX-EXT"/>
        <s v="12v DC Solenoid Coil"/>
        <s v="CC-F-CGA-FQC"/>
        <s v="1/4&quot; Co2 Valve"/>
        <s v="Solenoid Din Connector"/>
        <s v="2FT CO2 Hose - 1/4&quot; ID (JIC #6 x JIC #6)"/>
        <s v=" CC-AC-CGAJIC-SET - 1"/>
        <s v="CC-AC-ROR2"/>
        <s v="CC-AC-4PM"/>
        <s v="CC-CH-02-MFD"/>
        <s v="CC-CH-25-STD"/>
        <s v="CC-AC-CTS - 1"/>
        <s v="CC-SM-5"/>
        <s v="CC-F-MFDCGAJIC"/>
        <s v="CC-AC-BM-KIT"/>
        <s v="CC-AC-CLAMP-CC2-KIT"/>
        <s v="CC-HCCMKII-08-TC"/>
        <s v="CC-AC-RAA"/>
        <s v="CO2 Valve Replacement Seal"/>
        <s v="CC-CH-100-STD"/>
        <s v="CC-CC2-110"/>
        <s v="CC-AC-CLAMP"/>
        <s v="CC-CH-05-STD - 01"/>
        <s v="MagicFX StadiumShot III"/>
        <s v="MagicFX SFX Safety ARM Controller"/>
        <s v="Repair"/>
        <s v="Wand Handle - 1"/>
        <s v="CC-F-MQCBSPPF"/>
        <s v="X-Profile O-Ring"/>
        <s v="1/4&quot; NPTS Pipe Nipple (1&quot;)"/>
        <s v="Square O-Ring"/>
        <s v="6-32 x 3/8&quot; - CS, BSS"/>
        <s v="CC-CH-03.5-MFD"/>
        <s v="JIC Run Tee 6602-06-06-06"/>
        <s v="CC-WASH-INT-01"/>
        <s v="CC-AC-CGANPT-INT-SET"/>
        <s v="CC-AC-CLAMP-MJMKII-KIT"/>
        <s v="CC-AC-TC"/>
        <s v="CC-CH-15-EXT"/>
        <s v="Club Cannon Barrel Band"/>
        <s v="CC-F-DCHA"/>
        <s v="CC-AC-LGK"/>
        <s v="Custom Programming Fee"/>
        <s v="USB Panel Mount - 6&quot;"/>
        <s v="#4 x 3/8&quot; Thread Forming Screws for Plastics (48-2) CS Steel Black"/>
        <s v="M3 x 15mm CS BSS Screw"/>
        <s v="Controller 3/5 pin XLR PCB Assembly"/>
        <s v="IDC Cable Clip"/>
        <s v="Large Key Lock Switch Assembly"/>
        <s v="25mm RGB Halo Button"/>
        <s v="Micro Jet MKII Main PCB"/>
        <s v="CC-AC-ROR"/>
        <s v="Discount"/>
        <s v="JIC Elbow - 3/8&quot; JIC male x 3/8&quot; JIC Female "/>
        <s v="MagicFX Red Button"/>
        <s v="CC-AC-TB"/>
        <s v="1/2-13 x 3/4&quot; PH SS"/>
        <s v="1/2&quot; ID Belleville Washer"/>
        <s v="DMX Jet Trade-In Credit"/>
        <s v="CC-CH-25-EXT"/>
        <s v="CC-QJ-5-110"/>
        <s v="CC-CH-35-STD"/>
        <s v="CC-CH-08-DSY"/>
        <s v="CC-RC-2430"/>
        <s v="CC-RC-2430-PJI"/>
        <s v="CC-RC-2430-TTI"/>
        <s v="CC-F-FQCBSPF"/>
        <s v="CC-CH-03.5-EXT"/>
        <s v="CC-TSC-5-110"/>
        <s v="M8 3 Pin Male to M8 3 Pin Female Extension Cord - A Code, 4M (13.5FT)"/>
        <s v="M8 Axial Field Wireable Connector"/>
        <s v="M8 3 Pin Male to pigtail - A Code, 1M"/>
        <s v="M12 3 Pin to DIN, A Code, 5M, 16.5FT"/>
        <s v="M12 3 Pin to DIN Form B (11mm) - A Code, 4FT"/>
        <s v="The Button 3/5Pin Unpacked"/>
        <s v="CC-WASH-01"/>
        <s v="CC-CC2-110-JIC"/>
        <s v="CC-AC-TB-KIT"/>
        <s v="CC-AC-SMK"/>
        <s v="220v Solenoid Coil"/>
        <s v="CC-DIN-L620"/>
        <s v="CC-CCDINT1-16"/>
        <s v="CC-CH-50-STD"/>
        <s v="CC-F-DCHA-PYROTEK"/>
      </sharedItems>
    </cacheField>
    <cacheField name="Line Item Description" numFmtId="0">
      <sharedItems containsNonDate="0" containsBlank="1" count="124">
        <s v="Handheld CO2 Cannon MKII"/>
        <s v="CO2 Washers (10 pack)"/>
        <s v="CO2 Cylinder Link"/>
        <s v="Co2 Hose 15FT Standard Config"/>
        <s v="Volt View - True1 voltage detection device"/>
        <s v="Handheld MKII in travel case with 15ft hose"/>
        <s v="CO2 Tank Covers - 20lb Cover"/>
        <s v="Co2 Hose 08FT Standard Config"/>
        <s v="Samples, courtesy, etc."/>
        <m/>
        <s v="Pro Jet"/>
        <s v="Neutrik PowerCON True1 Cords - 6FT, Standard (Included)"/>
        <s v=" CO2 Output Terminator (Included)"/>
        <s v="Co2 Tank Attachment Tool (Included)"/>
        <s v="Co2 Hose 15FT Standard Config (Included)"/>
        <s v="LED Attachment for DMX Jet, DMX Jet MKII, and Pro Jet."/>
        <s v="ShoStarter DMX Controller with 3 &amp; 5 Pin Connectors in Box"/>
        <s v="Handheld MKII in travel case with 25ft hose"/>
        <s v="ShoStarter DMX Controller with 3 &amp; 5 Pin Connectors in Box - LOANER, TO BE RETURNED"/>
        <s v="The Button - with both 3 &amp; 5 pin DMX ports"/>
        <s v="Hose Extension Adapter"/>
        <s v="Micro CO2 Jet MKII"/>
        <s v="Neutrik PowerCON True1 Cords - 6FT, Standard"/>
        <s v="CO2 Tank Tool + Documentation"/>
        <s v="CO2 Tank Covers - 50lb Cover"/>
        <s v="Co2 Tank Attachment Tool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Special order CO2 Hose"/>
        <s v="CGA-320 to JIC adapter with nut and integrated o-ring"/>
        <s v="Replacement O-Ring - 2023 Quick Connects. EPDM"/>
        <s v="4 Port Co2 Manifold - 4x JIC 3/8&quot; Inlets, 1x JIC 3/8&quot; Outlet with Truss Bracket"/>
        <s v="2FT CO2 Hose (CGA-320 x Female JIC 3/8&quot;) For use with Manifold"/>
        <s v="Co2 Hose 25FT Standard Config"/>
        <s v="CO2 Tank Splitter"/>
        <s v="ShoMaster Console"/>
        <s v="Adapter for use with Manifold - to attach standard CGA-320 hose configuration"/>
        <s v="Confetti / Streamer Samples"/>
        <s v="Ball Mount Assembly for Cryo Clamp with 4x 10-32 x 3/8&quot; socket head screws (Replacement)"/>
        <s v="Truss clamp for CC2 with 1/2-13 x 3/4” CS screw"/>
        <s v="Handheld MKII in travel case with 8ft hose"/>
        <s v="Right Angle Adapter"/>
        <s v="Shipping upgrade to NDA"/>
        <s v="Teflon &amp; Brass seal for 1/4&quot; CO2 Valve"/>
        <s v="Co2 Hose 100FT Standard Config"/>
        <s v="Cryo Clamp II, 110v, Weatherproof CO2 Jet"/>
        <s v="Truss Clamp"/>
        <s v="Co2 Hose 05FT Standard Config"/>
        <s v="DMX Controlled Confetti Launcher"/>
        <s v="48v Safety Controller"/>
        <s v="Repair of Handhelds - Serial# 003447 &amp; 003448 - 1.5 Hours Labor"/>
        <s v="For Handheld MKII Revision 1"/>
        <s v="3/8&quot; Male Quick Connect Fitting BSPP thread female (Complementary)"/>
        <s v="Dash Number 331 - 70A durometer (Complementary)"/>
        <s v="Fully threaded (Complementary)"/>
        <s v="Dash Number 112 - 70A durometer (Complementary)"/>
        <s v="Countersunk head, black stainless steel"/>
        <s v="3 1/2FT CO2 Hose (CGA-320 x Female JIC 3/8&quot;) For use with Manifold"/>
        <s v="Used to add an additional input to 4 port manifold"/>
        <s v="Single CO2 Washer - International"/>
        <s v="International CO2 fitting 1/4&quot; NPT to DIN 477"/>
        <s v=" CO2 Output Terminator"/>
        <s v="Loaner ShoStarter - to be returned the week of 10/7"/>
        <s v="CO2 Tank Tool + Documentation (Included)"/>
        <s v="Truss Clamp for Micro Jet MKII w/ Hardware"/>
        <s v="Travel Case"/>
        <s v="Co2 Hose 15FT Extension Config"/>
        <s v="Club Cannon Barrel Band"/>
        <s v="Daisy Chain Adapter"/>
        <s v="Replacement Keys - Shomaster &amp; ShoStarter"/>
        <s v="Develop a custom mode for The Button to operate Ultratec IceBlast in conjunction with the Club Cannon LED Attachment II."/>
        <s v="Ball Mount Assembly for Cryo Clamp with 4x 10-32 x 3/8&quot; socket head screws"/>
        <s v="Repair of Shostarter Serial #00070"/>
        <s v="Short USB panel mount cable"/>
        <s v="#4 x 3/8&quot; Thread Forming Screws for Plastics (48-2) CS Steel Black - Micro Jet XLR Fasteners"/>
        <s v="Panel Componant Mounting Screw"/>
        <s v="Controller XLR used for controllers with both 3 and 5-pin DMX with 8-pin IDD connector"/>
        <s v="3D printed clip to secure IDC Cable"/>
        <s v="Large 2 Position Key switch with TE connector"/>
        <s v="25mm mounting diameter, 1NO1NC momentary type, RGB led 0V ring illuminated, Black aluminum"/>
        <s v="Micro Jet MKII Main PCB"/>
        <s v="Replacement O-Ring"/>
        <s v="Replacement Handheld MKII, 15FT CO2 Hose"/>
        <s v="6500-06-06-06"/>
        <s v="True1 In / Out momentary power controller"/>
        <s v="Bracket that gets installed on 4 port manifold. Can also be used on Cryo Clamp"/>
        <s v="Stainless screw for cryo clamp plate bracket"/>
        <s v="Used on 1/2&quot; Brackets and clamps"/>
        <s v="$200 credit for each DMX Jet trade-in"/>
        <s v="Co2 Hose 25FT Extension Config"/>
        <s v="Quad Jet 110v with 5 Pin DMX With Barrels"/>
        <s v="Co2 Hose 35FT Standard Config (Upgrade from 15FT)"/>
        <s v="T-Shirt Cannon Control Boxes x 18"/>
        <s v="Co2 Hose 08FT Daisy Chain"/>
        <s v="24x30 Road Case"/>
        <s v="24x30 Road Case Insert - Pro Jet (Included)"/>
        <s v="24x30 Road Case Insert - Top Tray Insert (Included)"/>
        <s v="Truss clamp for CC2 with 1/2-13 x 3/4” CS screw (Included)"/>
        <s v="Ball Mount Assembly for Cryo Clamp with 4x 10-32 x 3/8&quot; socket head screws (Complementary)"/>
        <s v="ISO-A Female Quick Connect - BSPP Thread"/>
        <s v="Co2 Hose 3.5FT Extension Config"/>
        <s v="CGA-320 Female to Female Quick Connect"/>
        <s v="Co2 Hose 35FT Standard Config"/>
        <s v="T-Shirt Cannon Control Box, 5 pin, 110v"/>
        <s v="M8 pressure sensor, servo extension cable"/>
        <s v="M8 barrel 3-pin male axial connection"/>
        <s v="M8 3P male to stripped wire, 3FT"/>
        <s v="Solenoid to M12 cable harness"/>
        <s v="Solenoid type B to M12 cable harness"/>
        <s v="Single Button DMX controller with 3 and 5 pin DMX and 7-Segment Display without Packaging"/>
        <s v="Single CO2 Washer"/>
        <s v="Co2 Tank Attachment Tool (Complementary)"/>
        <s v="Cryo Clamp II, 110v, Weatherproof CO2 Jet with JIC Inlet"/>
        <s v="Cryo Clamp wall mount bracket kit with included 1/2-13 x 3/4&quot; stainless pan head screw"/>
        <s v="Replacement Keys - The Button"/>
        <s v="220v Solenoid Coil"/>
        <s v="DIN cable with L6-20, 6FT"/>
        <s v="Top entry DIN cable with True1 connector, 5M / 16.5FT"/>
        <s v="Co2 Hose 50FT Standard Config (Upgrade from 15FT)"/>
        <s v="Daisy Chain Adapter (1/2&quot; JIC)"/>
      </sharedItems>
    </cacheField>
    <cacheField name="Order Quantity" numFmtId="0">
      <sharedItems containsSemiMixedTypes="0" containsNonDate="0" containsString="0" containsNumber="1" containsInteger="1" minValue="1" maxValue="180" count="18">
        <n v="1"/>
        <n v="2"/>
        <n v="12"/>
        <n v="6"/>
        <n v="4"/>
        <n v="3"/>
        <n v="9"/>
        <n v="10"/>
        <n v="5"/>
        <n v="11"/>
        <n v="36"/>
        <n v="20"/>
        <n v="8"/>
        <n v="40"/>
        <n v="76"/>
        <n v="30"/>
        <n v="60"/>
        <n v="180"/>
      </sharedItems>
    </cacheField>
    <cacheField name="Unit Price" numFmtId="0">
      <sharedItems containsSemiMixedTypes="0" containsNonDate="0" containsString="0" containsNumber="1" minValue="-800" maxValue="3999.99" count="112">
        <n v="399.99"/>
        <n v="9.99"/>
        <n v="119.99"/>
        <n v="149.99"/>
        <n v="79.98999999999999"/>
        <n v="599.99"/>
        <n v="49.99"/>
        <n v="109.99"/>
        <n v="0"/>
        <n v="135.5"/>
        <n v="974.9924999999999"/>
        <n v="599.9924999999999"/>
        <n v="899.9924999999999"/>
        <n v="142.66"/>
        <n v="472.4925"/>
        <n v="82.49250000000001"/>
        <n v="19.99"/>
        <n v="849.99"/>
        <n v="59.99"/>
        <n v="7.99"/>
        <n v="349.99"/>
        <n v="374.99"/>
        <n v="289.99"/>
        <n v="140.49"/>
        <n v="249.99"/>
        <n v="49.5"/>
        <n v="22.99"/>
        <n v="1.99"/>
        <n v="52.4"/>
        <n v="134.9925"/>
        <n v="48.7425"/>
        <n v="1199.99"/>
        <n v="50"/>
        <n v="3199.99"/>
        <n v="524.99"/>
        <n v="46.32"/>
        <n v="37.4925"/>
        <n v="549.99"/>
        <n v="99.98999999999999"/>
        <n v="7.191"/>
        <n v="387.49"/>
        <n v="37.49"/>
        <n v="499.99"/>
        <n v="3999.99"/>
        <n v="799.99"/>
        <n v="90"/>
        <n v="28.5"/>
        <n v="39.99"/>
        <n v="179.99"/>
        <n v="69.98999999999999"/>
        <n v="14.99"/>
        <n v="15"/>
        <n v="0.375"/>
        <n v="47.49"/>
        <n v="187.49"/>
        <n v="164.5"/>
        <n v="637.4924999999999"/>
        <n v="29.99"/>
        <n v="169.99"/>
        <n v="591.65"/>
        <n v="51.66"/>
        <n v="31.66"/>
        <n v="75.58"/>
        <n v="127.4915"/>
        <n v="101.9915"/>
        <n v="175.8"/>
        <n v="22.4925"/>
        <n v="12.99"/>
        <n v="64.98999999999999"/>
        <n v="1000"/>
        <n v="299.9925"/>
        <n v="81.90000000000001"/>
        <n v="19.875"/>
        <n v="9.7425"/>
        <n v="18.375"/>
        <n v="25.92391275"/>
        <n v="17.85"/>
        <n v="89.99250000000001"/>
        <n v="-446.99"/>
        <n v="5.434783"/>
        <n v="3.826087"/>
        <n v="-800"/>
        <n v="88.59999999999999"/>
        <n v="199.99"/>
        <n v="14"/>
        <n v="11.2425"/>
        <n v="2499.99"/>
        <n v="100"/>
        <n v="411.8"/>
        <n v="1199.9925"/>
        <n v="449.9925"/>
        <n v="14.9925"/>
        <n v="17.2425"/>
        <n v="374.9925"/>
        <n v="18.7425"/>
        <n v="128.4"/>
        <n v="63.7425"/>
        <n v="219.99"/>
        <n v="146.49"/>
        <n v="950"/>
        <n v="8"/>
        <n v="12"/>
        <n v="20"/>
        <n v="1299.99"/>
        <n v="235.4"/>
        <n v="13.6"/>
        <n v="35.5"/>
        <n v="135"/>
        <n v="40"/>
        <n v="150"/>
        <n v="16.5"/>
        <n v="7.49"/>
      </sharedItems>
    </cacheField>
    <cacheField name="Total Line Item $" numFmtId="0">
      <sharedItems containsSemiMixedTypes="0" containsNonDate="0" containsString="0" containsNumber="1" minValue="-800" maxValue="28500" count="167">
        <n v="399.99"/>
        <n v="19.98"/>
        <n v="1439.88"/>
        <n v="59.94"/>
        <n v="149.99"/>
        <n v="79.98999999999999"/>
        <n v="1199.98"/>
        <n v="199.96"/>
        <n v="109.99"/>
        <n v="0"/>
        <n v="135.5"/>
        <n v="5849.955"/>
        <n v="3599.955"/>
        <n v="899.9924999999999"/>
        <n v="142.66"/>
        <n v="944.985"/>
        <n v="82.49250000000001"/>
        <n v="19.99"/>
        <n v="849.99"/>
        <n v="59.99"/>
        <n v="7.99"/>
        <n v="349.99"/>
        <n v="239.98"/>
        <n v="749.98"/>
        <n v="119.98"/>
        <n v="579.98"/>
        <n v="280.98"/>
        <n v="499.98"/>
        <n v="99"/>
        <n v="45.98"/>
        <n v="7.96"/>
        <n v="52.4"/>
        <n v="269.985"/>
        <n v="97.485"/>
        <n v="1199.99"/>
        <n v="3399.96"/>
        <n v="200"/>
        <n v="99.98"/>
        <n v="9599.969999999999"/>
        <n v="9.99"/>
        <n v="22.99"/>
        <n v="49.99"/>
        <n v="699.98"/>
        <n v="119.99"/>
        <n v="524.99"/>
        <n v="799.98"/>
        <n v="46.32"/>
        <n v="5399.9325"/>
        <n v="374.925"/>
        <n v="1099.98"/>
        <n v="99.98999999999999"/>
        <n v="35.955"/>
        <n v="109.89"/>
        <n v="387.49"/>
        <n v="37.49"/>
        <n v="999.98"/>
        <n v="299.98"/>
        <n v="1699.98"/>
        <n v="549.99"/>
        <n v="199.98"/>
        <n v="23999.94"/>
        <n v="1599.98"/>
        <n v="90"/>
        <n v="57"/>
        <n v="159.98"/>
        <n v="599.99"/>
        <n v="39.98"/>
        <n v="79.98"/>
        <n v="1079.94"/>
        <n v="2519.64"/>
        <n v="179.88"/>
        <n v="29.97"/>
        <n v="599.95"/>
        <n v="15"/>
        <n v="2.25"/>
        <n v="224.955"/>
        <n v="79.95999999999999"/>
        <n v="47.49"/>
        <n v="187.49"/>
        <n v="164.5"/>
        <n v="2549.97"/>
        <n v="499.9"/>
        <n v="59.98"/>
        <n v="169.99"/>
        <n v="591.65"/>
        <n v="51.66"/>
        <n v="31.66"/>
        <n v="75.58"/>
        <n v="509.966"/>
        <n v="407.966"/>
        <n v="175.8"/>
        <n v="9749.924999999999"/>
        <n v="5999.925"/>
        <n v="224.925"/>
        <n v="12.99"/>
        <n v="129.98"/>
        <n v="1000"/>
        <n v="50"/>
        <n v="299.9925"/>
        <n v="599.9924999999999"/>
        <n v="81.90000000000001"/>
        <n v="89.97"/>
        <n v="19.875"/>
        <n v="9.7425"/>
        <n v="18.375"/>
        <n v="25.92391275"/>
        <n v="1.99"/>
        <n v="100"/>
        <n v="79.92"/>
        <n v="17.85"/>
        <n v="539.955"/>
        <n v="359.97"/>
        <n v="-446.99"/>
        <n v="259.96"/>
        <n v="21.739132"/>
        <n v="15.304348"/>
        <n v="-800"/>
        <n v="88.59999999999999"/>
        <n v="3899.97"/>
        <n v="479.96"/>
        <n v="399.98"/>
        <n v="14"/>
        <n v="299.94"/>
        <n v="89.94"/>
        <n v="2499.99"/>
        <n v="400"/>
        <n v="799.96"/>
        <n v="1199.9"/>
        <n v="3199.99"/>
        <n v="411.8"/>
        <n v="412.4625"/>
        <n v="1199.9925"/>
        <n v="449.9925"/>
        <n v="134.955"/>
        <n v="89.955"/>
        <n v="68.97"/>
        <n v="1499.97"/>
        <n v="112.455"/>
        <n v="128.4"/>
        <n v="2549.7"/>
        <n v="3704.43"/>
        <n v="219.99"/>
        <n v="599.9"/>
        <n v="249.99"/>
        <n v="146.49"/>
        <n v="28500"/>
        <n v="840"/>
        <n v="480"/>
        <n v="360"/>
        <n v="3600"/>
        <n v="39.96"/>
        <n v="2599.98"/>
        <n v="235.4"/>
        <n v="1499.9625"/>
        <n v="13.6"/>
        <n v="37.4925"/>
        <n v="29.99"/>
        <n v="59.97"/>
        <n v="719.9400000000001"/>
        <n v="199.99"/>
        <n v="35.5"/>
        <n v="1620"/>
        <n v="240"/>
        <n v="600"/>
        <n v="16.5"/>
        <n v="449.85"/>
        <n v="14.9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E2:G498" sheet="September 2024"/>
  </cacheSource>
  <cacheFields count="3">
    <cacheField name="Line Item Name" numFmtId="0">
      <sharedItems containsNonDate="0" containsBlank="1" count="109">
        <s v="CC-HCCMKII-15-NC"/>
        <s v="CC-WASH-10"/>
        <s v="CC-AC-CCL"/>
        <s v="CC-CH-15-STD"/>
        <s v="CC-VV-KIT"/>
        <s v="CC-HCCMKII-15-TC"/>
        <s v="CC-CTC-20"/>
        <s v="CC-CH-08-STD"/>
        <s v="General Purpose Shipper"/>
        <s v="Shipping Fees"/>
        <s v="CC-PROJ-5-110"/>
        <s v="CC-NPTC-06-STD"/>
        <s v="CC-F-COT"/>
        <s v="CC-AC-CTAT"/>
        <s v="CC-AC-LA2"/>
        <s v="CC-SS-35"/>
        <s v="Shipping Charges"/>
        <s v="CC-HCCMKII-25-TC"/>
        <s v="CC-TB-35"/>
        <s v="CC-F-HEA"/>
        <s v="CC-MJMKII-3-110"/>
        <s v="CC-AC-OP"/>
        <s v="CC-CTC-50"/>
        <s v="CC-HCCMKII-08-NC"/>
        <s v="CC-CH-XX-EXT"/>
        <s v="12v DC Solenoid Coil"/>
        <s v="CC-F-CGA-FQC"/>
        <s v="1/4&quot; Co2 Valve"/>
        <s v="Solenoid Din Connector"/>
        <s v="2FT CO2 Hose - 1/4&quot; ID (JIC #6 x JIC #6)"/>
        <s v=" CC-AC-CGAJIC-SET - 1"/>
        <s v="CC-AC-ROR2"/>
        <s v="CC-AC-4PM"/>
        <s v="CC-CH-02-MFD"/>
        <s v="CC-CH-25-STD"/>
        <s v="CC-AC-CTS - 1"/>
        <s v="CC-SM-5"/>
        <s v="CC-F-MFDCGAJIC"/>
        <s v="CC-AC-BM-KIT"/>
        <s v="CC-AC-CLAMP-CC2-KIT"/>
        <s v="CC-HCCMKII-08-TC"/>
        <s v="CC-AC-RAA"/>
        <s v="CO2 Valve Replacement Seal"/>
        <s v="CC-CH-100-STD"/>
        <s v="CC-CC2-110"/>
        <s v="CC-AC-CLAMP"/>
        <s v="CC-CH-05-STD - 01"/>
        <s v="MagicFX StadiumShot III"/>
        <s v="MagicFX SFX Safety ARM Controller"/>
        <s v="Repair"/>
        <s v="Wand Handle - 1"/>
        <s v="CC-F-MQCBSPPF"/>
        <s v="X-Profile O-Ring"/>
        <s v="1/4&quot; NPTS Pipe Nipple (1&quot;)"/>
        <s v="Square O-Ring"/>
        <s v="6-32 x 3/8&quot; - CS, BSS"/>
        <s v="CC-CH-03.5-MFD"/>
        <s v="JIC Run Tee 6602-06-06-06"/>
        <s v="CC-WASH-INT-01"/>
        <s v="CC-AC-CGANPT-INT-SET"/>
        <s v="CC-AC-CLAMP-MJMKII-KIT"/>
        <s v="CC-AC-TC"/>
        <s v="CC-CH-15-EXT"/>
        <s v="Club Cannon Barrel Band"/>
        <s v="CC-F-DCHA"/>
        <s v="CC-AC-LGK"/>
        <s v="Custom Programming Fee"/>
        <s v="USB Panel Mount - 6&quot;"/>
        <s v="#4 x 3/8&quot; Thread Forming Screws for Plastics (48-2) CS Steel Black"/>
        <s v="M3 x 15mm CS BSS Screw"/>
        <s v="Controller 3/5 pin XLR PCB Assembly"/>
        <s v="IDC Cable Clip"/>
        <s v="Large Key Lock Switch Assembly"/>
        <s v="25mm RGB Halo Button"/>
        <s v="Micro Jet MKII Main PCB"/>
        <s v="CC-AC-ROR"/>
        <s v="Discount"/>
        <s v="JIC Elbow - 3/8&quot; JIC male x 3/8&quot; JIC Female "/>
        <s v="MagicFX Red Button"/>
        <s v="CC-AC-TB"/>
        <s v="1/2-13 x 3/4&quot; PH SS"/>
        <s v="1/2&quot; ID Belleville Washer"/>
        <s v="DMX Jet Trade-In Credit"/>
        <s v="CC-CH-25-EXT"/>
        <s v="CC-QJ-5-110"/>
        <s v="CC-CH-35-STD"/>
        <s v="CC-CH-08-DSY"/>
        <s v="CC-RC-2430"/>
        <s v="CC-RC-2430-PJI"/>
        <s v="CC-RC-2430-TTI"/>
        <s v="CC-F-FQCBSPF"/>
        <s v="CC-CH-03.5-EXT"/>
        <s v="CC-TSC-5-110"/>
        <s v="M8 3 Pin Male to M8 3 Pin Female Extension Cord - A Code, 4M (13.5FT)"/>
        <s v="M8 Axial Field Wireable Connector"/>
        <s v="M8 3 Pin Male to pigtail - A Code, 1M"/>
        <s v="M12 3 Pin to DIN, A Code, 5M, 16.5FT"/>
        <s v="M12 3 Pin to DIN Form B (11mm) - A Code, 4FT"/>
        <s v="The Button 3/5Pin Unpacked"/>
        <s v="CC-WASH-01"/>
        <s v="CC-CC2-110-JIC"/>
        <s v="CC-AC-TB-KIT"/>
        <s v="CC-AC-SMK"/>
        <s v="220v Solenoid Coil"/>
        <s v="CC-DIN-L620"/>
        <s v="CC-CCDINT1-16"/>
        <s v="CC-CH-50-STD"/>
        <s v="CC-F-DCHA-PYROTEK"/>
        <m/>
      </sharedItems>
    </cacheField>
    <cacheField name="Line Item Description" numFmtId="0">
      <sharedItems containsNonDate="0" containsBlank="1" count="124">
        <s v="Handheld CO2 Cannon MKII"/>
        <s v="CO2 Washers (10 pack)"/>
        <s v="CO2 Cylinder Link"/>
        <s v="Co2 Hose 15FT Standard Config"/>
        <s v="Volt View - True1 voltage detection device"/>
        <s v="Handheld MKII in travel case with 15ft hose"/>
        <s v="CO2 Tank Covers - 20lb Cover"/>
        <s v="Co2 Hose 08FT Standard Config"/>
        <s v="Samples, courtesy, etc."/>
        <m/>
        <s v="Pro Jet"/>
        <s v="Neutrik PowerCON True1 Cords - 6FT, Standard (Included)"/>
        <s v=" CO2 Output Terminator (Included)"/>
        <s v="Co2 Tank Attachment Tool (Included)"/>
        <s v="Co2 Hose 15FT Standard Config (Included)"/>
        <s v="LED Attachment for DMX Jet, DMX Jet MKII, and Pro Jet."/>
        <s v="ShoStarter DMX Controller with 3 &amp; 5 Pin Connectors in Box"/>
        <s v="Handheld MKII in travel case with 25ft hose"/>
        <s v="ShoStarter DMX Controller with 3 &amp; 5 Pin Connectors in Box - LOANER, TO BE RETURNED"/>
        <s v="The Button - with both 3 &amp; 5 pin DMX ports"/>
        <s v="Hose Extension Adapter"/>
        <s v="Micro CO2 Jet MKII"/>
        <s v="Neutrik PowerCON True1 Cords - 6FT, Standard"/>
        <s v="CO2 Tank Tool + Documentation"/>
        <s v="CO2 Tank Covers - 50lb Cover"/>
        <s v="Co2 Tank Attachment Tool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Special order CO2 Hose"/>
        <s v="CGA-320 to JIC adapter with nut and integrated o-ring"/>
        <s v="Replacement O-Ring - 2023 Quick Connects. EPDM"/>
        <s v="4 Port Co2 Manifold - 4x JIC 3/8&quot; Inlets, 1x JIC 3/8&quot; Outlet with Truss Bracket"/>
        <s v="2FT CO2 Hose (CGA-320 x Female JIC 3/8&quot;) For use with Manifold"/>
        <s v="Co2 Hose 25FT Standard Config"/>
        <s v="CO2 Tank Splitter"/>
        <s v="ShoMaster Console"/>
        <s v="Adapter for use with Manifold - to attach standard CGA-320 hose configuration"/>
        <s v="Confetti / Streamer Samples"/>
        <s v="Ball Mount Assembly for Cryo Clamp with 4x 10-32 x 3/8&quot; socket head screws (Replacement)"/>
        <s v="Truss clamp for CC2 with 1/2-13 x 3/4” CS screw"/>
        <s v="Handheld MKII in travel case with 8ft hose"/>
        <s v="Right Angle Adapter"/>
        <s v="Shipping upgrade to NDA"/>
        <s v="Teflon &amp; Brass seal for 1/4&quot; CO2 Valve"/>
        <s v="Co2 Hose 100FT Standard Config"/>
        <s v="Cryo Clamp II, 110v, Weatherproof CO2 Jet"/>
        <s v="Truss Clamp"/>
        <s v="Co2 Hose 05FT Standard Config"/>
        <s v="DMX Controlled Confetti Launcher"/>
        <s v="48v Safety Controller"/>
        <s v="Repair of Handhelds - Serial# 003447 &amp; 003448 - 1.5 Hours Labor"/>
        <s v="For Handheld MKII Revision 1"/>
        <s v="3/8&quot; Male Quick Connect Fitting BSPP thread female (Complementary)"/>
        <s v="Dash Number 331 - 70A durometer (Complementary)"/>
        <s v="Fully threaded (Complementary)"/>
        <s v="Dash Number 112 - 70A durometer (Complementary)"/>
        <s v="Countersunk head, black stainless steel"/>
        <s v="3 1/2FT CO2 Hose (CGA-320 x Female JIC 3/8&quot;) For use with Manifold"/>
        <s v="Used to add an additional input to 4 port manifold"/>
        <s v="Single CO2 Washer - International"/>
        <s v="International CO2 fitting 1/4&quot; NPT to DIN 477"/>
        <s v=" CO2 Output Terminator"/>
        <s v="Loaner ShoStarter - to be returned the week of 10/7"/>
        <s v="CO2 Tank Tool + Documentation (Included)"/>
        <s v="Truss Clamp for Micro Jet MKII w/ Hardware"/>
        <s v="Travel Case"/>
        <s v="Co2 Hose 15FT Extension Config"/>
        <s v="Club Cannon Barrel Band"/>
        <s v="Daisy Chain Adapter"/>
        <s v="Replacement Keys - Shomaster &amp; ShoStarter"/>
        <s v="Develop a custom mode for The Button to operate Ultratec IceBlast in conjunction with the Club Cannon LED Attachment II."/>
        <s v="Ball Mount Assembly for Cryo Clamp with 4x 10-32 x 3/8&quot; socket head screws"/>
        <s v="Repair of Shostarter Serial #00070"/>
        <s v="Short USB panel mount cable"/>
        <s v="#4 x 3/8&quot; Thread Forming Screws for Plastics (48-2) CS Steel Black - Micro Jet XLR Fasteners"/>
        <s v="Panel Componant Mounting Screw"/>
        <s v="Controller XLR used for controllers with both 3 and 5-pin DMX with 8-pin IDD connector"/>
        <s v="3D printed clip to secure IDC Cable"/>
        <s v="Large 2 Position Key switch with TE connector"/>
        <s v="25mm mounting diameter, 1NO1NC momentary type, RGB led 0V ring illuminated, Black aluminum"/>
        <s v="Micro Jet MKII Main PCB"/>
        <s v="Replacement O-Ring"/>
        <s v="Replacement Handheld MKII, 15FT CO2 Hose"/>
        <s v="6500-06-06-06"/>
        <s v="True1 In / Out momentary power controller"/>
        <s v="Bracket that gets installed on 4 port manifold. Can also be used on Cryo Clamp"/>
        <s v="Stainless screw for cryo clamp plate bracket"/>
        <s v="Used on 1/2&quot; Brackets and clamps"/>
        <s v="$200 credit for each DMX Jet trade-in"/>
        <s v="Co2 Hose 25FT Extension Config"/>
        <s v="Quad Jet 110v with 5 Pin DMX With Barrels"/>
        <s v="Co2 Hose 35FT Standard Config (Upgrade from 15FT)"/>
        <s v="T-Shirt Cannon Control Boxes x 18"/>
        <s v="Co2 Hose 08FT Daisy Chain"/>
        <s v="24x30 Road Case"/>
        <s v="24x30 Road Case Insert - Pro Jet (Included)"/>
        <s v="24x30 Road Case Insert - Top Tray Insert (Included)"/>
        <s v="Truss clamp for CC2 with 1/2-13 x 3/4” CS screw (Included)"/>
        <s v="Ball Mount Assembly for Cryo Clamp with 4x 10-32 x 3/8&quot; socket head screws (Complementary)"/>
        <s v="ISO-A Female Quick Connect - BSPP Thread"/>
        <s v="Co2 Hose 3.5FT Extension Config"/>
        <s v="CGA-320 Female to Female Quick Connect"/>
        <s v="Co2 Hose 35FT Standard Config"/>
        <s v="T-Shirt Cannon Control Box, 5 pin, 110v"/>
        <s v="M8 pressure sensor, servo extension cable"/>
        <s v="M8 barrel 3-pin male axial connection"/>
        <s v="M8 3P male to stripped wire, 3FT"/>
        <s v="Solenoid to M12 cable harness"/>
        <s v="Solenoid type B to M12 cable harness"/>
        <s v="Single Button DMX controller with 3 and 5 pin DMX and 7-Segment Display without Packaging"/>
        <s v="Single CO2 Washer"/>
        <s v="Co2 Tank Attachment Tool (Complementary)"/>
        <s v="Cryo Clamp II, 110v, Weatherproof CO2 Jet with JIC Inlet"/>
        <s v="Cryo Clamp wall mount bracket kit with included 1/2-13 x 3/4&quot; stainless pan head screw"/>
        <s v="Replacement Keys - The Button"/>
        <s v="220v Solenoid Coil"/>
        <s v="DIN cable with L6-20, 6FT"/>
        <s v="Top entry DIN cable with True1 connector, 5M / 16.5FT"/>
        <s v="Co2 Hose 50FT Standard Config (Upgrade from 15FT)"/>
        <s v="Daisy Chain Adapter (1/2&quot; JIC)"/>
      </sharedItems>
    </cacheField>
    <cacheField name="Order Quantity" numFmtId="0">
      <sharedItems containsNonDate="0" containsString="0" containsBlank="1" containsNumber="1" containsInteger="1" minValue="1" maxValue="180" count="19">
        <n v="1"/>
        <n v="2"/>
        <n v="12"/>
        <n v="6"/>
        <n v="4"/>
        <n v="3"/>
        <n v="9"/>
        <n v="10"/>
        <n v="5"/>
        <n v="11"/>
        <n v="36"/>
        <n v="20"/>
        <n v="8"/>
        <n v="40"/>
        <n v="76"/>
        <n v="30"/>
        <n v="60"/>
        <n v="180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E2:I498" sheet="September 2024"/>
  </cacheSource>
  <cacheFields count="5">
    <cacheField name="Line Item Name" numFmtId="0">
      <sharedItems containsNonDate="0" containsBlank="1" count="109">
        <s v="CC-HCCMKII-15-NC"/>
        <s v="CC-WASH-10"/>
        <s v="CC-AC-CCL"/>
        <s v="CC-CH-15-STD"/>
        <s v="CC-VV-KIT"/>
        <s v="CC-HCCMKII-15-TC"/>
        <s v="CC-CTC-20"/>
        <s v="CC-CH-08-STD"/>
        <s v="General Purpose Shipper"/>
        <s v="Shipping Fees"/>
        <s v="CC-PROJ-5-110"/>
        <s v="CC-NPTC-06-STD"/>
        <s v="CC-F-COT"/>
        <s v="CC-AC-CTAT"/>
        <s v="CC-AC-LA2"/>
        <s v="CC-SS-35"/>
        <s v="Shipping Charges"/>
        <s v="CC-HCCMKII-25-TC"/>
        <s v="CC-TB-35"/>
        <s v="CC-F-HEA"/>
        <s v="CC-MJMKII-3-110"/>
        <s v="CC-AC-OP"/>
        <s v="CC-CTC-50"/>
        <s v="CC-HCCMKII-08-NC"/>
        <s v="CC-CH-XX-EXT"/>
        <s v="12v DC Solenoid Coil"/>
        <s v="CC-F-CGA-FQC"/>
        <s v="1/4&quot; Co2 Valve"/>
        <s v="Solenoid Din Connector"/>
        <s v="2FT CO2 Hose - 1/4&quot; ID (JIC #6 x JIC #6)"/>
        <s v=" CC-AC-CGAJIC-SET - 1"/>
        <s v="CC-AC-ROR2"/>
        <s v="CC-AC-4PM"/>
        <s v="CC-CH-02-MFD"/>
        <s v="CC-CH-25-STD"/>
        <s v="CC-AC-CTS - 1"/>
        <s v="CC-SM-5"/>
        <s v="CC-F-MFDCGAJIC"/>
        <s v="CC-AC-BM-KIT"/>
        <s v="CC-AC-CLAMP-CC2-KIT"/>
        <s v="CC-HCCMKII-08-TC"/>
        <s v="CC-AC-RAA"/>
        <s v="CO2 Valve Replacement Seal"/>
        <s v="CC-CH-100-STD"/>
        <s v="CC-CC2-110"/>
        <s v="CC-AC-CLAMP"/>
        <s v="CC-CH-05-STD - 01"/>
        <s v="MagicFX StadiumShot III"/>
        <s v="MagicFX SFX Safety ARM Controller"/>
        <s v="Repair"/>
        <s v="Wand Handle - 1"/>
        <s v="CC-F-MQCBSPPF"/>
        <s v="X-Profile O-Ring"/>
        <s v="1/4&quot; NPTS Pipe Nipple (1&quot;)"/>
        <s v="Square O-Ring"/>
        <s v="6-32 x 3/8&quot; - CS, BSS"/>
        <s v="CC-CH-03.5-MFD"/>
        <s v="JIC Run Tee 6602-06-06-06"/>
        <s v="CC-WASH-INT-01"/>
        <s v="CC-AC-CGANPT-INT-SET"/>
        <s v="CC-AC-CLAMP-MJMKII-KIT"/>
        <s v="CC-AC-TC"/>
        <s v="CC-CH-15-EXT"/>
        <s v="Club Cannon Barrel Band"/>
        <s v="CC-F-DCHA"/>
        <s v="CC-AC-LGK"/>
        <s v="Custom Programming Fee"/>
        <s v="USB Panel Mount - 6&quot;"/>
        <s v="#4 x 3/8&quot; Thread Forming Screws for Plastics (48-2) CS Steel Black"/>
        <s v="M3 x 15mm CS BSS Screw"/>
        <s v="Controller 3/5 pin XLR PCB Assembly"/>
        <s v="IDC Cable Clip"/>
        <s v="Large Key Lock Switch Assembly"/>
        <s v="25mm RGB Halo Button"/>
        <s v="Micro Jet MKII Main PCB"/>
        <s v="CC-AC-ROR"/>
        <s v="Discount"/>
        <s v="JIC Elbow - 3/8&quot; JIC male x 3/8&quot; JIC Female "/>
        <s v="MagicFX Red Button"/>
        <s v="CC-AC-TB"/>
        <s v="1/2-13 x 3/4&quot; PH SS"/>
        <s v="1/2&quot; ID Belleville Washer"/>
        <s v="DMX Jet Trade-In Credit"/>
        <s v="CC-CH-25-EXT"/>
        <s v="CC-QJ-5-110"/>
        <s v="CC-CH-35-STD"/>
        <s v="CC-CH-08-DSY"/>
        <s v="CC-RC-2430"/>
        <s v="CC-RC-2430-PJI"/>
        <s v="CC-RC-2430-TTI"/>
        <s v="CC-F-FQCBSPF"/>
        <s v="CC-CH-03.5-EXT"/>
        <s v="CC-TSC-5-110"/>
        <s v="M8 3 Pin Male to M8 3 Pin Female Extension Cord - A Code, 4M (13.5FT)"/>
        <s v="M8 Axial Field Wireable Connector"/>
        <s v="M8 3 Pin Male to pigtail - A Code, 1M"/>
        <s v="M12 3 Pin to DIN, A Code, 5M, 16.5FT"/>
        <s v="M12 3 Pin to DIN Form B (11mm) - A Code, 4FT"/>
        <s v="The Button 3/5Pin Unpacked"/>
        <s v="CC-WASH-01"/>
        <s v="CC-CC2-110-JIC"/>
        <s v="CC-AC-TB-KIT"/>
        <s v="CC-AC-SMK"/>
        <s v="220v Solenoid Coil"/>
        <s v="CC-DIN-L620"/>
        <s v="CC-CCDINT1-16"/>
        <s v="CC-CH-50-STD"/>
        <s v="CC-F-DCHA-PYROTEK"/>
        <m/>
      </sharedItems>
    </cacheField>
    <cacheField name="Line Item Description" numFmtId="0">
      <sharedItems containsNonDate="0" containsBlank="1" count="124">
        <s v="Handheld CO2 Cannon MKII"/>
        <s v="CO2 Washers (10 pack)"/>
        <s v="CO2 Cylinder Link"/>
        <s v="Co2 Hose 15FT Standard Config"/>
        <s v="Volt View - True1 voltage detection device"/>
        <s v="Handheld MKII in travel case with 15ft hose"/>
        <s v="CO2 Tank Covers - 20lb Cover"/>
        <s v="Co2 Hose 08FT Standard Config"/>
        <s v="Samples, courtesy, etc."/>
        <m/>
        <s v="Pro Jet"/>
        <s v="Neutrik PowerCON True1 Cords - 6FT, Standard (Included)"/>
        <s v=" CO2 Output Terminator (Included)"/>
        <s v="Co2 Tank Attachment Tool (Included)"/>
        <s v="Co2 Hose 15FT Standard Config (Included)"/>
        <s v="LED Attachment for DMX Jet, DMX Jet MKII, and Pro Jet."/>
        <s v="ShoStarter DMX Controller with 3 &amp; 5 Pin Connectors in Box"/>
        <s v="Handheld MKII in travel case with 25ft hose"/>
        <s v="ShoStarter DMX Controller with 3 &amp; 5 Pin Connectors in Box - LOANER, TO BE RETURNED"/>
        <s v="The Button - with both 3 &amp; 5 pin DMX ports"/>
        <s v="Hose Extension Adapter"/>
        <s v="Micro CO2 Jet MKII"/>
        <s v="Neutrik PowerCON True1 Cords - 6FT, Standard"/>
        <s v="CO2 Tank Tool + Documentation"/>
        <s v="CO2 Tank Covers - 50lb Cover"/>
        <s v="Co2 Tank Attachment Tool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Special order CO2 Hose"/>
        <s v="CGA-320 to JIC adapter with nut and integrated o-ring"/>
        <s v="Replacement O-Ring - 2023 Quick Connects. EPDM"/>
        <s v="4 Port Co2 Manifold - 4x JIC 3/8&quot; Inlets, 1x JIC 3/8&quot; Outlet with Truss Bracket"/>
        <s v="2FT CO2 Hose (CGA-320 x Female JIC 3/8&quot;) For use with Manifold"/>
        <s v="Co2 Hose 25FT Standard Config"/>
        <s v="CO2 Tank Splitter"/>
        <s v="ShoMaster Console"/>
        <s v="Adapter for use with Manifold - to attach standard CGA-320 hose configuration"/>
        <s v="Confetti / Streamer Samples"/>
        <s v="Ball Mount Assembly for Cryo Clamp with 4x 10-32 x 3/8&quot; socket head screws (Replacement)"/>
        <s v="Truss clamp for CC2 with 1/2-13 x 3/4” CS screw"/>
        <s v="Handheld MKII in travel case with 8ft hose"/>
        <s v="Right Angle Adapter"/>
        <s v="Shipping upgrade to NDA"/>
        <s v="Teflon &amp; Brass seal for 1/4&quot; CO2 Valve"/>
        <s v="Co2 Hose 100FT Standard Config"/>
        <s v="Cryo Clamp II, 110v, Weatherproof CO2 Jet"/>
        <s v="Truss Clamp"/>
        <s v="Co2 Hose 05FT Standard Config"/>
        <s v="DMX Controlled Confetti Launcher"/>
        <s v="48v Safety Controller"/>
        <s v="Repair of Handhelds - Serial# 003447 &amp; 003448 - 1.5 Hours Labor"/>
        <s v="For Handheld MKII Revision 1"/>
        <s v="3/8&quot; Male Quick Connect Fitting BSPP thread female (Complementary)"/>
        <s v="Dash Number 331 - 70A durometer (Complementary)"/>
        <s v="Fully threaded (Complementary)"/>
        <s v="Dash Number 112 - 70A durometer (Complementary)"/>
        <s v="Countersunk head, black stainless steel"/>
        <s v="3 1/2FT CO2 Hose (CGA-320 x Female JIC 3/8&quot;) For use with Manifold"/>
        <s v="Used to add an additional input to 4 port manifold"/>
        <s v="Single CO2 Washer - International"/>
        <s v="International CO2 fitting 1/4&quot; NPT to DIN 477"/>
        <s v=" CO2 Output Terminator"/>
        <s v="Loaner ShoStarter - to be returned the week of 10/7"/>
        <s v="CO2 Tank Tool + Documentation (Included)"/>
        <s v="Truss Clamp for Micro Jet MKII w/ Hardware"/>
        <s v="Travel Case"/>
        <s v="Co2 Hose 15FT Extension Config"/>
        <s v="Club Cannon Barrel Band"/>
        <s v="Daisy Chain Adapter"/>
        <s v="Replacement Keys - Shomaster &amp; ShoStarter"/>
        <s v="Develop a custom mode for The Button to operate Ultratec IceBlast in conjunction with the Club Cannon LED Attachment II."/>
        <s v="Ball Mount Assembly for Cryo Clamp with 4x 10-32 x 3/8&quot; socket head screws"/>
        <s v="Repair of Shostarter Serial #00070"/>
        <s v="Short USB panel mount cable"/>
        <s v="#4 x 3/8&quot; Thread Forming Screws for Plastics (48-2) CS Steel Black - Micro Jet XLR Fasteners"/>
        <s v="Panel Componant Mounting Screw"/>
        <s v="Controller XLR used for controllers with both 3 and 5-pin DMX with 8-pin IDD connector"/>
        <s v="3D printed clip to secure IDC Cable"/>
        <s v="Large 2 Position Key switch with TE connector"/>
        <s v="25mm mounting diameter, 1NO1NC momentary type, RGB led 0V ring illuminated, Black aluminum"/>
        <s v="Micro Jet MKII Main PCB"/>
        <s v="Replacement O-Ring"/>
        <s v="Replacement Handheld MKII, 15FT CO2 Hose"/>
        <s v="6500-06-06-06"/>
        <s v="True1 In / Out momentary power controller"/>
        <s v="Bracket that gets installed on 4 port manifold. Can also be used on Cryo Clamp"/>
        <s v="Stainless screw for cryo clamp plate bracket"/>
        <s v="Used on 1/2&quot; Brackets and clamps"/>
        <s v="$200 credit for each DMX Jet trade-in"/>
        <s v="Co2 Hose 25FT Extension Config"/>
        <s v="Quad Jet 110v with 5 Pin DMX With Barrels"/>
        <s v="Co2 Hose 35FT Standard Config (Upgrade from 15FT)"/>
        <s v="T-Shirt Cannon Control Boxes x 18"/>
        <s v="Co2 Hose 08FT Daisy Chain"/>
        <s v="24x30 Road Case"/>
        <s v="24x30 Road Case Insert - Pro Jet (Included)"/>
        <s v="24x30 Road Case Insert - Top Tray Insert (Included)"/>
        <s v="Truss clamp for CC2 with 1/2-13 x 3/4” CS screw (Included)"/>
        <s v="Ball Mount Assembly for Cryo Clamp with 4x 10-32 x 3/8&quot; socket head screws (Complementary)"/>
        <s v="ISO-A Female Quick Connect - BSPP Thread"/>
        <s v="Co2 Hose 3.5FT Extension Config"/>
        <s v="CGA-320 Female to Female Quick Connect"/>
        <s v="Co2 Hose 35FT Standard Config"/>
        <s v="T-Shirt Cannon Control Box, 5 pin, 110v"/>
        <s v="M8 pressure sensor, servo extension cable"/>
        <s v="M8 barrel 3-pin male axial connection"/>
        <s v="M8 3P male to stripped wire, 3FT"/>
        <s v="Solenoid to M12 cable harness"/>
        <s v="Solenoid type B to M12 cable harness"/>
        <s v="Single Button DMX controller with 3 and 5 pin DMX and 7-Segment Display without Packaging"/>
        <s v="Single CO2 Washer"/>
        <s v="Co2 Tank Attachment Tool (Complementary)"/>
        <s v="Cryo Clamp II, 110v, Weatherproof CO2 Jet with JIC Inlet"/>
        <s v="Cryo Clamp wall mount bracket kit with included 1/2-13 x 3/4&quot; stainless pan head screw"/>
        <s v="Replacement Keys - The Button"/>
        <s v="220v Solenoid Coil"/>
        <s v="DIN cable with L6-20, 6FT"/>
        <s v="Top entry DIN cable with True1 connector, 5M / 16.5FT"/>
        <s v="Co2 Hose 50FT Standard Config (Upgrade from 15FT)"/>
        <s v="Daisy Chain Adapter (1/2&quot; JIC)"/>
      </sharedItems>
    </cacheField>
    <cacheField name="Order Quantity" numFmtId="0">
      <sharedItems containsNonDate="0" containsString="0" containsBlank="1" containsNumber="1" containsInteger="1" minValue="1" maxValue="180" count="19">
        <n v="1"/>
        <n v="2"/>
        <n v="12"/>
        <n v="6"/>
        <n v="4"/>
        <n v="3"/>
        <n v="9"/>
        <n v="10"/>
        <n v="5"/>
        <n v="11"/>
        <n v="36"/>
        <n v="20"/>
        <n v="8"/>
        <n v="40"/>
        <n v="76"/>
        <n v="30"/>
        <n v="60"/>
        <n v="180"/>
        <m/>
      </sharedItems>
    </cacheField>
    <cacheField name="Unit Price" numFmtId="0">
      <sharedItems containsNonDate="0" containsString="0" containsBlank="1" containsNumber="1" minValue="-800" maxValue="3999.99" count="113">
        <n v="399.99"/>
        <n v="9.99"/>
        <n v="119.99"/>
        <n v="149.99"/>
        <n v="79.98999999999999"/>
        <n v="599.99"/>
        <n v="49.99"/>
        <n v="109.99"/>
        <n v="0"/>
        <n v="135.5"/>
        <n v="974.9924999999999"/>
        <n v="599.9924999999999"/>
        <n v="899.9924999999999"/>
        <n v="142.66"/>
        <n v="472.4925"/>
        <n v="82.49250000000001"/>
        <n v="19.99"/>
        <n v="849.99"/>
        <n v="59.99"/>
        <n v="7.99"/>
        <n v="349.99"/>
        <n v="374.99"/>
        <n v="289.99"/>
        <n v="140.49"/>
        <n v="249.99"/>
        <n v="49.5"/>
        <n v="22.99"/>
        <n v="1.99"/>
        <n v="52.4"/>
        <n v="134.9925"/>
        <n v="48.7425"/>
        <n v="1199.99"/>
        <n v="50"/>
        <n v="3199.99"/>
        <n v="524.99"/>
        <n v="46.32"/>
        <n v="37.4925"/>
        <n v="549.99"/>
        <n v="99.98999999999999"/>
        <n v="7.191"/>
        <n v="387.49"/>
        <n v="37.49"/>
        <n v="499.99"/>
        <n v="3999.99"/>
        <n v="799.99"/>
        <n v="90"/>
        <n v="28.5"/>
        <n v="39.99"/>
        <n v="179.99"/>
        <n v="69.98999999999999"/>
        <n v="14.99"/>
        <n v="15"/>
        <n v="0.375"/>
        <n v="47.49"/>
        <n v="187.49"/>
        <n v="164.5"/>
        <n v="637.4924999999999"/>
        <n v="29.99"/>
        <n v="169.99"/>
        <n v="591.65"/>
        <n v="51.66"/>
        <n v="31.66"/>
        <n v="75.58"/>
        <n v="127.4915"/>
        <n v="101.9915"/>
        <n v="175.8"/>
        <n v="22.4925"/>
        <n v="12.99"/>
        <n v="64.98999999999999"/>
        <n v="1000"/>
        <n v="299.9925"/>
        <n v="81.90000000000001"/>
        <n v="19.875"/>
        <n v="9.7425"/>
        <n v="18.375"/>
        <n v="25.92391275"/>
        <n v="17.85"/>
        <n v="89.99250000000001"/>
        <n v="-446.99"/>
        <n v="5.434783"/>
        <n v="3.826087"/>
        <n v="-800"/>
        <n v="88.59999999999999"/>
        <n v="199.99"/>
        <n v="14"/>
        <n v="11.2425"/>
        <n v="2499.99"/>
        <n v="100"/>
        <n v="411.8"/>
        <n v="1199.9925"/>
        <n v="449.9925"/>
        <n v="14.9925"/>
        <n v="17.2425"/>
        <n v="374.9925"/>
        <n v="18.7425"/>
        <n v="128.4"/>
        <n v="63.7425"/>
        <n v="219.99"/>
        <n v="146.49"/>
        <n v="950"/>
        <n v="8"/>
        <n v="12"/>
        <n v="20"/>
        <n v="1299.99"/>
        <n v="235.4"/>
        <n v="13.6"/>
        <n v="35.5"/>
        <n v="135"/>
        <n v="40"/>
        <n v="150"/>
        <n v="16.5"/>
        <n v="7.49"/>
        <m/>
      </sharedItems>
    </cacheField>
    <cacheField name="Total Line Item $" numFmtId="0">
      <sharedItems containsNonDate="0" containsString="0" containsBlank="1" containsNumber="1" minValue="-800" maxValue="28500" count="168">
        <n v="399.99"/>
        <n v="19.98"/>
        <n v="1439.88"/>
        <n v="59.94"/>
        <n v="149.99"/>
        <n v="79.98999999999999"/>
        <n v="1199.98"/>
        <n v="199.96"/>
        <n v="109.99"/>
        <n v="0"/>
        <n v="135.5"/>
        <n v="5849.955"/>
        <n v="3599.955"/>
        <n v="899.9924999999999"/>
        <n v="142.66"/>
        <n v="944.985"/>
        <n v="82.49250000000001"/>
        <n v="19.99"/>
        <n v="849.99"/>
        <n v="59.99"/>
        <n v="7.99"/>
        <n v="349.99"/>
        <n v="239.98"/>
        <n v="749.98"/>
        <n v="119.98"/>
        <n v="579.98"/>
        <n v="280.98"/>
        <n v="499.98"/>
        <n v="99"/>
        <n v="45.98"/>
        <n v="7.96"/>
        <n v="52.4"/>
        <n v="269.985"/>
        <n v="97.485"/>
        <n v="1199.99"/>
        <n v="3399.96"/>
        <n v="200"/>
        <n v="99.98"/>
        <n v="9599.969999999999"/>
        <n v="9.99"/>
        <n v="22.99"/>
        <n v="49.99"/>
        <n v="699.98"/>
        <n v="119.99"/>
        <n v="524.99"/>
        <n v="799.98"/>
        <n v="46.32"/>
        <n v="5399.9325"/>
        <n v="374.925"/>
        <n v="1099.98"/>
        <n v="99.98999999999999"/>
        <n v="35.955"/>
        <n v="109.89"/>
        <n v="387.49"/>
        <n v="37.49"/>
        <n v="999.98"/>
        <n v="299.98"/>
        <n v="1699.98"/>
        <n v="549.99"/>
        <n v="199.98"/>
        <n v="23999.94"/>
        <n v="1599.98"/>
        <n v="90"/>
        <n v="57"/>
        <n v="159.98"/>
        <n v="599.99"/>
        <n v="39.98"/>
        <n v="79.98"/>
        <n v="1079.94"/>
        <n v="2519.64"/>
        <n v="179.88"/>
        <n v="29.97"/>
        <n v="599.95"/>
        <n v="15"/>
        <n v="2.25"/>
        <n v="224.955"/>
        <n v="79.95999999999999"/>
        <n v="47.49"/>
        <n v="187.49"/>
        <n v="164.5"/>
        <n v="2549.97"/>
        <n v="499.9"/>
        <n v="59.98"/>
        <n v="169.99"/>
        <n v="591.65"/>
        <n v="51.66"/>
        <n v="31.66"/>
        <n v="75.58"/>
        <n v="509.966"/>
        <n v="407.966"/>
        <n v="175.8"/>
        <n v="9749.924999999999"/>
        <n v="5999.925"/>
        <n v="224.925"/>
        <n v="12.99"/>
        <n v="129.98"/>
        <n v="1000"/>
        <n v="50"/>
        <n v="299.9925"/>
        <n v="599.9924999999999"/>
        <n v="81.90000000000001"/>
        <n v="89.97"/>
        <n v="19.875"/>
        <n v="9.7425"/>
        <n v="18.375"/>
        <n v="25.92391275"/>
        <n v="1.99"/>
        <n v="100"/>
        <n v="79.92"/>
        <n v="17.85"/>
        <n v="539.955"/>
        <n v="359.97"/>
        <n v="-446.99"/>
        <n v="259.96"/>
        <n v="21.739132"/>
        <n v="15.304348"/>
        <n v="-800"/>
        <n v="88.59999999999999"/>
        <n v="3899.97"/>
        <n v="479.96"/>
        <n v="399.98"/>
        <n v="14"/>
        <n v="299.94"/>
        <n v="89.94"/>
        <n v="2499.99"/>
        <n v="400"/>
        <n v="799.96"/>
        <n v="1199.9"/>
        <n v="3199.99"/>
        <n v="411.8"/>
        <n v="412.4625"/>
        <n v="1199.9925"/>
        <n v="449.9925"/>
        <n v="134.955"/>
        <n v="89.955"/>
        <n v="68.97"/>
        <n v="1499.97"/>
        <n v="112.455"/>
        <n v="128.4"/>
        <n v="2549.7"/>
        <n v="3704.43"/>
        <n v="219.99"/>
        <n v="599.9"/>
        <n v="249.99"/>
        <n v="146.49"/>
        <n v="28500"/>
        <n v="840"/>
        <n v="480"/>
        <n v="360"/>
        <n v="3600"/>
        <n v="39.96"/>
        <n v="2599.98"/>
        <n v="235.4"/>
        <n v="1499.9625"/>
        <n v="13.6"/>
        <n v="37.4925"/>
        <n v="29.99"/>
        <n v="59.97"/>
        <n v="719.9400000000001"/>
        <n v="199.99"/>
        <n v="35.5"/>
        <n v="1620"/>
        <n v="240"/>
        <n v="600"/>
        <n v="16.5"/>
        <n v="449.85"/>
        <n v="14.98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B2:I498" sheet="August 2024"/>
  </cacheSource>
  <cacheFields count="8">
    <cacheField name="Sales Order" numFmtId="0">
      <sharedItems containsNonDate="0" count="216">
        <s v="5501"/>
        <s v="5500"/>
        <s v="5497"/>
        <s v="5495"/>
        <s v="5492"/>
        <s v="5491"/>
        <s v="5496"/>
        <s v="5499"/>
        <s v="5498"/>
        <s v="5490"/>
        <s v="5489"/>
        <s v="5488"/>
        <s v="5487"/>
        <s v="5486"/>
        <s v="5485"/>
        <s v="5484"/>
        <s v="5483"/>
        <s v="5482"/>
        <s v="5481"/>
        <s v="5480"/>
        <s v="5479"/>
        <s v="5478"/>
        <s v="5477"/>
        <s v="5474"/>
        <s v="5470"/>
        <s v="5467"/>
        <s v="5466"/>
        <s v="5468"/>
        <s v="5469"/>
        <s v="5471"/>
        <s v="5475"/>
        <s v="5476"/>
        <s v="5473"/>
        <s v="5465"/>
        <s v="5463"/>
        <s v="5462"/>
        <s v="5461"/>
        <s v="5459"/>
        <s v="5458"/>
        <s v="5457"/>
        <s v="5454"/>
        <s v="5464"/>
        <s v="5455"/>
        <s v="5456"/>
        <s v="5460"/>
        <s v="5453"/>
        <s v="5452"/>
        <s v="5451"/>
        <s v="5450"/>
        <s v="5449"/>
        <s v="5448"/>
        <s v="5447"/>
        <s v="5446"/>
        <s v="5445"/>
        <s v="5441"/>
        <s v="5437"/>
        <s v="5436"/>
        <s v="5435"/>
        <s v="5444"/>
        <s v="5440"/>
        <s v="5438"/>
        <s v="5443"/>
        <s v="5439"/>
        <s v="5442"/>
        <s v="5434"/>
        <s v="5433"/>
        <s v="5432"/>
        <s v="5431"/>
        <s v="5430"/>
        <s v="5428"/>
        <s v="5427"/>
        <s v="5425"/>
        <s v="5424"/>
        <s v="5429"/>
        <s v="5420"/>
        <s v="5419"/>
        <s v="5416"/>
        <s v="5415"/>
        <s v="5414"/>
        <s v="5413"/>
        <s v="5411"/>
        <s v="5410"/>
        <s v="5409"/>
        <s v="5423"/>
        <s v="5418"/>
        <s v="5422"/>
        <s v="5412"/>
        <s v="5408"/>
        <s v="5407"/>
        <s v="5406"/>
        <s v="5404"/>
        <s v="5399"/>
        <s v="5398"/>
        <s v="5396"/>
        <s v="5395"/>
        <s v="5394"/>
        <s v="5393"/>
        <s v="5392"/>
        <s v="5390"/>
        <s v="5397"/>
        <s v="5387"/>
        <s v="5385"/>
        <s v="5383"/>
        <s v="5382"/>
        <s v="5381"/>
        <s v="5380"/>
        <s v="5379"/>
        <s v="5378"/>
        <s v="5377"/>
        <s v="5388"/>
        <s v="5389"/>
        <s v="5384"/>
        <s v="5386"/>
        <s v="5376"/>
        <s v="5371"/>
        <s v="5372"/>
        <s v="5373"/>
        <s v="5375"/>
        <s v="5374"/>
        <s v="5370"/>
        <s v="5369"/>
        <s v="5368"/>
        <s v="5367"/>
        <s v="5365"/>
        <s v="5364"/>
        <s v="5366"/>
        <s v="5363"/>
        <s v="5361"/>
        <s v="5358"/>
        <s v="5359"/>
        <s v="5362"/>
        <s v="5360"/>
        <s v="5357"/>
        <s v="5356"/>
        <s v="5354"/>
        <s v="5353"/>
        <s v="5351"/>
        <s v="5350"/>
        <s v="5352"/>
        <s v="5355"/>
        <s v="5343"/>
        <s v="5342"/>
        <s v="5341"/>
        <s v="5340"/>
        <s v="5339"/>
        <s v="5338"/>
        <s v="5349"/>
        <s v="5344"/>
        <s v="5346"/>
        <s v="5348"/>
        <s v="5345"/>
        <s v="5334"/>
        <s v="5332"/>
        <s v="5331"/>
        <s v="5336"/>
        <s v="5333"/>
        <s v="5335"/>
        <s v="5337"/>
        <s v="5330"/>
        <s v="5329"/>
        <s v="5328"/>
        <s v="5327"/>
        <s v="5326"/>
        <s v="5325"/>
        <s v="5322"/>
        <s v="5321"/>
        <s v="5320"/>
        <s v="5319"/>
        <s v="5324"/>
        <s v="5323"/>
        <s v="5316"/>
        <s v="5315"/>
        <s v="5314"/>
        <s v="5311"/>
        <s v="5310"/>
        <s v="5317"/>
        <s v="5313"/>
        <s v="5318"/>
        <s v="5312"/>
        <s v="5309"/>
        <s v="5308"/>
        <s v="5307"/>
        <s v="5306"/>
        <s v="5305"/>
        <s v="5304"/>
        <s v="5303"/>
        <s v="5300"/>
        <s v="5299"/>
        <s v="5298"/>
        <s v="5297"/>
        <s v="5302"/>
        <s v="5301"/>
        <s v="5296"/>
        <s v="5295"/>
        <s v="5294"/>
        <s v="5293"/>
        <s v="5292"/>
        <s v="5291"/>
        <s v="5290"/>
        <s v="5289"/>
        <s v="5287"/>
        <s v="5284"/>
        <s v="5285"/>
        <s v="5288"/>
        <s v="5283"/>
        <s v="5282"/>
        <s v="5281"/>
        <s v="5280"/>
        <s v="5279"/>
        <s v="5276"/>
        <s v="5275"/>
        <s v="5277"/>
        <s v="5278"/>
        <s v="5271"/>
        <s v="5272"/>
        <s v="5273"/>
      </sharedItems>
    </cacheField>
    <cacheField name="Customer" numFmtId="0">
      <sharedItems containsNonDate="0" count="185">
        <s v="Esteban Orjuela"/>
        <s v="HUGO FELICIANO"/>
        <s v="Faisal Mohammed"/>
        <s v="Bikram Singh"/>
        <s v="Keigo Fujinaga"/>
        <s v="Hank Chang"/>
        <s v="Munnerlyn Pyrotecnics"/>
        <s v="Image Engineering"/>
        <s v="Malcolm Brinkley"/>
        <s v="Joseph Hernandez"/>
        <s v="Chris Miller"/>
        <s v="Brent Schmidt"/>
        <s v="Maheeb Jaouni"/>
        <s v="LUIS DURAN"/>
        <s v="Tyler Vandenberg"/>
        <s v="Brian Hartsock"/>
        <s v="Taylor Schriber"/>
        <s v="Mark Bova"/>
        <s v="Carlton Gear"/>
        <s v="Marcus Ketcham"/>
        <s v="Hector Ramirez"/>
        <s v="David Mosley"/>
        <s v="Ismael Luna"/>
        <s v="Joel Deslauriers"/>
        <s v="Ronald Martin"/>
        <s v="CHRISTIAN DELA VEGA"/>
        <s v="Chris Valentin"/>
        <s v="GERMAN VALENCIA"/>
        <s v="Khalil Charif"/>
        <s v="Chris Burma"/>
        <s v="Monkey Wrench Productions"/>
        <s v="Morgan Rosser"/>
        <s v="Don Henry"/>
        <s v="Edwin Raymundo"/>
        <s v="Michael Nelson"/>
        <s v="Jesse Landes"/>
        <s v="kelvin lopez"/>
        <s v="San Clemente High School Attn Matt Reid"/>
        <s v="SFX Solutions"/>
        <s v="Emerson Wellens"/>
        <s v="Edgar Rojas"/>
        <s v="Gear Club Direct "/>
        <s v="Gurpreet Chana"/>
        <s v="Jason Waugh"/>
        <s v="Ron Allen"/>
        <s v="Cole Walters"/>
        <s v="Lile Lavaki"/>
        <s v="Isaac Cervantez"/>
        <s v="Eliahou Yazdi"/>
        <s v="Gregory Garman"/>
        <s v="Kristen Miner"/>
        <s v="Adam Averback"/>
        <s v="michael egan"/>
        <s v="Stephen Gribble"/>
        <s v="Braydon Lofstead"/>
        <s v="Special FX Rentals"/>
        <s v="Dustin Raphael"/>
        <s v="Subzero Contractors"/>
        <s v="Hillsborough County Sheriffs Office"/>
        <s v="PYROTECNICO"/>
        <s v="Michael Clark"/>
        <s v="Gregory Papageorge"/>
        <s v="paul rozsa"/>
        <s v="christian alary"/>
        <s v="James Thompson"/>
        <s v="Haroon Samuel"/>
        <s v="Brian Buonassissi"/>
        <s v="Thomas Kendall"/>
        <s v="Monica Mundi"/>
        <s v="Dale Robble"/>
        <s v="Jhonatan amaya"/>
        <s v="Kelly Jacobsmeyer"/>
        <s v="Carrie Pierce"/>
        <s v="Craig Bailey"/>
        <s v="Isaac Tellez"/>
        <s v="Hector Bueno"/>
        <s v="martin cruz vargas"/>
        <s v="David Belogolovsky"/>
        <s v="Tyler Sherman"/>
        <s v="Kevin Colby"/>
        <s v="Jules Harrap"/>
        <s v="Jean-Francois Laroche"/>
        <s v="Cole Bibler"/>
        <s v="Casey Cluett"/>
        <s v="Robert Beavers"/>
        <s v="Michael Russo"/>
        <s v="SAHR BUNDOR"/>
        <s v="Kevin Markey"/>
        <s v="JAY PATEL"/>
        <s v="Nadia Gonzalez"/>
        <s v="(Kevin Tinker) Me"/>
        <s v="Hector Perez"/>
        <s v="Britney Argueta"/>
        <s v="Daniel Brock"/>
        <s v="Patricia Ayala"/>
        <s v="Kurt Davis"/>
        <s v="Marcus Lindsay"/>
        <s v="Shawn Balch"/>
        <s v="Dade Nunnally"/>
        <s v="V2 Productions"/>
        <s v="Jeff Brown"/>
        <s v="Springfield Spartans"/>
        <s v="Michael Wheeler"/>
        <s v="Image SFX"/>
        <s v="Dios Vazquez"/>
        <s v="Disney Cruise Line"/>
        <s v="AFX Pro / Jackie Johnson"/>
        <s v="Cooper Brown"/>
        <s v="Edwin Lau"/>
        <s v="Cory Colwell"/>
        <s v="Chris Jachimowicz"/>
        <s v="Cory Barron"/>
        <s v="Jeff Wicke"/>
        <s v="Ernesto Canas"/>
        <s v="Chris McCabe"/>
        <s v="Joey Jensen"/>
        <s v="TMS Omaha"/>
        <s v="Ernesto Blanco"/>
        <s v="Paul Kelly"/>
        <s v="Benjamin Sherrick"/>
        <s v="Brian Quinones"/>
        <s v="Brandon Spencer"/>
        <s v="Juan Ramirez"/>
        <s v="Morgan Carmona"/>
        <s v="Starsound Audio Inc"/>
        <s v="Cheng Lin"/>
        <s v="John Kincaid"/>
        <s v="Patrick Sweeney"/>
        <s v="JOHN Riggs"/>
        <s v="Adrian Arango"/>
        <s v="University of Alabama"/>
        <s v="ER Productions"/>
        <s v="Tim Young"/>
        <s v="W RENTALL Chile SPA "/>
        <s v="Sean Manuel"/>
        <s v="Alexander Linde"/>
        <s v="Bradlee Skinner"/>
        <s v="Gina McKinney"/>
        <s v="niko alvertos"/>
        <s v="Joshua Palace"/>
        <s v="Austin Boyd"/>
        <s v="Sarah Georgiou"/>
        <s v="Martin Woytas"/>
        <s v="Jennifer Larocco"/>
        <s v="Daniel Cole"/>
        <s v="Cory Leonardo"/>
        <s v="Robert Chapman"/>
        <s v="Julius Brown"/>
        <s v="JOSE ANTONIO MAR HERNANDEZ"/>
        <s v="Estefania Urban"/>
        <s v="Gagandeep Singh"/>
        <s v="Daniel LaPlante"/>
        <s v="Anthony LoBosco"/>
        <s v="GREG ERMANN"/>
        <s v="Carrie Robertson"/>
        <s v="Jim Meland"/>
        <s v="Shadow Mountain Productions"/>
        <s v="Jamey Bearb"/>
        <s v="Cristian Cortes Gallardo"/>
        <s v="James Manger"/>
        <s v="Justin Thomas"/>
        <s v="Gurjant Dhillon"/>
        <s v="Brenden Chrisman"/>
        <s v="Patrick Day"/>
        <s v="Gilbert Apodaca"/>
        <s v="Tyler Shawaf"/>
        <s v="Eric Terzyan"/>
        <s v="Sammy Muto"/>
        <s v="Ella Karabedian"/>
        <s v="Jon Batz-Owings"/>
        <s v="Two Nickel Touring"/>
        <s v="LUIS SALGADO"/>
        <s v="philip williams"/>
        <s v="Tiffany Bindel"/>
        <s v="Amier Sadegh"/>
        <s v="Hans Rittinger"/>
        <s v="Advanced Entertainment Services"/>
        <s v="Ken Duong"/>
        <s v="PARVINDER SINGH"/>
        <s v="Christian Wooldridge"/>
        <s v="David Foster"/>
        <s v="Brian Nolan"/>
        <s v="danny ibraheem"/>
        <s v="Brian Porter"/>
        <s v="Christian Mendez"/>
      </sharedItems>
    </cacheField>
    <cacheField name="Ordered Date" numFmtId="0">
      <sharedItems containsSemiMixedTypes="0" containsNonDate="0" containsDate="1" containsString="0" minDate="2024-08-01T00:00:00" maxDate="2024-08-31T15:28:26" count="170">
        <d v="2024-08-31T15:28:26"/>
        <d v="2024-08-31T00:31:07"/>
        <d v="2024-08-30T19:50:47"/>
        <d v="2024-08-30T17:50:58"/>
        <d v="2024-08-30T07:29:01"/>
        <d v="2024-08-30T02:52:36"/>
        <d v="2024-08-30T00:00:00"/>
        <d v="2024-08-29T22:28:33"/>
        <d v="2024-08-29T22:19:06"/>
        <d v="2024-08-29T22:11:08"/>
        <d v="2024-08-29T20:59:54"/>
        <d v="2024-08-29T20:40:17"/>
        <d v="2024-08-29T20:08:56"/>
        <d v="2024-08-29T19:36:12"/>
        <d v="2024-08-29T19:16:27"/>
        <d v="2024-08-29T17:37:54"/>
        <d v="2024-08-29T14:46:44"/>
        <d v="2024-08-29T09:37:22"/>
        <d v="2024-08-29T01:28:27"/>
        <d v="2024-08-28T23:53:31"/>
        <d v="2024-08-28T23:44:05"/>
        <d v="2024-08-28T20:43:23"/>
        <d v="2024-08-28T16:17:05"/>
        <d v="2024-08-28T14:15:55"/>
        <d v="2024-08-28T00:14:17"/>
        <d v="2024-08-28T00:00:00"/>
        <d v="2024-08-27T21:31:29"/>
        <d v="2024-08-27T20:20:56"/>
        <d v="2024-08-27T20:18:02"/>
        <d v="2024-08-27T18:13:02"/>
        <d v="2024-08-27T17:25:58"/>
        <d v="2024-08-27T17:00:50"/>
        <d v="2024-08-27T15:33:59"/>
        <d v="2024-08-27T03:13:29"/>
        <d v="2024-08-27T00:00:00"/>
        <d v="2024-08-26T23:51:56"/>
        <d v="2024-08-26T23:39:05"/>
        <d v="2024-08-26T22:51:32"/>
        <d v="2024-08-26T22:36:40"/>
        <d v="2024-08-26T21:11:06"/>
        <d v="2024-08-26T20:29:47"/>
        <d v="2024-08-26T20:26:21"/>
        <d v="2024-08-26T20:08:58"/>
        <d v="2024-08-26T20:06:24"/>
        <d v="2024-08-26T17:01:45"/>
        <d v="2024-08-26T14:24:48"/>
        <d v="2024-08-26T02:51:36"/>
        <d v="2024-08-26T00:31:03"/>
        <d v="2024-08-26T00:00:00"/>
        <d v="2024-08-25T18:31:56"/>
        <d v="2024-08-24T15:34:47"/>
        <d v="2024-08-24T12:48:01"/>
        <d v="2024-08-23T21:51:11"/>
        <d v="2024-08-23T21:41:04"/>
        <d v="2024-08-23T21:31:13"/>
        <d v="2024-08-23T16:12:57"/>
        <d v="2024-08-23T14:00:44"/>
        <d v="2024-08-23T10:36:07"/>
        <d v="2024-08-23T00:00:00"/>
        <d v="2024-08-22T19:28:26"/>
        <d v="2024-08-22T19:09:16"/>
        <d v="2024-08-22T16:42:23"/>
        <d v="2024-08-22T15:06:18"/>
        <d v="2024-08-22T14:46:20"/>
        <d v="2024-08-22T14:19:10"/>
        <d v="2024-08-22T13:31:15"/>
        <d v="2024-08-22T08:15:33"/>
        <d v="2024-08-22T06:09:38"/>
        <d v="2024-08-22T00:00:00"/>
        <d v="2024-08-21T23:12:25"/>
        <d v="2024-08-21T20:32:20"/>
        <d v="2024-08-21T20:07:55"/>
        <d v="2024-08-21T18:42:58"/>
        <d v="2024-08-21T18:11:35"/>
        <d v="2024-08-21T16:51:23"/>
        <d v="2024-08-21T15:53:45"/>
        <d v="2024-08-21T14:47:52"/>
        <d v="2024-08-21T14:06:22"/>
        <d v="2024-08-21T13:49:32"/>
        <d v="2024-08-21T12:50:56"/>
        <d v="2024-08-21T00:25:15"/>
        <d v="2024-08-21T00:00:00"/>
        <d v="2024-08-20T19:29:01"/>
        <d v="2024-08-20T18:36:32"/>
        <d v="2024-08-20T17:39:59"/>
        <d v="2024-08-20T17:17:25"/>
        <d v="2024-08-20T16:07:35"/>
        <d v="2024-08-20T14:38:29"/>
        <d v="2024-08-20T05:13:47"/>
        <d v="2024-08-20T02:12:33"/>
        <d v="2024-08-20T00:04:56"/>
        <d v="2024-08-20T00:00:00"/>
        <d v="2024-08-19T22:24:24"/>
        <d v="2024-08-19T00:00:00"/>
        <d v="2024-08-17T18:08:25"/>
        <d v="2024-08-16T22:25:01"/>
        <d v="2024-08-16T21:48:42"/>
        <d v="2024-08-16T21:38:55"/>
        <d v="2024-08-16T15:54:05"/>
        <d v="2024-08-16T15:44:02"/>
        <d v="2024-08-16T00:00:00"/>
        <d v="2024-08-15T22:18:16"/>
        <d v="2024-08-15T16:15:58"/>
        <d v="2024-08-15T00:00:00"/>
        <d v="2024-08-14T23:11:56"/>
        <d v="2024-08-14T22:31:07"/>
        <d v="2024-08-14T19:44:50"/>
        <d v="2024-08-14T19:13:02"/>
        <d v="2024-08-14T15:17:58"/>
        <d v="2024-08-14T06:20:32"/>
        <d v="2024-08-14T00:00:00"/>
        <d v="2024-08-13T17:18:22"/>
        <d v="2024-08-13T16:49:44"/>
        <d v="2024-08-13T13:57:58"/>
        <d v="2024-08-13T10:04:59"/>
        <d v="2024-08-13T04:25:21"/>
        <d v="2024-08-13T00:22:09"/>
        <d v="2024-08-13T00:00:00"/>
        <d v="2024-08-12T16:04:43"/>
        <d v="2024-08-12T12:58:07"/>
        <d v="2024-08-12T01:01:11"/>
        <d v="2024-08-12T00:00:00"/>
        <d v="2024-08-11T18:39:00"/>
        <d v="2024-08-11T07:40:08"/>
        <d v="2024-08-11T04:10:22"/>
        <d v="2024-08-10T23:28:10"/>
        <d v="2024-08-10T15:47:13"/>
        <d v="2024-08-09T22:14:16"/>
        <d v="2024-08-09T16:36:55"/>
        <d v="2024-08-09T14:49:09"/>
        <d v="2024-08-09T08:24:25"/>
        <d v="2024-08-09T02:27:52"/>
        <d v="2024-08-09T00:00:00"/>
        <d v="2024-08-08T19:56:35"/>
        <d v="2024-08-08T18:51:09"/>
        <d v="2024-08-08T18:23:25"/>
        <d v="2024-08-08T03:59:47"/>
        <d v="2024-08-08T01:16:30"/>
        <d v="2024-08-08T00:00:00"/>
        <d v="2024-08-07T23:51:00"/>
        <d v="2024-08-07T23:38:20"/>
        <d v="2024-08-07T22:28:13"/>
        <d v="2024-08-07T21:13:44"/>
        <d v="2024-08-07T20:59:12"/>
        <d v="2024-08-07T20:45:56"/>
        <d v="2024-08-07T19:48:50"/>
        <d v="2024-08-07T05:20:42"/>
        <d v="2024-08-07T05:14:59"/>
        <d v="2024-08-07T04:10:45"/>
        <d v="2024-08-07T02:33:15"/>
        <d v="2024-08-07T00:00:00"/>
        <d v="2024-08-06T22:45:04"/>
        <d v="2024-08-06T22:44:58"/>
        <d v="2024-08-06T19:43:53"/>
        <d v="2024-08-06T19:24:44"/>
        <d v="2024-08-06T00:00:00"/>
        <d v="2024-08-05T21:38:40"/>
        <d v="2024-08-05T17:32:55"/>
        <d v="2024-08-05T07:54:34"/>
        <d v="2024-08-05T00:00:00"/>
        <d v="2024-08-04T22:23:58"/>
        <d v="2024-08-04T17:27:48"/>
        <d v="2024-08-04T15:14:32"/>
        <d v="2024-08-03T01:06:27"/>
        <d v="2024-08-02T23:48:11"/>
        <d v="2024-08-02T15:23:17"/>
        <d v="2024-08-02T04:31:07"/>
        <d v="2024-08-02T00:00:00"/>
        <d v="2024-08-01T14:21:52"/>
        <d v="2024-08-01T00:00:00"/>
      </sharedItems>
      <fieldGroup base="2">
        <rangePr startDate="2024-08-01T00:00:00" endDate="2024-08-31T15:28:26" groupBy="days"/>
        <groupItems count="368">
          <s v="&lt;08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8/31/2024"/>
        </groupItems>
      </fieldGroup>
    </cacheField>
    <cacheField name="Line Item Name" numFmtId="0">
      <sharedItems containsNonDate="0" count="116">
        <s v="CC-HCCMKII-08-NC"/>
        <s v="CC-AC-ROR2"/>
        <s v="CC-HCCMKII-15-TC"/>
        <s v="CC-CTC-50"/>
        <s v="CC-HCCMKII-08-TC"/>
        <s v="CC-CTC-20"/>
        <s v="Shipping Charges"/>
        <s v="CC-CH-15-STD"/>
        <s v="CC-AC-CTAT"/>
        <s v="Quad Jet Foam Insert Pad"/>
        <s v="Quad Jet Foam Set"/>
        <s v="MagicFX Switchpack II"/>
        <s v="CC-TB-35"/>
        <s v="CC-HCCMKII-15-NC"/>
        <s v="CC-WASH-10"/>
        <s v="CC-CH-15-EXT"/>
        <s v="CC-SS-35"/>
        <s v="CC-PROJ-5-110"/>
        <s v="CC-NPTC-06-STD"/>
        <s v="CC-F-COT"/>
        <s v="CC-AC-OP"/>
        <s v="CC-AC-RAA"/>
        <s v="CC-MJMKII-3-110"/>
        <s v="CC-AC-PMA"/>
        <s v="CC-AC-CLAMP-MJMKII-KIT"/>
        <s v="CC-AC-CCL"/>
        <s v=" CC-AC-CGAJIC-SET - 1"/>
        <s v="CC-CH-35-DSY"/>
        <s v="CC-CH-25-EXT"/>
        <s v="CC-CH-50-STD"/>
        <s v="CC-CC2-110"/>
        <s v="CC-AC-CLAMP-CC2-KIT"/>
        <s v="CC-AC-BM-KIT"/>
        <s v="CC-CH-08-STD"/>
        <s v="Obsidian RP2 Relay Pack"/>
        <s v="MagicFX Red Button"/>
        <s v="CC-T1M-T1F-2X"/>
        <s v="CC-SM-5"/>
        <s v="CC-T1M-515F-08in"/>
        <s v="Shipping Fees"/>
        <s v="CC-CCDINT1-16"/>
        <s v="General Purpose Shipper"/>
        <s v="CC-F-MFDCGAJIC"/>
        <s v="CC-F-HEA"/>
        <s v="CC-AC-TC"/>
        <s v="CC-MJMKII-5-110"/>
        <s v="Cryo Clamp Valve Assembly"/>
        <s v="The Button Main PCB"/>
        <s v="IDC Cable Clip"/>
        <s v="The Button 3/5Pin Unpacked"/>
        <s v="Repair"/>
        <s v="CC-VV-KIT"/>
        <s v="The Button Key Assembly - 1"/>
        <s v="Flat Button Interior Overlay Assembly - 1"/>
        <s v="Flat Button Clear Top Lens"/>
        <s v="CO2-T - BSPP"/>
        <s v="CC-F-MQCBSPPF"/>
        <s v="110v Solenoid Coil"/>
        <s v="50FT CO2 HOSE - 3/8&quot; (BSPP x JIC #6)"/>
        <s v="3/8” BSPP Bonding Washer Seal"/>
        <s v="3/8&quot; JIC Female Swivel x 3/8&quot; BSPP Female"/>
        <s v="MagicFX SFX Safety ARM Controller"/>
        <s v="CC-AC-4PM"/>
        <s v="CC-F-DCHA"/>
        <s v="CC-AC-CTS - 1"/>
        <s v="CC-CH-05-STD - 01"/>
        <s v="Tax: 0%"/>
        <s v="CC-QJ-5-110-WP"/>
        <s v="CC-RC-2430"/>
        <s v="CC-RC-2430-QJF"/>
        <s v="CC-RC-2430-TTI"/>
        <s v="CC-CH-35-STD"/>
        <s v="10A Fuse"/>
        <s v="Panel Mount Fuse Holder"/>
        <s v="CC-QJ-5-110"/>
        <s v="CC-AC-CLAMP"/>
        <s v="CC-AC-LA2"/>
        <s v="CC-CH-25-STD"/>
        <s v="Tax: CA Tax (8.75%)"/>
        <s v="CC-CH-05-MFD"/>
        <s v="CC-AC-CTS-1"/>
        <s v="MagicFX ARM SFX SAFETY TERMINATOR"/>
        <s v="CC-SS-STR15-SM"/>
        <s v="CC-SS-STR30-SM"/>
        <s v="25FT CO2 HOSE - 3/8&quot; (BSPP x JIC #6)"/>
        <s v="100FT CO2 HOSE - 3/8&quot; (BSPP x JIC #6)"/>
        <s v="6FJ-6SB"/>
        <s v="Custom Hose Charge"/>
        <s v="CC-PROJ-5-220"/>
        <s v="CO2 Valve Replacement Seal"/>
        <s v="CC-CH-XX-EXT"/>
        <s v="CC-CH-XX-DSY"/>
        <s v="CC-NPTC-10-DSY"/>
        <s v="CC-NPTC-25-DSY"/>
        <s v="CC-AC-ROR"/>
        <s v="CC-AC-4PM-QC"/>
        <s v="CC-CH-100-STD"/>
        <s v="CC-PROJ-5-110-JIC"/>
        <s v="CC-CH-02-MFD"/>
        <s v="JIC Elbow - 3/8&quot; JIC male x 3/8&quot; JIC Female "/>
        <s v="3/8&quot; NPT Female x 3/8&quot; JIC Female 6506-06-06"/>
        <s v="Club Cannon Device Programmer - IDC"/>
        <s v="Compressible-Stem Push-In Bumpers"/>
        <s v="#12 x 1/2&quot; High Low Thread Forming Screws / Phillips / Pan Head / Steel / Black Zinc"/>
        <s v="Mocap 1/2” hole cap"/>
        <s v="CC-RC-2430-PJI"/>
        <s v="CC-CH-03.5-MFD"/>
        <s v="CC-CH-15-DSY"/>
        <s v="CC-AC-SMK"/>
        <s v="CC-CH-05-DSY"/>
        <s v="White Powder Coat"/>
        <s v="CC-CC2-110-JIC"/>
        <s v="CC-CH-08-DSY"/>
        <s v="5in Nextion Screen Assembly"/>
        <s v="Emergency Stop Button Assembly"/>
        <s v="Micro Jet Barrel Assembly"/>
      </sharedItems>
    </cacheField>
    <cacheField name="Line Item Description" numFmtId="0">
      <sharedItems containsNonDate="0" containsBlank="1" count="151">
        <s v="Handheld CO2 Cannon MKII"/>
        <s v="Replacement O-Ring - 2023 Quick Connects. EPDM"/>
        <s v="Handheld MKII in travel case with 15ft hose"/>
        <s v="CO2 Tank Covers - 50lb Cover"/>
        <s v="Handheld MKII in travel case with 8ft hose"/>
        <s v="CO2 Tank Covers - 20lb Cover"/>
        <s v="Overnight Delivery to Charolette and Return Labels"/>
        <s v="Co2 Hose 15FT Standard Config - LOANER, TO BE RETURNED"/>
        <s v="Co2 Tank Attachment Tool - LOANER, TO BE RETURNED"/>
        <s v="rectangular quad jet packing piece"/>
        <s v="two perforated quad jet foam inserts"/>
        <m/>
        <s v="4 Channel True1 DMX Relay - Rainproof"/>
        <s v="The Button - with both 3 &amp; 5 pin DMX ports"/>
        <s v="CO2 Washers (10 pack)"/>
        <s v="Co2 Hose 15FT Extension Config"/>
        <s v="ShoStarter DMX Controller with 3 &amp; 5 Pin Connectors in Box"/>
        <s v="Pro Jet"/>
        <s v="Neutrik PowerCON True1 Cords - 6FT, Standard"/>
        <s v=" CO2 Output Terminator"/>
        <s v="CO2 Tank Tool + Documentation"/>
        <s v="Co2 Hose 15FT Standard Config"/>
        <s v="Right Angle Adapter"/>
        <s v="Micro CO2 Jet MKII"/>
        <s v="1/4&quot; TS Power mode Adapter"/>
        <s v="Truss Clamp for Micro Jet MKII w/ Hardware"/>
        <s v="CO2 Cylinder Link"/>
        <s v="CGA-320 to JIC adapter with nut and integrated o-ring"/>
        <s v="Co2 Tank Attachment Tool"/>
        <s v="Co2 Hose 35FT Daisy Chain"/>
        <s v="Co2 Hose 25FT Extension Config"/>
        <s v="Co2 Hose 50FT Standard Config"/>
        <s v="Cryo Clamp II, 110v, Weatherproof CO2 Jet"/>
        <s v="Truss clamp for CC2 with 1/2-13 x 3/4” CS screw (included)"/>
        <s v="Ball Mount Assembly for Cryo Clamp with 4x 10-32 x 3/8&quot; socket head screws"/>
        <s v="Co2 Hose 08FT Standard Config"/>
        <s v="2 Output DMX Relay with Timer"/>
        <s v="True1 In / Out momentary power controller"/>
        <s v="NAC3MX-W-TOP to 2x NAC3FX-W-TOP - True1 2 way splitter"/>
        <s v="ShoMaster Console"/>
        <s v="True1 Male to Nema 5-15 Female Output Adapter 8in"/>
        <s v="Top entry DIN cable with True1 connector, 5M / 16.5FT"/>
        <s v="110v Pro Jets x4 exchange for 220v units"/>
        <s v="Adapter for use with Manifold - to attach standard CGA-320 hose configuration"/>
        <s v="Hose Extension Adapter"/>
        <s v="Travel Case"/>
        <s v="Micro CO2 Jet MKII, 5 pin, 110v"/>
        <s v="Neutrik PowerCON True1 Cords - 6FT, Standard (Included)"/>
        <s v="CO2 valve with BSPP MQC x BSPP FQC w/ 6FT DIN to NEMA 5-15"/>
        <s v="The Button Main PCB - Warranty"/>
        <s v="Clip to secure IDC Cable from coming unplugged"/>
        <s v="Single Button DMX controller with 3 and 5 pin DMX and 7-Segment Display without Packaging"/>
        <s v="Repair of Handheld MKII"/>
        <s v="Volt View - True1 voltage detection device"/>
        <s v="Repair of The Button, Serial# 31444, RMA# 2939."/>
        <s v="Key Switch with Wires and JST Connector for The Button"/>
        <s v="3d printed white Plastic overlay window and grey Acrylic for display"/>
        <s v="Med Grey Clear top lens for 100mm Button"/>
        <s v="CO2 Tank Backpack - B-Stock"/>
        <s v="Warranty / T&amp;M"/>
        <s v="Brass Center Pull Co2 passthrough with male BSPP"/>
        <s v="3/8&quot; Male Quick Connect Fitting BSPP thread female"/>
        <s v="110v Solenoid Coil"/>
        <s v="50FT CO2 HOSE - 3/8&quot; MALE BSPP x FEMALE JIC #6"/>
        <s v="3/8” BSPP Bonding Washer Seal"/>
        <s v="Straight 06 JIC Female Swivel x 06 BSPP Female"/>
        <s v="Co2 Hose 15FT Standard Config (Included)"/>
        <s v="CO2 Tank Tool + Documentation (Included)"/>
        <s v="48v Safety Controller"/>
        <s v="4 Port Co2 Manifold - 4x JIC 3/8&quot; Inlets, 1x JIC 3/8&quot; Outlet with Truss Bracket"/>
        <s v="Daisy Chain Adapter"/>
        <s v="CO2 Tank Splitter"/>
        <s v="Co2 Hose 05FT Standard Config"/>
        <s v="Quad Jet, 5 Pin DMX, 110v AC, Weatherproof"/>
        <s v="Co2 Hose 25FT Extension Config (Upgrade from 15FT)"/>
        <s v="24x30 Road Case"/>
        <s v="24x30 Road Case Foam - Quad Jet (Included)"/>
        <s v="24x30 Road Case Insert - Top Tray Insert (Included)"/>
        <s v="CO2 Hose"/>
        <s v="CO2 Tank Tool + Washers"/>
        <s v="10A 250v 5x20 Fuse"/>
        <s v="Panel Mount Fuse Holder"/>
        <s v="Quad Jet 110v with 5 Pin DMX With Barrels"/>
        <s v="Co2 Tank Attachment Tool (Included)"/>
        <s v="Truss Clamp"/>
        <s v="LED Attachment for DMX Jet, DMX Jet MKII, and Pro Jet."/>
        <s v="Co2 Hose 25FT Standard Config"/>
        <s v="Co2 Hose 35FT Standard Config"/>
        <s v="Co2 Hose 35FT Standard Config (Upgrade from 15FT)"/>
        <s v="5FT CO2 Hose (CGA-320 x Female JIC 3/8&quot;) For use with Manifold"/>
        <s v="Co2 Tank Attachment Tool  (Included)"/>
        <s v="CO2 Tank Splitter with integrated o-ring"/>
        <s v="RJ45 Terminator - required for ARM System"/>
        <s v="SLINGSHOT Reloads, 15FT Streamers, Silver Mylar, Box of 12"/>
        <s v="SLINGSHOT Reloads, 30FT Streamers, Silver Mylar, Box of 12"/>
        <s v="25FT CO2 HOSE - 3/8&quot; MALE BSPP x FEMALE JIC #6"/>
        <s v="100FT CO2 HOSE - 3/8&quot; MALE BSPP x FEMALE JIC #6"/>
        <s v="Truss clamp for CC2 with 1/2-13 x 3/4” CS screw"/>
        <s v="#6 JIC Female Hose Crimp Fitting"/>
        <s v="Fee for cutting and crimping custom hoses"/>
        <s v="Pro Jet - 5-pin DMX, 110v (HTS: 8424.20.90)&#10;Country of Origin: USA"/>
        <s v="Neutrik PowerCON True1 Cords - 6FT, Standard (Included) (HTS: 8544.42.90)&#10;Country of Origin: USA"/>
        <s v=" CO2 Output Terminator (Included) (HTS: 7307.29)&#10;Country of Origin: USA"/>
        <s v="LED Attachment for DMX Jet, DMX Jet MKII, and Pro Jet. (HTS: 8539.51.00) &#10;Country of Origin: USA"/>
        <s v="Daisy Chain Adapter (HTS: 7307.29)&#10;Country of Origin: USA"/>
        <s v="CGA-320 to JIC adapter with nut and integrated o-ring (HTS: 7412.20.0035)&#10;Country of Origin: USA"/>
        <s v="Co2 Tank Attachment Tool (HTS: 3926.90.25.00)&#10;Country of Origin: USA"/>
        <s v="Samples, courtesy, etc."/>
        <s v="Pro Jet with 5- pin DMX and 220v Solenoid"/>
        <s v=" CO2 Output Terminator (Included)"/>
        <s v="Teflon &amp; Brass seal for 1/4&quot; CO2 Valve"/>
        <s v="Co2 Hose 50FT Standard Config (Upgrade from 15FT)"/>
        <s v="Hose Extension Adapter (Complementary)"/>
        <s v="Co2 Hose Custom Length Extension (6FT)"/>
        <s v="Co2 Hose Custom Length Daisy Chain (60FT)"/>
        <s v="Neutrik PowerCON True1 Cords - 10FT, Daisy Chain"/>
        <s v="Neutrik PowerCON True1 Cords - 25FT, Daisy Chain"/>
        <s v="Replacement O-Ring"/>
        <s v="4 Port Co2 Manifold with Quick Connects - 4x MQC Inlets, 1x FQC Outlet with Truss Bracket"/>
        <s v="Co2 Hose 100FT Standard Config"/>
        <s v="Update of Shomaster console - Serial# 082450129"/>
        <s v="Pro Jet - 5 Pin, 110v, JIC in/out"/>
        <s v="2FT CO2 Hose (CGA-320 x Female JIC 3/8&quot;)"/>
        <s v="6500-06-06-06"/>
        <s v="Co2 Hose 12&quot; Daisy Chain"/>
        <s v="5FT CO2 Hose 3/8&quot; ID (CGA-320 x Female JIC 3/8&quot;) For use with Manifold"/>
        <s v="6506-06-06"/>
        <s v="Used for uploading bootloader onto Club Cannon products"/>
        <s v="Compressible-Stem Push-In Bumpers - pro jet foot"/>
        <s v="Pro Jet feet screws (thread forming)"/>
        <s v="Mocap 1/2” hole cap - pro jet foot cap"/>
        <s v="Straight 06 JIC Female Swivel x 06 BSPP Female (Complementary)"/>
        <s v="Co2 Tank Attachment Tool (Complementary)"/>
        <s v="24x30 Road Case Insert - Pro Jet (Included)"/>
        <s v="3 1/2FT CO2 Hose (CGA-320 x Female JIC 3/8&quot;) For use with Manifold"/>
        <s v="Co2 Hose 15FT Daisy Chain"/>
        <s v="Co2 Hose 50FT (FJIC6 x FQC)"/>
        <s v="Replacement Keys - The Button"/>
        <s v="Co2 Hose 05FT Daisy Chain"/>
        <s v="Cryo Clamp II, 110v, Weatherproof CO2 Jet with JIC6 Inlet, NEMA 5-15 Tail, White"/>
        <s v="Truss clamp for CC2 with 1/2-13 x 3/4” CS screw, White (Included)"/>
        <s v="Co2 Hose 15FT Daisy Chain (Upgrade from 8FT)"/>
        <s v="Co2 Hose 08FT Daisy Chain"/>
        <s v="Co2 Hose 15FT Standard Config (additional)"/>
        <s v="24x30 Road Case Insert - Pro Jet  (Included)"/>
        <s v="5&quot; Nextion screen with harness, battery, hex standoffs and spacers installed"/>
        <s v="ShoMaster Emergency Stop with harness and TE Connector, E-Stop"/>
        <s v="5FT CO2 Hose 3/8&quot; (CGA-320 x Female JIC 3/8&quot;) "/>
        <s v="Neutrik PowerCON True1 Cords - 6FT, Standard (12AWG)"/>
        <s v="Swap of QC fitting + labor"/>
        <s v="Micro Jet Barrel with Right Angle - Replacement"/>
      </sharedItems>
    </cacheField>
    <cacheField name="Order Quantity" numFmtId="0">
      <sharedItems containsSemiMixedTypes="0" containsNonDate="0" containsString="0" containsNumber="1" minValue="0.5" maxValue="40" count="17">
        <n v="1"/>
        <n v="10"/>
        <n v="8"/>
        <n v="4"/>
        <n v="2"/>
        <n v="5"/>
        <n v="3"/>
        <n v="6"/>
        <n v="7"/>
        <n v="0.5"/>
        <n v="24"/>
        <n v="17"/>
        <n v="20"/>
        <n v="40"/>
        <n v="30"/>
        <n v="16"/>
        <n v="15"/>
      </sharedItems>
    </cacheField>
    <cacheField name="Unit Price" numFmtId="0">
      <sharedItems containsSemiMixedTypes="0" containsNonDate="0" containsString="0" containsNumber="1" minValue="0" maxValue="3199.99" count="125">
        <n v="349.99"/>
        <n v="1.99"/>
        <n v="599.99"/>
        <n v="59.99"/>
        <n v="549.99"/>
        <n v="49.99"/>
        <n v="325.63"/>
        <n v="0"/>
        <n v="18.5"/>
        <n v="675"/>
        <n v="15"/>
        <n v="299.9925"/>
        <n v="399.99"/>
        <n v="9.99"/>
        <n v="149.99"/>
        <n v="1199.99"/>
        <n v="1299.99"/>
        <n v="849.99"/>
        <n v="5.99"/>
        <n v="29.99"/>
        <n v="119.99"/>
        <n v="39.99"/>
        <n v="22.99"/>
        <n v="249.99"/>
        <n v="199.99"/>
        <n v="175"/>
        <n v="449.99"/>
        <n v="89.98999999999999"/>
        <n v="299.99"/>
        <n v="374.99"/>
        <n v="3199.99"/>
        <n v="33.6"/>
        <n v="224.9925"/>
        <n v="45"/>
        <n v="19.99"/>
        <n v="219.99"/>
        <n v="226.85"/>
        <n v="577.49"/>
        <n v="187.4925"/>
        <n v="223.21"/>
        <n v="899.9924999999999"/>
        <n v="2499.99"/>
        <n v="105.8"/>
        <n v="412.4925"/>
        <n v="79.98999999999999"/>
        <n v="22.5"/>
        <n v="50"/>
        <n v="95"/>
        <n v="16.608696"/>
        <n v="14.99"/>
        <n v="66.90000000000001"/>
        <n v="30"/>
        <n v="799.99"/>
        <n v="179.99"/>
        <n v="99.98999999999999"/>
        <n v="109.99"/>
        <n v="1874.9925"/>
        <n v="37.5"/>
        <n v="37.4925"/>
        <n v="1199.9925"/>
        <n v="225"/>
        <n v="100"/>
        <n v="195.8"/>
        <n v="499.99"/>
        <n v="105"/>
        <n v="73.45"/>
        <n v="652.4924999999999"/>
        <n v="75"/>
        <n v="112.4925"/>
        <n v="134.9925"/>
        <n v="56.2425"/>
        <n v="14.9925"/>
        <n v="59.9925"/>
        <n v="869.99"/>
        <n v="24.5"/>
        <n v="22.4925"/>
        <n v="312.55"/>
        <n v="374.9925"/>
        <n v="11.25"/>
        <n v="1249.99"/>
        <n v="7.99"/>
        <n v="35"/>
        <n v="262.4925"/>
        <n v="974.9924999999999"/>
        <n v="16.85"/>
        <n v="17.2425"/>
        <n v="2249.991"/>
        <n v="148.75"/>
        <n v="1079.991"/>
        <n v="89.99250000000001"/>
        <n v="24.6"/>
        <n v="82.49250000000001"/>
        <n v="258.7425"/>
        <n v="111.4"/>
        <n v="26.991"/>
        <n v="71.8"/>
        <n v="494.991"/>
        <n v="16.9915"/>
        <n v="128.95"/>
        <n v="900"/>
        <n v="599.9924999999999"/>
        <n v="48.7425"/>
        <n v="2.625"/>
        <n v="46.9"/>
        <n v="55.99"/>
        <n v="324.99"/>
        <n v="2399.9925"/>
        <n v="189.5"/>
        <n v="52.4925"/>
        <n v="44.9925"/>
        <n v="7.49"/>
        <n v="300"/>
        <n v="65"/>
        <n v="543.21"/>
        <n v="1169.991"/>
        <n v="134.991"/>
        <n v="719.991"/>
        <n v="41.85"/>
        <n v="96.5"/>
        <n v="11.5"/>
        <n v="5"/>
        <n v="94.98999999999999"/>
        <n v="26.55"/>
        <n v="25"/>
        <n v="32.5"/>
      </sharedItems>
    </cacheField>
    <cacheField name="Total Line Item $" numFmtId="0">
      <sharedItems containsSemiMixedTypes="0" containsNonDate="0" containsString="0" containsNumber="1" minValue="0" maxValue="11249.955" count="182">
        <n v="349.99"/>
        <n v="19.9"/>
        <n v="599.99"/>
        <n v="59.99"/>
        <n v="549.99"/>
        <n v="49.99"/>
        <n v="325.63"/>
        <n v="0"/>
        <n v="18.5"/>
        <n v="675"/>
        <n v="15"/>
        <n v="299.9925"/>
        <n v="799.98"/>
        <n v="49.95"/>
        <n v="299.98"/>
        <n v="1199.99"/>
        <n v="2599.98"/>
        <n v="99.98"/>
        <n v="2549.97"/>
        <n v="17.97"/>
        <n v="399.99"/>
        <n v="179.94"/>
        <n v="119.99"/>
        <n v="39.99"/>
        <n v="849.99"/>
        <n v="9.99"/>
        <n v="149.97"/>
        <n v="91.95999999999999"/>
        <n v="119.98"/>
        <n v="19.98"/>
        <n v="499.98"/>
        <n v="199.99"/>
        <n v="839.9299999999999"/>
        <n v="119.96"/>
        <n v="1699.98"/>
        <n v="350"/>
        <n v="899.98"/>
        <n v="59.98"/>
        <n v="269.97"/>
        <n v="299.99"/>
        <n v="374.99"/>
        <n v="149.99"/>
        <n v="3199.99"/>
        <n v="33.6"/>
        <n v="449.985"/>
        <n v="45"/>
        <n v="3399.96"/>
        <n v="23.96"/>
        <n v="59.97"/>
        <n v="19.99"/>
        <n v="219.99"/>
        <n v="226.85"/>
        <n v="3464.94"/>
        <n v="749.97"/>
        <n v="223.21"/>
        <n v="899.9775"/>
        <n v="1799.985"/>
        <n v="2499.99"/>
        <n v="105.8"/>
        <n v="824.985"/>
        <n v="159.98"/>
        <n v="239.98"/>
        <n v="1199.9"/>
        <n v="199.96"/>
        <n v="1199.98"/>
        <n v="699.98"/>
        <n v="22.5"/>
        <n v="50"/>
        <n v="47.5"/>
        <n v="33.217392"/>
        <n v="59.96"/>
        <n v="66.90000000000001"/>
        <n v="30"/>
        <n v="1599.98"/>
        <n v="359.98"/>
        <n v="39.98"/>
        <n v="99.98999999999999"/>
        <n v="219.98"/>
        <n v="68.97"/>
        <n v="79.98"/>
        <n v="59.94"/>
        <n v="5099.94"/>
        <n v="11249.955"/>
        <n v="900"/>
        <n v="899.8200000000001"/>
        <n v="2399.985"/>
        <n v="225"/>
        <n v="400"/>
        <n v="195.8"/>
        <n v="599.985"/>
        <n v="999.98"/>
        <n v="3199.96"/>
        <n v="29.99"/>
        <n v="399.98"/>
        <n v="199.9"/>
        <n v="509.83"/>
        <n v="39.8"/>
        <n v="105"/>
        <n v="79.98999999999999"/>
        <n v="73.45"/>
        <n v="1304.985"/>
        <n v="150"/>
        <n v="374.985"/>
        <n v="224.985"/>
        <n v="269.985"/>
        <n v="449.94"/>
        <n v="119.94"/>
        <n v="239.97"/>
        <n v="1739.98"/>
        <n v="24.5"/>
        <n v="157.4475"/>
        <n v="312.55"/>
        <n v="899.9400000000001"/>
        <n v="1874.925"/>
        <n v="2249.955"/>
        <n v="89.97"/>
        <n v="270"/>
        <n v="6249.95"/>
        <n v="3999.95"/>
        <n v="229.9"/>
        <n v="159.8"/>
        <n v="35"/>
        <n v="524.985"/>
        <n v="109.99"/>
        <n v="1099.98"/>
        <n v="1299.99"/>
        <n v="1949.985"/>
        <n v="37.4925"/>
        <n v="16.85"/>
        <n v="103.455"/>
        <n v="4499.982"/>
        <n v="297.5"/>
        <n v="1079.991"/>
        <n v="179.985"/>
        <n v="24.6"/>
        <n v="82.49250000000001"/>
        <n v="258.7425"/>
        <n v="111.4"/>
        <n v="1079.64"/>
        <n v="199.98"/>
        <n v="71.8"/>
        <n v="3959.928"/>
        <n v="135.932"/>
        <n v="128.95"/>
        <n v="99.90000000000001"/>
        <n v="39.96"/>
        <n v="499.99"/>
        <n v="1800"/>
        <n v="1199.985"/>
        <n v="97.485"/>
        <n v="10.5"/>
        <n v="46.9"/>
        <n v="111.98"/>
        <n v="599.96"/>
        <n v="7.96"/>
        <n v="7999.84"/>
        <n v="79.95999999999999"/>
        <n v="324.99"/>
        <n v="2399.9925"/>
        <n v="1199.9925"/>
        <n v="189.5"/>
        <n v="419.94"/>
        <n v="674.955"/>
        <n v="674.9775"/>
        <n v="179.97"/>
        <n v="29.96"/>
        <n v="300"/>
        <n v="65"/>
        <n v="543.21"/>
        <n v="7019.946"/>
        <n v="134.991"/>
        <n v="4319.946"/>
        <n v="41.85"/>
        <n v="96.5"/>
        <n v="11.5"/>
        <n v="5"/>
        <n v="94.98999999999999"/>
        <n v="249.99"/>
        <n v="26.55"/>
        <n v="337.3875"/>
        <n v="25"/>
        <n v="32.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E2:G498" sheet="August 2024"/>
  </cacheSource>
  <cacheFields count="3">
    <cacheField name="Line Item Name" numFmtId="0">
      <sharedItems containsNonDate="0" count="116">
        <s v="CC-HCCMKII-08-NC"/>
        <s v="CC-AC-ROR2"/>
        <s v="CC-HCCMKII-15-TC"/>
        <s v="CC-CTC-50"/>
        <s v="CC-HCCMKII-08-TC"/>
        <s v="CC-CTC-20"/>
        <s v="Shipping Charges"/>
        <s v="CC-CH-15-STD"/>
        <s v="CC-AC-CTAT"/>
        <s v="Quad Jet Foam Insert Pad"/>
        <s v="Quad Jet Foam Set"/>
        <s v="MagicFX Switchpack II"/>
        <s v="CC-TB-35"/>
        <s v="CC-HCCMKII-15-NC"/>
        <s v="CC-WASH-10"/>
        <s v="CC-CH-15-EXT"/>
        <s v="CC-SS-35"/>
        <s v="CC-PROJ-5-110"/>
        <s v="CC-NPTC-06-STD"/>
        <s v="CC-F-COT"/>
        <s v="CC-AC-OP"/>
        <s v="CC-AC-RAA"/>
        <s v="CC-MJMKII-3-110"/>
        <s v="CC-AC-PMA"/>
        <s v="CC-AC-CLAMP-MJMKII-KIT"/>
        <s v="CC-AC-CCL"/>
        <s v=" CC-AC-CGAJIC-SET - 1"/>
        <s v="CC-CH-35-DSY"/>
        <s v="CC-CH-25-EXT"/>
        <s v="CC-CH-50-STD"/>
        <s v="CC-CC2-110"/>
        <s v="CC-AC-CLAMP-CC2-KIT"/>
        <s v="CC-AC-BM-KIT"/>
        <s v="CC-CH-08-STD"/>
        <s v="Obsidian RP2 Relay Pack"/>
        <s v="MagicFX Red Button"/>
        <s v="CC-T1M-T1F-2X"/>
        <s v="CC-SM-5"/>
        <s v="CC-T1M-515F-08in"/>
        <s v="Shipping Fees"/>
        <s v="CC-CCDINT1-16"/>
        <s v="General Purpose Shipper"/>
        <s v="CC-F-MFDCGAJIC"/>
        <s v="CC-F-HEA"/>
        <s v="CC-AC-TC"/>
        <s v="CC-MJMKII-5-110"/>
        <s v="Cryo Clamp Valve Assembly"/>
        <s v="The Button Main PCB"/>
        <s v="IDC Cable Clip"/>
        <s v="The Button 3/5Pin Unpacked"/>
        <s v="Repair"/>
        <s v="CC-VV-KIT"/>
        <s v="The Button Key Assembly - 1"/>
        <s v="Flat Button Interior Overlay Assembly - 1"/>
        <s v="Flat Button Clear Top Lens"/>
        <s v="CO2-T - BSPP"/>
        <s v="CC-F-MQCBSPPF"/>
        <s v="110v Solenoid Coil"/>
        <s v="50FT CO2 HOSE - 3/8&quot; (BSPP x JIC #6)"/>
        <s v="3/8” BSPP Bonding Washer Seal"/>
        <s v="3/8&quot; JIC Female Swivel x 3/8&quot; BSPP Female"/>
        <s v="MagicFX SFX Safety ARM Controller"/>
        <s v="CC-AC-4PM"/>
        <s v="CC-F-DCHA"/>
        <s v="CC-AC-CTS - 1"/>
        <s v="CC-CH-05-STD - 01"/>
        <s v="Tax: 0%"/>
        <s v="CC-QJ-5-110-WP"/>
        <s v="CC-RC-2430"/>
        <s v="CC-RC-2430-QJF"/>
        <s v="CC-RC-2430-TTI"/>
        <s v="CC-CH-35-STD"/>
        <s v="10A Fuse"/>
        <s v="Panel Mount Fuse Holder"/>
        <s v="CC-QJ-5-110"/>
        <s v="CC-AC-CLAMP"/>
        <s v="CC-AC-LA2"/>
        <s v="CC-CH-25-STD"/>
        <s v="Tax: CA Tax (8.75%)"/>
        <s v="CC-CH-05-MFD"/>
        <s v="CC-AC-CTS-1"/>
        <s v="MagicFX ARM SFX SAFETY TERMINATOR"/>
        <s v="CC-SS-STR15-SM"/>
        <s v="CC-SS-STR30-SM"/>
        <s v="25FT CO2 HOSE - 3/8&quot; (BSPP x JIC #6)"/>
        <s v="100FT CO2 HOSE - 3/8&quot; (BSPP x JIC #6)"/>
        <s v="6FJ-6SB"/>
        <s v="Custom Hose Charge"/>
        <s v="CC-PROJ-5-220"/>
        <s v="CO2 Valve Replacement Seal"/>
        <s v="CC-CH-XX-EXT"/>
        <s v="CC-CH-XX-DSY"/>
        <s v="CC-NPTC-10-DSY"/>
        <s v="CC-NPTC-25-DSY"/>
        <s v="CC-AC-ROR"/>
        <s v="CC-AC-4PM-QC"/>
        <s v="CC-CH-100-STD"/>
        <s v="CC-PROJ-5-110-JIC"/>
        <s v="CC-CH-02-MFD"/>
        <s v="JIC Elbow - 3/8&quot; JIC male x 3/8&quot; JIC Female "/>
        <s v="3/8&quot; NPT Female x 3/8&quot; JIC Female 6506-06-06"/>
        <s v="Club Cannon Device Programmer - IDC"/>
        <s v="Compressible-Stem Push-In Bumpers"/>
        <s v="#12 x 1/2&quot; High Low Thread Forming Screws / Phillips / Pan Head / Steel / Black Zinc"/>
        <s v="Mocap 1/2” hole cap"/>
        <s v="CC-RC-2430-PJI"/>
        <s v="CC-CH-03.5-MFD"/>
        <s v="CC-CH-15-DSY"/>
        <s v="CC-AC-SMK"/>
        <s v="CC-CH-05-DSY"/>
        <s v="White Powder Coat"/>
        <s v="CC-CC2-110-JIC"/>
        <s v="CC-CH-08-DSY"/>
        <s v="5in Nextion Screen Assembly"/>
        <s v="Emergency Stop Button Assembly"/>
        <s v="Micro Jet Barrel Assembly"/>
      </sharedItems>
    </cacheField>
    <cacheField name="Line Item Description" numFmtId="0">
      <sharedItems containsNonDate="0" containsBlank="1" count="151">
        <s v="Handheld CO2 Cannon MKII"/>
        <s v="Replacement O-Ring - 2023 Quick Connects. EPDM"/>
        <s v="Handheld MKII in travel case with 15ft hose"/>
        <s v="CO2 Tank Covers - 50lb Cover"/>
        <s v="Handheld MKII in travel case with 8ft hose"/>
        <s v="CO2 Tank Covers - 20lb Cover"/>
        <s v="Overnight Delivery to Charolette and Return Labels"/>
        <s v="Co2 Hose 15FT Standard Config - LOANER, TO BE RETURNED"/>
        <s v="Co2 Tank Attachment Tool - LOANER, TO BE RETURNED"/>
        <s v="rectangular quad jet packing piece"/>
        <s v="two perforated quad jet foam inserts"/>
        <m/>
        <s v="4 Channel True1 DMX Relay - Rainproof"/>
        <s v="The Button - with both 3 &amp; 5 pin DMX ports"/>
        <s v="CO2 Washers (10 pack)"/>
        <s v="Co2 Hose 15FT Extension Config"/>
        <s v="ShoStarter DMX Controller with 3 &amp; 5 Pin Connectors in Box"/>
        <s v="Pro Jet"/>
        <s v="Neutrik PowerCON True1 Cords - 6FT, Standard"/>
        <s v=" CO2 Output Terminator"/>
        <s v="CO2 Tank Tool + Documentation"/>
        <s v="Co2 Hose 15FT Standard Config"/>
        <s v="Right Angle Adapter"/>
        <s v="Micro CO2 Jet MKII"/>
        <s v="1/4&quot; TS Power mode Adapter"/>
        <s v="Truss Clamp for Micro Jet MKII w/ Hardware"/>
        <s v="CO2 Cylinder Link"/>
        <s v="CGA-320 to JIC adapter with nut and integrated o-ring"/>
        <s v="Co2 Tank Attachment Tool"/>
        <s v="Co2 Hose 35FT Daisy Chain"/>
        <s v="Co2 Hose 25FT Extension Config"/>
        <s v="Co2 Hose 50FT Standard Config"/>
        <s v="Cryo Clamp II, 110v, Weatherproof CO2 Jet"/>
        <s v="Truss clamp for CC2 with 1/2-13 x 3/4” CS screw (included)"/>
        <s v="Ball Mount Assembly for Cryo Clamp with 4x 10-32 x 3/8&quot; socket head screws"/>
        <s v="Co2 Hose 08FT Standard Config"/>
        <s v="2 Output DMX Relay with Timer"/>
        <s v="True1 In / Out momentary power controller"/>
        <s v="NAC3MX-W-TOP to 2x NAC3FX-W-TOP - True1 2 way splitter"/>
        <s v="ShoMaster Console"/>
        <s v="True1 Male to Nema 5-15 Female Output Adapter 8in"/>
        <s v="Top entry DIN cable with True1 connector, 5M / 16.5FT"/>
        <s v="110v Pro Jets x4 exchange for 220v units"/>
        <s v="Adapter for use with Manifold - to attach standard CGA-320 hose configuration"/>
        <s v="Hose Extension Adapter"/>
        <s v="Travel Case"/>
        <s v="Micro CO2 Jet MKII, 5 pin, 110v"/>
        <s v="Neutrik PowerCON True1 Cords - 6FT, Standard (Included)"/>
        <s v="CO2 valve with BSPP MQC x BSPP FQC w/ 6FT DIN to NEMA 5-15"/>
        <s v="The Button Main PCB - Warranty"/>
        <s v="Clip to secure IDC Cable from coming unplugged"/>
        <s v="Single Button DMX controller with 3 and 5 pin DMX and 7-Segment Display without Packaging"/>
        <s v="Repair of Handheld MKII"/>
        <s v="Volt View - True1 voltage detection device"/>
        <s v="Repair of The Button, Serial# 31444, RMA# 2939."/>
        <s v="Key Switch with Wires and JST Connector for The Button"/>
        <s v="3d printed white Plastic overlay window and grey Acrylic for display"/>
        <s v="Med Grey Clear top lens for 100mm Button"/>
        <s v="CO2 Tank Backpack - B-Stock"/>
        <s v="Warranty / T&amp;M"/>
        <s v="Brass Center Pull Co2 passthrough with male BSPP"/>
        <s v="3/8&quot; Male Quick Connect Fitting BSPP thread female"/>
        <s v="110v Solenoid Coil"/>
        <s v="50FT CO2 HOSE - 3/8&quot; MALE BSPP x FEMALE JIC #6"/>
        <s v="3/8” BSPP Bonding Washer Seal"/>
        <s v="Straight 06 JIC Female Swivel x 06 BSPP Female"/>
        <s v="Co2 Hose 15FT Standard Config (Included)"/>
        <s v="CO2 Tank Tool + Documentation (Included)"/>
        <s v="48v Safety Controller"/>
        <s v="4 Port Co2 Manifold - 4x JIC 3/8&quot; Inlets, 1x JIC 3/8&quot; Outlet with Truss Bracket"/>
        <s v="Daisy Chain Adapter"/>
        <s v="CO2 Tank Splitter"/>
        <s v="Co2 Hose 05FT Standard Config"/>
        <s v="Quad Jet, 5 Pin DMX, 110v AC, Weatherproof"/>
        <s v="Co2 Hose 25FT Extension Config (Upgrade from 15FT)"/>
        <s v="24x30 Road Case"/>
        <s v="24x30 Road Case Foam - Quad Jet (Included)"/>
        <s v="24x30 Road Case Insert - Top Tray Insert (Included)"/>
        <s v="CO2 Hose"/>
        <s v="CO2 Tank Tool + Washers"/>
        <s v="10A 250v 5x20 Fuse"/>
        <s v="Panel Mount Fuse Holder"/>
        <s v="Quad Jet 110v with 5 Pin DMX With Barrels"/>
        <s v="Co2 Tank Attachment Tool (Included)"/>
        <s v="Truss Clamp"/>
        <s v="LED Attachment for DMX Jet, DMX Jet MKII, and Pro Jet."/>
        <s v="Co2 Hose 25FT Standard Config"/>
        <s v="Co2 Hose 35FT Standard Config"/>
        <s v="Co2 Hose 35FT Standard Config (Upgrade from 15FT)"/>
        <s v="5FT CO2 Hose (CGA-320 x Female JIC 3/8&quot;) For use with Manifold"/>
        <s v="Co2 Tank Attachment Tool  (Included)"/>
        <s v="CO2 Tank Splitter with integrated o-ring"/>
        <s v="RJ45 Terminator - required for ARM System"/>
        <s v="SLINGSHOT Reloads, 15FT Streamers, Silver Mylar, Box of 12"/>
        <s v="SLINGSHOT Reloads, 30FT Streamers, Silver Mylar, Box of 12"/>
        <s v="25FT CO2 HOSE - 3/8&quot; MALE BSPP x FEMALE JIC #6"/>
        <s v="100FT CO2 HOSE - 3/8&quot; MALE BSPP x FEMALE JIC #6"/>
        <s v="Truss clamp for CC2 with 1/2-13 x 3/4” CS screw"/>
        <s v="#6 JIC Female Hose Crimp Fitting"/>
        <s v="Fee for cutting and crimping custom hoses"/>
        <s v="Pro Jet - 5-pin DMX, 110v (HTS: 8424.20.90)&#10;Country of Origin: USA"/>
        <s v="Neutrik PowerCON True1 Cords - 6FT, Standard (Included) (HTS: 8544.42.90)&#10;Country of Origin: USA"/>
        <s v=" CO2 Output Terminator (Included) (HTS: 7307.29)&#10;Country of Origin: USA"/>
        <s v="LED Attachment for DMX Jet, DMX Jet MKII, and Pro Jet. (HTS: 8539.51.00) &#10;Country of Origin: USA"/>
        <s v="Daisy Chain Adapter (HTS: 7307.29)&#10;Country of Origin: USA"/>
        <s v="CGA-320 to JIC adapter with nut and integrated o-ring (HTS: 7412.20.0035)&#10;Country of Origin: USA"/>
        <s v="Co2 Tank Attachment Tool (HTS: 3926.90.25.00)&#10;Country of Origin: USA"/>
        <s v="Samples, courtesy, etc."/>
        <s v="Pro Jet with 5- pin DMX and 220v Solenoid"/>
        <s v=" CO2 Output Terminator (Included)"/>
        <s v="Teflon &amp; Brass seal for 1/4&quot; CO2 Valve"/>
        <s v="Co2 Hose 50FT Standard Config (Upgrade from 15FT)"/>
        <s v="Hose Extension Adapter (Complementary)"/>
        <s v="Co2 Hose Custom Length Extension (6FT)"/>
        <s v="Co2 Hose Custom Length Daisy Chain (60FT)"/>
        <s v="Neutrik PowerCON True1 Cords - 10FT, Daisy Chain"/>
        <s v="Neutrik PowerCON True1 Cords - 25FT, Daisy Chain"/>
        <s v="Replacement O-Ring"/>
        <s v="4 Port Co2 Manifold with Quick Connects - 4x MQC Inlets, 1x FQC Outlet with Truss Bracket"/>
        <s v="Co2 Hose 100FT Standard Config"/>
        <s v="Update of Shomaster console - Serial# 082450129"/>
        <s v="Pro Jet - 5 Pin, 110v, JIC in/out"/>
        <s v="2FT CO2 Hose (CGA-320 x Female JIC 3/8&quot;)"/>
        <s v="6500-06-06-06"/>
        <s v="Co2 Hose 12&quot; Daisy Chain"/>
        <s v="5FT CO2 Hose 3/8&quot; ID (CGA-320 x Female JIC 3/8&quot;) For use with Manifold"/>
        <s v="6506-06-06"/>
        <s v="Used for uploading bootloader onto Club Cannon products"/>
        <s v="Compressible-Stem Push-In Bumpers - pro jet foot"/>
        <s v="Pro Jet feet screws (thread forming)"/>
        <s v="Mocap 1/2” hole cap - pro jet foot cap"/>
        <s v="Straight 06 JIC Female Swivel x 06 BSPP Female (Complementary)"/>
        <s v="Co2 Tank Attachment Tool (Complementary)"/>
        <s v="24x30 Road Case Insert - Pro Jet (Included)"/>
        <s v="3 1/2FT CO2 Hose (CGA-320 x Female JIC 3/8&quot;) For use with Manifold"/>
        <s v="Co2 Hose 15FT Daisy Chain"/>
        <s v="Co2 Hose 50FT (FJIC6 x FQC)"/>
        <s v="Replacement Keys - The Button"/>
        <s v="Co2 Hose 05FT Daisy Chain"/>
        <s v="Cryo Clamp II, 110v, Weatherproof CO2 Jet with JIC6 Inlet, NEMA 5-15 Tail, White"/>
        <s v="Truss clamp for CC2 with 1/2-13 x 3/4” CS screw, White (Included)"/>
        <s v="Co2 Hose 15FT Daisy Chain (Upgrade from 8FT)"/>
        <s v="Co2 Hose 08FT Daisy Chain"/>
        <s v="Co2 Hose 15FT Standard Config (additional)"/>
        <s v="24x30 Road Case Insert - Pro Jet  (Included)"/>
        <s v="5&quot; Nextion screen with harness, battery, hex standoffs and spacers installed"/>
        <s v="ShoMaster Emergency Stop with harness and TE Connector, E-Stop"/>
        <s v="5FT CO2 Hose 3/8&quot; (CGA-320 x Female JIC 3/8&quot;) "/>
        <s v="Neutrik PowerCON True1 Cords - 6FT, Standard (12AWG)"/>
        <s v="Swap of QC fitting + labor"/>
        <s v="Micro Jet Barrel with Right Angle - Replacement"/>
      </sharedItems>
    </cacheField>
    <cacheField name="Order Quantity" numFmtId="0">
      <sharedItems containsSemiMixedTypes="0" containsNonDate="0" containsString="0" containsNumber="1" minValue="0.5" maxValue="40" count="17">
        <n v="1"/>
        <n v="10"/>
        <n v="8"/>
        <n v="4"/>
        <n v="2"/>
        <n v="5"/>
        <n v="3"/>
        <n v="6"/>
        <n v="7"/>
        <n v="0.5"/>
        <n v="24"/>
        <n v="17"/>
        <n v="20"/>
        <n v="40"/>
        <n v="30"/>
        <n v="16"/>
        <n v="1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96" createdVersion="7">
  <cacheSource type="worksheet">
    <worksheetSource ref="E2:I498" sheet="August 2024"/>
  </cacheSource>
  <cacheFields count="5">
    <cacheField name="Line Item Name" numFmtId="0">
      <sharedItems containsNonDate="0" count="116">
        <s v="CC-HCCMKII-08-NC"/>
        <s v="CC-AC-ROR2"/>
        <s v="CC-HCCMKII-15-TC"/>
        <s v="CC-CTC-50"/>
        <s v="CC-HCCMKII-08-TC"/>
        <s v="CC-CTC-20"/>
        <s v="Shipping Charges"/>
        <s v="CC-CH-15-STD"/>
        <s v="CC-AC-CTAT"/>
        <s v="Quad Jet Foam Insert Pad"/>
        <s v="Quad Jet Foam Set"/>
        <s v="MagicFX Switchpack II"/>
        <s v="CC-TB-35"/>
        <s v="CC-HCCMKII-15-NC"/>
        <s v="CC-WASH-10"/>
        <s v="CC-CH-15-EXT"/>
        <s v="CC-SS-35"/>
        <s v="CC-PROJ-5-110"/>
        <s v="CC-NPTC-06-STD"/>
        <s v="CC-F-COT"/>
        <s v="CC-AC-OP"/>
        <s v="CC-AC-RAA"/>
        <s v="CC-MJMKII-3-110"/>
        <s v="CC-AC-PMA"/>
        <s v="CC-AC-CLAMP-MJMKII-KIT"/>
        <s v="CC-AC-CCL"/>
        <s v=" CC-AC-CGAJIC-SET - 1"/>
        <s v="CC-CH-35-DSY"/>
        <s v="CC-CH-25-EXT"/>
        <s v="CC-CH-50-STD"/>
        <s v="CC-CC2-110"/>
        <s v="CC-AC-CLAMP-CC2-KIT"/>
        <s v="CC-AC-BM-KIT"/>
        <s v="CC-CH-08-STD"/>
        <s v="Obsidian RP2 Relay Pack"/>
        <s v="MagicFX Red Button"/>
        <s v="CC-T1M-T1F-2X"/>
        <s v="CC-SM-5"/>
        <s v="CC-T1M-515F-08in"/>
        <s v="Shipping Fees"/>
        <s v="CC-CCDINT1-16"/>
        <s v="General Purpose Shipper"/>
        <s v="CC-F-MFDCGAJIC"/>
        <s v="CC-F-HEA"/>
        <s v="CC-AC-TC"/>
        <s v="CC-MJMKII-5-110"/>
        <s v="Cryo Clamp Valve Assembly"/>
        <s v="The Button Main PCB"/>
        <s v="IDC Cable Clip"/>
        <s v="The Button 3/5Pin Unpacked"/>
        <s v="Repair"/>
        <s v="CC-VV-KIT"/>
        <s v="The Button Key Assembly - 1"/>
        <s v="Flat Button Interior Overlay Assembly - 1"/>
        <s v="Flat Button Clear Top Lens"/>
        <s v="CO2-T - BSPP"/>
        <s v="CC-F-MQCBSPPF"/>
        <s v="110v Solenoid Coil"/>
        <s v="50FT CO2 HOSE - 3/8&quot; (BSPP x JIC #6)"/>
        <s v="3/8” BSPP Bonding Washer Seal"/>
        <s v="3/8&quot; JIC Female Swivel x 3/8&quot; BSPP Female"/>
        <s v="MagicFX SFX Safety ARM Controller"/>
        <s v="CC-AC-4PM"/>
        <s v="CC-F-DCHA"/>
        <s v="CC-AC-CTS - 1"/>
        <s v="CC-CH-05-STD - 01"/>
        <s v="Tax: 0%"/>
        <s v="CC-QJ-5-110-WP"/>
        <s v="CC-RC-2430"/>
        <s v="CC-RC-2430-QJF"/>
        <s v="CC-RC-2430-TTI"/>
        <s v="CC-CH-35-STD"/>
        <s v="10A Fuse"/>
        <s v="Panel Mount Fuse Holder"/>
        <s v="CC-QJ-5-110"/>
        <s v="CC-AC-CLAMP"/>
        <s v="CC-AC-LA2"/>
        <s v="CC-CH-25-STD"/>
        <s v="Tax: CA Tax (8.75%)"/>
        <s v="CC-CH-05-MFD"/>
        <s v="CC-AC-CTS-1"/>
        <s v="MagicFX ARM SFX SAFETY TERMINATOR"/>
        <s v="CC-SS-STR15-SM"/>
        <s v="CC-SS-STR30-SM"/>
        <s v="25FT CO2 HOSE - 3/8&quot; (BSPP x JIC #6)"/>
        <s v="100FT CO2 HOSE - 3/8&quot; (BSPP x JIC #6)"/>
        <s v="6FJ-6SB"/>
        <s v="Custom Hose Charge"/>
        <s v="CC-PROJ-5-220"/>
        <s v="CO2 Valve Replacement Seal"/>
        <s v="CC-CH-XX-EXT"/>
        <s v="CC-CH-XX-DSY"/>
        <s v="CC-NPTC-10-DSY"/>
        <s v="CC-NPTC-25-DSY"/>
        <s v="CC-AC-ROR"/>
        <s v="CC-AC-4PM-QC"/>
        <s v="CC-CH-100-STD"/>
        <s v="CC-PROJ-5-110-JIC"/>
        <s v="CC-CH-02-MFD"/>
        <s v="JIC Elbow - 3/8&quot; JIC male x 3/8&quot; JIC Female "/>
        <s v="3/8&quot; NPT Female x 3/8&quot; JIC Female 6506-06-06"/>
        <s v="Club Cannon Device Programmer - IDC"/>
        <s v="Compressible-Stem Push-In Bumpers"/>
        <s v="#12 x 1/2&quot; High Low Thread Forming Screws / Phillips / Pan Head / Steel / Black Zinc"/>
        <s v="Mocap 1/2” hole cap"/>
        <s v="CC-RC-2430-PJI"/>
        <s v="CC-CH-03.5-MFD"/>
        <s v="CC-CH-15-DSY"/>
        <s v="CC-AC-SMK"/>
        <s v="CC-CH-05-DSY"/>
        <s v="White Powder Coat"/>
        <s v="CC-CC2-110-JIC"/>
        <s v="CC-CH-08-DSY"/>
        <s v="5in Nextion Screen Assembly"/>
        <s v="Emergency Stop Button Assembly"/>
        <s v="Micro Jet Barrel Assembly"/>
      </sharedItems>
    </cacheField>
    <cacheField name="Line Item Description" numFmtId="0">
      <sharedItems containsNonDate="0" containsBlank="1" count="151">
        <s v="Handheld CO2 Cannon MKII"/>
        <s v="Replacement O-Ring - 2023 Quick Connects. EPDM"/>
        <s v="Handheld MKII in travel case with 15ft hose"/>
        <s v="CO2 Tank Covers - 50lb Cover"/>
        <s v="Handheld MKII in travel case with 8ft hose"/>
        <s v="CO2 Tank Covers - 20lb Cover"/>
        <s v="Overnight Delivery to Charolette and Return Labels"/>
        <s v="Co2 Hose 15FT Standard Config - LOANER, TO BE RETURNED"/>
        <s v="Co2 Tank Attachment Tool - LOANER, TO BE RETURNED"/>
        <s v="rectangular quad jet packing piece"/>
        <s v="two perforated quad jet foam inserts"/>
        <m/>
        <s v="4 Channel True1 DMX Relay - Rainproof"/>
        <s v="The Button - with both 3 &amp; 5 pin DMX ports"/>
        <s v="CO2 Washers (10 pack)"/>
        <s v="Co2 Hose 15FT Extension Config"/>
        <s v="ShoStarter DMX Controller with 3 &amp; 5 Pin Connectors in Box"/>
        <s v="Pro Jet"/>
        <s v="Neutrik PowerCON True1 Cords - 6FT, Standard"/>
        <s v=" CO2 Output Terminator"/>
        <s v="CO2 Tank Tool + Documentation"/>
        <s v="Co2 Hose 15FT Standard Config"/>
        <s v="Right Angle Adapter"/>
        <s v="Micro CO2 Jet MKII"/>
        <s v="1/4&quot; TS Power mode Adapter"/>
        <s v="Truss Clamp for Micro Jet MKII w/ Hardware"/>
        <s v="CO2 Cylinder Link"/>
        <s v="CGA-320 to JIC adapter with nut and integrated o-ring"/>
        <s v="Co2 Tank Attachment Tool"/>
        <s v="Co2 Hose 35FT Daisy Chain"/>
        <s v="Co2 Hose 25FT Extension Config"/>
        <s v="Co2 Hose 50FT Standard Config"/>
        <s v="Cryo Clamp II, 110v, Weatherproof CO2 Jet"/>
        <s v="Truss clamp for CC2 with 1/2-13 x 3/4” CS screw (included)"/>
        <s v="Ball Mount Assembly for Cryo Clamp with 4x 10-32 x 3/8&quot; socket head screws"/>
        <s v="Co2 Hose 08FT Standard Config"/>
        <s v="2 Output DMX Relay with Timer"/>
        <s v="True1 In / Out momentary power controller"/>
        <s v="NAC3MX-W-TOP to 2x NAC3FX-W-TOP - True1 2 way splitter"/>
        <s v="ShoMaster Console"/>
        <s v="True1 Male to Nema 5-15 Female Output Adapter 8in"/>
        <s v="Top entry DIN cable with True1 connector, 5M / 16.5FT"/>
        <s v="110v Pro Jets x4 exchange for 220v units"/>
        <s v="Adapter for use with Manifold - to attach standard CGA-320 hose configuration"/>
        <s v="Hose Extension Adapter"/>
        <s v="Travel Case"/>
        <s v="Micro CO2 Jet MKII, 5 pin, 110v"/>
        <s v="Neutrik PowerCON True1 Cords - 6FT, Standard (Included)"/>
        <s v="CO2 valve with BSPP MQC x BSPP FQC w/ 6FT DIN to NEMA 5-15"/>
        <s v="The Button Main PCB - Warranty"/>
        <s v="Clip to secure IDC Cable from coming unplugged"/>
        <s v="Single Button DMX controller with 3 and 5 pin DMX and 7-Segment Display without Packaging"/>
        <s v="Repair of Handheld MKII"/>
        <s v="Volt View - True1 voltage detection device"/>
        <s v="Repair of The Button, Serial# 31444, RMA# 2939."/>
        <s v="Key Switch with Wires and JST Connector for The Button"/>
        <s v="3d printed white Plastic overlay window and grey Acrylic for display"/>
        <s v="Med Grey Clear top lens for 100mm Button"/>
        <s v="CO2 Tank Backpack - B-Stock"/>
        <s v="Warranty / T&amp;M"/>
        <s v="Brass Center Pull Co2 passthrough with male BSPP"/>
        <s v="3/8&quot; Male Quick Connect Fitting BSPP thread female"/>
        <s v="110v Solenoid Coil"/>
        <s v="50FT CO2 HOSE - 3/8&quot; MALE BSPP x FEMALE JIC #6"/>
        <s v="3/8” BSPP Bonding Washer Seal"/>
        <s v="Straight 06 JIC Female Swivel x 06 BSPP Female"/>
        <s v="Co2 Hose 15FT Standard Config (Included)"/>
        <s v="CO2 Tank Tool + Documentation (Included)"/>
        <s v="48v Safety Controller"/>
        <s v="4 Port Co2 Manifold - 4x JIC 3/8&quot; Inlets, 1x JIC 3/8&quot; Outlet with Truss Bracket"/>
        <s v="Daisy Chain Adapter"/>
        <s v="CO2 Tank Splitter"/>
        <s v="Co2 Hose 05FT Standard Config"/>
        <s v="Quad Jet, 5 Pin DMX, 110v AC, Weatherproof"/>
        <s v="Co2 Hose 25FT Extension Config (Upgrade from 15FT)"/>
        <s v="24x30 Road Case"/>
        <s v="24x30 Road Case Foam - Quad Jet (Included)"/>
        <s v="24x30 Road Case Insert - Top Tray Insert (Included)"/>
        <s v="CO2 Hose"/>
        <s v="CO2 Tank Tool + Washers"/>
        <s v="10A 250v 5x20 Fuse"/>
        <s v="Panel Mount Fuse Holder"/>
        <s v="Quad Jet 110v with 5 Pin DMX With Barrels"/>
        <s v="Co2 Tank Attachment Tool (Included)"/>
        <s v="Truss Clamp"/>
        <s v="LED Attachment for DMX Jet, DMX Jet MKII, and Pro Jet."/>
        <s v="Co2 Hose 25FT Standard Config"/>
        <s v="Co2 Hose 35FT Standard Config"/>
        <s v="Co2 Hose 35FT Standard Config (Upgrade from 15FT)"/>
        <s v="5FT CO2 Hose (CGA-320 x Female JIC 3/8&quot;) For use with Manifold"/>
        <s v="Co2 Tank Attachment Tool  (Included)"/>
        <s v="CO2 Tank Splitter with integrated o-ring"/>
        <s v="RJ45 Terminator - required for ARM System"/>
        <s v="SLINGSHOT Reloads, 15FT Streamers, Silver Mylar, Box of 12"/>
        <s v="SLINGSHOT Reloads, 30FT Streamers, Silver Mylar, Box of 12"/>
        <s v="25FT CO2 HOSE - 3/8&quot; MALE BSPP x FEMALE JIC #6"/>
        <s v="100FT CO2 HOSE - 3/8&quot; MALE BSPP x FEMALE JIC #6"/>
        <s v="Truss clamp for CC2 with 1/2-13 x 3/4” CS screw"/>
        <s v="#6 JIC Female Hose Crimp Fitting"/>
        <s v="Fee for cutting and crimping custom hoses"/>
        <s v="Pro Jet - 5-pin DMX, 110v (HTS: 8424.20.90)&#10;Country of Origin: USA"/>
        <s v="Neutrik PowerCON True1 Cords - 6FT, Standard (Included) (HTS: 8544.42.90)&#10;Country of Origin: USA"/>
        <s v=" CO2 Output Terminator (Included) (HTS: 7307.29)&#10;Country of Origin: USA"/>
        <s v="LED Attachment for DMX Jet, DMX Jet MKII, and Pro Jet. (HTS: 8539.51.00) &#10;Country of Origin: USA"/>
        <s v="Daisy Chain Adapter (HTS: 7307.29)&#10;Country of Origin: USA"/>
        <s v="CGA-320 to JIC adapter with nut and integrated o-ring (HTS: 7412.20.0035)&#10;Country of Origin: USA"/>
        <s v="Co2 Tank Attachment Tool (HTS: 3926.90.25.00)&#10;Country of Origin: USA"/>
        <s v="Samples, courtesy, etc."/>
        <s v="Pro Jet with 5- pin DMX and 220v Solenoid"/>
        <s v=" CO2 Output Terminator (Included)"/>
        <s v="Teflon &amp; Brass seal for 1/4&quot; CO2 Valve"/>
        <s v="Co2 Hose 50FT Standard Config (Upgrade from 15FT)"/>
        <s v="Hose Extension Adapter (Complementary)"/>
        <s v="Co2 Hose Custom Length Extension (6FT)"/>
        <s v="Co2 Hose Custom Length Daisy Chain (60FT)"/>
        <s v="Neutrik PowerCON True1 Cords - 10FT, Daisy Chain"/>
        <s v="Neutrik PowerCON True1 Cords - 25FT, Daisy Chain"/>
        <s v="Replacement O-Ring"/>
        <s v="4 Port Co2 Manifold with Quick Connects - 4x MQC Inlets, 1x FQC Outlet with Truss Bracket"/>
        <s v="Co2 Hose 100FT Standard Config"/>
        <s v="Update of Shomaster console - Serial# 082450129"/>
        <s v="Pro Jet - 5 Pin, 110v, JIC in/out"/>
        <s v="2FT CO2 Hose (CGA-320 x Female JIC 3/8&quot;)"/>
        <s v="6500-06-06-06"/>
        <s v="Co2 Hose 12&quot; Daisy Chain"/>
        <s v="5FT CO2 Hose 3/8&quot; ID (CGA-320 x Female JIC 3/8&quot;) For use with Manifold"/>
        <s v="6506-06-06"/>
        <s v="Used for uploading bootloader onto Club Cannon products"/>
        <s v="Compressible-Stem Push-In Bumpers - pro jet foot"/>
        <s v="Pro Jet feet screws (thread forming)"/>
        <s v="Mocap 1/2” hole cap - pro jet foot cap"/>
        <s v="Straight 06 JIC Female Swivel x 06 BSPP Female (Complementary)"/>
        <s v="Co2 Tank Attachment Tool (Complementary)"/>
        <s v="24x30 Road Case Insert - Pro Jet (Included)"/>
        <s v="3 1/2FT CO2 Hose (CGA-320 x Female JIC 3/8&quot;) For use with Manifold"/>
        <s v="Co2 Hose 15FT Daisy Chain"/>
        <s v="Co2 Hose 50FT (FJIC6 x FQC)"/>
        <s v="Replacement Keys - The Button"/>
        <s v="Co2 Hose 05FT Daisy Chain"/>
        <s v="Cryo Clamp II, 110v, Weatherproof CO2 Jet with JIC6 Inlet, NEMA 5-15 Tail, White"/>
        <s v="Truss clamp for CC2 with 1/2-13 x 3/4” CS screw, White (Included)"/>
        <s v="Co2 Hose 15FT Daisy Chain (Upgrade from 8FT)"/>
        <s v="Co2 Hose 08FT Daisy Chain"/>
        <s v="Co2 Hose 15FT Standard Config (additional)"/>
        <s v="24x30 Road Case Insert - Pro Jet  (Included)"/>
        <s v="5&quot; Nextion screen with harness, battery, hex standoffs and spacers installed"/>
        <s v="ShoMaster Emergency Stop with harness and TE Connector, E-Stop"/>
        <s v="5FT CO2 Hose 3/8&quot; (CGA-320 x Female JIC 3/8&quot;) "/>
        <s v="Neutrik PowerCON True1 Cords - 6FT, Standard (12AWG)"/>
        <s v="Swap of QC fitting + labor"/>
        <s v="Micro Jet Barrel with Right Angle - Replacement"/>
      </sharedItems>
    </cacheField>
    <cacheField name="Order Quantity" numFmtId="0">
      <sharedItems containsSemiMixedTypes="0" containsNonDate="0" containsString="0" containsNumber="1" minValue="0.5" maxValue="40" count="17">
        <n v="1"/>
        <n v="10"/>
        <n v="8"/>
        <n v="4"/>
        <n v="2"/>
        <n v="5"/>
        <n v="3"/>
        <n v="6"/>
        <n v="7"/>
        <n v="0.5"/>
        <n v="24"/>
        <n v="17"/>
        <n v="20"/>
        <n v="40"/>
        <n v="30"/>
        <n v="16"/>
        <n v="15"/>
      </sharedItems>
    </cacheField>
    <cacheField name="Unit Price" numFmtId="0">
      <sharedItems containsSemiMixedTypes="0" containsNonDate="0" containsString="0" containsNumber="1" minValue="0" maxValue="3199.99" count="125">
        <n v="349.99"/>
        <n v="1.99"/>
        <n v="599.99"/>
        <n v="59.99"/>
        <n v="549.99"/>
        <n v="49.99"/>
        <n v="325.63"/>
        <n v="0"/>
        <n v="18.5"/>
        <n v="675"/>
        <n v="15"/>
        <n v="299.9925"/>
        <n v="399.99"/>
        <n v="9.99"/>
        <n v="149.99"/>
        <n v="1199.99"/>
        <n v="1299.99"/>
        <n v="849.99"/>
        <n v="5.99"/>
        <n v="29.99"/>
        <n v="119.99"/>
        <n v="39.99"/>
        <n v="22.99"/>
        <n v="249.99"/>
        <n v="199.99"/>
        <n v="175"/>
        <n v="449.99"/>
        <n v="89.98999999999999"/>
        <n v="299.99"/>
        <n v="374.99"/>
        <n v="3199.99"/>
        <n v="33.6"/>
        <n v="224.9925"/>
        <n v="45"/>
        <n v="19.99"/>
        <n v="219.99"/>
        <n v="226.85"/>
        <n v="577.49"/>
        <n v="187.4925"/>
        <n v="223.21"/>
        <n v="899.9924999999999"/>
        <n v="2499.99"/>
        <n v="105.8"/>
        <n v="412.4925"/>
        <n v="79.98999999999999"/>
        <n v="22.5"/>
        <n v="50"/>
        <n v="95"/>
        <n v="16.608696"/>
        <n v="14.99"/>
        <n v="66.90000000000001"/>
        <n v="30"/>
        <n v="799.99"/>
        <n v="179.99"/>
        <n v="99.98999999999999"/>
        <n v="109.99"/>
        <n v="1874.9925"/>
        <n v="37.5"/>
        <n v="37.4925"/>
        <n v="1199.9925"/>
        <n v="225"/>
        <n v="100"/>
        <n v="195.8"/>
        <n v="499.99"/>
        <n v="105"/>
        <n v="73.45"/>
        <n v="652.4924999999999"/>
        <n v="75"/>
        <n v="112.4925"/>
        <n v="134.9925"/>
        <n v="56.2425"/>
        <n v="14.9925"/>
        <n v="59.9925"/>
        <n v="869.99"/>
        <n v="24.5"/>
        <n v="22.4925"/>
        <n v="312.55"/>
        <n v="374.9925"/>
        <n v="11.25"/>
        <n v="1249.99"/>
        <n v="7.99"/>
        <n v="35"/>
        <n v="262.4925"/>
        <n v="974.9924999999999"/>
        <n v="16.85"/>
        <n v="17.2425"/>
        <n v="2249.991"/>
        <n v="148.75"/>
        <n v="1079.991"/>
        <n v="89.99250000000001"/>
        <n v="24.6"/>
        <n v="82.49250000000001"/>
        <n v="258.7425"/>
        <n v="111.4"/>
        <n v="26.991"/>
        <n v="71.8"/>
        <n v="494.991"/>
        <n v="16.9915"/>
        <n v="128.95"/>
        <n v="900"/>
        <n v="599.9924999999999"/>
        <n v="48.7425"/>
        <n v="2.625"/>
        <n v="46.9"/>
        <n v="55.99"/>
        <n v="324.99"/>
        <n v="2399.9925"/>
        <n v="189.5"/>
        <n v="52.4925"/>
        <n v="44.9925"/>
        <n v="7.49"/>
        <n v="300"/>
        <n v="65"/>
        <n v="543.21"/>
        <n v="1169.991"/>
        <n v="134.991"/>
        <n v="719.991"/>
        <n v="41.85"/>
        <n v="96.5"/>
        <n v="11.5"/>
        <n v="5"/>
        <n v="94.98999999999999"/>
        <n v="26.55"/>
        <n v="25"/>
        <n v="32.5"/>
      </sharedItems>
    </cacheField>
    <cacheField name="Total Line Item $" numFmtId="0">
      <sharedItems containsSemiMixedTypes="0" containsNonDate="0" containsString="0" containsNumber="1" minValue="0" maxValue="11249.955" count="182">
        <n v="349.99"/>
        <n v="19.9"/>
        <n v="599.99"/>
        <n v="59.99"/>
        <n v="549.99"/>
        <n v="49.99"/>
        <n v="325.63"/>
        <n v="0"/>
        <n v="18.5"/>
        <n v="675"/>
        <n v="15"/>
        <n v="299.9925"/>
        <n v="799.98"/>
        <n v="49.95"/>
        <n v="299.98"/>
        <n v="1199.99"/>
        <n v="2599.98"/>
        <n v="99.98"/>
        <n v="2549.97"/>
        <n v="17.97"/>
        <n v="399.99"/>
        <n v="179.94"/>
        <n v="119.99"/>
        <n v="39.99"/>
        <n v="849.99"/>
        <n v="9.99"/>
        <n v="149.97"/>
        <n v="91.95999999999999"/>
        <n v="119.98"/>
        <n v="19.98"/>
        <n v="499.98"/>
        <n v="199.99"/>
        <n v="839.9299999999999"/>
        <n v="119.96"/>
        <n v="1699.98"/>
        <n v="350"/>
        <n v="899.98"/>
        <n v="59.98"/>
        <n v="269.97"/>
        <n v="299.99"/>
        <n v="374.99"/>
        <n v="149.99"/>
        <n v="3199.99"/>
        <n v="33.6"/>
        <n v="449.985"/>
        <n v="45"/>
        <n v="3399.96"/>
        <n v="23.96"/>
        <n v="59.97"/>
        <n v="19.99"/>
        <n v="219.99"/>
        <n v="226.85"/>
        <n v="3464.94"/>
        <n v="749.97"/>
        <n v="223.21"/>
        <n v="899.9775"/>
        <n v="1799.985"/>
        <n v="2499.99"/>
        <n v="105.8"/>
        <n v="824.985"/>
        <n v="159.98"/>
        <n v="239.98"/>
        <n v="1199.9"/>
        <n v="199.96"/>
        <n v="1199.98"/>
        <n v="699.98"/>
        <n v="22.5"/>
        <n v="50"/>
        <n v="47.5"/>
        <n v="33.217392"/>
        <n v="59.96"/>
        <n v="66.90000000000001"/>
        <n v="30"/>
        <n v="1599.98"/>
        <n v="359.98"/>
        <n v="39.98"/>
        <n v="99.98999999999999"/>
        <n v="219.98"/>
        <n v="68.97"/>
        <n v="79.98"/>
        <n v="59.94"/>
        <n v="5099.94"/>
        <n v="11249.955"/>
        <n v="900"/>
        <n v="899.8200000000001"/>
        <n v="2399.985"/>
        <n v="225"/>
        <n v="400"/>
        <n v="195.8"/>
        <n v="599.985"/>
        <n v="999.98"/>
        <n v="3199.96"/>
        <n v="29.99"/>
        <n v="399.98"/>
        <n v="199.9"/>
        <n v="509.83"/>
        <n v="39.8"/>
        <n v="105"/>
        <n v="79.98999999999999"/>
        <n v="73.45"/>
        <n v="1304.985"/>
        <n v="150"/>
        <n v="374.985"/>
        <n v="224.985"/>
        <n v="269.985"/>
        <n v="449.94"/>
        <n v="119.94"/>
        <n v="239.97"/>
        <n v="1739.98"/>
        <n v="24.5"/>
        <n v="157.4475"/>
        <n v="312.55"/>
        <n v="899.9400000000001"/>
        <n v="1874.925"/>
        <n v="2249.955"/>
        <n v="89.97"/>
        <n v="270"/>
        <n v="6249.95"/>
        <n v="3999.95"/>
        <n v="229.9"/>
        <n v="159.8"/>
        <n v="35"/>
        <n v="524.985"/>
        <n v="109.99"/>
        <n v="1099.98"/>
        <n v="1299.99"/>
        <n v="1949.985"/>
        <n v="37.4925"/>
        <n v="16.85"/>
        <n v="103.455"/>
        <n v="4499.982"/>
        <n v="297.5"/>
        <n v="1079.991"/>
        <n v="179.985"/>
        <n v="24.6"/>
        <n v="82.49250000000001"/>
        <n v="258.7425"/>
        <n v="111.4"/>
        <n v="1079.64"/>
        <n v="199.98"/>
        <n v="71.8"/>
        <n v="3959.928"/>
        <n v="135.932"/>
        <n v="128.95"/>
        <n v="99.90000000000001"/>
        <n v="39.96"/>
        <n v="499.99"/>
        <n v="1800"/>
        <n v="1199.985"/>
        <n v="97.485"/>
        <n v="10.5"/>
        <n v="46.9"/>
        <n v="111.98"/>
        <n v="599.96"/>
        <n v="7.96"/>
        <n v="7999.84"/>
        <n v="79.95999999999999"/>
        <n v="324.99"/>
        <n v="2399.9925"/>
        <n v="1199.9925"/>
        <n v="189.5"/>
        <n v="419.94"/>
        <n v="674.955"/>
        <n v="674.9775"/>
        <n v="179.97"/>
        <n v="29.96"/>
        <n v="300"/>
        <n v="65"/>
        <n v="543.21"/>
        <n v="7019.946"/>
        <n v="134.991"/>
        <n v="4319.946"/>
        <n v="41.85"/>
        <n v="96.5"/>
        <n v="11.5"/>
        <n v="5"/>
        <n v="94.98999999999999"/>
        <n v="249.99"/>
        <n v="26.55"/>
        <n v="337.3875"/>
        <n v="25"/>
        <n v="32.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6" createdVersion="7">
  <cacheSource type="worksheet">
    <worksheetSource ref="B2:I427" sheet="July 2024"/>
  </cacheSource>
  <cacheFields count="8">
    <cacheField name="Sales Order" numFmtId="0">
      <sharedItems containsNonDate="0" count="153">
        <s v="5270"/>
        <s v="5269"/>
        <s v="5268"/>
        <s v="5266"/>
        <s v="5264"/>
        <s v="5263"/>
        <s v="5262"/>
        <s v="5261"/>
        <s v="5265"/>
        <s v="5260"/>
        <s v="5259"/>
        <s v="5256"/>
        <s v="5255"/>
        <s v="5253"/>
        <s v="5252"/>
        <s v="5251"/>
        <s v="5250"/>
        <s v="5257"/>
        <s v="5258"/>
        <s v="5254"/>
        <s v="5249"/>
        <s v="5248"/>
        <s v="5247"/>
        <s v="5246"/>
        <s v="5244"/>
        <s v="5243"/>
        <s v="5245"/>
        <s v="5242"/>
        <s v="5241"/>
        <s v="5240"/>
        <s v="5239"/>
        <s v="5238"/>
        <s v="5237"/>
        <s v="5236"/>
        <s v="5235"/>
        <s v="5233"/>
        <s v="5234"/>
        <s v="5231"/>
        <s v="5230"/>
        <s v="5229"/>
        <s v="5232"/>
        <s v="5226"/>
        <s v="5224"/>
        <s v="5219"/>
        <s v="5223"/>
        <s v="5220"/>
        <s v="5221"/>
        <s v="5227"/>
        <s v="5225"/>
        <s v="5218"/>
        <s v="5217"/>
        <s v="5214"/>
        <s v="5213"/>
        <s v="5212"/>
        <s v="5211"/>
        <s v="5210"/>
        <s v="5209"/>
        <s v="5215"/>
        <s v="5208"/>
        <s v="5201"/>
        <s v="5200"/>
        <s v="5207"/>
        <s v="5203"/>
        <s v="5204"/>
        <s v="5202"/>
        <s v="5205"/>
        <s v="5199"/>
        <s v="5198"/>
        <s v="5195"/>
        <s v="5194"/>
        <s v="5192"/>
        <s v="5191"/>
        <s v="5190"/>
        <s v="5197"/>
        <s v="5193"/>
        <s v="5196"/>
        <s v="5188"/>
        <s v="5186"/>
        <s v="5187"/>
        <s v="5189"/>
        <s v="5183"/>
        <s v="5180"/>
        <s v="5179"/>
        <s v="5177"/>
        <s v="5185"/>
        <s v="5181"/>
        <s v="5184"/>
        <s v="5182"/>
        <s v="5178"/>
        <s v="5176"/>
        <s v="5175"/>
        <s v="5174"/>
        <s v="5173"/>
        <s v="5172"/>
        <s v="5171"/>
        <s v="5168"/>
        <s v="5167"/>
        <s v="5166"/>
        <s v="5165"/>
        <s v="5170"/>
        <s v="5169"/>
        <s v="5163"/>
        <s v="5161"/>
        <s v="5155"/>
        <s v="5154"/>
        <s v="5160"/>
        <s v="5157"/>
        <s v="5158"/>
        <s v="5159"/>
        <s v="5156"/>
        <s v="5151"/>
        <s v="5153"/>
        <s v="5150"/>
        <s v="5152"/>
        <s v="5148"/>
        <s v="5142"/>
        <s v="5145"/>
        <s v="5143"/>
        <s v="5149"/>
        <s v="5144"/>
        <s v="5147"/>
        <s v="5146"/>
        <s v="5141"/>
        <s v="5140"/>
        <s v="5139"/>
        <s v="5138"/>
        <s v="5137"/>
        <s v="5136"/>
        <s v="5135"/>
        <s v="5134"/>
        <s v="5133"/>
        <s v="5132"/>
        <s v="5124"/>
        <s v="5122"/>
        <s v="5126"/>
        <s v="5125"/>
        <s v="5123"/>
        <s v="5121"/>
        <s v="5119"/>
        <s v="5115"/>
        <s v="5118"/>
        <s v="5116"/>
        <s v="5117"/>
        <s v="5120"/>
        <s v="5110"/>
        <s v="5108"/>
        <s v="5105"/>
        <s v="5113"/>
        <s v="5111"/>
        <s v="5112"/>
        <s v="5107"/>
        <s v="5114"/>
        <s v="5109"/>
      </sharedItems>
    </cacheField>
    <cacheField name="Customer" numFmtId="0">
      <sharedItems containsNonDate="0" count="122">
        <s v="Charlton Combs"/>
        <s v="Bradlee Skinner"/>
        <s v="Patrick Dugan"/>
        <s v="philip williams"/>
        <s v="Sam Luba"/>
        <s v="Chris Marino"/>
        <s v="Long Lasting Life"/>
        <s v="Stephen Schrutt"/>
        <s v="AFX Pro / Jackie Johnson"/>
        <s v="Gleice Gillet"/>
        <s v="William Milham"/>
        <s v="Derek Harrison"/>
        <s v="Livia Dibiase"/>
        <s v="Karen Klasen"/>
        <s v="Shawn Smith"/>
        <s v="Endoscopy Center Of North Baltimore, Kelly"/>
        <s v="Jeffrey Richardson"/>
        <s v="Hans Rittinger"/>
        <s v="Gear Club Direct "/>
        <s v="Fred Tucker"/>
        <s v="Mike Jean Baptiste"/>
        <s v="Sherman Whited"/>
        <s v="daniel Page"/>
        <s v="Kunal Dawar"/>
        <s v="Nell Kirsten"/>
        <s v="Reno Rosser / Flying U Rodeo"/>
        <s v="Joseph Benvenisti"/>
        <s v="Preston Abernathy"/>
        <s v="SFX Solutions"/>
        <s v="James Woerly"/>
        <s v="Joseph Bunn"/>
        <s v="Martin Desriviere"/>
        <s v="John Wagner"/>
        <s v="Pyrotek FX"/>
        <s v="Charles Smith"/>
        <s v="Chris McCabe"/>
        <s v="Daniel LaPlante"/>
        <s v="Brandon Firman"/>
        <s v="Ernesto Blanco"/>
        <s v="Julio Gonzalez"/>
        <s v="Joseph Hackler Jr"/>
        <s v="Daniel Soriano"/>
        <s v="Scorpio RSVP"/>
        <s v="Monkey Wrench Productions"/>
        <s v="Raney Rex Balbuena"/>
        <s v="Melissa Ellingson"/>
        <s v="Luke Frutig"/>
        <s v="Kyle Simmons"/>
        <s v="paul rozsa"/>
        <s v="Gk Broncos"/>
        <s v="Reed Hanke"/>
        <s v="Image Engineering"/>
        <s v="Jimmy Shaba"/>
        <s v="John Vassallo"/>
        <s v="Aaron Brockmeier"/>
        <s v="PYROTECNICO"/>
        <s v="Joey Jensen"/>
        <s v="LPH Ningbo Lipu Hydraulic Machinery Co.,Ltd."/>
        <s v="Sunsation Powerboats"/>
        <s v="Thomas Gentilhomme"/>
        <s v="Marcus Cummings"/>
        <s v="Brandon Knight"/>
        <s v="Owen Smith"/>
        <s v="Javier Rojas"/>
        <s v="John Colligan"/>
        <s v="George Wainwright"/>
        <s v="University of Alabama"/>
        <s v="Disney Cruise Line"/>
        <s v="Estefania Urban"/>
        <s v="Michael Taylor"/>
        <s v="Sean Thornton"/>
        <s v="David Belogolovsky"/>
        <s v="Alison Schmidt"/>
        <s v="Talmage Collins"/>
        <s v="Scott Burchill"/>
        <s v="Ashley Hachenberger"/>
        <s v="Marco Mejia"/>
        <s v="Allyson GilliARD CORREIA DE MOURA"/>
        <s v="Dan Riley"/>
        <s v="Shehzaib Masih"/>
        <s v="Brandon Flaum"/>
        <s v="joseph miller"/>
        <s v="Dennis Carollo"/>
        <s v="Andrew Reina"/>
        <s v="Special FX Rentals"/>
        <s v="David Zamarripa"/>
        <s v="JESSE TAYLOR"/>
        <s v="BRIANNE DEMMLER"/>
        <s v="Douglas Kegler"/>
        <s v="Pro Audio World"/>
        <s v="Arroyo High School"/>
        <s v="Garrick Lewis"/>
        <s v="Paul Scott"/>
        <s v="Kaival Patel"/>
        <s v="Troy Bednarz"/>
        <s v="Groupe Royal Pyro"/>
        <s v="Ricky Lorek"/>
        <s v="Nishan Mahajan"/>
        <s v="ESI Production"/>
        <s v="Romin Zandi"/>
        <s v="Héctor Miguel Mercado"/>
        <s v="Brent Archer"/>
        <s v="Khazym Fontenelle"/>
        <s v="Victoria Scherzer"/>
        <s v="Perry Roper"/>
        <s v="Ethan Chambers"/>
        <s v="Omprakash Kuppusamy"/>
        <s v="Vikram Bhalla"/>
        <s v="Alon Amit"/>
        <s v="Gilbert Apodaca"/>
        <s v="Kevin Chavez"/>
        <s v="FX in Motion"/>
        <s v="Anthony Sevdinoglou"/>
        <s v="Jorge Gonzalez"/>
        <s v="Christine Salerno"/>
        <s v="Emerson Wellens"/>
        <s v="simon wilson"/>
        <s v="Jake Warner"/>
        <s v="Kellon Marcelle"/>
        <s v="Diana Weigel"/>
        <s v="Pyro Spectaculars Industries, Inc. "/>
        <s v="Starsound Audio Inc"/>
      </sharedItems>
    </cacheField>
    <cacheField name="Ordered Date" numFmtId="0">
      <sharedItems containsSemiMixedTypes="0" containsNonDate="0" containsDate="1" containsString="0" minDate="2024-07-01T00:00:00" maxDate="2024-07-31T21:24:55" count="113">
        <d v="2024-07-31T21:24:55"/>
        <d v="2024-07-31T20:44:18"/>
        <d v="2024-07-31T19:55:05"/>
        <d v="2024-07-31T18:52:33"/>
        <d v="2024-07-31T12:51:55"/>
        <d v="2024-07-31T10:41:00"/>
        <d v="2024-07-31T04:07:25"/>
        <d v="2024-07-31T00:33:20"/>
        <d v="2024-07-31T00:00:00"/>
        <d v="2024-07-30T20:23:17"/>
        <d v="2024-07-30T20:14:58"/>
        <d v="2024-07-30T19:07:42"/>
        <d v="2024-07-30T18:43:20"/>
        <d v="2024-07-30T18:22:29"/>
        <d v="2024-07-30T14:47:12"/>
        <d v="2024-07-30T12:43:51"/>
        <d v="2024-07-30T01:53:28"/>
        <d v="2024-07-30T00:00:00"/>
        <d v="2024-07-29T18:34:59"/>
        <d v="2024-07-29T17:23:53"/>
        <d v="2024-07-29T16:51:55"/>
        <d v="2024-07-29T15:34:25"/>
        <d v="2024-07-29T13:14:48"/>
        <d v="2024-07-29T03:11:46"/>
        <d v="2024-07-29T00:00:00"/>
        <d v="2024-07-26T18:42:16"/>
        <d v="2024-07-26T17:09:39"/>
        <d v="2024-07-26T16:41:09"/>
        <d v="2024-07-26T00:00:00"/>
        <d v="2024-07-25T20:41:37"/>
        <d v="2024-07-25T18:17:00"/>
        <d v="2024-07-25T14:52:49"/>
        <d v="2024-07-24T21:02:43"/>
        <d v="2024-07-24T00:00:00"/>
        <d v="2024-07-23T20:17:48"/>
        <d v="2024-07-23T19:34:23"/>
        <d v="2024-07-23T17:41:42"/>
        <d v="2024-07-23T00:00:00"/>
        <d v="2024-07-22T18:48:40"/>
        <d v="2024-07-22T16:29:17"/>
        <d v="2024-07-22T01:12:44"/>
        <d v="2024-07-22T00:00:00"/>
        <d v="2024-07-21T01:51:24"/>
        <d v="2024-07-20T20:18:33"/>
        <d v="2024-07-19T17:11:18"/>
        <d v="2024-07-19T16:41:00"/>
        <d v="2024-07-19T13:44:53"/>
        <d v="2024-07-19T12:02:34"/>
        <d v="2024-07-19T02:14:51"/>
        <d v="2024-07-19T02:01:16"/>
        <d v="2024-07-19T00:00:00"/>
        <d v="2024-07-18T21:15:17"/>
        <d v="2024-07-18T12:24:52"/>
        <d v="2024-07-18T08:19:38"/>
        <d v="2024-07-18T00:00:00"/>
        <d v="2024-07-17T23:18:49"/>
        <d v="2024-07-17T20:40:02"/>
        <d v="2024-07-17T18:37:00"/>
        <d v="2024-07-17T18:06:20"/>
        <d v="2024-07-17T15:19:33"/>
        <d v="2024-07-17T10:58:10"/>
        <d v="2024-07-17T04:58:14"/>
        <d v="2024-07-17T00:00:00"/>
        <d v="2024-07-16T20:20:19"/>
        <d v="2024-07-16T18:20:17"/>
        <d v="2024-07-16T00:00:00"/>
        <d v="2024-07-15T20:38:25"/>
        <d v="2024-07-15T18:17:46"/>
        <d v="2024-07-15T15:35:36"/>
        <d v="2024-07-15T13:56:54"/>
        <d v="2024-07-15T00:00:00"/>
        <d v="2024-07-14T17:40:18"/>
        <d v="2024-07-14T16:26:14"/>
        <d v="2024-07-14T08:35:00"/>
        <d v="2024-07-13T18:22:32"/>
        <d v="2024-07-13T18:11:01"/>
        <d v="2024-07-13T01:09:37"/>
        <d v="2024-07-12T19:59:29"/>
        <d v="2024-07-12T19:31:51"/>
        <d v="2024-07-12T19:31:16"/>
        <d v="2024-07-12T19:16:59"/>
        <d v="2024-07-12T00:00:00"/>
        <d v="2024-07-11T21:14:19"/>
        <d v="2024-07-11T00:00:00"/>
        <d v="2024-07-10T13:05:11"/>
        <d v="2024-07-10T00:14:58"/>
        <d v="2024-07-10T00:00:00"/>
        <d v="2024-07-09T15:06:03"/>
        <d v="2024-07-09T00:00:00"/>
        <d v="2024-07-08T18:47:00"/>
        <d v="2024-07-08T03:25:53"/>
        <d v="2024-07-08T00:00:00"/>
        <d v="2024-07-07T20:20:59"/>
        <d v="2024-07-07T00:20:48"/>
        <d v="2024-07-06T20:12:12"/>
        <d v="2024-07-05T19:28:28"/>
        <d v="2024-07-05T18:25:09"/>
        <d v="2024-07-05T17:53:21"/>
        <d v="2024-07-05T16:20:41"/>
        <d v="2024-07-05T16:15:26"/>
        <d v="2024-07-05T14:39:20"/>
        <d v="2024-07-05T00:00:00"/>
        <d v="2024-07-03T16:18:04"/>
        <d v="2024-07-03T00:43:01"/>
        <d v="2024-07-03T00:00:00"/>
        <d v="2024-07-02T23:12:01"/>
        <d v="2024-07-02T18:56:54"/>
        <d v="2024-07-02T12:16:50"/>
        <d v="2024-07-02T00:00:00"/>
        <d v="2024-07-01T17:53:25"/>
        <d v="2024-07-01T15:22:57"/>
        <d v="2024-07-01T13:12:03"/>
        <d v="2024-07-01T00:00:00"/>
      </sharedItems>
    </cacheField>
    <cacheField name="Line Item Name" numFmtId="0">
      <sharedItems containsNonDate="0" count="122">
        <s v="CC-PROJ-5-110"/>
        <s v="CC-NPTC-06-STD"/>
        <s v="CC-F-COT"/>
        <s v="CC-AC-OP"/>
        <s v="CC-CH-35-STD"/>
        <s v="CC-AC-LA2 - 0"/>
        <s v="CC-CH-15-STD"/>
        <s v="CC-CTC-20"/>
        <s v="CC-HCCMKII-08-TC"/>
        <s v="CC-CTC-50"/>
        <s v="CC-AC-TC"/>
        <s v="CC-HCCMKII-08-NC"/>
        <s v="Shipping Fees"/>
        <s v="CC-QJ-5-110-JIC"/>
        <s v="6FT CO2 HOSE- 3/8&quot; (JIC #6 x JIC #6)"/>
        <s v="CC-AC-CLAMP-MJMKII-KIT"/>
        <s v="CC-F-CGA-MQC"/>
        <s v="CC-F-FQCBSPF"/>
        <s v="MBSPP-MJ90-6-6"/>
        <s v="CC-RC-2430-QJF"/>
        <s v="CC-TB-35"/>
        <s v="CC-MJMKII-3-110"/>
        <s v="CC-AC-CCL"/>
        <s v="CC-MJMKII-5-110"/>
        <s v="CC-SS-35"/>
        <s v="CC-CC2-110"/>
        <s v="CC-AC-CLAMP-CC2-KIT"/>
        <s v="CC-AC-CTAT"/>
        <s v="Shipping Charges"/>
        <s v="CC-CH-25-STD"/>
        <s v="Tax: CA Tax (8.75%)"/>
        <s v="Repair"/>
        <s v="1/2-13 x 3/4” CS screw"/>
        <s v="1/4-20 x 3/4” CS screw"/>
        <s v="CC-WASH-10"/>
        <s v="CC-VV-KIT"/>
        <s v="Discount"/>
        <s v="Cryo Clamp Valve Assembly"/>
        <s v="6in Barrel Assembly Powdercoated"/>
        <s v="Valve Bracket"/>
        <s v="CC-CH-05-DSY"/>
        <s v=" CC-AC-CGAJIC-SET - 1"/>
        <s v="#10 Neoprene-Steel Sealing Washer"/>
        <s v="CC-AC-CTS - 1"/>
        <s v="CC-F-HEA"/>
        <s v="CC-AC-SMK"/>
        <s v="CC-F-MFDCGAJIC"/>
        <s v="CC-HCCMKII-15-TC"/>
        <s v="1&quot; x 30' Streamers (Black)"/>
        <s v="1&quot; x 30' Streamers (Dark Blue)"/>
        <s v="1&quot; x 30' Streamers (Dark Green)"/>
        <s v="1&quot; x 30' Streamers (Multicolor)"/>
        <s v="1&quot; x 30' Streamers (Pink)"/>
        <s v="1&quot; x 30' Streamers (Purple)"/>
        <s v="1&quot; x 30' Streamers (Rainbow Colors)"/>
        <s v="1&quot; x 30' Streamers (Red)"/>
        <s v="1&quot; x 30' Streamers (White)"/>
        <s v="2&quot; x 30' Streamers (White)"/>
        <s v="The Button Key Assembly - 1"/>
        <s v="Small Key Lock Tool"/>
        <s v="12in Barrel Tube"/>
        <s v="Barrel Plug with Silencer"/>
        <s v="4-40 1/8in Hex Screw"/>
        <s v="CC-CH-XX-STD"/>
        <s v="CC-CH-50-STD"/>
        <s v="CC-CC2-110-JIC"/>
        <s v="CC-AC-BM-KIT"/>
        <s v="Nema 5-15P to True1 4 way splitter"/>
        <s v="CC-WASH-01"/>
        <s v="CC-CH-08-STD"/>
        <s v="CC-HCCMKII-15-NC"/>
        <s v="CC-CH-15-EXT"/>
        <s v="Euro to USD"/>
        <s v="MFX-E2J-230"/>
        <s v="MFX-ECO2JET-BKT"/>
        <s v="MFX-E2J-2LFA"/>
        <s v="MFX-E2J-F-ID"/>
        <s v="MFX-E2J-F-OD"/>
        <s v="CC-AC-CGA6JIC"/>
        <s v="CC-AC-CGAJIC - 1"/>
        <s v="PTFE Teflon O-Ring -111"/>
        <s v="2FT CO2 Hose - 1/4&quot; ID (JIC #6 x JIC #6)"/>
        <s v="CC-CH-05-STD - 01"/>
        <s v="MagicFX Red Button"/>
        <s v="ADJ Accu-Cable Power Bone T1T1"/>
        <s v="CC-AC-CTS-1"/>
        <s v="CC-AC-CGANPT-SET-F"/>
        <s v="IDC Cable Clip"/>
        <s v="CC-TSC-5-110"/>
        <s v="M12 3 Pin to DIN, A Code, 4FT"/>
        <s v="MagicFX Switchpack II"/>
        <s v="CC-CCDINT1-16"/>
        <s v="Prepaid Shipping Label"/>
        <s v="6FJ-6SB"/>
        <s v="Handheld MKII Hose Box"/>
        <s v="Handheld MKII Outer Box"/>
        <s v="CC-PROJ-5-110-JIC"/>
        <s v="CC-SM-5"/>
        <s v="TJC Screen 2.4"/>
        <s v="CC-F-MQCMQC"/>
        <s v="CC-AC-ROR2"/>
        <s v="CC-CH-35-DSY"/>
        <s v="CC-CH-15-DSY"/>
        <s v="CC-RC-2430"/>
        <s v="CC-RC-2430-PJI"/>
        <s v="CC-RC-2430-TTI"/>
        <s v="CC-AC-LA2"/>
        <s v="Credit Card Processing Fee"/>
        <s v="CC-NPTC-10-DSY"/>
        <s v="CC-AC-CGANPT"/>
        <s v="CGA-320 Male x 1/4&quot; NPT Female adapter / CO-2-1"/>
        <s v="The Button Main PCB"/>
        <s v="CC-HCCMKII-25-NC"/>
        <s v="CC-AC-RAA"/>
        <s v="CC-CH-25-EXT"/>
        <s v="CC-CH-50-EXT"/>
        <s v="Emergency Stop Button"/>
        <s v="25mm RGB Halo Button"/>
        <s v="Pro Jet Base Plate Assembly"/>
        <s v="CC-CH-100-STD"/>
        <s v="Large Key Lock Switch Assembly"/>
        <s v="CO2 Valve Replacement Seal"/>
      </sharedItems>
    </cacheField>
    <cacheField name="Line Item Description" numFmtId="0">
      <sharedItems containsNonDate="0" containsBlank="1" count="131">
        <s v="Pro Jet"/>
        <s v="Neutrik PowerCON True1 Cords - 6FT, Standard"/>
        <s v=" CO2 Output Terminator"/>
        <s v="CO2 Tank Tool + Documentation"/>
        <s v="Co2 Hose 35FT Standard Config"/>
        <s v="LED Attachment for DMX Jet, DMX Jet MKII, and Pro Jet."/>
        <s v="Co2 Hose 15FT Standard Config"/>
        <s v="CO2 Tank Covers - 20lb Cover"/>
        <s v="Handheld MKII in travel case with 8ft hose"/>
        <s v="CO2 Tank Covers - 50lb Cover"/>
        <s v="Travel Case"/>
        <s v="Handheld CO2 Cannon MKII"/>
        <m/>
        <s v="Quad Jet 110v with 5 Pin DMX, JIC Connections"/>
        <s v="Neutrik PowerCON True1 Cords - 6FT, Standard (Included)"/>
        <s v="6FT CO2 HOSE - 3/8&quot; FEMALE JIC x FEMALE JIC (Included)"/>
        <s v="6FT CO2 HOSE - 3/8&quot; FEMALE JIC x FEMALE JIC"/>
        <s v="Truss Clamp for Micro Jet MKII w/ Hardware"/>
        <s v="CGA-320 Female to Male Quick Connect"/>
        <s v="ISO-A Female Quick Connect - BSPP Thread"/>
        <s v="90DEG Elbow - 3/8 in Male British Standard Pipe Parallel x 3/8 in Male JIC 37° Flare"/>
        <s v="24x30 Road Case Foam - Quad Jet"/>
        <s v="The Button - with both 3 &amp; 5 pin DMX ports"/>
        <s v="Micro CO2 Jet MKII"/>
        <s v="CO2 Cylinder Link"/>
        <s v="ShoStarter DMX Controller with 3 &amp; 5 Pin Connectors in Box"/>
        <s v="Cryo Clamp II, 110v, Weatherproof CO2 Jet"/>
        <s v="Truss clamp for CC2 with 1/2-13 x 3/4” CS screw (Included)"/>
        <s v="Co2 Tank Attachment Tool (Complementary)"/>
        <s v="Co2 Hose 25FT Standard Config"/>
        <s v="Maintenance for 4x Power Jet (Serial# 01017505, 01017506, 01017510, 0119341)"/>
        <s v=" CO2 Output Terminator (Included)"/>
        <s v="1/2-13 x 3/4” CS screw"/>
        <s v="1/4-20 x 3/4” CS screw"/>
        <s v="CO2 Washers (10 pack)"/>
        <s v="Co2 Tank Attachment Tool"/>
        <s v="Volt View - True1 voltage detection device"/>
        <s v="CO2 valve with BSPP MQC x 1/4&quot; NPS nipple"/>
        <s v="6in Jet Barrel with powdercoating"/>
        <s v="Bracket used for attaching valve to clamp"/>
        <s v="Co2 Hose 05FT Daisy Chain"/>
        <s v="CGA-320 to JIC adapter with nut and integrated o-ring"/>
        <s v="Solenoid Neoprene Spacer/Washer"/>
        <s v="CO2 Tank Splitter"/>
        <s v="Hose Extension Adapter"/>
        <s v="Replacement Keys - The Button"/>
        <s v="Adapter for use with Manifold - to attach standard CGA-320 hose configuration"/>
        <s v="Handheld MKII in travel case with 15ft hose"/>
        <s v="MagicFX Streamers"/>
        <s v="Key Switch with Wires and JST Connector for The Button"/>
        <s v="Used for installing / removing small key switch"/>
        <s v="12in Barrel Tube - Raw"/>
        <s v="Barrel Plug with Silencer - Raw"/>
        <s v="4-40 1/8in Socket set screw cup point"/>
        <s v="Co2 Hose Custom Length Standard (75FT, upgrade from standard 15FT)"/>
        <s v="Co2 Hose 50FT Standard Config"/>
        <s v="Handheld MKII in travel case with 15ft hose (Trade for Media Content)"/>
        <s v="Cryo Clamp II, 110v, Weatherproof CO2 Jet with JIC Inlet"/>
        <s v="Ball Mount Assembly for Cryo Clamp with 4x 10-32 x 3/8&quot; socket head screws"/>
        <s v="Edison 5-15 to NAC3FX-W-TOP"/>
        <s v="Single CO2 Washer (delivered in bags of 100)"/>
        <s v="Co2 Hose 08FT Standard Config"/>
        <s v="Co2 Hose 15FT Extension Config"/>
        <s v="Confetti Sample"/>
        <s v="Exact conversion will be calculated at time of order."/>
        <s v="Magic FX ECO2JET, 230v"/>
        <s v="Magic FX ECO2JET Bracket"/>
        <s v="Magic FX ECO2JET 2L Fluid Attachment"/>
        <s v="Magic FX ECO2JET Indoor Fluid"/>
        <s v="Magic FX ECO2JET Outdoor Fluid"/>
        <s v="CGA to 6JIC adapter"/>
        <s v="CGA-320 to 3/8in JIC with groove for integrated O-ring"/>
        <s v="CGA sealing O-ring (Teflon)"/>
        <s v="Special order CO2 Hose"/>
        <s v="Co2 Hose 05FT Standard Config"/>
        <s v="True1 In / Out momentary power controller"/>
        <s v="Neutrik PowerCON True1 Cords - 6FT, Standard (Complementary)"/>
        <s v="True1 Power Distribution Box"/>
        <s v="CO2 Tank Splitter with integrated o-ring"/>
        <s v="CGA-320 to 1/4&quot; NPT adapter with nut and filter"/>
        <s v="Single CO2 Washer"/>
        <s v="CO2 Tank Tool + Documentation (Included)"/>
        <s v="ShoStarter Serial #00002 (IDC unplugged, reinstalled and added clips to prevent future issues)"/>
        <s v="LED Attachment II Serial #0923002 (Unit was in 5ch mode upon arrival. Changed to 9ch mode. Tested over 24 hours. Unable to replicate issue. If it happens again, we will replace main PCB)."/>
        <s v="Clip to secure IDC Cable"/>
        <s v="Co2 Hose 25FT Standard Config (Upgrade from 15FT)"/>
        <s v="T-Shirt Cannon Control Box, 5 pin, 110v (Will need PCB retrofit)"/>
        <s v="Solenoid to M12 cable harness"/>
        <s v="4 Channel True1 DMX Relay - Rainproof (Loaner, to be returned)"/>
        <s v="Top entry DIN cable with True1 connector, 5M / 16.5FT (Loaner, to be returned)"/>
        <s v="Warranty Repair of Handheld MKII - Serial# 005027"/>
        <s v="#6 JIC Female Hose Crimp Fitting"/>
        <s v="11 1/4 x 10 1/4 x 2 3/4"/>
        <s v="22x11x6"/>
        <s v="Pro Jet - 5 Pin, 110v, JIC in/out (No Hose)"/>
        <s v="Pro Jet - 5 Pin, 110v, JIC in/out (No Hose"/>
        <s v="ShoMaster Console"/>
        <s v="TJC3224T124_011"/>
        <s v="Co2 Hose 15FT Standard Config (Included)"/>
        <s v="Co2 Hose 25FT Standard Config (Upgrade from included 15FT)"/>
        <s v="Male Quick Connect to Male Quick Connect"/>
        <s v="Replacement O-Ring - 2023 Quick Connects. EPDM"/>
        <s v="Co2 Hose 35FT Daisy Chain"/>
        <s v="Co2 Tank Attachment Tool (Included)"/>
        <s v="Co2 Hose 15FT Daisy Chain (Included)"/>
        <s v="CGA-320 to JIC adapter with nut and integrated o-ring (Complementary)"/>
        <s v="24x30 Road Case"/>
        <s v="24x30 Road Case Insert - Pro Jet (Included)"/>
        <s v="24x30 Road Case Insert - Top Tray Insert (Included)"/>
        <s v="Domestic"/>
        <s v="Co2 Hose 15FT Daisy Chain"/>
        <s v="Neutrik PowerCON True1 Cords - 10FT, Daisy Chain"/>
        <s v="CGA-320 to 1/4in NPT"/>
        <s v="Western Enterprises CO-2-1 "/>
        <s v="Warranty Repair of The Button - Serial# 31743 - RMA# 103719"/>
        <s v="The Button Main PCB"/>
        <s v="3D printed clip to secure IDC Cable"/>
        <s v="Handheld MKII in box with 25ft hose"/>
        <s v="Right Angle Adapter"/>
        <s v="Micro CO2 Jet MKII (No 15FT hoses included)"/>
        <s v="Co2 Hose 35FT Standard Config "/>
        <s v="Co2 Hose 25FT Extension Config"/>
        <s v="Co2 Hose 55FT Custom Length Standard"/>
        <s v="Co2 Hose 75 FT Custom Length Standard "/>
        <s v="Co2 Hose 50FT Extension Config"/>
        <s v="22mm emergency stop non- illuminated 3pins metal push button switch with hardness AWG22 406mm cables, E-Stop"/>
        <s v="ShoMaster / ShoStarter "/>
        <s v="Pro Jet Base Plate, Feet and Yoke."/>
        <s v="Co2 Hose 100FT Standard Config"/>
        <s v="Large 2 Position Key switch with TE connector"/>
        <s v="Teflon &amp; Brass seal for 1/4&quot; CO2 Valve"/>
      </sharedItems>
    </cacheField>
    <cacheField name="Order Quantity" numFmtId="0">
      <sharedItems containsSemiMixedTypes="0" containsNonDate="0" containsString="0" containsNumber="1" containsInteger="1" minValue="1" maxValue="3000" count="21">
        <n v="2"/>
        <n v="4"/>
        <n v="1"/>
        <n v="5"/>
        <n v="16"/>
        <n v="18"/>
        <n v="6"/>
        <n v="8"/>
        <n v="3"/>
        <n v="100"/>
        <n v="150"/>
        <n v="350"/>
        <n v="200"/>
        <n v="500"/>
        <n v="433"/>
        <n v="120"/>
        <n v="12"/>
        <n v="3000"/>
        <n v="20"/>
        <n v="10"/>
        <n v="24"/>
      </sharedItems>
    </cacheField>
    <cacheField name="Unit Price" numFmtId="0">
      <sharedItems containsSemiMixedTypes="0" containsNonDate="0" containsString="0" containsNumber="1" minValue="-325.57" maxValue="8459.290000000001" count="125">
        <n v="1299.99"/>
        <n v="0"/>
        <n v="100"/>
        <n v="799.99"/>
        <n v="149.99"/>
        <n v="49.99"/>
        <n v="549.99"/>
        <n v="39.99"/>
        <n v="59.99"/>
        <n v="219.99"/>
        <n v="349.99"/>
        <n v="185.8"/>
        <n v="1874.9925"/>
        <n v="47.2425"/>
        <n v="22.4925"/>
        <n v="32.495"/>
        <n v="18.7425"/>
        <n v="6.95000025"/>
        <n v="224.9925"/>
        <n v="399.99"/>
        <n v="849.99"/>
        <n v="119.99"/>
        <n v="869.99"/>
        <n v="1199.99"/>
        <n v="499.99"/>
        <n v="18.6"/>
        <n v="149.9925"/>
        <n v="44.09"/>
        <n v="120"/>
        <n v="17.99"/>
        <n v="107.991"/>
        <n v="9.99"/>
        <n v="79.98999999999999"/>
        <n v="-325.57"/>
        <n v="99.98999999999999"/>
        <n v="22.99"/>
        <n v="0.652174"/>
        <n v="19.99"/>
        <n v="41.5"/>
        <n v="299.9925"/>
        <n v="5.6175"/>
        <n v="599.99"/>
        <n v="200"/>
        <n v="2"/>
        <n v="58.333333"/>
        <n v="30.833333"/>
        <n v="0.08695700000000001"/>
        <n v="300"/>
        <n v="65.83"/>
        <n v="374.9925"/>
        <n v="104.9925"/>
        <n v="15"/>
        <n v="0.1875"/>
        <n v="109.99"/>
        <n v="299.99"/>
        <n v="337.49"/>
        <n v="8459.290000000001"/>
        <n v="3850"/>
        <n v="249"/>
        <n v="125"/>
        <n v="52.95"/>
        <n v="59.95"/>
        <n v="15.6"/>
        <n v="899.9924999999999"/>
        <n v="49.5"/>
        <n v="199.99"/>
        <n v="7.49"/>
        <n v="29.99"/>
        <n v="159.99"/>
        <n v="25.99"/>
        <n v="203.21"/>
        <n v="50"/>
        <n v="249.99"/>
        <n v="950"/>
        <n v="14"/>
        <n v="18.9"/>
        <n v="69.41"/>
        <n v="900"/>
        <n v="152.8"/>
        <n v="63.46"/>
        <n v="3199.99"/>
        <n v="55.8"/>
        <n v="637.4924999999999"/>
        <n v="37.5"/>
        <n v="105"/>
        <n v="27.992"/>
        <n v="22.8"/>
        <n v="187.4925"/>
        <n v="648.89"/>
        <n v="974.9924999999999"/>
        <n v="1199.9925"/>
        <n v="89.99250000000001"/>
        <n v="37.4925"/>
        <n v="599.9924999999999"/>
        <n v="19.5"/>
        <n v="185.6"/>
        <n v="17.7582"/>
        <n v="12.5"/>
        <n v="119.992"/>
        <n v="33.18"/>
        <n v="59.9925"/>
        <n v="65.45"/>
        <n v="54.99"/>
        <n v="35.8"/>
        <n v="12.99"/>
        <n v="324.99"/>
        <n v="449.9925"/>
        <n v="429.99"/>
        <n v="123.5"/>
        <n v="562.4924999999999"/>
        <n v="254.9925"/>
        <n v="344.9925"/>
        <n v="44.9925"/>
        <n v="16.8"/>
        <n v="48.75"/>
        <n v="43.2"/>
        <n v="425"/>
        <n v="42.5"/>
        <n v="95.992"/>
        <n v="18.392"/>
        <n v="15.992"/>
        <n v="39.992"/>
        <n v="159.992"/>
        <n v="239.992"/>
        <n v="26.991"/>
      </sharedItems>
    </cacheField>
    <cacheField name="Total Line Item $" numFmtId="0">
      <sharedItems containsSemiMixedTypes="0" containsNonDate="0" containsString="0" containsNumber="1" minValue="-325.57" maxValue="77000" count="166">
        <n v="2599.98"/>
        <n v="0"/>
        <n v="200"/>
        <n v="1599.98"/>
        <n v="3199.96"/>
        <n v="149.99"/>
        <n v="249.95"/>
        <n v="549.99"/>
        <n v="39.99"/>
        <n v="59.99"/>
        <n v="219.99"/>
        <n v="349.99"/>
        <n v="49.99"/>
        <n v="185.8"/>
        <n v="7499.97"/>
        <n v="850.365"/>
        <n v="134.955"/>
        <n v="519.92"/>
        <n v="149.94"/>
        <n v="55.600002"/>
        <n v="224.9925"/>
        <n v="399.99"/>
        <n v="1699.98"/>
        <n v="119.99"/>
        <n v="3479.96"/>
        <n v="239.98"/>
        <n v="119.98"/>
        <n v="1199.99"/>
        <n v="999.98"/>
        <n v="299.98"/>
        <n v="18.6"/>
        <n v="149.9925"/>
        <n v="44.09"/>
        <n v="120"/>
        <n v="71.95999999999999"/>
        <n v="431.964"/>
        <n v="179.97"/>
        <n v="99.98"/>
        <n v="439.98"/>
        <n v="9.99"/>
        <n v="19.98"/>
        <n v="319.96"/>
        <n v="-325.57"/>
        <n v="199.98"/>
        <n v="99.98999999999999"/>
        <n v="22.99"/>
        <n v="2.608696"/>
        <n v="39.98"/>
        <n v="41.5"/>
        <n v="599.985"/>
        <n v="28.0875"/>
        <n v="19.99"/>
        <n v="599.99"/>
        <n v="300"/>
        <n v="700"/>
        <n v="400"/>
        <n v="1000"/>
        <n v="866"/>
        <n v="240"/>
        <n v="639.92"/>
        <n v="239.96"/>
        <n v="233.333332"/>
        <n v="123.333332"/>
        <n v="1.043484"/>
        <n v="699.98"/>
        <n v="600"/>
        <n v="1799.94"/>
        <n v="65.83"/>
        <n v="2999.94"/>
        <n v="179.94"/>
        <n v="419.97"/>
        <n v="15"/>
        <n v="562.5"/>
        <n v="109.99"/>
        <n v="799.98"/>
        <n v="1199.98"/>
        <n v="99.95"/>
        <n v="479.96"/>
        <n v="599.98"/>
        <n v="674.98"/>
        <n v="8459.290000000001"/>
        <n v="77000"/>
        <n v="4980"/>
        <n v="2500"/>
        <n v="52.95"/>
        <n v="59.95"/>
        <n v="15.6"/>
        <n v="899.9924999999999"/>
        <n v="99"/>
        <n v="79.98999999999999"/>
        <n v="199.99"/>
        <n v="7.49"/>
        <n v="1999.96"/>
        <n v="119.96"/>
        <n v="599.96"/>
        <n v="319.98"/>
        <n v="415.84"/>
        <n v="203.21"/>
        <n v="5099.94"/>
        <n v="79.98"/>
        <n v="100"/>
        <n v="249.99"/>
        <n v="3800"/>
        <n v="336"/>
        <n v="18.9"/>
        <n v="69.41"/>
        <n v="5400"/>
        <n v="152.8"/>
        <n v="3600"/>
        <n v="190.38"/>
        <n v="3199.99"/>
        <n v="599.97"/>
        <n v="55.8"/>
        <n v="2549.97"/>
        <n v="75"/>
        <n v="105"/>
        <n v="83.976"/>
        <n v="22.8"/>
        <n v="374.985"/>
        <n v="648.89"/>
        <n v="5849.955"/>
        <n v="449.985"/>
        <n v="1199.9925"/>
        <n v="899.925"/>
        <n v="74.985"/>
        <n v="1199.985"/>
        <n v="299.9925"/>
        <n v="19.5"/>
        <n v="185.6"/>
        <n v="3899.97"/>
        <n v="150"/>
        <n v="17.7582"/>
        <n v="12.5"/>
        <n v="479.968"/>
        <n v="111.968"/>
        <n v="33.18"/>
        <n v="299.9625"/>
        <n v="65.45"/>
        <n v="2399.97"/>
        <n v="89.97"/>
        <n v="59.98"/>
        <n v="109.98"/>
        <n v="35.8"/>
        <n v="12.99"/>
        <n v="324.99"/>
        <n v="1349.9775"/>
        <n v="674.9775"/>
        <n v="429.99"/>
        <n v="29.97"/>
        <n v="123.5"/>
        <n v="3374.955"/>
        <n v="509.985"/>
        <n v="344.9925"/>
        <n v="149.97"/>
        <n v="16.8"/>
        <n v="195"/>
        <n v="43.2"/>
        <n v="850"/>
        <n v="42.5"/>
        <n v="383.968"/>
        <n v="73.568"/>
        <n v="79.95999999999999"/>
        <n v="159.968"/>
        <n v="119.992"/>
        <n v="319.984"/>
        <n v="959.96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6" createdVersion="7">
  <cacheSource type="worksheet">
    <worksheetSource ref="B2:I427" sheet="July 2024"/>
  </cacheSource>
  <cacheFields count="8">
    <cacheField name="Sales Order" numFmtId="0">
      <sharedItems containsNonDate="0" count="153">
        <s v="5270"/>
        <s v="5269"/>
        <s v="5268"/>
        <s v="5266"/>
        <s v="5264"/>
        <s v="5263"/>
        <s v="5262"/>
        <s v="5261"/>
        <s v="5265"/>
        <s v="5260"/>
        <s v="5259"/>
        <s v="5256"/>
        <s v="5255"/>
        <s v="5253"/>
        <s v="5252"/>
        <s v="5251"/>
        <s v="5250"/>
        <s v="5257"/>
        <s v="5258"/>
        <s v="5254"/>
        <s v="5249"/>
        <s v="5248"/>
        <s v="5247"/>
        <s v="5246"/>
        <s v="5244"/>
        <s v="5243"/>
        <s v="5245"/>
        <s v="5242"/>
        <s v="5241"/>
        <s v="5240"/>
        <s v="5239"/>
        <s v="5238"/>
        <s v="5237"/>
        <s v="5236"/>
        <s v="5235"/>
        <s v="5233"/>
        <s v="5234"/>
        <s v="5231"/>
        <s v="5230"/>
        <s v="5229"/>
        <s v="5232"/>
        <s v="5226"/>
        <s v="5224"/>
        <s v="5219"/>
        <s v="5223"/>
        <s v="5220"/>
        <s v="5221"/>
        <s v="5227"/>
        <s v="5225"/>
        <s v="5218"/>
        <s v="5217"/>
        <s v="5214"/>
        <s v="5213"/>
        <s v="5212"/>
        <s v="5211"/>
        <s v="5210"/>
        <s v="5209"/>
        <s v="5215"/>
        <s v="5208"/>
        <s v="5201"/>
        <s v="5200"/>
        <s v="5207"/>
        <s v="5203"/>
        <s v="5204"/>
        <s v="5202"/>
        <s v="5205"/>
        <s v="5199"/>
        <s v="5198"/>
        <s v="5195"/>
        <s v="5194"/>
        <s v="5192"/>
        <s v="5191"/>
        <s v="5190"/>
        <s v="5197"/>
        <s v="5193"/>
        <s v="5196"/>
        <s v="5188"/>
        <s v="5186"/>
        <s v="5187"/>
        <s v="5189"/>
        <s v="5183"/>
        <s v="5180"/>
        <s v="5179"/>
        <s v="5177"/>
        <s v="5185"/>
        <s v="5181"/>
        <s v="5184"/>
        <s v="5182"/>
        <s v="5178"/>
        <s v="5176"/>
        <s v="5175"/>
        <s v="5174"/>
        <s v="5173"/>
        <s v="5172"/>
        <s v="5171"/>
        <s v="5168"/>
        <s v="5167"/>
        <s v="5166"/>
        <s v="5165"/>
        <s v="5170"/>
        <s v="5169"/>
        <s v="5163"/>
        <s v="5161"/>
        <s v="5155"/>
        <s v="5154"/>
        <s v="5160"/>
        <s v="5157"/>
        <s v="5158"/>
        <s v="5159"/>
        <s v="5156"/>
        <s v="5151"/>
        <s v="5153"/>
        <s v="5150"/>
        <s v="5152"/>
        <s v="5148"/>
        <s v="5142"/>
        <s v="5145"/>
        <s v="5143"/>
        <s v="5149"/>
        <s v="5144"/>
        <s v="5147"/>
        <s v="5146"/>
        <s v="5141"/>
        <s v="5140"/>
        <s v="5139"/>
        <s v="5138"/>
        <s v="5137"/>
        <s v="5136"/>
        <s v="5135"/>
        <s v="5134"/>
        <s v="5133"/>
        <s v="5132"/>
        <s v="5124"/>
        <s v="5122"/>
        <s v="5126"/>
        <s v="5125"/>
        <s v="5123"/>
        <s v="5121"/>
        <s v="5119"/>
        <s v="5115"/>
        <s v="5118"/>
        <s v="5116"/>
        <s v="5117"/>
        <s v="5120"/>
        <s v="5110"/>
        <s v="5108"/>
        <s v="5105"/>
        <s v="5113"/>
        <s v="5111"/>
        <s v="5112"/>
        <s v="5107"/>
        <s v="5114"/>
        <s v="5109"/>
      </sharedItems>
    </cacheField>
    <cacheField name="Customer" numFmtId="0">
      <sharedItems containsNonDate="0" count="122">
        <s v="Charlton Combs"/>
        <s v="Bradlee Skinner"/>
        <s v="Patrick Dugan"/>
        <s v="philip williams"/>
        <s v="Sam Luba"/>
        <s v="Chris Marino"/>
        <s v="Long Lasting Life"/>
        <s v="Stephen Schrutt"/>
        <s v="AFX Pro / Jackie Johnson"/>
        <s v="Gleice Gillet"/>
        <s v="William Milham"/>
        <s v="Derek Harrison"/>
        <s v="Livia Dibiase"/>
        <s v="Karen Klasen"/>
        <s v="Shawn Smith"/>
        <s v="Endoscopy Center Of North Baltimore, Kelly"/>
        <s v="Jeffrey Richardson"/>
        <s v="Hans Rittinger"/>
        <s v="Gear Club Direct "/>
        <s v="Fred Tucker"/>
        <s v="Mike Jean Baptiste"/>
        <s v="Sherman Whited"/>
        <s v="daniel Page"/>
        <s v="Kunal Dawar"/>
        <s v="Nell Kirsten"/>
        <s v="Reno Rosser / Flying U Rodeo"/>
        <s v="Joseph Benvenisti"/>
        <s v="Preston Abernathy"/>
        <s v="SFX Solutions"/>
        <s v="James Woerly"/>
        <s v="Joseph Bunn"/>
        <s v="Martin Desriviere"/>
        <s v="John Wagner"/>
        <s v="Pyrotek FX"/>
        <s v="Charles Smith"/>
        <s v="Chris McCabe"/>
        <s v="Daniel LaPlante"/>
        <s v="Brandon Firman"/>
        <s v="Ernesto Blanco"/>
        <s v="Julio Gonzalez"/>
        <s v="Joseph Hackler Jr"/>
        <s v="Daniel Soriano"/>
        <s v="Scorpio RSVP"/>
        <s v="Monkey Wrench Productions"/>
        <s v="Raney Rex Balbuena"/>
        <s v="Melissa Ellingson"/>
        <s v="Luke Frutig"/>
        <s v="Kyle Simmons"/>
        <s v="paul rozsa"/>
        <s v="Gk Broncos"/>
        <s v="Reed Hanke"/>
        <s v="Image Engineering"/>
        <s v="Jimmy Shaba"/>
        <s v="John Vassallo"/>
        <s v="Aaron Brockmeier"/>
        <s v="PYROTECNICO"/>
        <s v="Joey Jensen"/>
        <s v="LPH Ningbo Lipu Hydraulic Machinery Co.,Ltd."/>
        <s v="Sunsation Powerboats"/>
        <s v="Thomas Gentilhomme"/>
        <s v="Marcus Cummings"/>
        <s v="Brandon Knight"/>
        <s v="Owen Smith"/>
        <s v="Javier Rojas"/>
        <s v="John Colligan"/>
        <s v="George Wainwright"/>
        <s v="University of Alabama"/>
        <s v="Disney Cruise Line"/>
        <s v="Estefania Urban"/>
        <s v="Michael Taylor"/>
        <s v="Sean Thornton"/>
        <s v="David Belogolovsky"/>
        <s v="Alison Schmidt"/>
        <s v="Talmage Collins"/>
        <s v="Scott Burchill"/>
        <s v="Ashley Hachenberger"/>
        <s v="Marco Mejia"/>
        <s v="Allyson GilliARD CORREIA DE MOURA"/>
        <s v="Dan Riley"/>
        <s v="Shehzaib Masih"/>
        <s v="Brandon Flaum"/>
        <s v="joseph miller"/>
        <s v="Dennis Carollo"/>
        <s v="Andrew Reina"/>
        <s v="Special FX Rentals"/>
        <s v="David Zamarripa"/>
        <s v="JESSE TAYLOR"/>
        <s v="BRIANNE DEMMLER"/>
        <s v="Douglas Kegler"/>
        <s v="Pro Audio World"/>
        <s v="Arroyo High School"/>
        <s v="Garrick Lewis"/>
        <s v="Paul Scott"/>
        <s v="Kaival Patel"/>
        <s v="Troy Bednarz"/>
        <s v="Groupe Royal Pyro"/>
        <s v="Ricky Lorek"/>
        <s v="Nishan Mahajan"/>
        <s v="ESI Production"/>
        <s v="Romin Zandi"/>
        <s v="Héctor Miguel Mercado"/>
        <s v="Brent Archer"/>
        <s v="Khazym Fontenelle"/>
        <s v="Victoria Scherzer"/>
        <s v="Perry Roper"/>
        <s v="Ethan Chambers"/>
        <s v="Omprakash Kuppusamy"/>
        <s v="Vikram Bhalla"/>
        <s v="Alon Amit"/>
        <s v="Gilbert Apodaca"/>
        <s v="Kevin Chavez"/>
        <s v="FX in Motion"/>
        <s v="Anthony Sevdinoglou"/>
        <s v="Jorge Gonzalez"/>
        <s v="Christine Salerno"/>
        <s v="Emerson Wellens"/>
        <s v="simon wilson"/>
        <s v="Jake Warner"/>
        <s v="Kellon Marcelle"/>
        <s v="Diana Weigel"/>
        <s v="Pyro Spectaculars Industries, Inc. "/>
        <s v="Starsound Audio Inc"/>
      </sharedItems>
    </cacheField>
    <cacheField name="Ordered Date" numFmtId="0">
      <sharedItems containsSemiMixedTypes="0" containsNonDate="0" containsDate="1" containsString="0" minDate="2024-07-01T00:00:00" maxDate="2024-07-31T21:24:55" count="113">
        <d v="2024-07-31T21:24:55"/>
        <d v="2024-07-31T20:44:18"/>
        <d v="2024-07-31T19:55:05"/>
        <d v="2024-07-31T18:52:33"/>
        <d v="2024-07-31T12:51:55"/>
        <d v="2024-07-31T10:41:00"/>
        <d v="2024-07-31T04:07:25"/>
        <d v="2024-07-31T00:33:20"/>
        <d v="2024-07-31T00:00:00"/>
        <d v="2024-07-30T20:23:17"/>
        <d v="2024-07-30T20:14:58"/>
        <d v="2024-07-30T19:07:42"/>
        <d v="2024-07-30T18:43:20"/>
        <d v="2024-07-30T18:22:29"/>
        <d v="2024-07-30T14:47:12"/>
        <d v="2024-07-30T12:43:51"/>
        <d v="2024-07-30T01:53:28"/>
        <d v="2024-07-30T00:00:00"/>
        <d v="2024-07-29T18:34:59"/>
        <d v="2024-07-29T17:23:53"/>
        <d v="2024-07-29T16:51:55"/>
        <d v="2024-07-29T15:34:25"/>
        <d v="2024-07-29T13:14:48"/>
        <d v="2024-07-29T03:11:46"/>
        <d v="2024-07-29T00:00:00"/>
        <d v="2024-07-26T18:42:16"/>
        <d v="2024-07-26T17:09:39"/>
        <d v="2024-07-26T16:41:09"/>
        <d v="2024-07-26T00:00:00"/>
        <d v="2024-07-25T20:41:37"/>
        <d v="2024-07-25T18:17:00"/>
        <d v="2024-07-25T14:52:49"/>
        <d v="2024-07-24T21:02:43"/>
        <d v="2024-07-24T00:00:00"/>
        <d v="2024-07-23T20:17:48"/>
        <d v="2024-07-23T19:34:23"/>
        <d v="2024-07-23T17:41:42"/>
        <d v="2024-07-23T00:00:00"/>
        <d v="2024-07-22T18:48:40"/>
        <d v="2024-07-22T16:29:17"/>
        <d v="2024-07-22T01:12:44"/>
        <d v="2024-07-22T00:00:00"/>
        <d v="2024-07-21T01:51:24"/>
        <d v="2024-07-20T20:18:33"/>
        <d v="2024-07-19T17:11:18"/>
        <d v="2024-07-19T16:41:00"/>
        <d v="2024-07-19T13:44:53"/>
        <d v="2024-07-19T12:02:34"/>
        <d v="2024-07-19T02:14:51"/>
        <d v="2024-07-19T02:01:16"/>
        <d v="2024-07-19T00:00:00"/>
        <d v="2024-07-18T21:15:17"/>
        <d v="2024-07-18T12:24:52"/>
        <d v="2024-07-18T08:19:38"/>
        <d v="2024-07-18T00:00:00"/>
        <d v="2024-07-17T23:18:49"/>
        <d v="2024-07-17T20:40:02"/>
        <d v="2024-07-17T18:37:00"/>
        <d v="2024-07-17T18:06:20"/>
        <d v="2024-07-17T15:19:33"/>
        <d v="2024-07-17T10:58:10"/>
        <d v="2024-07-17T04:58:14"/>
        <d v="2024-07-17T00:00:00"/>
        <d v="2024-07-16T20:20:19"/>
        <d v="2024-07-16T18:20:17"/>
        <d v="2024-07-16T00:00:00"/>
        <d v="2024-07-15T20:38:25"/>
        <d v="2024-07-15T18:17:46"/>
        <d v="2024-07-15T15:35:36"/>
        <d v="2024-07-15T13:56:54"/>
        <d v="2024-07-15T00:00:00"/>
        <d v="2024-07-14T17:40:18"/>
        <d v="2024-07-14T16:26:14"/>
        <d v="2024-07-14T08:35:00"/>
        <d v="2024-07-13T18:22:32"/>
        <d v="2024-07-13T18:11:01"/>
        <d v="2024-07-13T01:09:37"/>
        <d v="2024-07-12T19:59:29"/>
        <d v="2024-07-12T19:31:51"/>
        <d v="2024-07-12T19:31:16"/>
        <d v="2024-07-12T19:16:59"/>
        <d v="2024-07-12T00:00:00"/>
        <d v="2024-07-11T21:14:19"/>
        <d v="2024-07-11T00:00:00"/>
        <d v="2024-07-10T13:05:11"/>
        <d v="2024-07-10T00:14:58"/>
        <d v="2024-07-10T00:00:00"/>
        <d v="2024-07-09T15:06:03"/>
        <d v="2024-07-09T00:00:00"/>
        <d v="2024-07-08T18:47:00"/>
        <d v="2024-07-08T03:25:53"/>
        <d v="2024-07-08T00:00:00"/>
        <d v="2024-07-07T20:20:59"/>
        <d v="2024-07-07T00:20:48"/>
        <d v="2024-07-06T20:12:12"/>
        <d v="2024-07-05T19:28:28"/>
        <d v="2024-07-05T18:25:09"/>
        <d v="2024-07-05T17:53:21"/>
        <d v="2024-07-05T16:20:41"/>
        <d v="2024-07-05T16:15:26"/>
        <d v="2024-07-05T14:39:20"/>
        <d v="2024-07-05T00:00:00"/>
        <d v="2024-07-03T16:18:04"/>
        <d v="2024-07-03T00:43:01"/>
        <d v="2024-07-03T00:00:00"/>
        <d v="2024-07-02T23:12:01"/>
        <d v="2024-07-02T18:56:54"/>
        <d v="2024-07-02T12:16:50"/>
        <d v="2024-07-02T00:00:00"/>
        <d v="2024-07-01T17:53:25"/>
        <d v="2024-07-01T15:22:57"/>
        <d v="2024-07-01T13:12:03"/>
        <d v="2024-07-01T00:00:00"/>
      </sharedItems>
    </cacheField>
    <cacheField name="Line Item Name" numFmtId="0">
      <sharedItems containsNonDate="0" count="122">
        <s v="CC-PROJ-5-110"/>
        <s v="CC-NPTC-06-STD"/>
        <s v="CC-F-COT"/>
        <s v="CC-AC-OP"/>
        <s v="CC-CH-35-STD"/>
        <s v="CC-AC-LA2 - 0"/>
        <s v="CC-CH-15-STD"/>
        <s v="CC-CTC-20"/>
        <s v="CC-HCCMKII-08-TC"/>
        <s v="CC-CTC-50"/>
        <s v="CC-AC-TC"/>
        <s v="CC-HCCMKII-08-NC"/>
        <s v="Shipping Fees"/>
        <s v="CC-QJ-5-110-JIC"/>
        <s v="6FT CO2 HOSE- 3/8&quot; (JIC #6 x JIC #6)"/>
        <s v="CC-AC-CLAMP-MJMKII-KIT"/>
        <s v="CC-F-CGA-MQC"/>
        <s v="CC-F-FQCBSPF"/>
        <s v="MBSPP-MJ90-6-6"/>
        <s v="CC-RC-2430-QJF"/>
        <s v="CC-TB-35"/>
        <s v="CC-MJMKII-3-110"/>
        <s v="CC-AC-CCL"/>
        <s v="CC-MJMKII-5-110"/>
        <s v="CC-SS-35"/>
        <s v="CC-CC2-110"/>
        <s v="CC-AC-CLAMP-CC2-KIT"/>
        <s v="CC-AC-CTAT"/>
        <s v="Shipping Charges"/>
        <s v="CC-CH-25-STD"/>
        <s v="Tax: CA Tax (8.75%)"/>
        <s v="Repair"/>
        <s v="1/2-13 x 3/4” CS screw"/>
        <s v="1/4-20 x 3/4” CS screw"/>
        <s v="CC-WASH-10"/>
        <s v="CC-VV-KIT"/>
        <s v="Discount"/>
        <s v="Cryo Clamp Valve Assembly"/>
        <s v="6in Barrel Assembly Powdercoated"/>
        <s v="Valve Bracket"/>
        <s v="CC-CH-05-DSY"/>
        <s v=" CC-AC-CGAJIC-SET - 1"/>
        <s v="#10 Neoprene-Steel Sealing Washer"/>
        <s v="CC-AC-CTS - 1"/>
        <s v="CC-F-HEA"/>
        <s v="CC-AC-SMK"/>
        <s v="CC-F-MFDCGAJIC"/>
        <s v="CC-HCCMKII-15-TC"/>
        <s v="1&quot; x 30' Streamers (Black)"/>
        <s v="1&quot; x 30' Streamers (Dark Blue)"/>
        <s v="1&quot; x 30' Streamers (Dark Green)"/>
        <s v="1&quot; x 30' Streamers (Multicolor)"/>
        <s v="1&quot; x 30' Streamers (Pink)"/>
        <s v="1&quot; x 30' Streamers (Purple)"/>
        <s v="1&quot; x 30' Streamers (Rainbow Colors)"/>
        <s v="1&quot; x 30' Streamers (Red)"/>
        <s v="1&quot; x 30' Streamers (White)"/>
        <s v="2&quot; x 30' Streamers (White)"/>
        <s v="The Button Key Assembly - 1"/>
        <s v="Small Key Lock Tool"/>
        <s v="12in Barrel Tube"/>
        <s v="Barrel Plug with Silencer"/>
        <s v="4-40 1/8in Hex Screw"/>
        <s v="CC-CH-XX-STD"/>
        <s v="CC-CH-50-STD"/>
        <s v="CC-CC2-110-JIC"/>
        <s v="CC-AC-BM-KIT"/>
        <s v="Nema 5-15P to True1 4 way splitter"/>
        <s v="CC-WASH-01"/>
        <s v="CC-CH-08-STD"/>
        <s v="CC-HCCMKII-15-NC"/>
        <s v="CC-CH-15-EXT"/>
        <s v="Euro to USD"/>
        <s v="MFX-E2J-230"/>
        <s v="MFX-ECO2JET-BKT"/>
        <s v="MFX-E2J-2LFA"/>
        <s v="MFX-E2J-F-ID"/>
        <s v="MFX-E2J-F-OD"/>
        <s v="CC-AC-CGA6JIC"/>
        <s v="CC-AC-CGAJIC - 1"/>
        <s v="PTFE Teflon O-Ring -111"/>
        <s v="2FT CO2 Hose - 1/4&quot; ID (JIC #6 x JIC #6)"/>
        <s v="CC-CH-05-STD - 01"/>
        <s v="MagicFX Red Button"/>
        <s v="ADJ Accu-Cable Power Bone T1T1"/>
        <s v="CC-AC-CTS-1"/>
        <s v="CC-AC-CGANPT-SET-F"/>
        <s v="IDC Cable Clip"/>
        <s v="CC-TSC-5-110"/>
        <s v="M12 3 Pin to DIN, A Code, 4FT"/>
        <s v="MagicFX Switchpack II"/>
        <s v="CC-CCDINT1-16"/>
        <s v="Prepaid Shipping Label"/>
        <s v="6FJ-6SB"/>
        <s v="Handheld MKII Hose Box"/>
        <s v="Handheld MKII Outer Box"/>
        <s v="CC-PROJ-5-110-JIC"/>
        <s v="CC-SM-5"/>
        <s v="TJC Screen 2.4"/>
        <s v="CC-F-MQCMQC"/>
        <s v="CC-AC-ROR2"/>
        <s v="CC-CH-35-DSY"/>
        <s v="CC-CH-15-DSY"/>
        <s v="CC-RC-2430"/>
        <s v="CC-RC-2430-PJI"/>
        <s v="CC-RC-2430-TTI"/>
        <s v="CC-AC-LA2"/>
        <s v="Credit Card Processing Fee"/>
        <s v="CC-NPTC-10-DSY"/>
        <s v="CC-AC-CGANPT"/>
        <s v="CGA-320 Male x 1/4&quot; NPT Female adapter / CO-2-1"/>
        <s v="The Button Main PCB"/>
        <s v="CC-HCCMKII-25-NC"/>
        <s v="CC-AC-RAA"/>
        <s v="CC-CH-25-EXT"/>
        <s v="CC-CH-50-EXT"/>
        <s v="Emergency Stop Button"/>
        <s v="25mm RGB Halo Button"/>
        <s v="Pro Jet Base Plate Assembly"/>
        <s v="CC-CH-100-STD"/>
        <s v="Large Key Lock Switch Assembly"/>
        <s v="CO2 Valve Replacement Seal"/>
      </sharedItems>
    </cacheField>
    <cacheField name="Line Item Description" numFmtId="0">
      <sharedItems containsNonDate="0" containsBlank="1" count="131">
        <s v="Pro Jet"/>
        <s v="Neutrik PowerCON True1 Cords - 6FT, Standard"/>
        <s v=" CO2 Output Terminator"/>
        <s v="CO2 Tank Tool + Documentation"/>
        <s v="Co2 Hose 35FT Standard Config"/>
        <s v="LED Attachment for DMX Jet, DMX Jet MKII, and Pro Jet."/>
        <s v="Co2 Hose 15FT Standard Config"/>
        <s v="CO2 Tank Covers - 20lb Cover"/>
        <s v="Handheld MKII in travel case with 8ft hose"/>
        <s v="CO2 Tank Covers - 50lb Cover"/>
        <s v="Travel Case"/>
        <s v="Handheld CO2 Cannon MKII"/>
        <m/>
        <s v="Quad Jet 110v with 5 Pin DMX, JIC Connections"/>
        <s v="Neutrik PowerCON True1 Cords - 6FT, Standard (Included)"/>
        <s v="6FT CO2 HOSE - 3/8&quot; FEMALE JIC x FEMALE JIC (Included)"/>
        <s v="6FT CO2 HOSE - 3/8&quot; FEMALE JIC x FEMALE JIC"/>
        <s v="Truss Clamp for Micro Jet MKII w/ Hardware"/>
        <s v="CGA-320 Female to Male Quick Connect"/>
        <s v="ISO-A Female Quick Connect - BSPP Thread"/>
        <s v="90DEG Elbow - 3/8 in Male British Standard Pipe Parallel x 3/8 in Male JIC 37° Flare"/>
        <s v="24x30 Road Case Foam - Quad Jet"/>
        <s v="The Button - with both 3 &amp; 5 pin DMX ports"/>
        <s v="Micro CO2 Jet MKII"/>
        <s v="CO2 Cylinder Link"/>
        <s v="ShoStarter DMX Controller with 3 &amp; 5 Pin Connectors in Box"/>
        <s v="Cryo Clamp II, 110v, Weatherproof CO2 Jet"/>
        <s v="Truss clamp for CC2 with 1/2-13 x 3/4” CS screw (Included)"/>
        <s v="Co2 Tank Attachment Tool (Complementary)"/>
        <s v="Co2 Hose 25FT Standard Config"/>
        <s v="Maintenance for 4x Power Jet (Serial# 01017505, 01017506, 01017510, 0119341)"/>
        <s v=" CO2 Output Terminator (Included)"/>
        <s v="1/2-13 x 3/4” CS screw"/>
        <s v="1/4-20 x 3/4” CS screw"/>
        <s v="CO2 Washers (10 pack)"/>
        <s v="Co2 Tank Attachment Tool"/>
        <s v="Volt View - True1 voltage detection device"/>
        <s v="CO2 valve with BSPP MQC x 1/4&quot; NPS nipple"/>
        <s v="6in Jet Barrel with powdercoating"/>
        <s v="Bracket used for attaching valve to clamp"/>
        <s v="Co2 Hose 05FT Daisy Chain"/>
        <s v="CGA-320 to JIC adapter with nut and integrated o-ring"/>
        <s v="Solenoid Neoprene Spacer/Washer"/>
        <s v="CO2 Tank Splitter"/>
        <s v="Hose Extension Adapter"/>
        <s v="Replacement Keys - The Button"/>
        <s v="Adapter for use with Manifold - to attach standard CGA-320 hose configuration"/>
        <s v="Handheld MKII in travel case with 15ft hose"/>
        <s v="MagicFX Streamers"/>
        <s v="Key Switch with Wires and JST Connector for The Button"/>
        <s v="Used for installing / removing small key switch"/>
        <s v="12in Barrel Tube - Raw"/>
        <s v="Barrel Plug with Silencer - Raw"/>
        <s v="4-40 1/8in Socket set screw cup point"/>
        <s v="Co2 Hose Custom Length Standard (75FT, upgrade from standard 15FT)"/>
        <s v="Co2 Hose 50FT Standard Config"/>
        <s v="Handheld MKII in travel case with 15ft hose (Trade for Media Content)"/>
        <s v="Cryo Clamp II, 110v, Weatherproof CO2 Jet with JIC Inlet"/>
        <s v="Ball Mount Assembly for Cryo Clamp with 4x 10-32 x 3/8&quot; socket head screws"/>
        <s v="Edison 5-15 to NAC3FX-W-TOP"/>
        <s v="Single CO2 Washer (delivered in bags of 100)"/>
        <s v="Co2 Hose 08FT Standard Config"/>
        <s v="Co2 Hose 15FT Extension Config"/>
        <s v="Confetti Sample"/>
        <s v="Exact conversion will be calculated at time of order."/>
        <s v="Magic FX ECO2JET, 230v"/>
        <s v="Magic FX ECO2JET Bracket"/>
        <s v="Magic FX ECO2JET 2L Fluid Attachment"/>
        <s v="Magic FX ECO2JET Indoor Fluid"/>
        <s v="Magic FX ECO2JET Outdoor Fluid"/>
        <s v="CGA to 6JIC adapter"/>
        <s v="CGA-320 to 3/8in JIC with groove for integrated O-ring"/>
        <s v="CGA sealing O-ring (Teflon)"/>
        <s v="Special order CO2 Hose"/>
        <s v="Co2 Hose 05FT Standard Config"/>
        <s v="True1 In / Out momentary power controller"/>
        <s v="Neutrik PowerCON True1 Cords - 6FT, Standard (Complementary)"/>
        <s v="True1 Power Distribution Box"/>
        <s v="CO2 Tank Splitter with integrated o-ring"/>
        <s v="CGA-320 to 1/4&quot; NPT adapter with nut and filter"/>
        <s v="Single CO2 Washer"/>
        <s v="CO2 Tank Tool + Documentation (Included)"/>
        <s v="ShoStarter Serial #00002 (IDC unplugged, reinstalled and added clips to prevent future issues)"/>
        <s v="LED Attachment II Serial #0923002 (Unit was in 5ch mode upon arrival. Changed to 9ch mode. Tested over 24 hours. Unable to replicate issue. If it happens again, we will replace main PCB)."/>
        <s v="Clip to secure IDC Cable"/>
        <s v="Co2 Hose 25FT Standard Config (Upgrade from 15FT)"/>
        <s v="T-Shirt Cannon Control Box, 5 pin, 110v (Will need PCB retrofit)"/>
        <s v="Solenoid to M12 cable harness"/>
        <s v="4 Channel True1 DMX Relay - Rainproof (Loaner, to be returned)"/>
        <s v="Top entry DIN cable with True1 connector, 5M / 16.5FT (Loaner, to be returned)"/>
        <s v="Warranty Repair of Handheld MKII - Serial# 005027"/>
        <s v="#6 JIC Female Hose Crimp Fitting"/>
        <s v="11 1/4 x 10 1/4 x 2 3/4"/>
        <s v="22x11x6"/>
        <s v="Pro Jet - 5 Pin, 110v, JIC in/out (No Hose)"/>
        <s v="Pro Jet - 5 Pin, 110v, JIC in/out (No Hose"/>
        <s v="ShoMaster Console"/>
        <s v="TJC3224T124_011"/>
        <s v="Co2 Hose 15FT Standard Config (Included)"/>
        <s v="Co2 Hose 25FT Standard Config (Upgrade from included 15FT)"/>
        <s v="Male Quick Connect to Male Quick Connect"/>
        <s v="Replacement O-Ring - 2023 Quick Connects. EPDM"/>
        <s v="Co2 Hose 35FT Daisy Chain"/>
        <s v="Co2 Tank Attachment Tool (Included)"/>
        <s v="Co2 Hose 15FT Daisy Chain (Included)"/>
        <s v="CGA-320 to JIC adapter with nut and integrated o-ring (Complementary)"/>
        <s v="24x30 Road Case"/>
        <s v="24x30 Road Case Insert - Pro Jet (Included)"/>
        <s v="24x30 Road Case Insert - Top Tray Insert (Included)"/>
        <s v="Domestic"/>
        <s v="Co2 Hose 15FT Daisy Chain"/>
        <s v="Neutrik PowerCON True1 Cords - 10FT, Daisy Chain"/>
        <s v="CGA-320 to 1/4in NPT"/>
        <s v="Western Enterprises CO-2-1 "/>
        <s v="Warranty Repair of The Button - Serial# 31743 - RMA# 103719"/>
        <s v="The Button Main PCB"/>
        <s v="3D printed clip to secure IDC Cable"/>
        <s v="Handheld MKII in box with 25ft hose"/>
        <s v="Right Angle Adapter"/>
        <s v="Micro CO2 Jet MKII (No 15FT hoses included)"/>
        <s v="Co2 Hose 35FT Standard Config "/>
        <s v="Co2 Hose 25FT Extension Config"/>
        <s v="Co2 Hose 55FT Custom Length Standard"/>
        <s v="Co2 Hose 75 FT Custom Length Standard "/>
        <s v="Co2 Hose 50FT Extension Config"/>
        <s v="22mm emergency stop non- illuminated 3pins metal push button switch with hardness AWG22 406mm cables, E-Stop"/>
        <s v="ShoMaster / ShoStarter "/>
        <s v="Pro Jet Base Plate, Feet and Yoke."/>
        <s v="Co2 Hose 100FT Standard Config"/>
        <s v="Large 2 Position Key switch with TE connector"/>
        <s v="Teflon &amp; Brass seal for 1/4&quot; CO2 Valve"/>
      </sharedItems>
    </cacheField>
    <cacheField name="Order Quantity" numFmtId="0">
      <sharedItems containsSemiMixedTypes="0" containsNonDate="0" containsString="0" containsNumber="1" containsInteger="1" minValue="1" maxValue="3000" count="21">
        <n v="2"/>
        <n v="4"/>
        <n v="1"/>
        <n v="5"/>
        <n v="16"/>
        <n v="18"/>
        <n v="6"/>
        <n v="8"/>
        <n v="3"/>
        <n v="100"/>
        <n v="150"/>
        <n v="350"/>
        <n v="200"/>
        <n v="500"/>
        <n v="433"/>
        <n v="120"/>
        <n v="12"/>
        <n v="3000"/>
        <n v="20"/>
        <n v="10"/>
        <n v="24"/>
      </sharedItems>
    </cacheField>
    <cacheField name="Unit Price" numFmtId="0">
      <sharedItems containsSemiMixedTypes="0" containsNonDate="0" containsString="0" containsNumber="1" minValue="-325.57" maxValue="8459.290000000001" count="125">
        <n v="1299.99"/>
        <n v="0"/>
        <n v="100"/>
        <n v="799.99"/>
        <n v="149.99"/>
        <n v="49.99"/>
        <n v="549.99"/>
        <n v="39.99"/>
        <n v="59.99"/>
        <n v="219.99"/>
        <n v="349.99"/>
        <n v="185.8"/>
        <n v="1874.9925"/>
        <n v="47.2425"/>
        <n v="22.4925"/>
        <n v="32.495"/>
        <n v="18.7425"/>
        <n v="6.95000025"/>
        <n v="224.9925"/>
        <n v="399.99"/>
        <n v="849.99"/>
        <n v="119.99"/>
        <n v="869.99"/>
        <n v="1199.99"/>
        <n v="499.99"/>
        <n v="18.6"/>
        <n v="149.9925"/>
        <n v="44.09"/>
        <n v="120"/>
        <n v="17.99"/>
        <n v="107.991"/>
        <n v="9.99"/>
        <n v="79.98999999999999"/>
        <n v="-325.57"/>
        <n v="99.98999999999999"/>
        <n v="22.99"/>
        <n v="0.652174"/>
        <n v="19.99"/>
        <n v="41.5"/>
        <n v="299.9925"/>
        <n v="5.6175"/>
        <n v="599.99"/>
        <n v="200"/>
        <n v="2"/>
        <n v="58.333333"/>
        <n v="30.833333"/>
        <n v="0.08695700000000001"/>
        <n v="300"/>
        <n v="65.83"/>
        <n v="374.9925"/>
        <n v="104.9925"/>
        <n v="15"/>
        <n v="0.1875"/>
        <n v="109.99"/>
        <n v="299.99"/>
        <n v="337.49"/>
        <n v="8459.290000000001"/>
        <n v="3850"/>
        <n v="249"/>
        <n v="125"/>
        <n v="52.95"/>
        <n v="59.95"/>
        <n v="15.6"/>
        <n v="899.9924999999999"/>
        <n v="49.5"/>
        <n v="199.99"/>
        <n v="7.49"/>
        <n v="29.99"/>
        <n v="159.99"/>
        <n v="25.99"/>
        <n v="203.21"/>
        <n v="50"/>
        <n v="249.99"/>
        <n v="950"/>
        <n v="14"/>
        <n v="18.9"/>
        <n v="69.41"/>
        <n v="900"/>
        <n v="152.8"/>
        <n v="63.46"/>
        <n v="3199.99"/>
        <n v="55.8"/>
        <n v="637.4924999999999"/>
        <n v="37.5"/>
        <n v="105"/>
        <n v="27.992"/>
        <n v="22.8"/>
        <n v="187.4925"/>
        <n v="648.89"/>
        <n v="974.9924999999999"/>
        <n v="1199.9925"/>
        <n v="89.99250000000001"/>
        <n v="37.4925"/>
        <n v="599.9924999999999"/>
        <n v="19.5"/>
        <n v="185.6"/>
        <n v="17.7582"/>
        <n v="12.5"/>
        <n v="119.992"/>
        <n v="33.18"/>
        <n v="59.9925"/>
        <n v="65.45"/>
        <n v="54.99"/>
        <n v="35.8"/>
        <n v="12.99"/>
        <n v="324.99"/>
        <n v="449.9925"/>
        <n v="429.99"/>
        <n v="123.5"/>
        <n v="562.4924999999999"/>
        <n v="254.9925"/>
        <n v="344.9925"/>
        <n v="44.9925"/>
        <n v="16.8"/>
        <n v="48.75"/>
        <n v="43.2"/>
        <n v="425"/>
        <n v="42.5"/>
        <n v="95.992"/>
        <n v="18.392"/>
        <n v="15.992"/>
        <n v="39.992"/>
        <n v="159.992"/>
        <n v="239.992"/>
        <n v="26.991"/>
      </sharedItems>
    </cacheField>
    <cacheField name="Total Line Item $" numFmtId="0">
      <sharedItems containsSemiMixedTypes="0" containsNonDate="0" containsString="0" containsNumber="1" minValue="-325.57" maxValue="77000" count="166">
        <n v="2599.98"/>
        <n v="0"/>
        <n v="200"/>
        <n v="1599.98"/>
        <n v="3199.96"/>
        <n v="149.99"/>
        <n v="249.95"/>
        <n v="549.99"/>
        <n v="39.99"/>
        <n v="59.99"/>
        <n v="219.99"/>
        <n v="349.99"/>
        <n v="49.99"/>
        <n v="185.8"/>
        <n v="7499.97"/>
        <n v="850.365"/>
        <n v="134.955"/>
        <n v="519.92"/>
        <n v="149.94"/>
        <n v="55.600002"/>
        <n v="224.9925"/>
        <n v="399.99"/>
        <n v="1699.98"/>
        <n v="119.99"/>
        <n v="3479.96"/>
        <n v="239.98"/>
        <n v="119.98"/>
        <n v="1199.99"/>
        <n v="999.98"/>
        <n v="299.98"/>
        <n v="18.6"/>
        <n v="149.9925"/>
        <n v="44.09"/>
        <n v="120"/>
        <n v="71.95999999999999"/>
        <n v="431.964"/>
        <n v="179.97"/>
        <n v="99.98"/>
        <n v="439.98"/>
        <n v="9.99"/>
        <n v="19.98"/>
        <n v="319.96"/>
        <n v="-325.57"/>
        <n v="199.98"/>
        <n v="99.98999999999999"/>
        <n v="22.99"/>
        <n v="2.608696"/>
        <n v="39.98"/>
        <n v="41.5"/>
        <n v="599.985"/>
        <n v="28.0875"/>
        <n v="19.99"/>
        <n v="599.99"/>
        <n v="300"/>
        <n v="700"/>
        <n v="400"/>
        <n v="1000"/>
        <n v="866"/>
        <n v="240"/>
        <n v="639.92"/>
        <n v="239.96"/>
        <n v="233.333332"/>
        <n v="123.333332"/>
        <n v="1.043484"/>
        <n v="699.98"/>
        <n v="600"/>
        <n v="1799.94"/>
        <n v="65.83"/>
        <n v="2999.94"/>
        <n v="179.94"/>
        <n v="419.97"/>
        <n v="15"/>
        <n v="562.5"/>
        <n v="109.99"/>
        <n v="799.98"/>
        <n v="1199.98"/>
        <n v="99.95"/>
        <n v="479.96"/>
        <n v="599.98"/>
        <n v="674.98"/>
        <n v="8459.290000000001"/>
        <n v="77000"/>
        <n v="4980"/>
        <n v="2500"/>
        <n v="52.95"/>
        <n v="59.95"/>
        <n v="15.6"/>
        <n v="899.9924999999999"/>
        <n v="99"/>
        <n v="79.98999999999999"/>
        <n v="199.99"/>
        <n v="7.49"/>
        <n v="1999.96"/>
        <n v="119.96"/>
        <n v="599.96"/>
        <n v="319.98"/>
        <n v="415.84"/>
        <n v="203.21"/>
        <n v="5099.94"/>
        <n v="79.98"/>
        <n v="100"/>
        <n v="249.99"/>
        <n v="3800"/>
        <n v="336"/>
        <n v="18.9"/>
        <n v="69.41"/>
        <n v="5400"/>
        <n v="152.8"/>
        <n v="3600"/>
        <n v="190.38"/>
        <n v="3199.99"/>
        <n v="599.97"/>
        <n v="55.8"/>
        <n v="2549.97"/>
        <n v="75"/>
        <n v="105"/>
        <n v="83.976"/>
        <n v="22.8"/>
        <n v="374.985"/>
        <n v="648.89"/>
        <n v="5849.955"/>
        <n v="449.985"/>
        <n v="1199.9925"/>
        <n v="899.925"/>
        <n v="74.985"/>
        <n v="1199.985"/>
        <n v="299.9925"/>
        <n v="19.5"/>
        <n v="185.6"/>
        <n v="3899.97"/>
        <n v="150"/>
        <n v="17.7582"/>
        <n v="12.5"/>
        <n v="479.968"/>
        <n v="111.968"/>
        <n v="33.18"/>
        <n v="299.9625"/>
        <n v="65.45"/>
        <n v="2399.97"/>
        <n v="89.97"/>
        <n v="59.98"/>
        <n v="109.98"/>
        <n v="35.8"/>
        <n v="12.99"/>
        <n v="324.99"/>
        <n v="1349.9775"/>
        <n v="674.9775"/>
        <n v="429.99"/>
        <n v="29.97"/>
        <n v="123.5"/>
        <n v="3374.955"/>
        <n v="509.985"/>
        <n v="344.9925"/>
        <n v="149.97"/>
        <n v="16.8"/>
        <n v="195"/>
        <n v="43.2"/>
        <n v="850"/>
        <n v="42.5"/>
        <n v="383.968"/>
        <n v="73.568"/>
        <n v="79.95999999999999"/>
        <n v="159.968"/>
        <n v="119.992"/>
        <n v="319.984"/>
        <n v="959.96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9" createdVersion="7">
  <cacheSource type="worksheet">
    <worksheetSource ref="A2:H427" sheet="June 2024"/>
  </cacheSource>
  <cacheFields count="8">
    <cacheField name="Sales Order" numFmtId="0">
      <sharedItems containsNonDate="0" count="142">
        <s v="5100"/>
        <s v="5099"/>
        <s v="5098"/>
        <s v="5096"/>
        <s v="5095"/>
        <s v="5093"/>
        <s v="5092"/>
        <s v="5091"/>
        <s v="5090"/>
        <s v="5089"/>
        <s v="5087"/>
        <s v="5086"/>
        <s v="5085"/>
        <s v="5084"/>
        <s v="5088"/>
        <s v="5083"/>
        <s v="5080"/>
        <s v="5079"/>
        <s v="5077"/>
        <s v="5078"/>
        <s v="5082"/>
        <s v="5081"/>
        <s v="5076"/>
        <s v="5075"/>
        <s v="5073"/>
        <s v="5072"/>
        <s v="5071"/>
        <s v="5070"/>
        <s v="5074"/>
        <s v="5067"/>
        <s v="5064"/>
        <s v="5069"/>
        <s v="5066"/>
        <s v="5065"/>
        <s v="5068"/>
        <s v="5063"/>
        <s v="5062"/>
        <s v="5060"/>
        <s v="5057"/>
        <s v="5056"/>
        <s v="5059"/>
        <s v="5061"/>
        <s v="5058"/>
        <s v="5050"/>
        <s v="5049"/>
        <s v="5046"/>
        <s v="5055"/>
        <s v="5051"/>
        <s v="5052"/>
        <s v="5048"/>
        <s v="5047"/>
        <s v="5054"/>
        <s v="5053"/>
        <s v="5041"/>
        <s v="5040"/>
        <s v="5045"/>
        <s v="5042"/>
        <s v="5043"/>
        <s v="5044"/>
        <s v="5039"/>
        <s v="5038"/>
        <s v="5035"/>
        <s v="5034"/>
        <s v="5036"/>
        <s v="5037"/>
        <s v="5032"/>
        <s v="5031"/>
        <s v="5033"/>
        <s v="5030"/>
        <s v="5029"/>
        <s v="5028"/>
        <s v="5026"/>
        <s v="5024"/>
        <s v="5023"/>
        <s v="5025"/>
        <s v="5027"/>
        <s v="5022"/>
        <s v="5020"/>
        <s v="5019"/>
        <s v="5021"/>
        <s v="5018"/>
        <s v="5016"/>
        <s v="5013"/>
        <s v="5011"/>
        <s v="5017"/>
        <s v="5015"/>
        <s v="5014"/>
        <s v="5012"/>
        <s v="5009"/>
        <s v="5006"/>
        <s v="5005"/>
        <s v="5008"/>
        <s v="5007"/>
        <s v="5010"/>
        <s v="5004"/>
        <s v="5003"/>
        <s v="5002"/>
        <s v="5001"/>
        <s v="5000"/>
        <s v="4998"/>
        <s v="4997"/>
        <s v="4999"/>
        <s v="4996"/>
        <s v="4995"/>
        <s v="4994"/>
        <s v="4993"/>
        <s v="4991"/>
        <s v="4989"/>
        <s v="4992"/>
        <s v="4990"/>
        <s v="4985"/>
        <s v="4984"/>
        <s v="4983"/>
        <s v="4982"/>
        <s v="4988"/>
        <s v="4986"/>
        <s v="4981"/>
        <s v="4980"/>
        <s v="4975"/>
        <s v="4974"/>
        <s v="4973"/>
        <s v="4977"/>
        <s v="4978"/>
        <s v="4979"/>
        <s v="4976"/>
        <s v="4972"/>
        <s v="4970"/>
        <s v="4969"/>
        <s v="4967"/>
        <s v="4965"/>
        <s v="4966"/>
        <s v="4971"/>
        <s v="4968"/>
        <s v="4964"/>
        <s v="4963"/>
        <s v="4962"/>
        <s v="4961"/>
        <s v="4960"/>
        <s v="4957"/>
        <s v="4953"/>
        <s v="4952"/>
        <s v="4951"/>
      </sharedItems>
    </cacheField>
    <cacheField name="Customer" numFmtId="0">
      <sharedItems containsNonDate="0" count="119">
        <s v="Jaime Ramirez Carranza"/>
        <s v="Christian Acosta"/>
        <s v="Art Wolfarth"/>
        <s v="Vitali Feldman"/>
        <s v="Shana McCullough Downing"/>
        <s v="Marianne Frizzell"/>
        <s v="Gary Green"/>
        <s v="Bob Hickman"/>
        <s v="Nerya Cohen"/>
        <s v="Brian Douglas"/>
        <s v="Kennon Gilliard"/>
        <s v="Raju dhariwal"/>
        <s v="Chintan Sethiya"/>
        <s v="David Francis"/>
        <s v="Brett Henrichsen"/>
        <s v="Gilbert Apodaca"/>
        <s v="Matthew Wisdom"/>
        <s v="Jakub Rzepka"/>
        <s v="Jorge Uribe Ibarra"/>
        <s v="11:11 Media"/>
        <s v="Pyrotek FX"/>
        <s v="Todd Powers"/>
        <s v="Joseph Spina"/>
        <s v="Humberto Roman"/>
        <s v="Ram Habib"/>
        <s v="Arjun Patel"/>
        <s v="Walther Cruz"/>
        <s v="David Belogolovsky"/>
        <s v="William Glidden"/>
        <s v="Salvatore Cosentino"/>
        <s v="Dax Talbert"/>
        <s v="Reno Rosser / Flying U Rodeo"/>
        <s v="Jorge Ayala"/>
        <s v="Flutter Fetti"/>
        <s v="Rebeka Encinas"/>
        <s v="Vedant Patel"/>
        <s v="Jeff Brown"/>
        <s v="Michael Greer"/>
        <s v="Image Engineering"/>
        <s v="Kaival Patel"/>
        <s v="Charles Harris"/>
        <s v="Michael Twombly"/>
        <s v="DLP Audio Designs, INC"/>
        <s v="Charu Moya"/>
        <s v="Dios Vazquez"/>
        <s v="Garrick Lewis"/>
        <s v="Hayder Mohsin"/>
        <s v="Amel Guevara"/>
        <s v="Steve Tanruther / Rock The House"/>
        <s v="Tanner Valerio"/>
        <s v="Lovedeep Gill"/>
        <s v="Osman Raja"/>
        <s v="Josue Barbosa"/>
        <s v="Ron Sulewski"/>
        <s v="Cole Blessinger"/>
        <s v="michael egan"/>
        <s v="Dennis Carollo"/>
        <s v="Rob Kodadek"/>
        <s v="Richard-John Vida"/>
        <s v="Ryan Riley"/>
        <s v="Ryan Hughes"/>
        <s v="Adolfo Tzunum"/>
        <s v="Yusuf Rehman"/>
        <s v="Slightly Stoopid"/>
        <s v="Erik Cedillo"/>
        <s v="Xavier Quick"/>
        <s v="JOSE DE LAS CASAS"/>
        <s v="Tony South"/>
        <s v="Bobak Mostaghasi Mostaghasi"/>
        <s v="Nestor Jason"/>
        <s v="SFX Solutions"/>
        <s v="Joey Jensen"/>
        <s v="Miguel Medina"/>
        <s v="Khaled Maarbani"/>
        <s v="Roman Brown"/>
        <s v="vikas palakala"/>
        <s v="Brian Porter"/>
        <s v="Bryan Circus"/>
        <s v="Robert McCarthy"/>
        <s v="Gear Club Direct "/>
        <s v="Diana Weigel"/>
        <s v="Gleice Gillet"/>
        <s v="Forge Staff"/>
        <s v="Dominick Grant"/>
        <s v="James Wilson"/>
        <s v="Jordan Dabvis"/>
        <s v="NXT LVL, LLC"/>
        <s v="Marquise Jones"/>
        <s v="Max Martin"/>
        <s v="gus vivian"/>
        <s v="Nick Petino"/>
        <s v="Keiko Kawano"/>
        <s v="Pro FX "/>
        <s v="David Gutierrez"/>
        <s v="Glen Peterson"/>
        <s v="Michael Bond"/>
        <s v="Robert Foglietta"/>
        <s v="Rohan Malhotra"/>
        <s v="RES Pyro"/>
        <s v="Zachary Mazur"/>
        <s v="KEF NYC"/>
        <s v="Anthony Pigatto"/>
        <s v="Kira Frank"/>
        <s v="Khalil Saad"/>
        <s v="BPM SFX"/>
        <s v="ER Productions"/>
        <s v="Advanced Entertainment Services"/>
        <s v="Tom Dann"/>
        <s v="Hovhannes Sargsyan"/>
        <s v="Kevin Kauffman"/>
        <s v="Steve Hong"/>
        <s v="Toucan Productions, Inc."/>
        <s v="Johnny Valdez / Adept Events"/>
        <s v="AFX Pro / Jackie Johnson"/>
        <s v="William Moyal"/>
        <s v="Kenneth Sheahan"/>
        <s v="Jennifer Wiley"/>
        <s v="Christopher Essak"/>
        <s v="Ray Bumpus"/>
      </sharedItems>
    </cacheField>
    <cacheField name="Ordered Date" numFmtId="0">
      <sharedItems containsSemiMixedTypes="0" containsNonDate="0" containsDate="1" containsString="0" minDate="2024-06-01T04:09:38" maxDate="2024-06-30T17:44:28" count="111">
        <d v="2024-06-30T17:44:28"/>
        <d v="2024-06-30T06:59:47"/>
        <d v="2024-06-29T21:24:57"/>
        <d v="2024-06-28T20:54:25"/>
        <d v="2024-06-28T18:49:49"/>
        <d v="2024-06-28T14:11:10"/>
        <d v="2024-06-28T04:49:35"/>
        <d v="2024-06-28T02:14:23"/>
        <d v="2024-06-27T23:15:49"/>
        <d v="2024-06-27T23:01:56"/>
        <d v="2024-06-27T17:59:50"/>
        <d v="2024-06-27T16:39:03"/>
        <d v="2024-06-27T06:10:19"/>
        <d v="2024-06-27T04:02:40"/>
        <d v="2024-06-27T00:00:00"/>
        <d v="2024-06-26T19:07:51"/>
        <d v="2024-06-26T16:05:03"/>
        <d v="2024-06-26T15:35:12"/>
        <d v="2024-06-26T00:05:28"/>
        <d v="2024-06-26T00:00:00"/>
        <d v="2024-06-25T23:09:13"/>
        <d v="2024-06-25T19:17:52"/>
        <d v="2024-06-25T12:45:50"/>
        <d v="2024-06-25T10:18:00"/>
        <d v="2024-06-25T07:16:53"/>
        <d v="2024-06-25T04:22:19"/>
        <d v="2024-06-25T00:00:00"/>
        <d v="2024-06-24T15:26:00"/>
        <d v="2024-06-24T01:17:15"/>
        <d v="2024-06-24T00:00:00"/>
        <d v="2024-06-23T22:46:24"/>
        <d v="2024-06-23T16:39:50"/>
        <d v="2024-06-21T18:12:20"/>
        <d v="2024-06-21T02:17:29"/>
        <d v="2024-06-21T00:00:51"/>
        <d v="2024-06-21T00:00:00"/>
        <d v="2024-06-20T16:48:48"/>
        <d v="2024-06-20T16:43:49"/>
        <d v="2024-06-20T01:08:03"/>
        <d v="2024-06-20T00:00:00"/>
        <d v="2024-06-19T06:49:57"/>
        <d v="2024-06-19T00:28:35"/>
        <d v="2024-06-19T00:00:00"/>
        <d v="2024-06-18T22:27:34"/>
        <d v="2024-06-18T21:03:00"/>
        <d v="2024-06-18T05:52:36"/>
        <d v="2024-06-18T00:33:00"/>
        <d v="2024-06-18T00:00:00"/>
        <d v="2024-06-17T17:56:35"/>
        <d v="2024-06-17T15:05:52"/>
        <d v="2024-06-17T00:00:00"/>
        <d v="2024-06-15T00:00:00"/>
        <d v="2024-06-14T20:44:01"/>
        <d v="2024-06-14T20:40:50"/>
        <d v="2024-06-14T19:05:56"/>
        <d v="2024-06-14T08:29:20"/>
        <d v="2024-06-14T01:03:44"/>
        <d v="2024-06-14T00:00:00"/>
        <d v="2024-06-13T23:59:53"/>
        <d v="2024-06-13T19:24:45"/>
        <d v="2024-06-13T14:33:43"/>
        <d v="2024-06-13T00:00:00"/>
        <d v="2024-06-12T21:11:31"/>
        <d v="2024-06-12T20:01:36"/>
        <d v="2024-06-12T15:20:13"/>
        <d v="2024-06-12T00:40:02"/>
        <d v="2024-06-12T00:00:00"/>
        <d v="2024-06-11T19:12:24"/>
        <d v="2024-06-11T16:12:20"/>
        <d v="2024-06-11T15:44:08"/>
        <d v="2024-06-11T00:00:00"/>
        <d v="2024-06-10T22:21:10"/>
        <d v="2024-06-10T21:43:56"/>
        <d v="2024-06-10T20:44:53"/>
        <d v="2024-06-10T20:29:27"/>
        <d v="2024-06-10T20:01:19"/>
        <d v="2024-06-10T19:07:58"/>
        <d v="2024-06-10T17:16:02"/>
        <d v="2024-06-10T00:00:00"/>
        <d v="2024-06-08T19:01:53"/>
        <d v="2024-06-07T17:48:39"/>
        <d v="2024-06-07T17:16:45"/>
        <d v="2024-06-07T15:23:30"/>
        <d v="2024-06-07T07:13:03"/>
        <d v="2024-06-07T00:00:00"/>
        <d v="2024-06-06T19:32:04"/>
        <d v="2024-06-06T16:22:55"/>
        <d v="2024-06-06T15:11:42"/>
        <d v="2024-06-06T07:00:38"/>
        <d v="2024-06-06T00:00:00"/>
        <d v="2024-06-05T23:26:44"/>
        <d v="2024-06-05T22:05:49"/>
        <d v="2024-06-05T17:29:24"/>
        <d v="2024-06-05T02:35:47"/>
        <d v="2024-06-05T02:02:06"/>
        <d v="2024-06-05T00:00:00"/>
        <d v="2024-06-04T22:23:17"/>
        <d v="2024-06-04T18:48:58"/>
        <d v="2024-06-04T16:17:15"/>
        <d v="2024-06-04T15:27:15"/>
        <d v="2024-06-04T04:29:27"/>
        <d v="2024-06-04T00:00:00"/>
        <d v="2024-06-03T22:34:08"/>
        <d v="2024-06-03T20:06:49"/>
        <d v="2024-06-03T19:09:03"/>
        <d v="2024-06-03T16:23:56"/>
        <d v="2024-06-03T14:44:29"/>
        <d v="2024-06-03T02:39:24"/>
        <d v="2024-06-02T04:36:14"/>
        <d v="2024-06-01T12:16:17"/>
        <d v="2024-06-01T04:09:38"/>
      </sharedItems>
      <fieldGroup base="2">
        <rangePr startDate="2024-06-01T04:09:38" endDate="2024-06-30T17:44:28" groupBy="days"/>
        <groupItems count="368">
          <s v="&lt;06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6/30/2024"/>
        </groupItems>
      </fieldGroup>
    </cacheField>
    <cacheField name="Line Item Name" numFmtId="0">
      <sharedItems containsNonDate="0" count="100">
        <s v="CC-CTC-20"/>
        <s v="CC-TB-35"/>
        <s v="CC-F-MFDCGAJIC"/>
        <s v="CC-HCCMKII-15-NC"/>
        <s v="CC-WASH-10"/>
        <s v="CC-NPTC-06-STD"/>
        <s v="CC-AC-RAA"/>
        <s v="CC-HCCMKII-15-TC"/>
        <s v="CC-AC-CCL"/>
        <s v="CC-PROJ-5-110"/>
        <s v="CC-F-COT"/>
        <s v="CC-AC-OP"/>
        <s v="CC-CH-50-STD"/>
        <s v="CC-CTC-50"/>
        <s v="CC-HCCMKII-08-TC"/>
        <s v="CC-AC-CTS - 1"/>
        <s v="Shipping Charges"/>
        <s v="CC-HCCMKII-08-NC"/>
        <s v="CC-F-HEA"/>
        <s v="CC-CH-08-STD"/>
        <s v="Custom Service"/>
        <s v="Tax: CA Tax (8.75%)"/>
        <s v="CC-SS-35"/>
        <s v="CC-WASH-INT-01"/>
        <s v="Shipping Fees"/>
        <s v="MagicFX StadiumBlaster"/>
        <s v="CC-AC-CGANPT-INT-SET"/>
        <s v="CC-CH-15-STD"/>
        <s v="CC-AC-CTAT"/>
        <s v="CC-WASH-01"/>
        <s v="CC-CH-25-STD"/>
        <s v="CC-F-DCHA-F"/>
        <s v="Pay Pal Payment Processing Fee"/>
        <s v="CO2 Valve Replacement Seal"/>
        <s v="CC-AC-4PM"/>
        <s v="CC-CH-03.5-MFD"/>
        <s v="16/2 bulk wire"/>
        <s v="12v DC Solenoid Coil"/>
        <s v="Solenoid DIN Connector - Top Entry"/>
        <s v="CC-PROJ-5-110-JIC"/>
        <s v="CC-CH-05-STD"/>
        <s v="CC-AC-JICMQC-ELBOW"/>
        <s v="CC-MJMKII-3-110"/>
        <s v="CC-AC-SMK"/>
        <s v="Shipping Label"/>
        <s v="CC-F-DCHA-PYROTEK"/>
        <s v="CC-PROJ-5-220"/>
        <s v="CC-CH-15-DSY"/>
        <s v="CC-VV-KIT"/>
        <s v="Handheld MKII - 1"/>
        <s v="1/4&quot; Co2 Valve"/>
        <s v="110v Solenoid Coil"/>
        <s v="CC-DIN-06"/>
        <s v="CC-RC-2430"/>
        <s v="CC-RC-2430-LAI"/>
        <s v="CC-RC-2430-PJI"/>
        <s v="CC-RC-2430-TTI"/>
        <s v="CC-F-MQCMQC"/>
        <s v="CC-AC-LA2 Unpacked"/>
        <s v="CC-AC-LA2-OP"/>
        <s v="Micro Jet MKII Main PCB"/>
        <s v="Cardinal touch up paint - BLACK"/>
        <s v="CC-F-FQCBSPF"/>
        <s v="CC-AC-LA2"/>
        <s v="Air Freight"/>
        <s v="Ground Freight"/>
        <s v="Freight Estimate"/>
        <s v="Repair"/>
        <s v="The Button Key Assembly - 1"/>
        <s v="Flat Button Interior Overlay Assembly - 1"/>
        <s v="IDC Cable Clip"/>
        <s v="Flat Button Clear Top Lens"/>
        <s v="Small Key Switch Nut"/>
        <s v="CC-AC-ROR"/>
        <s v="CC-AC-6PM"/>
        <s v="CC-AC-LGK"/>
        <s v="CC-CH-XX-STD"/>
        <s v="CC-AC-CTS"/>
        <s v="Large Key Lock Switch Assembly"/>
        <s v="CC-CH-05-MFD"/>
        <s v="CC-F-DCHA"/>
        <s v="CC-F-HEA-F"/>
        <s v="MBSPP-FJX-6-6"/>
        <s v="CC-CC2-110-JIC"/>
        <s v="MagicFX Red Button"/>
        <s v="CC-CH-02-MFD"/>
        <s v="CC-CH-05-EXT"/>
        <s v="CC-F-MQCNPTM"/>
        <s v="CC-F-FQCNPTF"/>
        <s v="CC-AC-TC"/>
        <s v="Credit Card Processing Fee"/>
        <s v="CC-QJ-5-110-JIC-WP"/>
        <s v="CC-AC-CLAMP-CC2-KIT"/>
        <s v="CC-AC-TB-KIT"/>
        <s v="CC-AC-ROR2"/>
        <s v="Emergency Stop Button Assembly"/>
        <s v="CC-CH-08-DSY"/>
        <s v="CC-CCDIN-515-6"/>
        <s v="CC-RC-2430-QJF"/>
        <s v="CC-MJMKII-5-110"/>
      </sharedItems>
    </cacheField>
    <cacheField name="Line Item Description" numFmtId="0">
      <sharedItems containsNonDate="0" containsBlank="1" count="106">
        <s v="CO2 Tank Covers - 20lb Cover"/>
        <s v="The Button - with both 3 &amp; 5 pin DMX ports"/>
        <s v="Adapter for use with Manifold - to attach standard CGA-320 hose configuration"/>
        <s v="Handheld CO2 Cannon MKII"/>
        <s v="CO2 Washers (10 pack)"/>
        <s v="Neutrik PowerCON True1 Cords - 6FT, Standard"/>
        <s v="Right Angle Adapter"/>
        <s v="Handheld MKII in travel case with 15ft hose"/>
        <s v="CO2 Cylinder Link"/>
        <s v="Pro Jet"/>
        <s v=" CO2 Output Terminator"/>
        <s v="CO2 Tank Tool + Documentation"/>
        <s v="Co2 Hose 50FT Standard Config"/>
        <s v="CO2 Tank Covers - 50lb Cover"/>
        <s v="Handheld MKII in travel case with 8ft hose"/>
        <s v="CO2 Tank Splitter"/>
        <m/>
        <s v="Hose Extension Adapter"/>
        <s v="Co2 Hose 08FT Standard Config"/>
        <s v="Powder coat all items matte pink"/>
        <s v="ShoStarter DMX Controller with 3 &amp; 5 Pin Connectors in Box"/>
        <s v="Single CO2 Washer - International"/>
        <s v="DMX Controlled Confetti Blower"/>
        <s v="International CO2 fitting 1/4&quot; NPT to DIN 477"/>
        <s v="Co2 Hose 15FT Standard Config"/>
        <s v="Co2 Tank Attachment Tool"/>
        <s v="Single CO2 Washer"/>
        <s v="Co2 Hose 25FT Standard Config"/>
        <s v="Daisy Chain Adapter x Female JIC6"/>
        <s v="International"/>
        <s v="Teflon &amp; Brass seal for 1/4&quot; CO2 Valve"/>
        <s v="4 Port Co2 Manifold - 4x JIC 3/8&quot; Inlets, 1x JIC 3/8&quot; Outlet with Truss Bracket"/>
        <s v="3 1/2FT CO2 Hose (CGA-320 x Female JIC 3/8&quot;) For use with Manifold"/>
        <s v="16GA 16 gauge 2 conductor wire for Cryo Clamp 12v &amp; 24v "/>
        <s v="12v DC Solenoid Coil for 1/4&quot; CO2 Valve"/>
        <s v="for Cryo Clamp"/>
        <s v="Pro Jet - 5 Pin, 110v, JIC in/out"/>
        <s v="Neutrik PowerCON True1 Cords - 6FT, Standard (Included)"/>
        <s v="Co2 Hose 05FT Standard Config"/>
        <s v="Female JIC Swivel Elbow to Male Quick Connect"/>
        <s v="Micro CO2 Jet MKII"/>
        <s v="Replacement Keys - The Button"/>
        <s v=" CO2 Output Terminator (Included)"/>
        <s v="Daisy Chain Adapter (1/2&quot; JIC)"/>
        <s v="Pro Jet with 5- pin DMX and 220v Solenoid"/>
        <s v="Co2 Hose 25FT Standard Config (Upgrade from 15FT)"/>
        <s v="Co2 Hose 15FT Daisy Chain"/>
        <s v="Volt View - True1 voltage detection device"/>
        <s v="Handheld Co2 Cannon"/>
        <s v="1/4&quot; Co2 Valve"/>
        <s v="110v Solenoid Coil"/>
        <s v="DIN cable with NEMA 5-15, 6FT"/>
        <s v="Co2 Hose 15FT Standard Config (Included)"/>
        <s v="Co2 Tank Attachment Tool (Included)"/>
        <s v="24x30 Road Case"/>
        <s v="24x30 Road Case Insert - LED Attachment (Included)"/>
        <s v="24x30 Road Case Insert - Pro Jet (Included)"/>
        <s v="24x30 Road Case Insert - Top Tray Insert (Included)"/>
        <s v="Replacement Keys - The Button (Complementary)"/>
        <s v="CO2 Washers (10 pack) (Complementary)"/>
        <s v="Male Quick Connect to Male Quick Connect (Complementary)"/>
        <s v="LED Attachment for DMX Jet, DMX Jet MKII, and Pro Jet."/>
        <s v="LED Attachment order pack. True1 &amp; DMX Jumper + Eye bolt (Included)"/>
        <s v="Micro Jet MKII Main PCB"/>
        <s v="ISO-A Female Quick Connect - BSPP Thread"/>
        <s v="CO2 Tank Splitter w/ integrated groove for o-ring"/>
        <s v="Swirlfans from Netherlands"/>
        <s v="Stadium Blasters from California"/>
        <s v="Prepaid on Invoice #1735"/>
        <s v="Repair of The Button - Serial# 31538"/>
        <s v="Key Switch with Wires and JST Connector for The Button"/>
        <s v="3d printed white Plastic overlay window and grey Acrylic for display"/>
        <s v="3D printed clip to secure IDC Cable"/>
        <s v="Med Grey Clear top lens for 100mm Button"/>
        <s v="Nut for 12mm D135 Key Switch"/>
        <s v="Replacement O-Ring"/>
        <s v="6 port Co2 Manifold - 6x JIC 3/8&quot; Inlets, 1x JIC 3/8&quot; Outlet"/>
        <s v="Replacement Keys - Shomaster &amp; ShoStarter"/>
        <s v="Co2 Hose 75FT Standard "/>
        <s v="Co2 Hose 10FT Standard "/>
        <s v="Large 2 Position Key switch with TE connector"/>
        <s v="5FT CO2 Hose (CGA-320 x Female JIC 3/8&quot;) For use with Manifold"/>
        <s v="Daisy Chain Adapter"/>
        <s v="Male QC x Female JIC"/>
        <s v="Straight Adapter - 3/8 in Female JIC 37° Flare Swivel x 3/8 in Male British Standard Pipe Parallel"/>
        <s v="Cryo Clamp II, 110v, Weatherproof CO2 Jet with JIC Inlet"/>
        <s v="True1 In / Out momentary power controller"/>
        <s v="2FT CO2 Hose (CGA-320 x Female JIC 3/8&quot;) For use with Manifold"/>
        <s v="Co2 Hose 05FT Extension Config"/>
        <s v="Flat Rate"/>
        <s v="Male Quick Connect (3/8″ NPT Male)"/>
        <s v="Female Quick Connect (3/8″ NPT Female)"/>
        <s v="Travel Case"/>
        <s v="Domestic"/>
        <s v="Quad Jet, 5 Pin DMX, 110v AC, JIC, Weatherproof (No Hoses)"/>
        <s v="Co2 Hose 20FT Standard (Complementary)"/>
        <s v="Truss clamp for CC2 with 1/2-13 x 3/4” CS screw (Included)"/>
        <s v="Cryo Clamp wall mount bracket kit with included 1/2-13 x 3/4&quot; stainless pan head screw"/>
        <s v="Replacement O-Ring - 2023 Quick Connects. EPDM"/>
        <s v="Co2 Hose 50FT Standard Config (Upgrade from 15FT)"/>
        <s v="ShoMaster Emergency Stop with harness and TE Connector, E-Stop"/>
        <s v="Pro Jet with 5- pin DMX and 220v Solenoid (no hose)"/>
        <s v="Attempted repair of DMX Jet MKII - no issues detected"/>
        <s v="Co2 Hose 08FT Daisy Chain"/>
        <s v="Top entry DIN cable with 5-15 connector, 6FT"/>
        <s v="24x30 Road Case Foam - Quad Jet"/>
      </sharedItems>
    </cacheField>
    <cacheField name="Order Quantity" numFmtId="0">
      <sharedItems containsSemiMixedTypes="0" containsNonDate="0" containsString="0" containsNumber="1" containsInteger="1" minValue="1" maxValue="200" count="15">
        <n v="2"/>
        <n v="1"/>
        <n v="7"/>
        <n v="4"/>
        <n v="3"/>
        <n v="100"/>
        <n v="10"/>
        <n v="20"/>
        <n v="36"/>
        <n v="200"/>
        <n v="6"/>
        <n v="19"/>
        <n v="8"/>
        <n v="30"/>
        <n v="5"/>
      </sharedItems>
    </cacheField>
    <cacheField name="Unit Price" numFmtId="0">
      <sharedItems containsSemiMixedTypes="0" containsNonDate="0" containsString="0" containsNumber="1" minValue="-4000" maxValue="6472.23" count="112">
        <n v="49.99"/>
        <n v="399.99"/>
        <n v="19.99"/>
        <n v="9.99"/>
        <n v="29.99"/>
        <n v="591.65"/>
        <n v="41.66"/>
        <n v="119.99"/>
        <n v="1299.99"/>
        <n v="0"/>
        <n v="175"/>
        <n v="59.99"/>
        <n v="549.99"/>
        <n v="53.55"/>
        <n v="349.99"/>
        <n v="109.99"/>
        <n v="350"/>
        <n v="218.75"/>
        <n v="1199.99"/>
        <n v="680"/>
        <n v="3500"/>
        <n v="37.4925"/>
        <n v="149.99"/>
        <n v="44"/>
        <n v="89.99250000000001"/>
        <n v="299.99"/>
        <n v="199.99"/>
        <n v="18.95"/>
        <n v="54.13"/>
        <n v="22.4925"/>
        <n v="7.4925"/>
        <n v="53.9994"/>
        <n v="51.36"/>
        <n v="899.9924999999999"/>
        <n v="179.99"/>
        <n v="69.98999999999999"/>
        <n v="51.42"/>
        <n v="1.32717375"/>
        <n v="40.7608695"/>
        <n v="2.2826085"/>
        <n v="315.6"/>
        <n v="974.99"/>
        <n v="22.5"/>
        <n v="70.08"/>
        <n v="74.99250000000001"/>
        <n v="82.49250000000001"/>
        <n v="24.7425"/>
        <n v="849.99"/>
        <n v="7.49"/>
        <n v="12.94"/>
        <n v="55.8"/>
        <n v="900"/>
        <n v="22.45"/>
        <n v="261.5"/>
        <n v="50"/>
        <n v="98.40000000000001"/>
        <n v="262.4925"/>
        <n v="299.9925"/>
        <n v="13.5"/>
        <n v="1000"/>
        <n v="224.9925"/>
        <n v="65"/>
        <n v="110"/>
        <n v="52.5"/>
        <n v="20"/>
        <n v="55"/>
        <n v="637.4924999999999"/>
        <n v="40"/>
        <n v="186.4"/>
        <n v="1439.991"/>
        <n v="1104.9915"/>
        <n v="749.99"/>
        <n v="599.99"/>
        <n v="72.5"/>
        <n v="599.9924999999999"/>
        <n v="6472.23"/>
        <n v="308.23"/>
        <n v="-4000"/>
        <n v="11.5"/>
        <n v="540"/>
        <n v="3999.99"/>
        <n v="1.99"/>
        <n v="134.65"/>
        <n v="134.9925"/>
        <n v="172.4925"/>
        <n v="9.7425"/>
        <n v="45.8"/>
        <n v="337.4925"/>
        <n v="108.7425"/>
        <n v="14.9925"/>
        <n v="99.98999999999999"/>
        <n v="74.98999999999999"/>
        <n v="24.99"/>
        <n v="499.99"/>
        <n v="79.98999999999999"/>
        <n v="64.98999999999999"/>
        <n v="44.991"/>
        <n v="53.991"/>
        <n v="219.99"/>
        <n v="337.3395"/>
        <n v="422.6"/>
        <n v="1774.973426"/>
        <n v="374.9925"/>
        <n v="152.9982"/>
        <n v="135.8"/>
        <n v="87.5"/>
        <n v="51.65"/>
        <n v="35.65"/>
        <n v="164.9925"/>
        <n v="112.4925"/>
        <n v="98.75"/>
        <n v="869.99"/>
      </sharedItems>
    </cacheField>
    <cacheField name="Total Line Item $" numFmtId="0">
      <sharedItems containsSemiMixedTypes="0" containsNonDate="0" containsString="0" containsNumber="1" minValue="-4000" maxValue="35000" count="155">
        <n v="99.98"/>
        <n v="399.99"/>
        <n v="19.99"/>
        <n v="69.93000000000001"/>
        <n v="59.98"/>
        <n v="199.96"/>
        <n v="591.65"/>
        <n v="83.31999999999999"/>
        <n v="119.99"/>
        <n v="3899.97"/>
        <n v="0"/>
        <n v="525"/>
        <n v="59.99"/>
        <n v="1099.98"/>
        <n v="49.99"/>
        <n v="53.55"/>
        <n v="89.97"/>
        <n v="349.99"/>
        <n v="109.99"/>
        <n v="350"/>
        <n v="218.75"/>
        <n v="1199.99"/>
        <n v="549.99"/>
        <n v="680"/>
        <n v="35000"/>
        <n v="749.85"/>
        <n v="149.99"/>
        <n v="9.99"/>
        <n v="29.97"/>
        <n v="44"/>
        <n v="3239.73"/>
        <n v="299.99"/>
        <n v="399.98"/>
        <n v="18.95"/>
        <n v="54.13"/>
        <n v="449.85"/>
        <n v="149.85"/>
        <n v="53.9994"/>
        <n v="51.36"/>
        <n v="899.9924999999999"/>
        <n v="179.99"/>
        <n v="279.96"/>
        <n v="19.98"/>
        <n v="51.42"/>
        <n v="7.9630425"/>
        <n v="40.7608695"/>
        <n v="2.2826085"/>
        <n v="315.6"/>
        <n v="19499.8"/>
        <n v="22.5"/>
        <n v="70.08"/>
        <n v="299.97"/>
        <n v="329.97"/>
        <n v="148.455"/>
        <n v="1699.98"/>
        <n v="29.96"/>
        <n v="12.94"/>
        <n v="55.8"/>
        <n v="1800"/>
        <n v="22.45"/>
        <n v="14.985"/>
        <n v="539.955"/>
        <n v="261.5"/>
        <n v="2599.98"/>
        <n v="100"/>
        <n v="98.40000000000001"/>
        <n v="262.4925"/>
        <n v="299.9925"/>
        <n v="13.5"/>
        <n v="1000"/>
        <n v="50"/>
        <n v="899.97"/>
        <n v="65"/>
        <n v="1100"/>
        <n v="200"/>
        <n v="55"/>
        <n v="1274.985"/>
        <n v="40"/>
        <n v="224.9925"/>
        <n v="79.95999999999999"/>
        <n v="186.4"/>
        <n v="1439.991"/>
        <n v="449.97"/>
        <n v="4419.966"/>
        <n v="2999.96"/>
        <n v="599.99"/>
        <n v="72.5"/>
        <n v="11399.8575"/>
        <n v="479.96"/>
        <n v="14.98"/>
        <n v="6472.23"/>
        <n v="308.23"/>
        <n v="-4000"/>
        <n v="11.5"/>
        <n v="540"/>
        <n v="3999.99"/>
        <n v="11.94"/>
        <n v="219.98"/>
        <n v="134.65"/>
        <n v="1079.94"/>
        <n v="689.97"/>
        <n v="38.97"/>
        <n v="45.8"/>
        <n v="674.985"/>
        <n v="652.455"/>
        <n v="89.955"/>
        <n v="199.98"/>
        <n v="8499.9"/>
        <n v="1750"/>
        <n v="1799.9"/>
        <n v="1499.8"/>
        <n v="29.99"/>
        <n v="74.97"/>
        <n v="499.99"/>
        <n v="37.4925"/>
        <n v="159.98"/>
        <n v="259.96"/>
        <n v="99.98999999999999"/>
        <n v="239.98"/>
        <n v="699.98"/>
        <n v="1349.73"/>
        <n v="539.91"/>
        <n v="49.98"/>
        <n v="219.99"/>
        <n v="239.97"/>
        <n v="337.3395"/>
        <n v="422.6"/>
        <n v="3549.946852"/>
        <n v="7499.85"/>
        <n v="194.85"/>
        <n v="152.9982"/>
        <n v="135.8"/>
        <n v="2549.97"/>
        <n v="3.98"/>
        <n v="299.94"/>
        <n v="3399.96"/>
        <n v="51.65"/>
        <n v="179.985"/>
        <n v="74.985"/>
        <n v="159.92"/>
        <n v="4500"/>
        <n v="35.65"/>
        <n v="329.985"/>
        <n v="79.98999999999999"/>
        <n v="479.94"/>
        <n v="39.98"/>
        <n v="439.98"/>
        <n v="164.985"/>
        <n v="112.4925"/>
        <n v="98.75"/>
        <n v="749.985"/>
        <n v="449.985"/>
        <n v="119.94"/>
        <n v="1739.98"/>
        <n v="59.97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5" createdVersion="7">
  <cacheSource type="worksheet">
    <worksheetSource ref="D2:F427" sheet="June 2024"/>
  </cacheSource>
  <cacheFields count="3">
    <cacheField name="Line Item Name" numFmtId="0">
      <sharedItems containsNonDate="0" containsBlank="1" count="101">
        <s v="CC-CTC-20"/>
        <s v="CC-TB-35"/>
        <s v="CC-F-MFDCGAJIC"/>
        <s v="CC-HCCMKII-15-NC"/>
        <s v="CC-WASH-10"/>
        <s v="CC-NPTC-06-STD"/>
        <s v="CC-AC-RAA"/>
        <s v="CC-HCCMKII-15-TC"/>
        <s v="CC-AC-CCL"/>
        <s v="CC-PROJ-5-110"/>
        <s v="CC-F-COT"/>
        <s v="CC-AC-OP"/>
        <s v="CC-CH-50-STD"/>
        <s v="CC-CTC-50"/>
        <s v="CC-HCCMKII-08-TC"/>
        <s v="CC-AC-CTS - 1"/>
        <s v="Shipping Charges"/>
        <s v="CC-HCCMKII-08-NC"/>
        <s v="CC-F-HEA"/>
        <s v="CC-CH-08-STD"/>
        <s v="Custom Service"/>
        <s v="Tax: CA Tax (8.75%)"/>
        <s v="CC-SS-35"/>
        <s v="CC-WASH-INT-01"/>
        <s v="Shipping Fees"/>
        <s v="MagicFX StadiumBlaster"/>
        <s v="CC-AC-CGANPT-INT-SET"/>
        <s v="CC-CH-15-STD"/>
        <s v="CC-AC-CTAT"/>
        <s v="CC-WASH-01"/>
        <s v="CC-CH-25-STD"/>
        <s v="CC-F-DCHA-F"/>
        <s v="Pay Pal Payment Processing Fee"/>
        <s v="CO2 Valve Replacement Seal"/>
        <s v="CC-AC-4PM"/>
        <s v="CC-CH-03.5-MFD"/>
        <s v="16/2 bulk wire"/>
        <s v="12v DC Solenoid Coil"/>
        <s v="Solenoid DIN Connector - Top Entry"/>
        <s v="CC-PROJ-5-110-JIC"/>
        <s v="CC-CH-05-STD"/>
        <s v="CC-AC-JICMQC-ELBOW"/>
        <s v="CC-MJMKII-3-110"/>
        <s v="CC-AC-SMK"/>
        <s v="Shipping Label"/>
        <s v="CC-F-DCHA-PYROTEK"/>
        <s v="CC-PROJ-5-220"/>
        <s v="CC-CH-15-DSY"/>
        <s v="CC-VV-KIT"/>
        <s v="Handheld MKII - 1"/>
        <s v="1/4&quot; Co2 Valve"/>
        <s v="110v Solenoid Coil"/>
        <s v="CC-DIN-06"/>
        <s v="CC-RC-2430"/>
        <s v="CC-RC-2430-LAI"/>
        <s v="CC-RC-2430-PJI"/>
        <s v="CC-RC-2430-TTI"/>
        <s v="CC-F-MQCMQC"/>
        <s v="CC-AC-LA2 Unpacked"/>
        <s v="CC-AC-LA2-OP"/>
        <s v="Micro Jet MKII Main PCB"/>
        <s v="Cardinal touch up paint - BLACK"/>
        <s v="CC-F-FQCBSPF"/>
        <s v="CC-AC-LA2"/>
        <s v="Air Freight"/>
        <s v="Ground Freight"/>
        <s v="Freight Estimate"/>
        <s v="Repair"/>
        <s v="The Button Key Assembly - 1"/>
        <s v="Flat Button Interior Overlay Assembly - 1"/>
        <s v="IDC Cable Clip"/>
        <s v="Flat Button Clear Top Lens"/>
        <s v="Small Key Switch Nut"/>
        <s v="CC-AC-ROR"/>
        <s v="CC-AC-6PM"/>
        <s v="CC-AC-LGK"/>
        <s v="CC-CH-XX-STD"/>
        <s v="CC-AC-CTS"/>
        <s v="Large Key Lock Switch Assembly"/>
        <s v="CC-CH-05-MFD"/>
        <s v="CC-F-DCHA"/>
        <s v="CC-F-HEA-F"/>
        <s v="MBSPP-FJX-6-6"/>
        <s v="CC-CC2-110-JIC"/>
        <s v="MagicFX Red Button"/>
        <s v="CC-CH-02-MFD"/>
        <s v="CC-CH-05-EXT"/>
        <s v="CC-F-MQCNPTM"/>
        <s v="CC-F-FQCNPTF"/>
        <s v="CC-AC-TC"/>
        <s v="Credit Card Processing Fee"/>
        <s v="CC-QJ-5-110-JIC-WP"/>
        <s v="CC-AC-CLAMP-CC2-KIT"/>
        <s v="CC-AC-TB-KIT"/>
        <s v="CC-AC-ROR2"/>
        <s v="Emergency Stop Button Assembly"/>
        <s v="CC-CH-08-DSY"/>
        <s v="CC-CCDIN-515-6"/>
        <s v="CC-RC-2430-QJF"/>
        <s v="CC-MJMKII-5-110"/>
        <m/>
      </sharedItems>
    </cacheField>
    <cacheField name="Line Item Description" numFmtId="0">
      <sharedItems containsNonDate="0" containsBlank="1" count="106">
        <s v="CO2 Tank Covers - 20lb Cover"/>
        <s v="The Button - with both 3 &amp; 5 pin DMX ports"/>
        <s v="Adapter for use with Manifold - to attach standard CGA-320 hose configuration"/>
        <s v="Handheld CO2 Cannon MKII"/>
        <s v="CO2 Washers (10 pack)"/>
        <s v="Neutrik PowerCON True1 Cords - 6FT, Standard"/>
        <s v="Right Angle Adapter"/>
        <s v="Handheld MKII in travel case with 15ft hose"/>
        <s v="CO2 Cylinder Link"/>
        <s v="Pro Jet"/>
        <s v=" CO2 Output Terminator"/>
        <s v="CO2 Tank Tool + Documentation"/>
        <s v="Co2 Hose 50FT Standard Config"/>
        <s v="CO2 Tank Covers - 50lb Cover"/>
        <s v="Handheld MKII in travel case with 8ft hose"/>
        <s v="CO2 Tank Splitter"/>
        <m/>
        <s v="Hose Extension Adapter"/>
        <s v="Co2 Hose 08FT Standard Config"/>
        <s v="Powder coat all items matte pink"/>
        <s v="ShoStarter DMX Controller with 3 &amp; 5 Pin Connectors in Box"/>
        <s v="Single CO2 Washer - International"/>
        <s v="DMX Controlled Confetti Blower"/>
        <s v="International CO2 fitting 1/4&quot; NPT to DIN 477"/>
        <s v="Co2 Hose 15FT Standard Config"/>
        <s v="Co2 Tank Attachment Tool"/>
        <s v="Single CO2 Washer"/>
        <s v="Co2 Hose 25FT Standard Config"/>
        <s v="Daisy Chain Adapter x Female JIC6"/>
        <s v="International"/>
        <s v="Teflon &amp; Brass seal for 1/4&quot; CO2 Valve"/>
        <s v="4 Port Co2 Manifold - 4x JIC 3/8&quot; Inlets, 1x JIC 3/8&quot; Outlet with Truss Bracket"/>
        <s v="3 1/2FT CO2 Hose (CGA-320 x Female JIC 3/8&quot;) For use with Manifold"/>
        <s v="16GA 16 gauge 2 conductor wire for Cryo Clamp 12v &amp; 24v "/>
        <s v="12v DC Solenoid Coil for 1/4&quot; CO2 Valve"/>
        <s v="for Cryo Clamp"/>
        <s v="Pro Jet - 5 Pin, 110v, JIC in/out"/>
        <s v="Neutrik PowerCON True1 Cords - 6FT, Standard (Included)"/>
        <s v="Co2 Hose 05FT Standard Config"/>
        <s v="Female JIC Swivel Elbow to Male Quick Connect"/>
        <s v="Micro CO2 Jet MKII"/>
        <s v="Replacement Keys - The Button"/>
        <s v=" CO2 Output Terminator (Included)"/>
        <s v="Daisy Chain Adapter (1/2&quot; JIC)"/>
        <s v="Pro Jet with 5- pin DMX and 220v Solenoid"/>
        <s v="Co2 Hose 25FT Standard Config (Upgrade from 15FT)"/>
        <s v="Co2 Hose 15FT Daisy Chain"/>
        <s v="Volt View - True1 voltage detection device"/>
        <s v="Handheld Co2 Cannon"/>
        <s v="1/4&quot; Co2 Valve"/>
        <s v="110v Solenoid Coil"/>
        <s v="DIN cable with NEMA 5-15, 6FT"/>
        <s v="Co2 Hose 15FT Standard Config (Included)"/>
        <s v="Co2 Tank Attachment Tool (Included)"/>
        <s v="24x30 Road Case"/>
        <s v="24x30 Road Case Insert - LED Attachment (Included)"/>
        <s v="24x30 Road Case Insert - Pro Jet (Included)"/>
        <s v="24x30 Road Case Insert - Top Tray Insert (Included)"/>
        <s v="Replacement Keys - The Button (Complementary)"/>
        <s v="CO2 Washers (10 pack) (Complementary)"/>
        <s v="Male Quick Connect to Male Quick Connect (Complementary)"/>
        <s v="LED Attachment for DMX Jet, DMX Jet MKII, and Pro Jet."/>
        <s v="LED Attachment order pack. True1 &amp; DMX Jumper + Eye bolt (Included)"/>
        <s v="Micro Jet MKII Main PCB"/>
        <s v="ISO-A Female Quick Connect - BSPP Thread"/>
        <s v="CO2 Tank Splitter w/ integrated groove for o-ring"/>
        <s v="Swirlfans from Netherlands"/>
        <s v="Stadium Blasters from California"/>
        <s v="Prepaid on Invoice #1735"/>
        <s v="Repair of The Button - Serial# 31538"/>
        <s v="Key Switch with Wires and JST Connector for The Button"/>
        <s v="3d printed white Plastic overlay window and grey Acrylic for display"/>
        <s v="3D printed clip to secure IDC Cable"/>
        <s v="Med Grey Clear top lens for 100mm Button"/>
        <s v="Nut for 12mm D135 Key Switch"/>
        <s v="Replacement O-Ring"/>
        <s v="6 port Co2 Manifold - 6x JIC 3/8&quot; Inlets, 1x JIC 3/8&quot; Outlet"/>
        <s v="Replacement Keys - Shomaster &amp; ShoStarter"/>
        <s v="Co2 Hose 75FT Standard "/>
        <s v="Co2 Hose 10FT Standard "/>
        <s v="Large 2 Position Key switch with TE connector"/>
        <s v="5FT CO2 Hose (CGA-320 x Female JIC 3/8&quot;) For use with Manifold"/>
        <s v="Daisy Chain Adapter"/>
        <s v="Male QC x Female JIC"/>
        <s v="Straight Adapter - 3/8 in Female JIC 37° Flare Swivel x 3/8 in Male British Standard Pipe Parallel"/>
        <s v="Cryo Clamp II, 110v, Weatherproof CO2 Jet with JIC Inlet"/>
        <s v="True1 In / Out momentary power controller"/>
        <s v="2FT CO2 Hose (CGA-320 x Female JIC 3/8&quot;) For use with Manifold"/>
        <s v="Co2 Hose 05FT Extension Config"/>
        <s v="Flat Rate"/>
        <s v="Male Quick Connect (3/8″ NPT Male)"/>
        <s v="Female Quick Connect (3/8″ NPT Female)"/>
        <s v="Travel Case"/>
        <s v="Domestic"/>
        <s v="Quad Jet, 5 Pin DMX, 110v AC, JIC, Weatherproof (No Hoses)"/>
        <s v="Co2 Hose 20FT Standard (Complementary)"/>
        <s v="Truss clamp for CC2 with 1/2-13 x 3/4” CS screw (Included)"/>
        <s v="Cryo Clamp wall mount bracket kit with included 1/2-13 x 3/4&quot; stainless pan head screw"/>
        <s v="Replacement O-Ring - 2023 Quick Connects. EPDM"/>
        <s v="Co2 Hose 50FT Standard Config (Upgrade from 15FT)"/>
        <s v="ShoMaster Emergency Stop with harness and TE Connector, E-Stop"/>
        <s v="Pro Jet with 5- pin DMX and 220v Solenoid (no hose)"/>
        <s v="Attempted repair of DMX Jet MKII - no issues detected"/>
        <s v="Co2 Hose 08FT Daisy Chain"/>
        <s v="Top entry DIN cable with 5-15 connector, 6FT"/>
        <s v="24x30 Road Case Foam - Quad Jet"/>
      </sharedItems>
    </cacheField>
    <cacheField name="Order Quantity" numFmtId="0">
      <sharedItems containsNonDate="0" containsString="0" containsBlank="1" containsNumber="1" containsInteger="1" minValue="1" maxValue="200" count="16">
        <n v="2"/>
        <n v="1"/>
        <n v="7"/>
        <n v="4"/>
        <n v="3"/>
        <n v="100"/>
        <n v="10"/>
        <n v="20"/>
        <n v="36"/>
        <n v="200"/>
        <n v="6"/>
        <n v="19"/>
        <n v="8"/>
        <n v="30"/>
        <n v="5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5" createdVersion="7">
  <cacheSource type="worksheet">
    <worksheetSource ref="D2:H427" sheet="June 2024"/>
  </cacheSource>
  <cacheFields count="5">
    <cacheField name="Line Item Name" numFmtId="0">
      <sharedItems containsNonDate="0" containsBlank="1" count="101">
        <s v="CC-CTC-20"/>
        <s v="CC-TB-35"/>
        <s v="CC-F-MFDCGAJIC"/>
        <s v="CC-HCCMKII-15-NC"/>
        <s v="CC-WASH-10"/>
        <s v="CC-NPTC-06-STD"/>
        <s v="CC-AC-RAA"/>
        <s v="CC-HCCMKII-15-TC"/>
        <s v="CC-AC-CCL"/>
        <s v="CC-PROJ-5-110"/>
        <s v="CC-F-COT"/>
        <s v="CC-AC-OP"/>
        <s v="CC-CH-50-STD"/>
        <s v="CC-CTC-50"/>
        <s v="CC-HCCMKII-08-TC"/>
        <s v="CC-AC-CTS - 1"/>
        <s v="Shipping Charges"/>
        <s v="CC-HCCMKII-08-NC"/>
        <s v="CC-F-HEA"/>
        <s v="CC-CH-08-STD"/>
        <s v="Custom Service"/>
        <s v="Tax: CA Tax (8.75%)"/>
        <s v="CC-SS-35"/>
        <s v="CC-WASH-INT-01"/>
        <s v="Shipping Fees"/>
        <s v="MagicFX StadiumBlaster"/>
        <s v="CC-AC-CGANPT-INT-SET"/>
        <s v="CC-CH-15-STD"/>
        <s v="CC-AC-CTAT"/>
        <s v="CC-WASH-01"/>
        <s v="CC-CH-25-STD"/>
        <s v="CC-F-DCHA-F"/>
        <s v="Pay Pal Payment Processing Fee"/>
        <s v="CO2 Valve Replacement Seal"/>
        <s v="CC-AC-4PM"/>
        <s v="CC-CH-03.5-MFD"/>
        <s v="16/2 bulk wire"/>
        <s v="12v DC Solenoid Coil"/>
        <s v="Solenoid DIN Connector - Top Entry"/>
        <s v="CC-PROJ-5-110-JIC"/>
        <s v="CC-CH-05-STD"/>
        <s v="CC-AC-JICMQC-ELBOW"/>
        <s v="CC-MJMKII-3-110"/>
        <s v="CC-AC-SMK"/>
        <s v="Shipping Label"/>
        <s v="CC-F-DCHA-PYROTEK"/>
        <s v="CC-PROJ-5-220"/>
        <s v="CC-CH-15-DSY"/>
        <s v="CC-VV-KIT"/>
        <s v="Handheld MKII - 1"/>
        <s v="1/4&quot; Co2 Valve"/>
        <s v="110v Solenoid Coil"/>
        <s v="CC-DIN-06"/>
        <s v="CC-RC-2430"/>
        <s v="CC-RC-2430-LAI"/>
        <s v="CC-RC-2430-PJI"/>
        <s v="CC-RC-2430-TTI"/>
        <s v="CC-F-MQCMQC"/>
        <s v="CC-AC-LA2 Unpacked"/>
        <s v="CC-AC-LA2-OP"/>
        <s v="Micro Jet MKII Main PCB"/>
        <s v="Cardinal touch up paint - BLACK"/>
        <s v="CC-F-FQCBSPF"/>
        <s v="CC-AC-LA2"/>
        <s v="Air Freight"/>
        <s v="Ground Freight"/>
        <s v="Freight Estimate"/>
        <s v="Repair"/>
        <s v="The Button Key Assembly - 1"/>
        <s v="Flat Button Interior Overlay Assembly - 1"/>
        <s v="IDC Cable Clip"/>
        <s v="Flat Button Clear Top Lens"/>
        <s v="Small Key Switch Nut"/>
        <s v="CC-AC-ROR"/>
        <s v="CC-AC-6PM"/>
        <s v="CC-AC-LGK"/>
        <s v="CC-CH-XX-STD"/>
        <s v="CC-AC-CTS"/>
        <s v="Large Key Lock Switch Assembly"/>
        <s v="CC-CH-05-MFD"/>
        <s v="CC-F-DCHA"/>
        <s v="CC-F-HEA-F"/>
        <s v="MBSPP-FJX-6-6"/>
        <s v="CC-CC2-110-JIC"/>
        <s v="MagicFX Red Button"/>
        <s v="CC-CH-02-MFD"/>
        <s v="CC-CH-05-EXT"/>
        <s v="CC-F-MQCNPTM"/>
        <s v="CC-F-FQCNPTF"/>
        <s v="CC-AC-TC"/>
        <s v="Credit Card Processing Fee"/>
        <s v="CC-QJ-5-110-JIC-WP"/>
        <s v="CC-AC-CLAMP-CC2-KIT"/>
        <s v="CC-AC-TB-KIT"/>
        <s v="CC-AC-ROR2"/>
        <s v="Emergency Stop Button Assembly"/>
        <s v="CC-CH-08-DSY"/>
        <s v="CC-CCDIN-515-6"/>
        <s v="CC-RC-2430-QJF"/>
        <s v="CC-MJMKII-5-110"/>
        <m/>
      </sharedItems>
    </cacheField>
    <cacheField name="Line Item Description" numFmtId="0">
      <sharedItems containsNonDate="0" containsBlank="1" count="106">
        <s v="CO2 Tank Covers - 20lb Cover"/>
        <s v="The Button - with both 3 &amp; 5 pin DMX ports"/>
        <s v="Adapter for use with Manifold - to attach standard CGA-320 hose configuration"/>
        <s v="Handheld CO2 Cannon MKII"/>
        <s v="CO2 Washers (10 pack)"/>
        <s v="Neutrik PowerCON True1 Cords - 6FT, Standard"/>
        <s v="Right Angle Adapter"/>
        <s v="Handheld MKII in travel case with 15ft hose"/>
        <s v="CO2 Cylinder Link"/>
        <s v="Pro Jet"/>
        <s v=" CO2 Output Terminator"/>
        <s v="CO2 Tank Tool + Documentation"/>
        <s v="Co2 Hose 50FT Standard Config"/>
        <s v="CO2 Tank Covers - 50lb Cover"/>
        <s v="Handheld MKII in travel case with 8ft hose"/>
        <s v="CO2 Tank Splitter"/>
        <m/>
        <s v="Hose Extension Adapter"/>
        <s v="Co2 Hose 08FT Standard Config"/>
        <s v="Powder coat all items matte pink"/>
        <s v="ShoStarter DMX Controller with 3 &amp; 5 Pin Connectors in Box"/>
        <s v="Single CO2 Washer - International"/>
        <s v="DMX Controlled Confetti Blower"/>
        <s v="International CO2 fitting 1/4&quot; NPT to DIN 477"/>
        <s v="Co2 Hose 15FT Standard Config"/>
        <s v="Co2 Tank Attachment Tool"/>
        <s v="Single CO2 Washer"/>
        <s v="Co2 Hose 25FT Standard Config"/>
        <s v="Daisy Chain Adapter x Female JIC6"/>
        <s v="International"/>
        <s v="Teflon &amp; Brass seal for 1/4&quot; CO2 Valve"/>
        <s v="4 Port Co2 Manifold - 4x JIC 3/8&quot; Inlets, 1x JIC 3/8&quot; Outlet with Truss Bracket"/>
        <s v="3 1/2FT CO2 Hose (CGA-320 x Female JIC 3/8&quot;) For use with Manifold"/>
        <s v="16GA 16 gauge 2 conductor wire for Cryo Clamp 12v &amp; 24v "/>
        <s v="12v DC Solenoid Coil for 1/4&quot; CO2 Valve"/>
        <s v="for Cryo Clamp"/>
        <s v="Pro Jet - 5 Pin, 110v, JIC in/out"/>
        <s v="Neutrik PowerCON True1 Cords - 6FT, Standard (Included)"/>
        <s v="Co2 Hose 05FT Standard Config"/>
        <s v="Female JIC Swivel Elbow to Male Quick Connect"/>
        <s v="Micro CO2 Jet MKII"/>
        <s v="Replacement Keys - The Button"/>
        <s v=" CO2 Output Terminator (Included)"/>
        <s v="Daisy Chain Adapter (1/2&quot; JIC)"/>
        <s v="Pro Jet with 5- pin DMX and 220v Solenoid"/>
        <s v="Co2 Hose 25FT Standard Config (Upgrade from 15FT)"/>
        <s v="Co2 Hose 15FT Daisy Chain"/>
        <s v="Volt View - True1 voltage detection device"/>
        <s v="Handheld Co2 Cannon"/>
        <s v="1/4&quot; Co2 Valve"/>
        <s v="110v Solenoid Coil"/>
        <s v="DIN cable with NEMA 5-15, 6FT"/>
        <s v="Co2 Hose 15FT Standard Config (Included)"/>
        <s v="Co2 Tank Attachment Tool (Included)"/>
        <s v="24x30 Road Case"/>
        <s v="24x30 Road Case Insert - LED Attachment (Included)"/>
        <s v="24x30 Road Case Insert - Pro Jet (Included)"/>
        <s v="24x30 Road Case Insert - Top Tray Insert (Included)"/>
        <s v="Replacement Keys - The Button (Complementary)"/>
        <s v="CO2 Washers (10 pack) (Complementary)"/>
        <s v="Male Quick Connect to Male Quick Connect (Complementary)"/>
        <s v="LED Attachment for DMX Jet, DMX Jet MKII, and Pro Jet."/>
        <s v="LED Attachment order pack. True1 &amp; DMX Jumper + Eye bolt (Included)"/>
        <s v="Micro Jet MKII Main PCB"/>
        <s v="ISO-A Female Quick Connect - BSPP Thread"/>
        <s v="CO2 Tank Splitter w/ integrated groove for o-ring"/>
        <s v="Swirlfans from Netherlands"/>
        <s v="Stadium Blasters from California"/>
        <s v="Prepaid on Invoice #1735"/>
        <s v="Repair of The Button - Serial# 31538"/>
        <s v="Key Switch with Wires and JST Connector for The Button"/>
        <s v="3d printed white Plastic overlay window and grey Acrylic for display"/>
        <s v="3D printed clip to secure IDC Cable"/>
        <s v="Med Grey Clear top lens for 100mm Button"/>
        <s v="Nut for 12mm D135 Key Switch"/>
        <s v="Replacement O-Ring"/>
        <s v="6 port Co2 Manifold - 6x JIC 3/8&quot; Inlets, 1x JIC 3/8&quot; Outlet"/>
        <s v="Replacement Keys - Shomaster &amp; ShoStarter"/>
        <s v="Co2 Hose 75FT Standard "/>
        <s v="Co2 Hose 10FT Standard "/>
        <s v="Large 2 Position Key switch with TE connector"/>
        <s v="5FT CO2 Hose (CGA-320 x Female JIC 3/8&quot;) For use with Manifold"/>
        <s v="Daisy Chain Adapter"/>
        <s v="Male QC x Female JIC"/>
        <s v="Straight Adapter - 3/8 in Female JIC 37° Flare Swivel x 3/8 in Male British Standard Pipe Parallel"/>
        <s v="Cryo Clamp II, 110v, Weatherproof CO2 Jet with JIC Inlet"/>
        <s v="True1 In / Out momentary power controller"/>
        <s v="2FT CO2 Hose (CGA-320 x Female JIC 3/8&quot;) For use with Manifold"/>
        <s v="Co2 Hose 05FT Extension Config"/>
        <s v="Flat Rate"/>
        <s v="Male Quick Connect (3/8″ NPT Male)"/>
        <s v="Female Quick Connect (3/8″ NPT Female)"/>
        <s v="Travel Case"/>
        <s v="Domestic"/>
        <s v="Quad Jet, 5 Pin DMX, 110v AC, JIC, Weatherproof (No Hoses)"/>
        <s v="Co2 Hose 20FT Standard (Complementary)"/>
        <s v="Truss clamp for CC2 with 1/2-13 x 3/4” CS screw (Included)"/>
        <s v="Cryo Clamp wall mount bracket kit with included 1/2-13 x 3/4&quot; stainless pan head screw"/>
        <s v="Replacement O-Ring - 2023 Quick Connects. EPDM"/>
        <s v="Co2 Hose 50FT Standard Config (Upgrade from 15FT)"/>
        <s v="ShoMaster Emergency Stop with harness and TE Connector, E-Stop"/>
        <s v="Pro Jet with 5- pin DMX and 220v Solenoid (no hose)"/>
        <s v="Attempted repair of DMX Jet MKII - no issues detected"/>
        <s v="Co2 Hose 08FT Daisy Chain"/>
        <s v="Top entry DIN cable with 5-15 connector, 6FT"/>
        <s v="24x30 Road Case Foam - Quad Jet"/>
      </sharedItems>
    </cacheField>
    <cacheField name="Order Quantity" numFmtId="0">
      <sharedItems containsNonDate="0" containsString="0" containsBlank="1" containsNumber="1" containsInteger="1" minValue="1" maxValue="200" count="16">
        <n v="2"/>
        <n v="1"/>
        <n v="7"/>
        <n v="4"/>
        <n v="3"/>
        <n v="100"/>
        <n v="10"/>
        <n v="20"/>
        <n v="36"/>
        <n v="200"/>
        <n v="6"/>
        <n v="19"/>
        <n v="8"/>
        <n v="30"/>
        <n v="5"/>
        <m/>
      </sharedItems>
    </cacheField>
    <cacheField name="Unit Price" numFmtId="0">
      <sharedItems containsNonDate="0" containsString="0" containsBlank="1" containsNumber="1" minValue="-4000" maxValue="6472.23" count="113">
        <n v="49.99"/>
        <n v="399.99"/>
        <n v="19.99"/>
        <n v="9.99"/>
        <n v="29.99"/>
        <n v="591.65"/>
        <n v="41.66"/>
        <n v="119.99"/>
        <n v="1299.99"/>
        <n v="0"/>
        <n v="175"/>
        <n v="59.99"/>
        <n v="549.99"/>
        <n v="53.55"/>
        <n v="349.99"/>
        <n v="109.99"/>
        <n v="350"/>
        <n v="218.75"/>
        <n v="1199.99"/>
        <n v="680"/>
        <n v="3500"/>
        <n v="37.4925"/>
        <n v="149.99"/>
        <n v="44"/>
        <n v="89.99250000000001"/>
        <n v="299.99"/>
        <n v="199.99"/>
        <n v="18.95"/>
        <n v="54.13"/>
        <n v="22.4925"/>
        <n v="7.4925"/>
        <n v="53.9994"/>
        <n v="51.36"/>
        <n v="899.9924999999999"/>
        <n v="179.99"/>
        <n v="69.98999999999999"/>
        <n v="51.42"/>
        <n v="1.32717375"/>
        <n v="40.7608695"/>
        <n v="2.2826085"/>
        <n v="315.6"/>
        <n v="974.99"/>
        <n v="22.5"/>
        <n v="70.08"/>
        <n v="74.99250000000001"/>
        <n v="82.49250000000001"/>
        <n v="24.7425"/>
        <n v="849.99"/>
        <n v="7.49"/>
        <n v="12.94"/>
        <n v="55.8"/>
        <n v="900"/>
        <n v="22.45"/>
        <n v="261.5"/>
        <n v="50"/>
        <n v="98.40000000000001"/>
        <n v="262.4925"/>
        <n v="299.9925"/>
        <n v="13.5"/>
        <n v="1000"/>
        <n v="224.9925"/>
        <n v="65"/>
        <n v="110"/>
        <n v="52.5"/>
        <n v="20"/>
        <n v="55"/>
        <n v="637.4924999999999"/>
        <n v="40"/>
        <n v="186.4"/>
        <n v="1439.991"/>
        <n v="1104.9915"/>
        <n v="749.99"/>
        <n v="599.99"/>
        <n v="72.5"/>
        <n v="599.9924999999999"/>
        <n v="6472.23"/>
        <n v="308.23"/>
        <n v="-4000"/>
        <n v="11.5"/>
        <n v="540"/>
        <n v="3999.99"/>
        <n v="1.99"/>
        <n v="134.65"/>
        <n v="134.9925"/>
        <n v="172.4925"/>
        <n v="9.7425"/>
        <n v="45.8"/>
        <n v="337.4925"/>
        <n v="108.7425"/>
        <n v="14.9925"/>
        <n v="99.98999999999999"/>
        <n v="74.98999999999999"/>
        <n v="24.99"/>
        <n v="499.99"/>
        <n v="79.98999999999999"/>
        <n v="64.98999999999999"/>
        <n v="44.991"/>
        <n v="53.991"/>
        <n v="219.99"/>
        <n v="337.3395"/>
        <n v="422.6"/>
        <n v="1774.973426"/>
        <n v="374.9925"/>
        <n v="152.9982"/>
        <n v="135.8"/>
        <n v="87.5"/>
        <n v="51.65"/>
        <n v="35.65"/>
        <n v="164.9925"/>
        <n v="112.4925"/>
        <n v="98.75"/>
        <n v="869.99"/>
        <m/>
      </sharedItems>
    </cacheField>
    <cacheField name="Total Line Item $" numFmtId="0">
      <sharedItems containsNonDate="0" containsString="0" containsBlank="1" containsNumber="1" minValue="-4000" maxValue="35000" count="156">
        <n v="99.98"/>
        <n v="399.99"/>
        <n v="19.99"/>
        <n v="69.93000000000001"/>
        <n v="59.98"/>
        <n v="199.96"/>
        <n v="591.65"/>
        <n v="83.31999999999999"/>
        <n v="119.99"/>
        <n v="3899.97"/>
        <n v="0"/>
        <n v="525"/>
        <n v="59.99"/>
        <n v="1099.98"/>
        <n v="49.99"/>
        <n v="53.55"/>
        <n v="89.97"/>
        <n v="349.99"/>
        <n v="109.99"/>
        <n v="350"/>
        <n v="218.75"/>
        <n v="1199.99"/>
        <n v="549.99"/>
        <n v="680"/>
        <n v="35000"/>
        <n v="749.85"/>
        <n v="149.99"/>
        <n v="9.99"/>
        <n v="29.97"/>
        <n v="44"/>
        <n v="3239.73"/>
        <n v="299.99"/>
        <n v="399.98"/>
        <n v="18.95"/>
        <n v="54.13"/>
        <n v="449.85"/>
        <n v="149.85"/>
        <n v="53.9994"/>
        <n v="51.36"/>
        <n v="899.9924999999999"/>
        <n v="179.99"/>
        <n v="279.96"/>
        <n v="19.98"/>
        <n v="51.42"/>
        <n v="7.9630425"/>
        <n v="40.7608695"/>
        <n v="2.2826085"/>
        <n v="315.6"/>
        <n v="19499.8"/>
        <n v="22.5"/>
        <n v="70.08"/>
        <n v="299.97"/>
        <n v="329.97"/>
        <n v="148.455"/>
        <n v="1699.98"/>
        <n v="29.96"/>
        <n v="12.94"/>
        <n v="55.8"/>
        <n v="1800"/>
        <n v="22.45"/>
        <n v="14.985"/>
        <n v="539.955"/>
        <n v="261.5"/>
        <n v="2599.98"/>
        <n v="100"/>
        <n v="98.40000000000001"/>
        <n v="262.4925"/>
        <n v="299.9925"/>
        <n v="13.5"/>
        <n v="1000"/>
        <n v="50"/>
        <n v="899.97"/>
        <n v="65"/>
        <n v="1100"/>
        <n v="200"/>
        <n v="55"/>
        <n v="1274.985"/>
        <n v="40"/>
        <n v="224.9925"/>
        <n v="79.95999999999999"/>
        <n v="186.4"/>
        <n v="1439.991"/>
        <n v="449.97"/>
        <n v="4419.966"/>
        <n v="2999.96"/>
        <n v="599.99"/>
        <n v="72.5"/>
        <n v="11399.8575"/>
        <n v="479.96"/>
        <n v="14.98"/>
        <n v="6472.23"/>
        <n v="308.23"/>
        <n v="-4000"/>
        <n v="11.5"/>
        <n v="540"/>
        <n v="3999.99"/>
        <n v="11.94"/>
        <n v="219.98"/>
        <n v="134.65"/>
        <n v="1079.94"/>
        <n v="689.97"/>
        <n v="38.97"/>
        <n v="45.8"/>
        <n v="674.985"/>
        <n v="652.455"/>
        <n v="89.955"/>
        <n v="199.98"/>
        <n v="8499.9"/>
        <n v="1750"/>
        <n v="1799.9"/>
        <n v="1499.8"/>
        <n v="29.99"/>
        <n v="74.97"/>
        <n v="499.99"/>
        <n v="37.4925"/>
        <n v="159.98"/>
        <n v="259.96"/>
        <n v="99.98999999999999"/>
        <n v="239.98"/>
        <n v="699.98"/>
        <n v="1349.73"/>
        <n v="539.91"/>
        <n v="49.98"/>
        <n v="219.99"/>
        <n v="239.97"/>
        <n v="337.3395"/>
        <n v="422.6"/>
        <n v="3549.946852"/>
        <n v="7499.85"/>
        <n v="194.85"/>
        <n v="152.9982"/>
        <n v="135.8"/>
        <n v="2549.97"/>
        <n v="3.98"/>
        <n v="299.94"/>
        <n v="3399.96"/>
        <n v="51.65"/>
        <n v="179.985"/>
        <n v="74.985"/>
        <n v="159.92"/>
        <n v="4500"/>
        <n v="35.65"/>
        <n v="329.985"/>
        <n v="79.98999999999999"/>
        <n v="479.94"/>
        <n v="39.98"/>
        <n v="439.98"/>
        <n v="164.985"/>
        <n v="112.4925"/>
        <n v="98.75"/>
        <n v="749.985"/>
        <n v="449.985"/>
        <n v="119.94"/>
        <n v="1739.98"/>
        <n v="59.97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5" createdVersion="7">
  <cacheSource type="worksheet">
    <worksheetSource ref="D2:F427" sheet="May 2024"/>
  </cacheSource>
  <cacheFields count="3">
    <cacheField name="Line Item Name" numFmtId="0">
      <sharedItems containsNonDate="0" containsBlank="1" count="105">
        <s v="CC-AC-4PM"/>
        <s v="CC-CH-25-STD"/>
        <s v="CC-HCCMKII-08-TC"/>
        <s v="CC-CH-50-STD"/>
        <s v="CC-CTC-20"/>
        <s v="CC-SM-5"/>
        <s v="CC-PROJ-5-110"/>
        <s v="CC-NPTC-06-STD"/>
        <s v="CC-F-COT"/>
        <s v="Shipping Charges"/>
        <s v="CC-HCCMKII-15-NC"/>
        <s v="CC-TB-35"/>
        <s v="CC-HCCMKII-08-NC"/>
        <s v="Magic FX Replacement Parts"/>
        <s v="CC-AC-ROR2"/>
        <s v="CC-WASH-10"/>
        <s v="CC-VV-KIT"/>
        <s v="CC-CTC-50"/>
        <s v="CC-AC-CTAT"/>
        <s v="CC-AC-SMK"/>
        <s v="1/2-13 x 3/4” CS screw"/>
        <s v="1/4-20 x 3/4” CS screw"/>
        <s v="Controller EEProm 512kB"/>
        <s v="CC-WASH-INT-01"/>
        <s v="CC-AC-CGANPT-INT-SET"/>
        <s v="CC-AC-CCL"/>
        <s v=" CC-AC-CGAJIC-SET - 1"/>
        <s v="CC-F-MFDCGAJIC"/>
        <s v="CC-AC-CTS"/>
        <s v="CC-AC-OP"/>
        <s v="CC-CH-15-STD"/>
        <s v="CC-AC-RAA"/>
        <s v="CC-CH-35-EXT"/>
        <s v="CC-CC2-110-JIC"/>
        <s v="CC-AC-TB-KIT"/>
        <s v="CC-SS-35"/>
        <s v="IDC Cable Clip"/>
        <s v="Repair"/>
        <s v="Credit Card Processing Fee"/>
        <s v="1/4” NPT x 2” Filter nipple"/>
        <s v="CC-F-MQCNPTM"/>
        <s v="1/4-20 x 1/2&quot; SEMS Screws / Internal Tooth Washer / PH S Black"/>
        <s v="3/4 OD X 1/4 ID X 1/8 Thickness Neoprene Rubber Washers"/>
        <s v="Shipping Fees"/>
        <s v="CC-NPTC-15-DSY"/>
        <s v="CC-NPTC-25-DSY"/>
        <s v="CO2 Valve Replacement Seal"/>
        <s v="Refund for Manifolds &amp; Hoses"/>
        <s v="CC-WASH-01"/>
        <s v="CC-MJMKII-5-110"/>
        <s v="CC-CH-XX-STD"/>
        <s v="CC-CH-35-STD"/>
        <s v="CC-CH-XX-DSY"/>
        <s v="Micro Jet MKII 5-Pin XLR PCB"/>
        <s v="5-pin DMX Passthrough Assembly"/>
        <s v="CC-MJMKII-3-110"/>
        <s v="CC-AC-LGK"/>
        <s v="1/4&quot; Co2 Valve"/>
        <s v="Micro Jet MKII Main PCB"/>
        <s v="CC-AC-CLAMP-MJMKII-KIT"/>
        <s v="CC-F-HEA"/>
        <s v="Project Deposit"/>
        <s v="CC-CH-08-EXT"/>
        <s v="MagicFX Swirl Fan II"/>
        <s v="MagicFX StadiumBlaster"/>
        <s v="CC-HCCMKII-15-TC"/>
        <s v="5FT CO2 Hose - JIC  x JIC"/>
        <s v="CC-CH-15-EXT"/>
        <s v="CC-CH-08-STD"/>
        <s v="CC-AC-LA2"/>
        <s v="CC-AC-CLAMP-CC2-KIT"/>
        <s v="CC-CH-05-MFD"/>
        <s v="CC-QJ-5-110"/>
        <s v="CC-RC-2430"/>
        <s v="CC-RC-2430-LAI"/>
        <s v="CC-RC-2430-PJI"/>
        <s v="CC-RC-2430-TTI"/>
        <s v="CC-RC-2430-QJF"/>
        <s v="MagicFX Commander"/>
        <s v="CC-CH-08-DSY"/>
        <s v="CC-CC2-110"/>
        <s v="CC-AC-CLAMP"/>
        <s v="Handheld MKII Packaging"/>
        <s v="ShoStarter Main PCB"/>
        <s v="Tax: CA Tax (8.75%)"/>
        <s v="CC-CH-03.5-MFD"/>
        <s v="50FT CO2 HOSE - 3/8&quot; (BSPP x JIC #6)"/>
        <s v="3/8&quot; Female BSPP x Male 3/8&quot; JIC"/>
        <s v="3/8” BSPP Bonding Washer Seal"/>
        <s v="Emergency Stop Button Assembly"/>
        <s v="CC-F-DCHA"/>
        <s v="110v Solenoid Coil"/>
        <s v="CC-DIN-06"/>
        <s v="Load Handle 90mm"/>
        <s v="1/4-20 x 1/2&quot; SH Black Screw"/>
        <s v="CC-CCDIN-515-6"/>
        <s v="100FT CO2 Hose - 1/4&quot; ID (JIC #6 x JIC #6)"/>
        <s v="10FT CO2 Hose - 1/4&quot; ID (JIC #6 x JIC #6)"/>
        <s v="CC-AC-4PM-QC"/>
        <s v="Discount"/>
        <s v="15FT CO2 Hose - 1/4&quot; ID (JIC #6 x JIC #6)"/>
        <s v="CC-PROJ-5-220"/>
        <s v="The Button Encoder Knob"/>
        <s v="The Button Main PCB"/>
        <m/>
      </sharedItems>
    </cacheField>
    <cacheField name="Line Item Description" numFmtId="0">
      <sharedItems containsNonDate="0" containsBlank="1" count="119">
        <s v="4 Port Co2 Manifold - 4x JIC 3/8&quot; Inlets, 1x JIC 3/8&quot; Outlet with Truss Bracket"/>
        <s v="Co2 Hose 25FT Standard Config"/>
        <s v="Handheld MKII in travel case with 8ft hose"/>
        <s v="Co2 Hose 50FT Standard Config"/>
        <s v="CO2 Tank Covers - 20lb Cover"/>
        <s v="ShoMaster Console"/>
        <s v="Pro Jet - White"/>
        <s v="Neutrik PowerCON True1 Cords - 6FT, Standard (Included)"/>
        <s v=" CO2 Output Terminator"/>
        <m/>
        <s v="Handheld CO2 Cannon MKII"/>
        <s v="The Button - with both 3 &amp; 5 pin DMX ports"/>
        <s v="5x Replacement Screens for Stadium Blaster &amp;&#10;3x Shot Controller PCBs"/>
        <s v="Replacement O-Ring - 2023 Quick Connects. EPDM"/>
        <s v="CO2 Washers (10 pack)"/>
        <s v="Volt View - True1 voltage detection device"/>
        <s v="CO2 Tank Covers - 50lb Cover"/>
        <s v="Co2 Tank Attachment Tool"/>
        <s v="Replacement Keys - The Button"/>
        <s v="1/2-13 x 3/4” CS screw"/>
        <s v="1/4-20 x 3/4” CS screw"/>
        <s v="24LC512-I/P"/>
        <s v="Single CO2 Washer - International"/>
        <s v="International CO2 fitting 1/4&quot; NPT to DIN 477"/>
        <s v="CO2 Cylinder Link"/>
        <s v="CGA-320 to JIC adapter with nut and integrated groove for o-ring"/>
        <s v="Adapter for use with Manifold - to attach standard CGA-320 hose configuration"/>
        <s v="CO2 Tank Splitter"/>
        <s v="Pro Jet"/>
        <s v="Neutrik PowerCON True1 Cords - 6FT, Standard"/>
        <s v="CO2 Tank Tool + Documentation"/>
        <s v="Co2 Hose 15FT Standard Config"/>
        <s v="Right Angle Adapter"/>
        <s v="Co2 Hose 35FT Extension Config (Upgrade from 15FT)"/>
        <s v="Cryo Clamp II, 110v, Weatherproof CO2 Jet with JIC Inlet"/>
        <s v="Cryo Clamp wall mount bracket kit with included 1/2-13 x 3/4&quot; stainless pan head screw (Included)"/>
        <s v="ShoStarter DMX Controller with 3 &amp; 5 Pin Connectors in Box"/>
        <s v="3D printed clip to secure IDC Cable"/>
        <s v="12v solenoid coil - TEST ON STADIUM SHOT V1"/>
        <s v="Domestic"/>
        <s v="Repair of Magic FX ARM Controller"/>
        <s v="Repair of DMX Jet - Broken Valve"/>
        <s v="DMX Jet MKII Filter Nipple"/>
        <s v="Male Quick Connect (3/8″ NPT Male)"/>
        <s v="1/4-20 x 1/2&quot; SEMS Screws / Internal Tooth Washer / PH S Black"/>
        <s v="3/4 OD X 1/4 ID X 1/8 Thickness Neoprene Rubber Washers"/>
        <s v="Shipping velcro straps&#10;"/>
        <s v="Neutrik PowerCON True1 Cords - 15FT, Daisy Chain"/>
        <s v="Neutrik PowerCON True1 Cords - 25FT, Daisy Chain"/>
        <s v="Teflon &amp; Brass seal for 1/4&quot; CO2 Valve"/>
        <s v="Co2 Tank Attachment Tool (Passing along at cost)"/>
        <s v="Single CO2 Washer (Complementary)"/>
        <s v="Micro CO2 Jet MKII"/>
        <s v="Co2 Hose 65FT Standard (Upgrade from 15FT)"/>
        <s v="Co2 Tank Attachment Tool (Included)"/>
        <s v=" CO2 Output Terminator (Included)"/>
        <s v="Co2 Hose 35FT Standard Config (Upgrade from 15FT)"/>
        <s v="Co2 Hose 2FT Daisy Chain"/>
        <s v="DMX Input PCB"/>
        <s v="5-pin DMX Passthrough Assembly"/>
        <s v="Replacement Keys - Shostarter "/>
        <s v="1/4&quot; Co2 Valve"/>
        <s v="Micro Jet MKII Main PCB"/>
        <s v="Truss Clamp for Micro Jet MKII w/ Hardware"/>
        <s v="Hose Extension Adapter"/>
        <s v="Design &amp; develop T-Shirt cannon control unit"/>
        <s v="Co2 Hose 08FT Extension Config"/>
        <s v="Warranty Repair of Handheld MKII Serial# 004978"/>
        <s v="DMX Controlled Swirl Fan"/>
        <s v="DMX Controlled Confetti Blower"/>
        <s v="Handheld MKII in travel case with 15ft hose"/>
        <s v="Warranty Repair of LED Attachment II - Serial# 1023065 &amp; 1023066"/>
        <s v="5FT CO2 Hose - JIC  x JIC"/>
        <s v="Co2 Hose 15FT Extension Config"/>
        <s v="Co2 Hose 08FT Standard Config"/>
        <s v="Co2 Hose 15FT Standard Config (Included)"/>
        <s v="LED Attachment for DMX Jet, DMX Jet MKII, and Pro Jet."/>
        <s v="Truss clamp for CC2 with 1/2-13 x 3/4” CS screw (Included)"/>
        <s v="5FT CO2 Hose (CGA-320 x Female QC)"/>
        <s v="Co2 Tank Attachment Tool (Complementary)"/>
        <s v="Quad Jet 110v with 5 Pin DMX With Barrels"/>
        <s v="Replacement Keys - The Button (Complementary)"/>
        <s v="Replacement Keys - ShoStarter (Complementary)"/>
        <s v="24x30 Road Case"/>
        <s v="24x30 Road Case Insert - LED Attachment (Included)"/>
        <s v="24x30 Road Case Insert - Pro Jet (Included)"/>
        <s v="24x30 Road Case Insert - Top Tray Insert (Included)"/>
        <s v="24x30 Road Case Foam - Quad Jet (Included)"/>
        <s v="True1 In / Out momentary power controller"/>
        <s v="Co2 Hose 08FT Daisy Chain"/>
        <s v="Cryo Clamp II, 110v, Weatherproof CO2 Jet"/>
        <s v="Truss Clamp (Complementary)"/>
        <s v="Packaging for Handheld MKII"/>
        <s v="Warranty Repair of Shostarter - Serial# 00144"/>
        <s v="Main PCB for ShoStarter Controller"/>
        <s v="3 1/2FT CO2 Hose (CGA-320 x Female JIC 3/8&quot;) For use with Manifold"/>
        <s v="5FT CO2 Hose 3/8&quot; (CGA-320 x Female JIC 3/8&quot;) "/>
        <s v="50FT CO2 HOSE - 3/8&quot; MALE BSPP x FEMALE JIC #6"/>
        <s v="3/8” BSPP Bonding Washer Seal"/>
        <s v="ShoMaster Emergency Stop with harness and TE Connector, E-Stop"/>
        <s v="Daisy Chain Adapter"/>
        <s v="110v Solenoid Coil"/>
        <s v="DIN cable with NEMA 5-15, 6FT"/>
        <s v="Club Cannon Lift Handle"/>
        <s v="Handle Screw"/>
        <s v="Top entry DIN cable with 5-15 connector, 6FT"/>
        <s v="Warranty / T&amp;M"/>
        <s v="Special order CO2 Hose"/>
        <s v="CO2 Washers (10 pack) (Complementary)"/>
        <s v="4 Port Co2 Manifold - 4x MQC Inlets, 1x FQC Outlet with Truss Bracket"/>
        <s v="5FT CO2 Hose (CGA-320 x Female QC) For use with Manifold"/>
        <s v="Daisy Chain Adapter (Included, installed on manifold hoses)"/>
        <s v="Pro Jet with 5- pin DMX and 220v Solenoid"/>
        <s v="Warranty repair of The Button - Serial #31471"/>
        <s v="Black Anodized Aluminum Encoder Knob"/>
        <s v="The Button Main PCB"/>
        <s v="Truss Clamp"/>
        <s v="Warranty repair of Handheld MKII - Serial# 005248"/>
        <s v="Truss clamp for CC2 with 1/2-13 x 3/4” CS screw"/>
      </sharedItems>
    </cacheField>
    <cacheField name="Order Quantity" numFmtId="0">
      <sharedItems containsNonDate="0" containsString="0" containsBlank="1" containsNumber="1" containsInteger="1" minValue="1" maxValue="150" count="21">
        <n v="2"/>
        <n v="1"/>
        <n v="6"/>
        <n v="150"/>
        <n v="14"/>
        <n v="4"/>
        <n v="50"/>
        <n v="10"/>
        <n v="8"/>
        <n v="64"/>
        <n v="3"/>
        <n v="7"/>
        <n v="12"/>
        <n v="30"/>
        <n v="32"/>
        <n v="31"/>
        <n v="25"/>
        <n v="5"/>
        <n v="24"/>
        <n v="20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5" createdVersion="7">
  <cacheSource type="worksheet">
    <worksheetSource ref="D2:H427" sheet="May 2024"/>
  </cacheSource>
  <cacheFields count="5">
    <cacheField name="Line Item Name" numFmtId="0">
      <sharedItems containsNonDate="0" containsBlank="1" count="105">
        <s v="CC-AC-4PM"/>
        <s v="CC-CH-25-STD"/>
        <s v="CC-HCCMKII-08-TC"/>
        <s v="CC-CH-50-STD"/>
        <s v="CC-CTC-20"/>
        <s v="CC-SM-5"/>
        <s v="CC-PROJ-5-110"/>
        <s v="CC-NPTC-06-STD"/>
        <s v="CC-F-COT"/>
        <s v="Shipping Charges"/>
        <s v="CC-HCCMKII-15-NC"/>
        <s v="CC-TB-35"/>
        <s v="CC-HCCMKII-08-NC"/>
        <s v="Magic FX Replacement Parts"/>
        <s v="CC-AC-ROR2"/>
        <s v="CC-WASH-10"/>
        <s v="CC-VV-KIT"/>
        <s v="CC-CTC-50"/>
        <s v="CC-AC-CTAT"/>
        <s v="CC-AC-SMK"/>
        <s v="1/2-13 x 3/4” CS screw"/>
        <s v="1/4-20 x 3/4” CS screw"/>
        <s v="Controller EEProm 512kB"/>
        <s v="CC-WASH-INT-01"/>
        <s v="CC-AC-CGANPT-INT-SET"/>
        <s v="CC-AC-CCL"/>
        <s v=" CC-AC-CGAJIC-SET - 1"/>
        <s v="CC-F-MFDCGAJIC"/>
        <s v="CC-AC-CTS"/>
        <s v="CC-AC-OP"/>
        <s v="CC-CH-15-STD"/>
        <s v="CC-AC-RAA"/>
        <s v="CC-CH-35-EXT"/>
        <s v="CC-CC2-110-JIC"/>
        <s v="CC-AC-TB-KIT"/>
        <s v="CC-SS-35"/>
        <s v="IDC Cable Clip"/>
        <s v="Repair"/>
        <s v="Credit Card Processing Fee"/>
        <s v="1/4” NPT x 2” Filter nipple"/>
        <s v="CC-F-MQCNPTM"/>
        <s v="1/4-20 x 1/2&quot; SEMS Screws / Internal Tooth Washer / PH S Black"/>
        <s v="3/4 OD X 1/4 ID X 1/8 Thickness Neoprene Rubber Washers"/>
        <s v="Shipping Fees"/>
        <s v="CC-NPTC-15-DSY"/>
        <s v="CC-NPTC-25-DSY"/>
        <s v="CO2 Valve Replacement Seal"/>
        <s v="Refund for Manifolds &amp; Hoses"/>
        <s v="CC-WASH-01"/>
        <s v="CC-MJMKII-5-110"/>
        <s v="CC-CH-XX-STD"/>
        <s v="CC-CH-35-STD"/>
        <s v="CC-CH-XX-DSY"/>
        <s v="Micro Jet MKII 5-Pin XLR PCB"/>
        <s v="5-pin DMX Passthrough Assembly"/>
        <s v="CC-MJMKII-3-110"/>
        <s v="CC-AC-LGK"/>
        <s v="1/4&quot; Co2 Valve"/>
        <s v="Micro Jet MKII Main PCB"/>
        <s v="CC-AC-CLAMP-MJMKII-KIT"/>
        <s v="CC-F-HEA"/>
        <s v="Project Deposit"/>
        <s v="CC-CH-08-EXT"/>
        <s v="MagicFX Swirl Fan II"/>
        <s v="MagicFX StadiumBlaster"/>
        <s v="CC-HCCMKII-15-TC"/>
        <s v="5FT CO2 Hose - JIC  x JIC"/>
        <s v="CC-CH-15-EXT"/>
        <s v="CC-CH-08-STD"/>
        <s v="CC-AC-LA2"/>
        <s v="CC-AC-CLAMP-CC2-KIT"/>
        <s v="CC-CH-05-MFD"/>
        <s v="CC-QJ-5-110"/>
        <s v="CC-RC-2430"/>
        <s v="CC-RC-2430-LAI"/>
        <s v="CC-RC-2430-PJI"/>
        <s v="CC-RC-2430-TTI"/>
        <s v="CC-RC-2430-QJF"/>
        <s v="MagicFX Commander"/>
        <s v="CC-CH-08-DSY"/>
        <s v="CC-CC2-110"/>
        <s v="CC-AC-CLAMP"/>
        <s v="Handheld MKII Packaging"/>
        <s v="ShoStarter Main PCB"/>
        <s v="Tax: CA Tax (8.75%)"/>
        <s v="CC-CH-03.5-MFD"/>
        <s v="50FT CO2 HOSE - 3/8&quot; (BSPP x JIC #6)"/>
        <s v="3/8&quot; Female BSPP x Male 3/8&quot; JIC"/>
        <s v="3/8” BSPP Bonding Washer Seal"/>
        <s v="Emergency Stop Button Assembly"/>
        <s v="CC-F-DCHA"/>
        <s v="110v Solenoid Coil"/>
        <s v="CC-DIN-06"/>
        <s v="Load Handle 90mm"/>
        <s v="1/4-20 x 1/2&quot; SH Black Screw"/>
        <s v="CC-CCDIN-515-6"/>
        <s v="100FT CO2 Hose - 1/4&quot; ID (JIC #6 x JIC #6)"/>
        <s v="10FT CO2 Hose - 1/4&quot; ID (JIC #6 x JIC #6)"/>
        <s v="CC-AC-4PM-QC"/>
        <s v="Discount"/>
        <s v="15FT CO2 Hose - 1/4&quot; ID (JIC #6 x JIC #6)"/>
        <s v="CC-PROJ-5-220"/>
        <s v="The Button Encoder Knob"/>
        <s v="The Button Main PCB"/>
        <m/>
      </sharedItems>
    </cacheField>
    <cacheField name="Line Item Description" numFmtId="0">
      <sharedItems containsNonDate="0" containsBlank="1" count="119">
        <s v="4 Port Co2 Manifold - 4x JIC 3/8&quot; Inlets, 1x JIC 3/8&quot; Outlet with Truss Bracket"/>
        <s v="Co2 Hose 25FT Standard Config"/>
        <s v="Handheld MKII in travel case with 8ft hose"/>
        <s v="Co2 Hose 50FT Standard Config"/>
        <s v="CO2 Tank Covers - 20lb Cover"/>
        <s v="ShoMaster Console"/>
        <s v="Pro Jet - White"/>
        <s v="Neutrik PowerCON True1 Cords - 6FT, Standard (Included)"/>
        <s v=" CO2 Output Terminator"/>
        <m/>
        <s v="Handheld CO2 Cannon MKII"/>
        <s v="The Button - with both 3 &amp; 5 pin DMX ports"/>
        <s v="5x Replacement Screens for Stadium Blaster &amp;&#10;3x Shot Controller PCBs"/>
        <s v="Replacement O-Ring - 2023 Quick Connects. EPDM"/>
        <s v="CO2 Washers (10 pack)"/>
        <s v="Volt View - True1 voltage detection device"/>
        <s v="CO2 Tank Covers - 50lb Cover"/>
        <s v="Co2 Tank Attachment Tool"/>
        <s v="Replacement Keys - The Button"/>
        <s v="1/2-13 x 3/4” CS screw"/>
        <s v="1/4-20 x 3/4” CS screw"/>
        <s v="24LC512-I/P"/>
        <s v="Single CO2 Washer - International"/>
        <s v="International CO2 fitting 1/4&quot; NPT to DIN 477"/>
        <s v="CO2 Cylinder Link"/>
        <s v="CGA-320 to JIC adapter with nut and integrated groove for o-ring"/>
        <s v="Adapter for use with Manifold - to attach standard CGA-320 hose configuration"/>
        <s v="CO2 Tank Splitter"/>
        <s v="Pro Jet"/>
        <s v="Neutrik PowerCON True1 Cords - 6FT, Standard"/>
        <s v="CO2 Tank Tool + Documentation"/>
        <s v="Co2 Hose 15FT Standard Config"/>
        <s v="Right Angle Adapter"/>
        <s v="Co2 Hose 35FT Extension Config (Upgrade from 15FT)"/>
        <s v="Cryo Clamp II, 110v, Weatherproof CO2 Jet with JIC Inlet"/>
        <s v="Cryo Clamp wall mount bracket kit with included 1/2-13 x 3/4&quot; stainless pan head screw (Included)"/>
        <s v="ShoStarter DMX Controller with 3 &amp; 5 Pin Connectors in Box"/>
        <s v="3D printed clip to secure IDC Cable"/>
        <s v="12v solenoid coil - TEST ON STADIUM SHOT V1"/>
        <s v="Domestic"/>
        <s v="Repair of Magic FX ARM Controller"/>
        <s v="Repair of DMX Jet - Broken Valve"/>
        <s v="DMX Jet MKII Filter Nipple"/>
        <s v="Male Quick Connect (3/8″ NPT Male)"/>
        <s v="1/4-20 x 1/2&quot; SEMS Screws / Internal Tooth Washer / PH S Black"/>
        <s v="3/4 OD X 1/4 ID X 1/8 Thickness Neoprene Rubber Washers"/>
        <s v="Shipping velcro straps&#10;"/>
        <s v="Neutrik PowerCON True1 Cords - 15FT, Daisy Chain"/>
        <s v="Neutrik PowerCON True1 Cords - 25FT, Daisy Chain"/>
        <s v="Teflon &amp; Brass seal for 1/4&quot; CO2 Valve"/>
        <s v="Co2 Tank Attachment Tool (Passing along at cost)"/>
        <s v="Single CO2 Washer (Complementary)"/>
        <s v="Micro CO2 Jet MKII"/>
        <s v="Co2 Hose 65FT Standard (Upgrade from 15FT)"/>
        <s v="Co2 Tank Attachment Tool (Included)"/>
        <s v=" CO2 Output Terminator (Included)"/>
        <s v="Co2 Hose 35FT Standard Config (Upgrade from 15FT)"/>
        <s v="Co2 Hose 2FT Daisy Chain"/>
        <s v="DMX Input PCB"/>
        <s v="5-pin DMX Passthrough Assembly"/>
        <s v="Replacement Keys - Shostarter "/>
        <s v="1/4&quot; Co2 Valve"/>
        <s v="Micro Jet MKII Main PCB"/>
        <s v="Truss Clamp for Micro Jet MKII w/ Hardware"/>
        <s v="Hose Extension Adapter"/>
        <s v="Design &amp; develop T-Shirt cannon control unit"/>
        <s v="Co2 Hose 08FT Extension Config"/>
        <s v="Warranty Repair of Handheld MKII Serial# 004978"/>
        <s v="DMX Controlled Swirl Fan"/>
        <s v="DMX Controlled Confetti Blower"/>
        <s v="Handheld MKII in travel case with 15ft hose"/>
        <s v="Warranty Repair of LED Attachment II - Serial# 1023065 &amp; 1023066"/>
        <s v="5FT CO2 Hose - JIC  x JIC"/>
        <s v="Co2 Hose 15FT Extension Config"/>
        <s v="Co2 Hose 08FT Standard Config"/>
        <s v="Co2 Hose 15FT Standard Config (Included)"/>
        <s v="LED Attachment for DMX Jet, DMX Jet MKII, and Pro Jet."/>
        <s v="Truss clamp for CC2 with 1/2-13 x 3/4” CS screw (Included)"/>
        <s v="5FT CO2 Hose (CGA-320 x Female QC)"/>
        <s v="Co2 Tank Attachment Tool (Complementary)"/>
        <s v="Quad Jet 110v with 5 Pin DMX With Barrels"/>
        <s v="Replacement Keys - The Button (Complementary)"/>
        <s v="Replacement Keys - ShoStarter (Complementary)"/>
        <s v="24x30 Road Case"/>
        <s v="24x30 Road Case Insert - LED Attachment (Included)"/>
        <s v="24x30 Road Case Insert - Pro Jet (Included)"/>
        <s v="24x30 Road Case Insert - Top Tray Insert (Included)"/>
        <s v="24x30 Road Case Foam - Quad Jet (Included)"/>
        <s v="True1 In / Out momentary power controller"/>
        <s v="Co2 Hose 08FT Daisy Chain"/>
        <s v="Cryo Clamp II, 110v, Weatherproof CO2 Jet"/>
        <s v="Truss Clamp (Complementary)"/>
        <s v="Packaging for Handheld MKII"/>
        <s v="Warranty Repair of Shostarter - Serial# 00144"/>
        <s v="Main PCB for ShoStarter Controller"/>
        <s v="3 1/2FT CO2 Hose (CGA-320 x Female JIC 3/8&quot;) For use with Manifold"/>
        <s v="5FT CO2 Hose 3/8&quot; (CGA-320 x Female JIC 3/8&quot;) "/>
        <s v="50FT CO2 HOSE - 3/8&quot; MALE BSPP x FEMALE JIC #6"/>
        <s v="3/8” BSPP Bonding Washer Seal"/>
        <s v="ShoMaster Emergency Stop with harness and TE Connector, E-Stop"/>
        <s v="Daisy Chain Adapter"/>
        <s v="110v Solenoid Coil"/>
        <s v="DIN cable with NEMA 5-15, 6FT"/>
        <s v="Club Cannon Lift Handle"/>
        <s v="Handle Screw"/>
        <s v="Top entry DIN cable with 5-15 connector, 6FT"/>
        <s v="Warranty / T&amp;M"/>
        <s v="Special order CO2 Hose"/>
        <s v="CO2 Washers (10 pack) (Complementary)"/>
        <s v="4 Port Co2 Manifold - 4x MQC Inlets, 1x FQC Outlet with Truss Bracket"/>
        <s v="5FT CO2 Hose (CGA-320 x Female QC) For use with Manifold"/>
        <s v="Daisy Chain Adapter (Included, installed on manifold hoses)"/>
        <s v="Pro Jet with 5- pin DMX and 220v Solenoid"/>
        <s v="Warranty repair of The Button - Serial #31471"/>
        <s v="Black Anodized Aluminum Encoder Knob"/>
        <s v="The Button Main PCB"/>
        <s v="Truss Clamp"/>
        <s v="Warranty repair of Handheld MKII - Serial# 005248"/>
        <s v="Truss clamp for CC2 with 1/2-13 x 3/4” CS screw"/>
      </sharedItems>
    </cacheField>
    <cacheField name="Order Quantity" numFmtId="0">
      <sharedItems containsNonDate="0" containsString="0" containsBlank="1" containsNumber="1" containsInteger="1" minValue="1" maxValue="150" count="21">
        <n v="2"/>
        <n v="1"/>
        <n v="6"/>
        <n v="150"/>
        <n v="14"/>
        <n v="4"/>
        <n v="50"/>
        <n v="10"/>
        <n v="8"/>
        <n v="64"/>
        <n v="3"/>
        <n v="7"/>
        <n v="12"/>
        <n v="30"/>
        <n v="32"/>
        <n v="31"/>
        <n v="25"/>
        <n v="5"/>
        <n v="24"/>
        <n v="20"/>
        <m/>
      </sharedItems>
    </cacheField>
    <cacheField name="Unit Price" numFmtId="0">
      <sharedItems containsNonDate="0" containsString="0" containsBlank="1" containsNumber="1" minValue="-719.9299999999999" maxValue="30000" count="109">
        <n v="179.99"/>
        <n v="199.99"/>
        <n v="549.99"/>
        <n v="299.99"/>
        <n v="49.99"/>
        <n v="2399.9925"/>
        <n v="974.9924999999999"/>
        <n v="0"/>
        <n v="101.5"/>
        <n v="399.99"/>
        <n v="349.99"/>
        <n v="356.79"/>
        <n v="18.4"/>
        <n v="9.99"/>
        <n v="79.98999999999999"/>
        <n v="59.99"/>
        <n v="0.375"/>
        <n v="37.4925"/>
        <n v="119.99"/>
        <n v="22.15"/>
        <n v="14"/>
        <n v="19.99"/>
        <n v="1299.99"/>
        <n v="29.99"/>
        <n v="75"/>
        <n v="28.5"/>
        <n v="374.9925"/>
        <n v="899.9924999999999"/>
        <n v="1.5519"/>
        <n v="13.5"/>
        <n v="17.2425"/>
        <n v="125"/>
        <n v="40.15"/>
        <n v="56.2425"/>
        <n v="74.99250000000001"/>
        <n v="1.99"/>
        <n v="-719.9299999999999"/>
        <n v="45.4"/>
        <n v="149.9925"/>
        <n v="89.99250000000001"/>
        <n v="2.4975"/>
        <n v="70.65000000000001"/>
        <n v="652.4924999999999"/>
        <n v="150"/>
        <n v="299.9925"/>
        <n v="52.4925"/>
        <n v="14.9"/>
        <n v="26.25"/>
        <n v="849.99"/>
        <n v="71.2"/>
        <n v="9.7425"/>
        <n v="48.18"/>
        <n v="46.8"/>
        <n v="90"/>
        <n v="7.99"/>
        <n v="26.991"/>
        <n v="50"/>
        <n v="149.99"/>
        <n v="30000"/>
        <n v="107.49"/>
        <n v="347.49"/>
        <n v="47.49"/>
        <n v="117.49"/>
        <n v="66.8"/>
        <n v="412.4925"/>
        <n v="59.9925"/>
        <n v="7.49"/>
        <n v="4000"/>
        <n v="1825"/>
        <n v="3750"/>
        <n v="599.99"/>
        <n v="72"/>
        <n v="22.99"/>
        <n v="208.9"/>
        <n v="782.991"/>
        <n v="127.4915"/>
        <n v="67.9915"/>
        <n v="109.99"/>
        <n v="682.88"/>
        <n v="599.9924999999999"/>
        <n v="1874.9925"/>
        <n v="449.9925"/>
        <n v="1199.9925"/>
        <n v="224.9925"/>
        <n v="82.49250000000001"/>
        <n v="14.9925"/>
        <n v="64.3"/>
        <n v="21.5"/>
        <n v="44.9925"/>
        <n v="94.98999999999999"/>
        <n v="595.21"/>
        <n v="38.45"/>
        <n v="35"/>
        <n v="75.61"/>
        <n v="39.4"/>
        <n v="482.8404"/>
        <n v="463.5"/>
        <n v="22.4925"/>
        <n v="75.5"/>
        <n v="30.5973"/>
        <n v="134.9946"/>
        <n v="574.99"/>
        <n v="-114.35"/>
        <n v="74.625"/>
        <n v="200"/>
        <n v="900"/>
        <n v="127"/>
        <n v="3199.99"/>
        <m/>
      </sharedItems>
    </cacheField>
    <cacheField name="Total Line Item $" numFmtId="0">
      <sharedItems containsNonDate="0" containsString="0" containsBlank="1" containsNumber="1" minValue="-719.9299999999999" maxValue="45625" count="155">
        <n v="359.98"/>
        <n v="399.98"/>
        <n v="549.99"/>
        <n v="299.99"/>
        <n v="49.99"/>
        <n v="4799.985"/>
        <n v="974.9924999999999"/>
        <n v="0"/>
        <n v="101.5"/>
        <n v="799.98"/>
        <n v="399.99"/>
        <n v="349.99"/>
        <n v="356.79"/>
        <n v="18.4"/>
        <n v="9.99"/>
        <n v="159.98"/>
        <n v="59.99"/>
        <n v="1099.98"/>
        <n v="99.98"/>
        <n v="56.25"/>
        <n v="524.895"/>
        <n v="479.96"/>
        <n v="22.15"/>
        <n v="700"/>
        <n v="79.98999999999999"/>
        <n v="239.98"/>
        <n v="39.98"/>
        <n v="1199.9"/>
        <n v="10399.92"/>
        <n v="179.94"/>
        <n v="4800"/>
        <n v="28.5"/>
        <n v="749.985"/>
        <n v="899.9924999999999"/>
        <n v="1.5519"/>
        <n v="13.5"/>
        <n v="51.7275"/>
        <n v="125"/>
        <n v="40.15"/>
        <n v="393.6975"/>
        <n v="74.99250000000001"/>
        <n v="1.99"/>
        <n v="19.98"/>
        <n v="-719.9299999999999"/>
        <n v="45.4"/>
        <n v="299.985"/>
        <n v="1079.91"/>
        <n v="24.975"/>
        <n v="70.65000000000001"/>
        <n v="2609.97"/>
        <n v="600"/>
        <n v="1949.985"/>
        <n v="150"/>
        <n v="299.9925"/>
        <n v="104.985"/>
        <n v="14.9"/>
        <n v="262.5"/>
        <n v="119.99"/>
        <n v="1699.98"/>
        <n v="199.96"/>
        <n v="71.2"/>
        <n v="9.7425"/>
        <n v="599.985"/>
        <n v="48.18"/>
        <n v="46.8"/>
        <n v="360"/>
        <n v="255.68"/>
        <n v="836.721"/>
        <n v="119.96"/>
        <n v="100"/>
        <n v="3399.96"/>
        <n v="200"/>
        <n v="299.98"/>
        <n v="15.92"/>
        <n v="19.99"/>
        <n v="30000"/>
        <n v="214.98"/>
        <n v="694.98"/>
        <n v="189.96"/>
        <n v="234.98"/>
        <n v="66.8"/>
        <n v="412.4925"/>
        <n v="119.985"/>
        <n v="14.98"/>
        <n v="4000"/>
        <n v="45625"/>
        <n v="7500"/>
        <n v="599.99"/>
        <n v="114.95"/>
        <n v="208.9"/>
        <n v="1565.982"/>
        <n v="254.983"/>
        <n v="509.966"/>
        <n v="67.9915"/>
        <n v="109.99"/>
        <n v="682.88"/>
        <n v="7799.94"/>
        <n v="4799.94"/>
        <n v="37.4925"/>
        <n v="112.485"/>
        <n v="3749.985"/>
        <n v="449.9925"/>
        <n v="3599.9775"/>
        <n v="899.97"/>
        <n v="659.9400000000001"/>
        <n v="149.925"/>
        <n v="1499.97"/>
        <n v="64.3"/>
        <n v="734.895"/>
        <n v="1199.97"/>
        <n v="599.96"/>
        <n v="21.5"/>
        <n v="134.9775"/>
        <n v="699.98"/>
        <n v="379.96"/>
        <n v="849.99"/>
        <n v="149.99"/>
        <n v="1199.98"/>
        <n v="59.98"/>
        <n v="29.99"/>
        <n v="595.21"/>
        <n v="899.9775"/>
        <n v="1799.985"/>
        <n v="7199.9775"/>
        <n v="59.9925"/>
        <n v="38.45"/>
        <n v="140"/>
        <n v="209.93"/>
        <n v="75.61"/>
        <n v="959.92"/>
        <n v="39.4"/>
        <n v="374.9925"/>
        <n v="482.8404"/>
        <n v="463.5"/>
        <n v="119.94"/>
        <n v="2399.985"/>
        <n v="494.955"/>
        <n v="75.5"/>
        <n v="22.99"/>
        <n v="30.5973"/>
        <n v="269.9892"/>
        <n v="449.94"/>
        <n v="1439.82"/>
        <n v="574.99"/>
        <n v="39.96"/>
        <n v="719.9400000000001"/>
        <n v="-114.35"/>
        <n v="74.625"/>
        <n v="17.2425"/>
        <n v="22.4925"/>
        <n v="18000"/>
        <n v="1299.99"/>
        <n v="127"/>
        <n v="3199.99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3" createdVersion="7">
  <cacheSource type="worksheet">
    <worksheetSource ref="A2:H427" sheet="April 2024"/>
  </cacheSource>
  <cacheFields count="8">
    <cacheField name="Sales Order" numFmtId="0">
      <sharedItems containsNonDate="0" count="166">
        <s v="4762"/>
        <s v="4761"/>
        <s v="4760"/>
        <s v="4759"/>
        <s v="4758"/>
        <s v="4757"/>
        <s v="4756"/>
        <s v="4755"/>
        <s v="4754"/>
        <s v="4753"/>
        <s v="4752"/>
        <s v="4751"/>
        <s v="4750"/>
        <s v="4749"/>
        <s v="4748"/>
        <s v="4747"/>
        <s v="4746"/>
        <s v="4745"/>
        <s v="4744"/>
        <s v="4743"/>
        <s v="4742"/>
        <s v="4741"/>
        <s v="4740"/>
        <s v="4739"/>
        <s v="4738"/>
        <s v="4737"/>
        <s v="4736"/>
        <s v="4735"/>
        <s v="4734"/>
        <s v="4733"/>
        <s v="4732"/>
        <s v="4731"/>
        <s v="4730"/>
        <s v="4729"/>
        <s v="4728"/>
        <s v="4727"/>
        <s v="4726"/>
        <s v="4725"/>
        <s v="4724"/>
        <s v="4723"/>
        <s v="4722"/>
        <s v="4721"/>
        <s v="4720"/>
        <s v="4719"/>
        <s v="4718"/>
        <s v="4717"/>
        <s v="4716"/>
        <s v="4715"/>
        <s v="4714"/>
        <s v="4713"/>
        <s v="4712"/>
        <s v="4711"/>
        <s v="4710"/>
        <s v="4709"/>
        <s v="4708"/>
        <s v="4707"/>
        <s v="4706"/>
        <s v="4705"/>
        <s v="4704"/>
        <s v="4703"/>
        <s v="4702"/>
        <s v="4701"/>
        <s v="4700"/>
        <s v="4698"/>
        <s v="4697"/>
        <s v="4696"/>
        <s v="4695"/>
        <s v="4694"/>
        <s v="4693"/>
        <s v="4692"/>
        <s v="4691"/>
        <s v="4690"/>
        <s v="4689"/>
        <s v="4688"/>
        <s v="4687"/>
        <s v="4686"/>
        <s v="4685"/>
        <s v="4684"/>
        <s v="4683"/>
        <s v="4682"/>
        <s v="4681"/>
        <s v="4680"/>
        <s v="4679"/>
        <s v="4678"/>
        <s v="4677"/>
        <s v="4676"/>
        <s v="4675"/>
        <s v="4674"/>
        <s v="4673"/>
        <s v="4672"/>
        <s v="4671"/>
        <s v="4670"/>
        <s v="4669"/>
        <s v="4664"/>
        <s v="4663"/>
        <s v="4662"/>
        <s v="4661"/>
        <s v="4660"/>
        <s v="4659"/>
        <s v="4658"/>
        <s v="4657"/>
        <s v="4656"/>
        <s v="4655"/>
        <s v="4654"/>
        <s v="4653"/>
        <s v="4652"/>
        <s v="4651"/>
        <s v="4650"/>
        <s v="4649"/>
        <s v="4648"/>
        <s v="4647"/>
        <s v="4646"/>
        <s v="4645"/>
        <s v="4644"/>
        <s v="4643"/>
        <s v="4641"/>
        <s v="4640"/>
        <s v="4639"/>
        <s v="4637"/>
        <s v="4636"/>
        <s v="4635"/>
        <s v="4634"/>
        <s v="4633"/>
        <s v="4632"/>
        <s v="4631"/>
        <s v="4630"/>
        <s v="4629"/>
        <s v="4628"/>
        <s v="4627"/>
        <s v="4626"/>
        <s v="4625"/>
        <s v="4624"/>
        <s v="4623"/>
        <s v="4622"/>
        <s v="4621"/>
        <s v="4620"/>
        <s v="4619"/>
        <s v="4618"/>
        <s v="4617"/>
        <s v="4616"/>
        <s v="4615"/>
        <s v="4613"/>
        <s v="4612"/>
        <s v="4611"/>
        <s v="4610"/>
        <s v="4609"/>
        <s v="4608"/>
        <s v="4607"/>
        <s v="4606"/>
        <s v="4605"/>
        <s v="4599"/>
        <s v="4598"/>
        <s v="4597"/>
        <s v="4596"/>
        <s v="4595"/>
        <s v="4594"/>
        <s v="4593"/>
        <s v="4591"/>
        <s v="4590"/>
        <s v="4589"/>
        <s v="4588"/>
        <s v="4587"/>
        <s v="4586"/>
        <s v="4585"/>
        <s v="4584"/>
        <s v="4583"/>
      </sharedItems>
    </cacheField>
    <cacheField name="Customer" numFmtId="0">
      <sharedItems containsNonDate="0" count="133">
        <s v="Gear Club Direct "/>
        <s v="Juan Gomez"/>
        <s v="Josh Blount"/>
        <s v="Matthew Knotts"/>
        <s v="Lacey Southward"/>
        <s v="Alex Belongia"/>
        <s v="Juan Ocampo"/>
        <s v="Barnaby Holm"/>
        <s v="Andrew Thompson"/>
        <s v="Jacob Jimenez"/>
        <s v="Ian Horseman"/>
        <s v="4WALL ENTERTAINMENT, INC."/>
        <s v="ER Productions"/>
        <s v="Scott Ames"/>
        <s v="Michael Reha"/>
        <s v="Jessy Ramos"/>
        <s v="Alan Hart"/>
        <s v="Sunsation Powerboats"/>
        <s v="Daniel Wyatt"/>
        <s v="Alex Woolum"/>
        <s v="Ryan Robinson"/>
        <s v="Rene Vazquez"/>
        <s v="Adalberto Reyes"/>
        <s v="John Sanducu"/>
        <s v="Alon Amit"/>
        <s v="Jorge Ayala"/>
        <s v="Dios Vazquez"/>
        <s v="Sonus Productions"/>
        <s v="Glen Peterson"/>
        <s v="Joey Reynolds"/>
        <s v="Carter Reichardt"/>
        <s v="Brad Williams"/>
        <s v="Luis Yrtube"/>
        <s v="Julius Brown"/>
        <s v="Image SFX"/>
        <s v="Robert Demoor"/>
        <s v="Gus Ruggiero"/>
        <s v="Ryan Gorey"/>
        <s v="roberto aneses"/>
        <s v="Joshua Sikora"/>
        <s v="Kuldip Mann"/>
        <s v="Tesia Valdera"/>
        <s v="Shaun Hopper"/>
        <s v="Stephan Gonthier"/>
        <s v="David Torres"/>
        <s v="RYAN FERNANDEZ"/>
        <s v="Carlos Herrera"/>
        <s v="Zack Mann"/>
        <s v="Charles Tantog jr"/>
        <s v="Hovhannes Sargsyan"/>
        <s v="Michael Noe"/>
        <s v="Corey Kjng"/>
        <s v="Timothy Hannum"/>
        <s v="Brown Note Productions"/>
        <s v="paul rozsa"/>
        <s v="Dax Talbert"/>
        <s v="Edwin Toledo"/>
        <s v="Claudio Valero"/>
        <s v="David Harris"/>
        <s v="Gleice Gillet"/>
        <s v="Adolfo Tzunum"/>
        <s v="Michael Bedkowski"/>
        <s v="GABRIEL MUNIZ"/>
        <s v="Tracey Becca"/>
        <s v="Shawn Stacks"/>
        <s v="James Sales"/>
        <s v="Aaron Rodriguez"/>
        <s v="Jonatan Rivera"/>
        <s v="Matthew Hazelgrove"/>
        <s v="Ben Londo / Cal Poly Rodeo"/>
        <s v="Daniel Scott"/>
        <s v="Jeff Krebs"/>
        <s v="ESI Production"/>
        <s v="Karol Castillo"/>
        <s v="The Tribe Utah"/>
        <s v="Javier Carlos"/>
        <s v="Brian LaBorde"/>
        <s v="Sebastian Allais"/>
        <s v="Clarence Arkward"/>
        <s v="Michael Alls"/>
        <s v="Robert Parisi"/>
        <s v="Clay Coltson"/>
        <s v="Tanner scott"/>
        <s v="Jorge Montes"/>
        <s v="Jack Bermo"/>
        <s v="Ajmer s Mann"/>
        <s v="Derek Roode"/>
        <s v="Image Engineering"/>
        <s v="Reno Rosser / Flying U Rodeo"/>
        <s v="Patrick Cyrana"/>
        <s v="Aurelia Jaworski"/>
        <s v="Ronald Moncada"/>
        <s v="Eshaan Anand"/>
        <s v="Complete Production Resources"/>
        <s v="Promedsa"/>
        <s v="Dayton DiTomasso"/>
        <s v="William Prechter"/>
        <s v="Emerson Wellens"/>
        <s v="Luis Mejia"/>
        <s v="Matthew Klich"/>
        <s v="Patrick Drive"/>
        <s v="Gilbert Jacinto"/>
        <s v="Alfredo Hidalgo"/>
        <s v="Isaac Carter"/>
        <s v="Marco Mejia"/>
        <s v="Garrick Lewis"/>
        <s v="Tanner Valerio"/>
        <s v="Ramin Movahed"/>
        <s v="Brady Dieleman"/>
        <s v="Ryan Schroeder"/>
        <s v="Sergio champion"/>
        <s v="Kevin Summers"/>
        <s v="Special FX Rentals"/>
        <s v="Light FX Pros"/>
        <s v="John Katas"/>
        <s v="Boris Bollinger"/>
        <s v="Matthew Daniel"/>
        <s v="Michael Groves"/>
        <s v="joseph molis"/>
        <s v="Lake School"/>
        <s v="dale moore PR 23554"/>
        <s v="Jaqueline Terrazas"/>
        <s v="Joe Miller (Genesis Events)"/>
        <s v="Nathan Javidzad"/>
        <s v="Rob Kodadek"/>
        <s v="Kyle Mohler"/>
        <s v="Peter Gusmano"/>
        <s v="Rohit Ralh"/>
        <s v="Paul Conway"/>
        <s v="Jack Murphy"/>
        <s v="Bradley roberts"/>
        <s v="AFX Pro / Jackie Johnson"/>
        <s v="Gary Yang"/>
      </sharedItems>
    </cacheField>
    <cacheField name="Ordered Date" numFmtId="0">
      <sharedItems containsSemiMixedTypes="0" containsNonDate="0" containsDate="1" containsString="0" minDate="2024-04-01T00:00:00" maxDate="2024-04-30T15:49:32" count="128">
        <d v="2024-04-30T00:00:00"/>
        <d v="2024-04-30T15:49:32"/>
        <d v="2024-04-30T14:46:03"/>
        <d v="2024-04-30T12:28:52"/>
        <d v="2024-04-30T05:56:16"/>
        <d v="2024-04-30T04:34:12"/>
        <d v="2024-04-29T00:00:00"/>
        <d v="2024-04-29T19:55:35"/>
        <d v="2024-04-29T16:59:26"/>
        <d v="2024-04-29T16:48:43"/>
        <d v="2024-04-29T16:14:42"/>
        <d v="2024-04-28T02:51:02"/>
        <d v="2024-04-27T17:22:27"/>
        <d v="2024-04-27T03:51:40"/>
        <d v="2024-04-26T22:45:05"/>
        <d v="2024-04-26T00:00:00"/>
        <d v="2024-04-26T16:21:49"/>
        <d v="2024-04-26T15:45:26"/>
        <d v="2024-04-26T15:32:48"/>
        <d v="2024-04-26T09:41:45"/>
        <d v="2024-04-26T03:32:42"/>
        <d v="2024-04-25T23:43:56"/>
        <d v="2024-04-25T00:00:00"/>
        <d v="2024-04-25T02:08:09"/>
        <d v="2024-04-25T00:54:28"/>
        <d v="2024-04-25T00:05:27"/>
        <d v="2024-04-24T00:00:00"/>
        <d v="2024-04-24T19:33:52"/>
        <d v="2024-04-24T19:08:23"/>
        <d v="2024-04-24T17:31:16"/>
        <d v="2024-04-24T17:14:12"/>
        <d v="2024-04-24T13:53:54"/>
        <d v="2024-04-24T10:22:22"/>
        <d v="2024-04-23T21:53:59"/>
        <d v="2024-04-23T00:00:00"/>
        <d v="2024-04-23T19:13:29"/>
        <d v="2024-04-23T17:43:11"/>
        <d v="2024-04-22T20:54:53"/>
        <d v="2024-04-22T00:00:00"/>
        <d v="2024-04-22T19:20:38"/>
        <d v="2024-04-22T18:22:14"/>
        <d v="2024-04-22T16:46:33"/>
        <d v="2024-04-22T16:43:06"/>
        <d v="2024-04-22T07:18:52"/>
        <d v="2024-04-22T01:27:33"/>
        <d v="2024-04-21T09:14:29"/>
        <d v="2024-04-21T09:08:12"/>
        <d v="2024-04-21T03:57:56"/>
        <d v="2024-04-20T06:52:42"/>
        <d v="2024-04-19T00:00:00"/>
        <d v="2024-04-19T20:06:42"/>
        <d v="2024-04-18T00:00:00"/>
        <d v="2024-04-18T15:45:33"/>
        <d v="2024-04-18T14:59:46"/>
        <d v="2024-04-18T13:40:38"/>
        <d v="2024-04-18T01:13:16"/>
        <d v="2024-04-17T00:00:00"/>
        <d v="2024-04-17T21:07:05"/>
        <d v="2024-04-17T18:49:21"/>
        <d v="2024-04-17T16:51:54"/>
        <d v="2024-04-17T16:51:49"/>
        <d v="2024-04-17T14:46:18"/>
        <d v="2024-04-17T05:39:10"/>
        <d v="2024-04-16T22:19:30"/>
        <d v="2024-04-16T00:00:00"/>
        <d v="2024-04-16T17:35:56"/>
        <d v="2024-04-16T14:58:26"/>
        <d v="2024-04-16T05:17:55"/>
        <d v="2024-04-15T00:00:00"/>
        <d v="2024-04-15T20:54:16"/>
        <d v="2024-04-15T02:53:36"/>
        <d v="2024-04-14T20:27:43"/>
        <d v="2024-04-14T04:17:11"/>
        <d v="2024-04-13T15:45:17"/>
        <d v="2024-04-13T06:10:54"/>
        <d v="2024-04-12T22:45:08"/>
        <d v="2024-04-12T17:01:49"/>
        <d v="2024-04-12T16:49:39"/>
        <d v="2024-04-12T16:05:56"/>
        <d v="2024-04-12T15:53:46"/>
        <d v="2024-04-12T00:00:00"/>
        <d v="2024-04-12T14:27:43"/>
        <d v="2024-04-11T20:28:12"/>
        <d v="2024-04-11T00:00:00"/>
        <d v="2024-04-11T01:41:04"/>
        <d v="2024-04-11T00:32:46"/>
        <d v="2024-04-10T21:50:58"/>
        <d v="2024-04-10T00:00:00"/>
        <d v="2024-04-10T18:35:22"/>
        <d v="2024-04-10T15:39:15"/>
        <d v="2024-04-09T20:32:08"/>
        <d v="2024-04-09T20:18:38"/>
        <d v="2024-04-09T18:52:21"/>
        <d v="2024-04-09T18:47:50"/>
        <d v="2024-04-09T18:22:09"/>
        <d v="2024-04-09T17:18:12"/>
        <d v="2024-04-09T00:00:00"/>
        <d v="2024-04-09T14:56:50"/>
        <d v="2024-04-09T02:05:28"/>
        <d v="2024-04-08T00:00:00"/>
        <d v="2024-04-08T19:26:48"/>
        <d v="2024-04-08T19:26:00"/>
        <d v="2024-04-08T15:08:55"/>
        <d v="2024-04-06T17:13:57"/>
        <d v="2024-04-06T01:08:56"/>
        <d v="2024-04-05T00:00:00"/>
        <d v="2024-04-05T20:27:48"/>
        <d v="2024-04-05T18:33:24"/>
        <d v="2024-04-05T18:31:31"/>
        <d v="2024-04-04T23:44:20"/>
        <d v="2024-04-04T21:08:14"/>
        <d v="2024-04-04T16:52:38"/>
        <d v="2024-04-04T03:06:52"/>
        <d v="2024-04-03T20:06:41"/>
        <d v="2024-04-03T19:56:06"/>
        <d v="2024-04-03T17:54:24"/>
        <d v="2024-04-02T22:22:09"/>
        <d v="2024-04-02T22:03:11"/>
        <d v="2024-04-02T17:28:55"/>
        <d v="2024-04-02T00:00:00"/>
        <d v="2024-04-02T10:53:38"/>
        <d v="2024-04-02T07:11:58"/>
        <d v="2024-04-01T23:41:52"/>
        <d v="2024-04-01T17:23:06"/>
        <d v="2024-04-01T17:12:51"/>
        <d v="2024-04-01T00:00:00"/>
        <d v="2024-04-01T16:06:30"/>
        <d v="2024-04-01T11:48:19"/>
      </sharedItems>
      <fieldGroup base="2">
        <rangePr startDate="2024-04-01T00:00:00" endDate="2024-04-30T15:49:32" groupBy="days"/>
        <groupItems count="368">
          <s v="&lt;04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4/30/2024"/>
        </groupItems>
      </fieldGroup>
    </cacheField>
    <cacheField name="Line Item Name" numFmtId="0">
      <sharedItems containsNonDate="0" count="120">
        <s v="CC-CTC-20"/>
        <s v="Shipping Charges"/>
        <s v="CC-AC-CTAT"/>
        <s v="CC-CH-08-STD"/>
        <s v="CC-MJMKII-3-110"/>
        <s v="CC-CH-25-STD"/>
        <s v="CC-NPTC-06-STD"/>
        <s v="CC-AC-OP"/>
        <s v="CC-CTC-50"/>
        <s v="CC-AC-CCL"/>
        <s v="CC-VV-KIT"/>
        <s v="CC-HCCMKII-08-NC"/>
        <s v="CC-F-COT"/>
        <s v="CC-F-FQCNPTF"/>
        <s v="CC-CH-35-STD"/>
        <s v="6-32 x 3/8” pan head screw BSS"/>
        <s v="Mocap 1/2” hole cap"/>
        <s v="#12 x 1/2&quot; High Low Thread Forming Screws / Phillips / Pan Head / Steel / Black Zinc"/>
        <s v="Compressible-Stem Push-In Bumpers"/>
        <s v="CC-SS-35"/>
        <s v="CC-AC-CTS"/>
        <s v="CC-WASH-10"/>
        <s v="CC-HCCMKII-15-NC"/>
        <s v="CC-HCCMKII-15-TC"/>
        <s v="CC-CH-XX-EXT"/>
        <s v="12v DC Solenoid Coil"/>
        <s v="CC-F-CGA-FQC"/>
        <s v="CC-F-HEA"/>
        <s v="1/4&quot; Co2 Valve"/>
        <s v="Solenoid Din Connector"/>
        <s v="CC-CH-XX-STD"/>
        <s v="CC-CH-15-EXT"/>
        <s v="CC-F-FMMQC-TEE"/>
        <s v="Shipping Fees"/>
        <s v="Repair"/>
        <s v="PTFE Teflon O-Ring -111"/>
        <s v="CC-AC-CGAJIC - 1"/>
        <s v="CC-CH-50-STD"/>
        <s v="6FJ-6SB"/>
        <s v="6MB-6SBK"/>
        <s v="Custom Hose Charge"/>
        <s v="CC-F-FQCBSPF"/>
        <s v="3/8” BSPP Bonding Washer Seal"/>
        <s v="Tax: CA Tax (8.75%)"/>
        <s v="CC-TB-35"/>
        <s v="CC-CH-15-STD"/>
        <s v="Micro Jet MKII Main PCB"/>
        <s v="Micro Jet MKII XLR PCB"/>
        <s v="CC-PROJ-5-110-JIC"/>
        <s v="CC-AC-LGK"/>
        <s v="5-pin DMX Passthrough Assembly"/>
        <s v="CC-AC-LA2"/>
        <s v="Large Key Lock Switch Assembly"/>
        <s v="CC-HCCMKII-08-TC"/>
        <s v="CC-F-MFDCGAJIC"/>
        <s v="CC-CH-35-EXT"/>
        <s v="CC-CH-03.5-MFD"/>
        <s v="3/8&quot; Male NPT x #6 JIC Male"/>
        <s v="CC-SM-5"/>
        <s v="PayPal Payment Processing Fee"/>
        <s v="CA Tax"/>
        <s v="CO2 Valve Replacement Seal"/>
        <s v="CC-PROJ-5-110"/>
        <s v="CC-CH-05-STD - 01"/>
        <s v="The Button Main PCB"/>
        <s v="The Button Key Assembly - 1"/>
        <s v="Discount"/>
        <s v="CC-CC2-110-JIC"/>
        <s v="CC-CCDINT1-16"/>
        <s v="3/8&quot; Female BSPP x Male 3/8&quot; JIC"/>
        <s v="CC-NPTC-25-DSY"/>
        <s v="CC-AC-CLAMP-CC2-KIT"/>
        <s v="CC-AC-4PM"/>
        <s v="CC-CH-02-MFD"/>
        <s v="CC-AC-ROR"/>
        <s v="CC-CH-05-MFD"/>
        <s v="CC-CH-15-DSY"/>
        <s v="CC-AC-ROR2"/>
        <s v=" CC-AC-CGAJIC-SET - 1"/>
        <s v="CC-CC2-110"/>
        <s v="CC-AC-CLAMP"/>
        <s v="CC-AC-BM-KIT"/>
        <s v="CC-CH-25-DSY"/>
        <s v="CC-CC-110"/>
        <s v="MagicFX Red Button"/>
        <s v="CC-CH-05-DSY"/>
        <s v="CC-F-MQC-TEE"/>
        <s v="NAC3MX-W-TOP (Male)"/>
        <s v="True1 Jumper - 15 Inches"/>
        <s v="3.5FT CO2 HOSE - 1/4&quot; ID (JIC #6 x JIC #6)"/>
        <s v="3/8&quot; JIC Nipple - Male x Male"/>
        <s v="CC-AC-SMK"/>
        <s v="Quad Jet Foot Assembly"/>
        <s v="3/8&quot; 8-32 flat head screw"/>
        <s v="CC-DIN-06"/>
        <s v="110v Solenoid Coil"/>
        <s v="Valve Bracket"/>
        <s v="CC-F-MQCBSPPF"/>
        <s v="1/4” NPT Male x 3/8” BSPP Male"/>
        <s v="CC-F-DCHA"/>
        <s v="CC-QJ-5-110"/>
        <s v="Credit Card Processing Fee"/>
        <s v="CC-AC-CLAMP-MJMKII-KIT"/>
        <s v="CC-AC-PMA"/>
        <s v="15FT CO2 HOSE - 3/8&quot; (BSPP x JIC #6)"/>
        <s v="2FT CO2 Hose - 1/4&quot; ID (JIC #6 x JIC #6)"/>
        <s v="CC-RC-2430"/>
        <s v="CC-RC-2430-LAI"/>
        <s v="CC-RC-2430-PJI"/>
        <s v="CC-RC-2430-TTI"/>
        <s v="CC-F-MQCMQC"/>
        <s v="CC-WASH-01"/>
        <s v="CC-NPTC-15-DSY"/>
        <s v="CC-AC-TC"/>
        <s v="Micro Jet 110v Valve Assembly"/>
        <s v="IDC Cable Clip"/>
        <s v="CC-AC-RAA"/>
        <s v="3M BUMPON SJ5012"/>
        <s v="Small Key Switch"/>
        <s v="1/2-13 x 3/4” CS screw"/>
      </sharedItems>
    </cacheField>
    <cacheField name="Line Item Description" numFmtId="0">
      <sharedItems containsNonDate="0" containsBlank="1" count="149">
        <s v="CO2 Tank Covers - 20lb Cover"/>
        <m/>
        <s v="Co2 Tank Attachment Tool"/>
        <s v="Co2 Hose 08FT Standard Config"/>
        <s v="Micro CO2 Jet MKII"/>
        <s v="Co2 Hose 25FT Standard Config"/>
        <s v="Neutrik PowerCON True1 Cords - 6FT, Standard"/>
        <s v="CO2 Tank Tool + Documentation"/>
        <s v="CO2 Tank Covers - 50lb Cover"/>
        <s v="CO2 Cylinder Link"/>
        <s v="Volt View - True1 voltage detection device"/>
        <s v="Handheld CO2 Cannon MKII"/>
        <s v=" CO2 Output Terminator"/>
        <s v="Female Quick Connect (3/8″ NPT Female)"/>
        <s v="Co2 Hose 35FT Standard Config"/>
        <s v="6-32 x 3/8” pan head screw BSS"/>
        <s v="Mocap 1/2” hole cap - pro jet foot cap"/>
        <s v="Pro Jet feet screws (thread forming)"/>
        <s v="Compressible-Stem Push-In Bumpers - pro jet foot"/>
        <s v="ShoStarter DMX Controller with 3 &amp; 5 Pin Connectors in Box"/>
        <s v="CO2 Tank Splitter"/>
        <s v="CO2 Washers (10 pack)"/>
        <s v="Handheld MKII in travel case with 15ft hose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Co2 Hose 29FT Length Standard Type B MQC"/>
        <s v="Co2 Hose 38FT Length Standard Type B MQC"/>
        <s v="Co2 Hose 41FT Standard Type B MQC"/>
        <s v="Co2 Hose 48FT Length Standard Type B MQC"/>
        <s v="Co2 Hose 54FT Length Standard Type B MQC"/>
        <s v="Co2 Hose 59FT Length Standard Type B MQC"/>
        <s v="Co2 Hose 68FT Length Standard Type B MQC"/>
        <s v="Co2 Hose 72FT Length Standard Type B MQC"/>
        <s v="Co2 Hose Custom Length Extension - 3FT"/>
        <s v="Co2 Hose 15FT Extension Config"/>
        <s v="Female x Male x Male Quick Connect Junction"/>
        <s v="CGA-320 Female to Female Quick Connect"/>
        <s v="Shipping Isaac's silly little mouse"/>
        <s v="Hose Extension Adapter"/>
        <s v="CGA sealing O-ring (Teflon)"/>
        <s v="CGA-320 to 3/8in JIC with groove for integrated O-ring"/>
        <s v="Co2 Hose 50FT Standard Config"/>
        <s v="#6 JIC Female Hose Crimp Fitting"/>
        <s v="3/8&quot; BSPP Hose Crimp Fitting"/>
        <s v="Fee for cutting and crimping custom hoses (Complementary)"/>
        <s v="ISO-A Female Quick Connect - BSPP Thread"/>
        <s v="3/8” BSPP Bonding Washer Seal (Complementary)"/>
        <s v="The Button - with both 3 &amp; 5 pin DMX ports"/>
        <s v="Co2 Hose 15FT Standard Config"/>
        <s v="Micro Jet MKII Main PCB"/>
        <s v="3 Pin DMX Input and Power Trigger PCB"/>
        <s v="Micro Jet MKII Main PCB - Warranty Replacement"/>
        <s v="Pro Jet - 5 Pin, 110v, JIC in/out"/>
        <s v="Neutrik PowerCON True1 Cords - 6FT, Standard (Included)"/>
        <s v="Replacement Keys - Shomaster &amp; ShoStarter (Complementary)"/>
        <s v="5-pin DMX Passthrough Assembly"/>
        <s v="ShoStarter w/ Update Firmware for 220 Pro Jets"/>
        <s v="LED Attachment for DMX Jet, DMX Jet MKII, and Pro Jet."/>
        <s v="Large 2 Position Key switch with TE connector"/>
        <s v="Warranty Repair of Handheld MKII Serial# 004887, customer also sent in #004857 - no issues"/>
        <s v="Co2 Hose 25FT Standard Config with ISO-B Female QC"/>
        <s v="Co2 Hose 75FT Standard Config"/>
        <s v="Co2 Tank Attachment Tool (Included)"/>
        <s v="Co2 Hose 15FT Standard Config (Included)"/>
        <s v="Handheld MKII in travel case with 8ft hose"/>
        <s v="Adapter for use with Manifold - to attach standard CGA-320 hose configuration"/>
        <s v="Co2 Hose 35FT Extension Config"/>
        <s v="3 1/2FT CO2 Hose (CGA-320 x Female JIC 3/8&quot;) For use with Manifold"/>
        <s v="3/8&quot; Male NPT x #6 JIC Male"/>
        <s v="ShoMaster Console"/>
        <s v="Teflon &amp; Brass seal for 1/4&quot; CO2 Valve"/>
        <s v="Pro Jet"/>
        <s v=" CO2 Output Terminator (Included)"/>
        <s v="CO2 Tank Tool + Documentation (Included)"/>
        <s v="Co2 Hose 35FT Standard Config (Upgrade from 15FT)"/>
        <s v="Co2 Hose 05FT Standard Config"/>
        <s v="Warranty Repair of Buttons #31247, 31796, 31679"/>
        <s v="The Button Main PCB"/>
        <s v="Key Switch with Wires and JST Connector for The Button"/>
        <s v="Cryo Clamp II, 110v, Weatherproof CO2 Jet with JIC Inlet"/>
        <s v="Top entry DIN cable with True1 connector, 5M / 16.5FT"/>
        <s v="Used to adapt jets to JIC"/>
        <s v="Neutrik PowerCON True1 Cords - 25FT, Daisy Chain"/>
        <s v="Truss clamp for CC2 with 1/2-13 x 3/4” CS screw"/>
        <s v="75FT CO2 Hose STD (Upgrade from Included 15FT STD)"/>
        <s v="4 Port Co2 Manifold - 4x JIC 3/8&quot; Inlets, 1x JIC 3/8&quot; Outlet with Truss Bracket"/>
        <s v="2FT CO2 Hose (CGA-320 x Female JIC 3/8&quot;) For use with Manifold"/>
        <s v="Replacement O-Ring"/>
        <s v="5FT CO2  Extension Hose (CGA-320 Female x CGA-320 Male) "/>
        <s v="Co2 Hose 15FT Daisy Chain (Included)"/>
        <s v="Replacement O-Ring - 2023 Quick Connects. EPDM"/>
        <s v="CO2 Washers (10 pack) (Complementary)"/>
        <s v="CGA-320 to JIC adapter with nut and integrated groove for o-ring"/>
        <s v="Cryo Clamp II, 110v, Weatherproof CO2 Jet"/>
        <s v="Truss Clamp"/>
        <s v="Ball Mount Assembly for Cryo Clamp with 4x 10-32 x 3/8&quot; socket head screws"/>
        <s v="Co2 Hose 25FT Daisy Chain"/>
        <s v="Cryo Clamp - 110 Volt"/>
        <s v="True1 In / Out momentary power controller"/>
        <s v="Co2 Hose 05FT Daisy Chain"/>
        <s v="3 Way Male Quick Connect Junction"/>
        <s v="TRUE1 CABLE CONNECTOR (MALE)"/>
        <s v="Neutrik True1 Male x True1 Female jumper for LED Attachment"/>
        <s v="Special order CO2 Hose (Complementary)"/>
        <s v="JIC Union Nipple - 3/8&quot; Male (Complementary)"/>
        <s v="Replacement Keys - The Button (Complementary)"/>
        <s v="Quad Jet Foot Assembly"/>
        <s v="Large Rubber Foot Binder Screw"/>
        <s v="DIN cable with NEMA 5-15, 6FT"/>
        <s v="110v Solenoid Coil"/>
        <s v="Bracket used for attaching valve to clamp - INCLUDE ANGLE BRACKET"/>
        <s v="3/8&quot; Male Quick Connect Fitting BSPP thread female"/>
        <s v="1/4” NPT Male x 3/8” BSPP Male"/>
        <s v="3/8” BSPP Bonding Washer Seal"/>
        <s v="Daisy Chain Adapter"/>
        <s v="Quad Jet 110v with 3 Pin DMX With Barrels"/>
        <s v="3% Fee to Cover Credit Card Processing Charges"/>
        <s v="Replacement Keys - The Button"/>
        <s v="Co2 Hose 25FT Standard Config (Upgrade from Included 15FT)"/>
        <s v="Truss Clamp for Micro Jet MKII w/ Hardware"/>
        <s v="1/4&quot; TS Power mode Adapter"/>
        <s v="15FT CO2 HOSE - FEMALE JIC #6 x FEMALE JIC #6"/>
        <s v="24x30 Road Case"/>
        <s v="24x30 Road Case Insert - LED Attachment (Included)"/>
        <s v="24x30 Road Case Insert - Pro Jet (Included)"/>
        <s v="24x30 Road Case Insert - Top Tray Insert (Included)"/>
        <s v="Co2 Hose 15FT Daisy Chain"/>
        <s v="Male Quick Connect to Male Quick Connect (Complementary)"/>
        <s v="Single CO2 Washer"/>
        <s v="Neutrik PowerCON True1 Cords - 15FT, Daisy Chain"/>
        <s v="Truss clamp for CC2 with 1/2-13 x 3/4” CS screw (Included)"/>
        <s v="Travel Case"/>
        <s v="Co2 Tank Attachment Tool (Complementary)"/>
        <s v="Micro Jet MKII Serial# 1123463"/>
        <s v="110v Valve with Solenoid fittings and Wires for Micro Jet MKII"/>
        <s v="3D printed clip to secure IDC Cable"/>
        <s v="Right Angle Adapter"/>
        <s v="Single CO2 Washer (Complementary)"/>
        <s v="Warranty / T&amp;M"/>
        <s v="Sticky Rubber Foot"/>
        <s v="12mm D135 Key Switch"/>
        <s v="Co2 Hose 35FT Standard Config - Upgrade from Included 15FT "/>
        <s v="Replacement Keys - The Button (Complimentary)"/>
        <s v="Replacement Keys - Shomaster &amp; ShoStarter (Complimentary)"/>
        <s v="1/2-13 x 3/4” CS screw (Complimentary)"/>
      </sharedItems>
    </cacheField>
    <cacheField name="Order Quantity" numFmtId="0">
      <sharedItems containsSemiMixedTypes="0" containsNonDate="0" containsString="0" containsNumber="1" containsInteger="1" minValue="1" maxValue="100" count="16">
        <n v="1"/>
        <n v="2"/>
        <n v="6"/>
        <n v="12"/>
        <n v="5"/>
        <n v="8"/>
        <n v="10"/>
        <n v="4"/>
        <n v="26"/>
        <n v="15"/>
        <n v="3"/>
        <n v="9"/>
        <n v="24"/>
        <n v="100"/>
        <n v="50"/>
        <n v="20"/>
      </sharedItems>
    </cacheField>
    <cacheField name="Unit Price" numFmtId="0">
      <sharedItems containsSemiMixedTypes="0" containsNonDate="0" containsString="0" containsNumber="1" minValue="-1215.52" maxValue="3199.99" count="123">
        <n v="37.4925"/>
        <n v="14.5"/>
        <n v="9.99"/>
        <n v="109.99"/>
        <n v="849.99"/>
        <n v="50"/>
        <n v="0"/>
        <n v="59.99"/>
        <n v="119.99"/>
        <n v="79.98999999999999"/>
        <n v="349.99"/>
        <n v="199.99"/>
        <n v="19.99"/>
        <n v="24.99"/>
        <n v="249.99"/>
        <n v="49.99"/>
        <n v="899.9924999999999"/>
        <n v="399.99"/>
        <n v="599.99"/>
        <n v="187.4925"/>
        <n v="22.4925"/>
        <n v="19.6"/>
        <n v="374.99"/>
        <n v="289.99"/>
        <n v="140.49"/>
        <n v="229.99"/>
        <n v="264.99"/>
        <n v="269.99"/>
        <n v="299.99"/>
        <n v="329.99"/>
        <n v="359.99"/>
        <n v="409.99"/>
        <n v="429.99"/>
        <n v="71.24250000000001"/>
        <n v="112.4925"/>
        <n v="59.9925"/>
        <n v="48.7425"/>
        <n v="58.75"/>
        <n v="61.8"/>
        <n v="53.25"/>
        <n v="7.5"/>
        <n v="4.81"/>
        <n v="149.99"/>
        <n v="20"/>
        <n v="10"/>
        <n v="45.6"/>
        <n v="900"/>
        <n v="41.25"/>
        <n v="32.4"/>
        <n v="29.99"/>
        <n v="599.9924999999999"/>
        <n v="55.32"/>
        <n v="41.5"/>
        <n v="449.99"/>
        <n v="549.99"/>
        <n v="1199.99"/>
        <n v="98.5"/>
        <n v="14.4"/>
        <n v="52.4925"/>
        <n v="2.86956525"/>
        <n v="15"/>
        <n v="2399.9925"/>
        <n v="143.9994"/>
        <n v="81.59999999999999"/>
        <n v="10.5"/>
        <n v="13.5"/>
        <n v="1299.99"/>
        <n v="100"/>
        <n v="391.42"/>
        <n v="99.98999999999999"/>
        <n v="-25"/>
        <n v="11.5"/>
        <n v="499.99"/>
        <n v="15.217391"/>
        <n v="-1215.52"/>
        <n v="325"/>
        <n v="353.64"/>
        <n v="134.9925"/>
        <n v="14.9925"/>
        <n v="1.4925"/>
        <n v="7.4925"/>
        <n v="56.2425"/>
        <n v="299.9925"/>
        <n v="974.9924999999999"/>
        <n v="17.2425"/>
        <n v="224.9925"/>
        <n v="45.64"/>
        <n v="41.15"/>
        <n v="14.35"/>
        <n v="216.8"/>
        <n v="5"/>
        <n v="69.98999999999999"/>
        <n v="1.99"/>
        <n v="14.56"/>
        <n v="1874.9925"/>
        <n v="112.4994"/>
        <n v="182.57"/>
        <n v="44.9925"/>
        <n v="5.6175"/>
        <n v="66.95"/>
        <n v="176.23"/>
        <n v="5.99"/>
        <n v="574.99"/>
        <n v="130"/>
        <n v="49.5"/>
        <n v="1599.99"/>
        <n v="749.99"/>
        <n v="186.4"/>
        <n v="74.98999999999999"/>
        <n v="3199.99"/>
        <n v="844.4299999999999"/>
        <n v="44.45"/>
        <n v="394.43"/>
        <n v="54.43"/>
        <n v="44.44"/>
        <n v="219.99"/>
        <n v="55"/>
        <n v="120"/>
        <n v="55.68"/>
        <n v="15.5"/>
        <n v="1199.9925"/>
        <n v="89.99250000000001"/>
        <n v="49.62"/>
      </sharedItems>
    </cacheField>
    <cacheField name="Total Line Item $" numFmtId="0">
      <sharedItems containsSemiMixedTypes="0" containsNonDate="0" containsString="0" containsNumber="1" minValue="-1215.52" maxValue="7199.955" count="174">
        <n v="37.4925"/>
        <n v="14.5"/>
        <n v="9.99"/>
        <n v="109.99"/>
        <n v="849.99"/>
        <n v="50"/>
        <n v="0"/>
        <n v="59.99"/>
        <n v="119.99"/>
        <n v="159.98"/>
        <n v="699.98"/>
        <n v="199.99"/>
        <n v="119.94"/>
        <n v="299.88"/>
        <n v="249.99"/>
        <n v="49.95"/>
        <n v="99.98"/>
        <n v="899.9924999999999"/>
        <n v="49.99"/>
        <n v="399.99"/>
        <n v="599.99"/>
        <n v="479.96"/>
        <n v="374.985"/>
        <n v="44.985"/>
        <n v="19.6"/>
        <n v="749.98"/>
        <n v="119.98"/>
        <n v="579.98"/>
        <n v="280.98"/>
        <n v="499.98"/>
        <n v="229.99"/>
        <n v="264.99"/>
        <n v="269.99"/>
        <n v="299.99"/>
        <n v="329.99"/>
        <n v="359.99"/>
        <n v="409.99"/>
        <n v="429.99"/>
        <n v="1852.305"/>
        <n v="1124.925"/>
        <n v="719.91"/>
        <n v="487.425"/>
        <n v="58.75"/>
        <n v="219.98"/>
        <n v="19.98"/>
        <n v="599.9"/>
        <n v="39.98"/>
        <n v="349.99"/>
        <n v="599.95"/>
        <n v="61.8"/>
        <n v="599.97"/>
        <n v="53.25"/>
        <n v="7.5"/>
        <n v="19.99"/>
        <n v="4.81"/>
        <n v="399.95"/>
        <n v="149.99"/>
        <n v="80"/>
        <n v="40"/>
        <n v="45.6"/>
        <n v="3600"/>
        <n v="41.25"/>
        <n v="32.4"/>
        <n v="119.96"/>
        <n v="239.98"/>
        <n v="29.99"/>
        <n v="1199.985"/>
        <n v="55.32"/>
        <n v="60"/>
        <n v="41.5"/>
        <n v="1349.97"/>
        <n v="549.99"/>
        <n v="1699.98"/>
        <n v="1199.99"/>
        <n v="359.94"/>
        <n v="199.96"/>
        <n v="98.5"/>
        <n v="112.4775"/>
        <n v="14.4"/>
        <n v="262.4625"/>
        <n v="14.34782625"/>
        <n v="15"/>
        <n v="2399.9925"/>
        <n v="143.9994"/>
        <n v="81.59999999999999"/>
        <n v="119.985"/>
        <n v="10.5"/>
        <n v="13.5"/>
        <n v="2599.98"/>
        <n v="200"/>
        <n v="391.42"/>
        <n v="199.98"/>
        <n v="-25"/>
        <n v="11.5"/>
        <n v="1079.91"/>
        <n v="499.99"/>
        <n v="45.652173"/>
        <n v="479.92"/>
        <n v="99.98999999999999"/>
        <n v="89.97"/>
        <n v="-1215.52"/>
        <n v="5199.96"/>
        <n v="1300"/>
        <n v="353.64"/>
        <n v="269.985"/>
        <n v="389.94"/>
        <n v="44.9775"/>
        <n v="11.94"/>
        <n v="29.97"/>
        <n v="59.94"/>
        <n v="56.2425"/>
        <n v="299.9925"/>
        <n v="1949.985"/>
        <n v="17.91"/>
        <n v="14.925"/>
        <n v="17.2425"/>
        <n v="449.985"/>
        <n v="45.64"/>
        <n v="2399.97"/>
        <n v="41.15"/>
        <n v="14.35"/>
        <n v="999.98"/>
        <n v="59.98"/>
        <n v="299.98"/>
        <n v="899.98"/>
        <n v="79.98999999999999"/>
        <n v="374.99"/>
        <n v="4799.985"/>
        <n v="599.985"/>
        <n v="216.8"/>
        <n v="120"/>
        <n v="24.99"/>
        <n v="69.98999999999999"/>
        <n v="3.98"/>
        <n v="1.99"/>
        <n v="1999.95"/>
        <n v="14.56"/>
        <n v="3749.985"/>
        <n v="112.4994"/>
        <n v="182.57"/>
        <n v="89.985"/>
        <n v="299.9625"/>
        <n v="44.94"/>
        <n v="66.95"/>
        <n v="100"/>
        <n v="176.23"/>
        <n v="11.98"/>
        <n v="574.99"/>
        <n v="594"/>
        <n v="1599.99"/>
        <n v="2999.96"/>
        <n v="186.4"/>
        <n v="149.98"/>
        <n v="1199.98"/>
        <n v="3199.99"/>
        <n v="179.91"/>
        <n v="1688.86"/>
        <n v="88.90000000000001"/>
        <n v="394.43"/>
        <n v="108.86"/>
        <n v="88.88"/>
        <n v="219.99"/>
        <n v="55"/>
        <n v="55.68"/>
        <n v="15.5"/>
        <n v="959.92"/>
        <n v="1099.98"/>
        <n v="7199.955"/>
        <n v="3899.97"/>
        <n v="299.96"/>
        <n v="449.85"/>
        <n v="239.96"/>
        <n v="599.9924999999999"/>
        <n v="49.6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3" createdVersion="7">
  <cacheSource type="worksheet">
    <worksheetSource ref="D4:F427" sheet="April 2024"/>
  </cacheSource>
  <cacheFields count="3">
    <cacheField name="CC-AC-CTAT" numFmtId="0">
      <sharedItems containsNonDate="0" count="120">
        <s v="CC-CTC-20"/>
        <s v="Shipping Charges"/>
        <s v="CC-AC-CTAT"/>
        <s v="CC-CH-08-STD"/>
        <s v="CC-MJMKII-3-110"/>
        <s v="CC-CH-25-STD"/>
        <s v="CC-NPTC-06-STD"/>
        <s v="CC-AC-OP"/>
        <s v="CC-CTC-50"/>
        <s v="CC-AC-CCL"/>
        <s v="CC-VV-KIT"/>
        <s v="CC-HCCMKII-08-NC"/>
        <s v="CC-F-COT"/>
        <s v="CC-F-FQCNPTF"/>
        <s v="CC-CH-35-STD"/>
        <s v="6-32 x 3/8” pan head screw BSS"/>
        <s v="Mocap 1/2” hole cap"/>
        <s v="#12 x 1/2&quot; High Low Thread Forming Screws / Phillips / Pan Head / Steel / Black Zinc"/>
        <s v="Compressible-Stem Push-In Bumpers"/>
        <s v="CC-SS-35"/>
        <s v="CC-AC-CTS"/>
        <s v="CC-WASH-10"/>
        <s v="CC-HCCMKII-15-NC"/>
        <s v="CC-HCCMKII-15-TC"/>
        <s v="CC-CH-XX-EXT"/>
        <s v="12v DC Solenoid Coil"/>
        <s v="CC-F-CGA-FQC"/>
        <s v="CC-F-HEA"/>
        <s v="1/4&quot; Co2 Valve"/>
        <s v="Solenoid Din Connector"/>
        <s v="CC-CH-XX-STD"/>
        <s v="CC-CH-15-EXT"/>
        <s v="CC-F-FMMQC-TEE"/>
        <s v="Shipping Fees"/>
        <s v="Repair"/>
        <s v="PTFE Teflon O-Ring -111"/>
        <s v="CC-AC-CGAJIC - 1"/>
        <s v="CC-CH-50-STD"/>
        <s v="6FJ-6SB"/>
        <s v="6MB-6SBK"/>
        <s v="Custom Hose Charge"/>
        <s v="CC-F-FQCBSPF"/>
        <s v="3/8” BSPP Bonding Washer Seal"/>
        <s v="Tax: CA Tax (8.75%)"/>
        <s v="CC-TB-35"/>
        <s v="CC-CH-15-STD"/>
        <s v="Micro Jet MKII Main PCB"/>
        <s v="Micro Jet MKII XLR PCB"/>
        <s v="CC-PROJ-5-110-JIC"/>
        <s v="CC-AC-LGK"/>
        <s v="5-pin DMX Passthrough Assembly"/>
        <s v="CC-AC-LA2"/>
        <s v="Large Key Lock Switch Assembly"/>
        <s v="CC-HCCMKII-08-TC"/>
        <s v="CC-F-MFDCGAJIC"/>
        <s v="CC-CH-35-EXT"/>
        <s v="CC-CH-03.5-MFD"/>
        <s v="3/8&quot; Male NPT x #6 JIC Male"/>
        <s v="CC-SM-5"/>
        <s v="PayPal Payment Processing Fee"/>
        <s v="CA Tax"/>
        <s v="CO2 Valve Replacement Seal"/>
        <s v="CC-PROJ-5-110"/>
        <s v="CC-CH-05-STD - 01"/>
        <s v="The Button Main PCB"/>
        <s v="The Button Key Assembly - 1"/>
        <s v="Discount"/>
        <s v="CC-CC2-110-JIC"/>
        <s v="CC-CCDINT1-16"/>
        <s v="3/8&quot; Female BSPP x Male 3/8&quot; JIC"/>
        <s v="CC-NPTC-25-DSY"/>
        <s v="CC-AC-CLAMP-CC2-KIT"/>
        <s v="CC-AC-4PM"/>
        <s v="CC-CH-02-MFD"/>
        <s v="CC-AC-ROR"/>
        <s v="CC-CH-05-MFD"/>
        <s v="CC-CH-15-DSY"/>
        <s v="CC-AC-ROR2"/>
        <s v=" CC-AC-CGAJIC-SET - 1"/>
        <s v="CC-CC2-110"/>
        <s v="CC-AC-CLAMP"/>
        <s v="CC-AC-BM-KIT"/>
        <s v="CC-CH-25-DSY"/>
        <s v="CC-CC-110"/>
        <s v="MagicFX Red Button"/>
        <s v="CC-CH-05-DSY"/>
        <s v="CC-F-MQC-TEE"/>
        <s v="NAC3MX-W-TOP (Male)"/>
        <s v="True1 Jumper - 15 Inches"/>
        <s v="3.5FT CO2 HOSE - 1/4&quot; ID (JIC #6 x JIC #6)"/>
        <s v="3/8&quot; JIC Nipple - Male x Male"/>
        <s v="CC-AC-SMK"/>
        <s v="Quad Jet Foot Assembly"/>
        <s v="3/8&quot; 8-32 flat head screw"/>
        <s v="CC-DIN-06"/>
        <s v="110v Solenoid Coil"/>
        <s v="Valve Bracket"/>
        <s v="CC-F-MQCBSPPF"/>
        <s v="1/4” NPT Male x 3/8” BSPP Male"/>
        <s v="CC-F-DCHA"/>
        <s v="CC-QJ-5-110"/>
        <s v="Credit Card Processing Fee"/>
        <s v="CC-AC-CLAMP-MJMKII-KIT"/>
        <s v="CC-AC-PMA"/>
        <s v="15FT CO2 HOSE - 3/8&quot; (BSPP x JIC #6)"/>
        <s v="2FT CO2 Hose - 1/4&quot; ID (JIC #6 x JIC #6)"/>
        <s v="CC-RC-2430"/>
        <s v="CC-RC-2430-LAI"/>
        <s v="CC-RC-2430-PJI"/>
        <s v="CC-RC-2430-TTI"/>
        <s v="CC-F-MQCMQC"/>
        <s v="CC-WASH-01"/>
        <s v="CC-NPTC-15-DSY"/>
        <s v="CC-AC-TC"/>
        <s v="Micro Jet 110v Valve Assembly"/>
        <s v="IDC Cable Clip"/>
        <s v="CC-AC-RAA"/>
        <s v="3M BUMPON SJ5012"/>
        <s v="Small Key Switch"/>
        <s v="1/2-13 x 3/4” CS screw"/>
      </sharedItems>
    </cacheField>
    <cacheField name="Co2 Tank Attachment Tool" numFmtId="0">
      <sharedItems containsNonDate="0" containsBlank="1" count="149">
        <s v="CO2 Tank Covers - 20lb Cover"/>
        <m/>
        <s v="Co2 Tank Attachment Tool"/>
        <s v="Co2 Hose 08FT Standard Config"/>
        <s v="Micro CO2 Jet MKII"/>
        <s v="Co2 Hose 25FT Standard Config"/>
        <s v="Neutrik PowerCON True1 Cords - 6FT, Standard"/>
        <s v="CO2 Tank Tool + Documentation"/>
        <s v="CO2 Tank Covers - 50lb Cover"/>
        <s v="CO2 Cylinder Link"/>
        <s v="Volt View - True1 voltage detection device"/>
        <s v="Handheld CO2 Cannon MKII"/>
        <s v=" CO2 Output Terminator"/>
        <s v="Female Quick Connect (3/8″ NPT Female)"/>
        <s v="Co2 Hose 35FT Standard Config"/>
        <s v="6-32 x 3/8” pan head screw BSS"/>
        <s v="Mocap 1/2” hole cap - pro jet foot cap"/>
        <s v="Pro Jet feet screws (thread forming)"/>
        <s v="Compressible-Stem Push-In Bumpers - pro jet foot"/>
        <s v="ShoStarter DMX Controller with 3 &amp; 5 Pin Connectors in Box"/>
        <s v="CO2 Tank Splitter"/>
        <s v="CO2 Washers (10 pack)"/>
        <s v="Handheld MKII in travel case with 15ft hose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Co2 Hose 29FT Length Standard Type B MQC"/>
        <s v="Co2 Hose 38FT Length Standard Type B MQC"/>
        <s v="Co2 Hose 41FT Standard Type B MQC"/>
        <s v="Co2 Hose 48FT Length Standard Type B MQC"/>
        <s v="Co2 Hose 54FT Length Standard Type B MQC"/>
        <s v="Co2 Hose 59FT Length Standard Type B MQC"/>
        <s v="Co2 Hose 68FT Length Standard Type B MQC"/>
        <s v="Co2 Hose 72FT Length Standard Type B MQC"/>
        <s v="Co2 Hose Custom Length Extension - 3FT"/>
        <s v="Co2 Hose 15FT Extension Config"/>
        <s v="Female x Male x Male Quick Connect Junction"/>
        <s v="CGA-320 Female to Female Quick Connect"/>
        <s v="Shipping Isaac's silly little mouse"/>
        <s v="Hose Extension Adapter"/>
        <s v="CGA sealing O-ring (Teflon)"/>
        <s v="CGA-320 to 3/8in JIC with groove for integrated O-ring"/>
        <s v="Co2 Hose 50FT Standard Config"/>
        <s v="#6 JIC Female Hose Crimp Fitting"/>
        <s v="3/8&quot; BSPP Hose Crimp Fitting"/>
        <s v="Fee for cutting and crimping custom hoses (Complementary)"/>
        <s v="ISO-A Female Quick Connect - BSPP Thread"/>
        <s v="3/8” BSPP Bonding Washer Seal (Complementary)"/>
        <s v="The Button - with both 3 &amp; 5 pin DMX ports"/>
        <s v="Co2 Hose 15FT Standard Config"/>
        <s v="Micro Jet MKII Main PCB"/>
        <s v="3 Pin DMX Input and Power Trigger PCB"/>
        <s v="Micro Jet MKII Main PCB - Warranty Replacement"/>
        <s v="Pro Jet - 5 Pin, 110v, JIC in/out"/>
        <s v="Neutrik PowerCON True1 Cords - 6FT, Standard (Included)"/>
        <s v="Replacement Keys - Shomaster &amp; ShoStarter (Complementary)"/>
        <s v="5-pin DMX Passthrough Assembly"/>
        <s v="ShoStarter w/ Update Firmware for 220 Pro Jets"/>
        <s v="LED Attachment for DMX Jet, DMX Jet MKII, and Pro Jet."/>
        <s v="Large 2 Position Key switch with TE connector"/>
        <s v="Warranty Repair of Handheld MKII Serial# 004887, customer also sent in #004857 - no issues"/>
        <s v="Co2 Hose 25FT Standard Config with ISO-B Female QC"/>
        <s v="Co2 Hose 75FT Standard Config"/>
        <s v="Co2 Tank Attachment Tool (Included)"/>
        <s v="Co2 Hose 15FT Standard Config (Included)"/>
        <s v="Handheld MKII in travel case with 8ft hose"/>
        <s v="Adapter for use with Manifold - to attach standard CGA-320 hose configuration"/>
        <s v="Co2 Hose 35FT Extension Config"/>
        <s v="3 1/2FT CO2 Hose (CGA-320 x Female JIC 3/8&quot;) For use with Manifold"/>
        <s v="3/8&quot; Male NPT x #6 JIC Male"/>
        <s v="ShoMaster Console"/>
        <s v="Teflon &amp; Brass seal for 1/4&quot; CO2 Valve"/>
        <s v="Pro Jet"/>
        <s v=" CO2 Output Terminator (Included)"/>
        <s v="CO2 Tank Tool + Documentation (Included)"/>
        <s v="Co2 Hose 35FT Standard Config (Upgrade from 15FT)"/>
        <s v="Co2 Hose 05FT Standard Config"/>
        <s v="Warranty Repair of Buttons #31247, 31796, 31679"/>
        <s v="The Button Main PCB"/>
        <s v="Key Switch with Wires and JST Connector for The Button"/>
        <s v="Cryo Clamp II, 110v, Weatherproof CO2 Jet with JIC Inlet"/>
        <s v="Top entry DIN cable with True1 connector, 5M / 16.5FT"/>
        <s v="Used to adapt jets to JIC"/>
        <s v="Neutrik PowerCON True1 Cords - 25FT, Daisy Chain"/>
        <s v="Truss clamp for CC2 with 1/2-13 x 3/4” CS screw"/>
        <s v="75FT CO2 Hose STD (Upgrade from Included 15FT STD)"/>
        <s v="4 Port Co2 Manifold - 4x JIC 3/8&quot; Inlets, 1x JIC 3/8&quot; Outlet with Truss Bracket"/>
        <s v="2FT CO2 Hose (CGA-320 x Female JIC 3/8&quot;) For use with Manifold"/>
        <s v="Replacement O-Ring"/>
        <s v="5FT CO2  Extension Hose (CGA-320 Female x CGA-320 Male) "/>
        <s v="Co2 Hose 15FT Daisy Chain (Included)"/>
        <s v="Replacement O-Ring - 2023 Quick Connects. EPDM"/>
        <s v="CO2 Washers (10 pack) (Complementary)"/>
        <s v="CGA-320 to JIC adapter with nut and integrated groove for o-ring"/>
        <s v="Cryo Clamp II, 110v, Weatherproof CO2 Jet"/>
        <s v="Truss Clamp"/>
        <s v="Ball Mount Assembly for Cryo Clamp with 4x 10-32 x 3/8&quot; socket head screws"/>
        <s v="Co2 Hose 25FT Daisy Chain"/>
        <s v="Cryo Clamp - 110 Volt"/>
        <s v="True1 In / Out momentary power controller"/>
        <s v="Co2 Hose 05FT Daisy Chain"/>
        <s v="3 Way Male Quick Connect Junction"/>
        <s v="TRUE1 CABLE CONNECTOR (MALE)"/>
        <s v="Neutrik True1 Male x True1 Female jumper for LED Attachment"/>
        <s v="Special order CO2 Hose (Complementary)"/>
        <s v="JIC Union Nipple - 3/8&quot; Male (Complementary)"/>
        <s v="Replacement Keys - The Button (Complementary)"/>
        <s v="Quad Jet Foot Assembly"/>
        <s v="Large Rubber Foot Binder Screw"/>
        <s v="DIN cable with NEMA 5-15, 6FT"/>
        <s v="110v Solenoid Coil"/>
        <s v="Bracket used for attaching valve to clamp - INCLUDE ANGLE BRACKET"/>
        <s v="3/8&quot; Male Quick Connect Fitting BSPP thread female"/>
        <s v="1/4” NPT Male x 3/8” BSPP Male"/>
        <s v="3/8” BSPP Bonding Washer Seal"/>
        <s v="Daisy Chain Adapter"/>
        <s v="Quad Jet 110v with 3 Pin DMX With Barrels"/>
        <s v="3% Fee to Cover Credit Card Processing Charges"/>
        <s v="Replacement Keys - The Button"/>
        <s v="Co2 Hose 25FT Standard Config (Upgrade from Included 15FT)"/>
        <s v="Truss Clamp for Micro Jet MKII w/ Hardware"/>
        <s v="1/4&quot; TS Power mode Adapter"/>
        <s v="15FT CO2 HOSE - FEMALE JIC #6 x FEMALE JIC #6"/>
        <s v="24x30 Road Case"/>
        <s v="24x30 Road Case Insert - LED Attachment (Included)"/>
        <s v="24x30 Road Case Insert - Pro Jet (Included)"/>
        <s v="24x30 Road Case Insert - Top Tray Insert (Included)"/>
        <s v="Co2 Hose 15FT Daisy Chain"/>
        <s v="Male Quick Connect to Male Quick Connect (Complementary)"/>
        <s v="Single CO2 Washer"/>
        <s v="Neutrik PowerCON True1 Cords - 15FT, Daisy Chain"/>
        <s v="Truss clamp for CC2 with 1/2-13 x 3/4” CS screw (Included)"/>
        <s v="Travel Case"/>
        <s v="Co2 Tank Attachment Tool (Complementary)"/>
        <s v="Micro Jet MKII Serial# 1123463"/>
        <s v="110v Valve with Solenoid fittings and Wires for Micro Jet MKII"/>
        <s v="3D printed clip to secure IDC Cable"/>
        <s v="Right Angle Adapter"/>
        <s v="Single CO2 Washer (Complementary)"/>
        <s v="Warranty / T&amp;M"/>
        <s v="Sticky Rubber Foot"/>
        <s v="12mm D135 Key Switch"/>
        <s v="Co2 Hose 35FT Standard Config - Upgrade from Included 15FT "/>
        <s v="Replacement Keys - The Button (Complimentary)"/>
        <s v="Replacement Keys - Shomaster &amp; ShoStarter (Complimentary)"/>
        <s v="1/2-13 x 3/4” CS screw (Complimentary)"/>
      </sharedItems>
    </cacheField>
    <cacheField name="1" numFmtId="0">
      <sharedItems containsSemiMixedTypes="0" containsNonDate="0" containsString="0" containsNumber="1" containsInteger="1" minValue="1" maxValue="100" count="16">
        <n v="1"/>
        <n v="2"/>
        <n v="6"/>
        <n v="12"/>
        <n v="5"/>
        <n v="8"/>
        <n v="10"/>
        <n v="4"/>
        <n v="26"/>
        <n v="15"/>
        <n v="3"/>
        <n v="9"/>
        <n v="24"/>
        <n v="100"/>
        <n v="50"/>
        <n v="2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23" createdVersion="7">
  <cacheSource type="worksheet">
    <worksheetSource ref="D4:H427" sheet="April 2024"/>
  </cacheSource>
  <cacheFields count="5">
    <cacheField name="CC-AC-CTAT" numFmtId="0">
      <sharedItems containsNonDate="0" count="120">
        <s v="CC-CTC-20"/>
        <s v="Shipping Charges"/>
        <s v="CC-AC-CTAT"/>
        <s v="CC-CH-08-STD"/>
        <s v="CC-MJMKII-3-110"/>
        <s v="CC-CH-25-STD"/>
        <s v="CC-NPTC-06-STD"/>
        <s v="CC-AC-OP"/>
        <s v="CC-CTC-50"/>
        <s v="CC-AC-CCL"/>
        <s v="CC-VV-KIT"/>
        <s v="CC-HCCMKII-08-NC"/>
        <s v="CC-F-COT"/>
        <s v="CC-F-FQCNPTF"/>
        <s v="CC-CH-35-STD"/>
        <s v="6-32 x 3/8” pan head screw BSS"/>
        <s v="Mocap 1/2” hole cap"/>
        <s v="#12 x 1/2&quot; High Low Thread Forming Screws / Phillips / Pan Head / Steel / Black Zinc"/>
        <s v="Compressible-Stem Push-In Bumpers"/>
        <s v="CC-SS-35"/>
        <s v="CC-AC-CTS"/>
        <s v="CC-WASH-10"/>
        <s v="CC-HCCMKII-15-NC"/>
        <s v="CC-HCCMKII-15-TC"/>
        <s v="CC-CH-XX-EXT"/>
        <s v="12v DC Solenoid Coil"/>
        <s v="CC-F-CGA-FQC"/>
        <s v="CC-F-HEA"/>
        <s v="1/4&quot; Co2 Valve"/>
        <s v="Solenoid Din Connector"/>
        <s v="CC-CH-XX-STD"/>
        <s v="CC-CH-15-EXT"/>
        <s v="CC-F-FMMQC-TEE"/>
        <s v="Shipping Fees"/>
        <s v="Repair"/>
        <s v="PTFE Teflon O-Ring -111"/>
        <s v="CC-AC-CGAJIC - 1"/>
        <s v="CC-CH-50-STD"/>
        <s v="6FJ-6SB"/>
        <s v="6MB-6SBK"/>
        <s v="Custom Hose Charge"/>
        <s v="CC-F-FQCBSPF"/>
        <s v="3/8” BSPP Bonding Washer Seal"/>
        <s v="Tax: CA Tax (8.75%)"/>
        <s v="CC-TB-35"/>
        <s v="CC-CH-15-STD"/>
        <s v="Micro Jet MKII Main PCB"/>
        <s v="Micro Jet MKII XLR PCB"/>
        <s v="CC-PROJ-5-110-JIC"/>
        <s v="CC-AC-LGK"/>
        <s v="5-pin DMX Passthrough Assembly"/>
        <s v="CC-AC-LA2"/>
        <s v="Large Key Lock Switch Assembly"/>
        <s v="CC-HCCMKII-08-TC"/>
        <s v="CC-F-MFDCGAJIC"/>
        <s v="CC-CH-35-EXT"/>
        <s v="CC-CH-03.5-MFD"/>
        <s v="3/8&quot; Male NPT x #6 JIC Male"/>
        <s v="CC-SM-5"/>
        <s v="PayPal Payment Processing Fee"/>
        <s v="CA Tax"/>
        <s v="CO2 Valve Replacement Seal"/>
        <s v="CC-PROJ-5-110"/>
        <s v="CC-CH-05-STD - 01"/>
        <s v="The Button Main PCB"/>
        <s v="The Button Key Assembly - 1"/>
        <s v="Discount"/>
        <s v="CC-CC2-110-JIC"/>
        <s v="CC-CCDINT1-16"/>
        <s v="3/8&quot; Female BSPP x Male 3/8&quot; JIC"/>
        <s v="CC-NPTC-25-DSY"/>
        <s v="CC-AC-CLAMP-CC2-KIT"/>
        <s v="CC-AC-4PM"/>
        <s v="CC-CH-02-MFD"/>
        <s v="CC-AC-ROR"/>
        <s v="CC-CH-05-MFD"/>
        <s v="CC-CH-15-DSY"/>
        <s v="CC-AC-ROR2"/>
        <s v=" CC-AC-CGAJIC-SET - 1"/>
        <s v="CC-CC2-110"/>
        <s v="CC-AC-CLAMP"/>
        <s v="CC-AC-BM-KIT"/>
        <s v="CC-CH-25-DSY"/>
        <s v="CC-CC-110"/>
        <s v="MagicFX Red Button"/>
        <s v="CC-CH-05-DSY"/>
        <s v="CC-F-MQC-TEE"/>
        <s v="NAC3MX-W-TOP (Male)"/>
        <s v="True1 Jumper - 15 Inches"/>
        <s v="3.5FT CO2 HOSE - 1/4&quot; ID (JIC #6 x JIC #6)"/>
        <s v="3/8&quot; JIC Nipple - Male x Male"/>
        <s v="CC-AC-SMK"/>
        <s v="Quad Jet Foot Assembly"/>
        <s v="3/8&quot; 8-32 flat head screw"/>
        <s v="CC-DIN-06"/>
        <s v="110v Solenoid Coil"/>
        <s v="Valve Bracket"/>
        <s v="CC-F-MQCBSPPF"/>
        <s v="1/4” NPT Male x 3/8” BSPP Male"/>
        <s v="CC-F-DCHA"/>
        <s v="CC-QJ-5-110"/>
        <s v="Credit Card Processing Fee"/>
        <s v="CC-AC-CLAMP-MJMKII-KIT"/>
        <s v="CC-AC-PMA"/>
        <s v="15FT CO2 HOSE - 3/8&quot; (BSPP x JIC #6)"/>
        <s v="2FT CO2 Hose - 1/4&quot; ID (JIC #6 x JIC #6)"/>
        <s v="CC-RC-2430"/>
        <s v="CC-RC-2430-LAI"/>
        <s v="CC-RC-2430-PJI"/>
        <s v="CC-RC-2430-TTI"/>
        <s v="CC-F-MQCMQC"/>
        <s v="CC-WASH-01"/>
        <s v="CC-NPTC-15-DSY"/>
        <s v="CC-AC-TC"/>
        <s v="Micro Jet 110v Valve Assembly"/>
        <s v="IDC Cable Clip"/>
        <s v="CC-AC-RAA"/>
        <s v="3M BUMPON SJ5012"/>
        <s v="Small Key Switch"/>
        <s v="1/2-13 x 3/4” CS screw"/>
      </sharedItems>
    </cacheField>
    <cacheField name="Co2 Tank Attachment Tool" numFmtId="0">
      <sharedItems containsNonDate="0" containsBlank="1" count="149">
        <s v="CO2 Tank Covers - 20lb Cover"/>
        <m/>
        <s v="Co2 Tank Attachment Tool"/>
        <s v="Co2 Hose 08FT Standard Config"/>
        <s v="Micro CO2 Jet MKII"/>
        <s v="Co2 Hose 25FT Standard Config"/>
        <s v="Neutrik PowerCON True1 Cords - 6FT, Standard"/>
        <s v="CO2 Tank Tool + Documentation"/>
        <s v="CO2 Tank Covers - 50lb Cover"/>
        <s v="CO2 Cylinder Link"/>
        <s v="Volt View - True1 voltage detection device"/>
        <s v="Handheld CO2 Cannon MKII"/>
        <s v=" CO2 Output Terminator"/>
        <s v="Female Quick Connect (3/8″ NPT Female)"/>
        <s v="Co2 Hose 35FT Standard Config"/>
        <s v="6-32 x 3/8” pan head screw BSS"/>
        <s v="Mocap 1/2” hole cap - pro jet foot cap"/>
        <s v="Pro Jet feet screws (thread forming)"/>
        <s v="Compressible-Stem Push-In Bumpers - pro jet foot"/>
        <s v="ShoStarter DMX Controller with 3 &amp; 5 Pin Connectors in Box"/>
        <s v="CO2 Tank Splitter"/>
        <s v="CO2 Washers (10 pack)"/>
        <s v="Handheld MKII in travel case with 15ft hose"/>
        <s v="1/4&quot; Co2 Hose - 26FT - FQC x FJIC6, Stainless crimp fittings"/>
        <s v="12v DC Solenoid Coil for 1/4&quot; CO2 Valve"/>
        <s v="CGA-320 Female to 1/4&quot; Female Quick Connect (316 Stainless, 1/4&quot; QD, Teflon Seals)"/>
        <s v="Hose Extension Adapter (1/4&quot; 316 stainless male QC x stainless #6 JIC)"/>
        <s v="1/4&quot; Co2 Valve"/>
        <s v="Solenoid Din Connector"/>
        <s v="Co2 Hose 29FT Length Standard Type B MQC"/>
        <s v="Co2 Hose 38FT Length Standard Type B MQC"/>
        <s v="Co2 Hose 41FT Standard Type B MQC"/>
        <s v="Co2 Hose 48FT Length Standard Type B MQC"/>
        <s v="Co2 Hose 54FT Length Standard Type B MQC"/>
        <s v="Co2 Hose 59FT Length Standard Type B MQC"/>
        <s v="Co2 Hose 68FT Length Standard Type B MQC"/>
        <s v="Co2 Hose 72FT Length Standard Type B MQC"/>
        <s v="Co2 Hose Custom Length Extension - 3FT"/>
        <s v="Co2 Hose 15FT Extension Config"/>
        <s v="Female x Male x Male Quick Connect Junction"/>
        <s v="CGA-320 Female to Female Quick Connect"/>
        <s v="Shipping Isaac's silly little mouse"/>
        <s v="Hose Extension Adapter"/>
        <s v="CGA sealing O-ring (Teflon)"/>
        <s v="CGA-320 to 3/8in JIC with groove for integrated O-ring"/>
        <s v="Co2 Hose 50FT Standard Config"/>
        <s v="#6 JIC Female Hose Crimp Fitting"/>
        <s v="3/8&quot; BSPP Hose Crimp Fitting"/>
        <s v="Fee for cutting and crimping custom hoses (Complementary)"/>
        <s v="ISO-A Female Quick Connect - BSPP Thread"/>
        <s v="3/8” BSPP Bonding Washer Seal (Complementary)"/>
        <s v="The Button - with both 3 &amp; 5 pin DMX ports"/>
        <s v="Co2 Hose 15FT Standard Config"/>
        <s v="Micro Jet MKII Main PCB"/>
        <s v="3 Pin DMX Input and Power Trigger PCB"/>
        <s v="Micro Jet MKII Main PCB - Warranty Replacement"/>
        <s v="Pro Jet - 5 Pin, 110v, JIC in/out"/>
        <s v="Neutrik PowerCON True1 Cords - 6FT, Standard (Included)"/>
        <s v="Replacement Keys - Shomaster &amp; ShoStarter (Complementary)"/>
        <s v="5-pin DMX Passthrough Assembly"/>
        <s v="ShoStarter w/ Update Firmware for 220 Pro Jets"/>
        <s v="LED Attachment for DMX Jet, DMX Jet MKII, and Pro Jet."/>
        <s v="Large 2 Position Key switch with TE connector"/>
        <s v="Warranty Repair of Handheld MKII Serial# 004887, customer also sent in #004857 - no issues"/>
        <s v="Co2 Hose 25FT Standard Config with ISO-B Female QC"/>
        <s v="Co2 Hose 75FT Standard Config"/>
        <s v="Co2 Tank Attachment Tool (Included)"/>
        <s v="Co2 Hose 15FT Standard Config (Included)"/>
        <s v="Handheld MKII in travel case with 8ft hose"/>
        <s v="Adapter for use with Manifold - to attach standard CGA-320 hose configuration"/>
        <s v="Co2 Hose 35FT Extension Config"/>
        <s v="3 1/2FT CO2 Hose (CGA-320 x Female JIC 3/8&quot;) For use with Manifold"/>
        <s v="3/8&quot; Male NPT x #6 JIC Male"/>
        <s v="ShoMaster Console"/>
        <s v="Teflon &amp; Brass seal for 1/4&quot; CO2 Valve"/>
        <s v="Pro Jet"/>
        <s v=" CO2 Output Terminator (Included)"/>
        <s v="CO2 Tank Tool + Documentation (Included)"/>
        <s v="Co2 Hose 35FT Standard Config (Upgrade from 15FT)"/>
        <s v="Co2 Hose 05FT Standard Config"/>
        <s v="Warranty Repair of Buttons #31247, 31796, 31679"/>
        <s v="The Button Main PCB"/>
        <s v="Key Switch with Wires and JST Connector for The Button"/>
        <s v="Cryo Clamp II, 110v, Weatherproof CO2 Jet with JIC Inlet"/>
        <s v="Top entry DIN cable with True1 connector, 5M / 16.5FT"/>
        <s v="Used to adapt jets to JIC"/>
        <s v="Neutrik PowerCON True1 Cords - 25FT, Daisy Chain"/>
        <s v="Truss clamp for CC2 with 1/2-13 x 3/4” CS screw"/>
        <s v="75FT CO2 Hose STD (Upgrade from Included 15FT STD)"/>
        <s v="4 Port Co2 Manifold - 4x JIC 3/8&quot; Inlets, 1x JIC 3/8&quot; Outlet with Truss Bracket"/>
        <s v="2FT CO2 Hose (CGA-320 x Female JIC 3/8&quot;) For use with Manifold"/>
        <s v="Replacement O-Ring"/>
        <s v="5FT CO2  Extension Hose (CGA-320 Female x CGA-320 Male) "/>
        <s v="Co2 Hose 15FT Daisy Chain (Included)"/>
        <s v="Replacement O-Ring - 2023 Quick Connects. EPDM"/>
        <s v="CO2 Washers (10 pack) (Complementary)"/>
        <s v="CGA-320 to JIC adapter with nut and integrated groove for o-ring"/>
        <s v="Cryo Clamp II, 110v, Weatherproof CO2 Jet"/>
        <s v="Truss Clamp"/>
        <s v="Ball Mount Assembly for Cryo Clamp with 4x 10-32 x 3/8&quot; socket head screws"/>
        <s v="Co2 Hose 25FT Daisy Chain"/>
        <s v="Cryo Clamp - 110 Volt"/>
        <s v="True1 In / Out momentary power controller"/>
        <s v="Co2 Hose 05FT Daisy Chain"/>
        <s v="3 Way Male Quick Connect Junction"/>
        <s v="TRUE1 CABLE CONNECTOR (MALE)"/>
        <s v="Neutrik True1 Male x True1 Female jumper for LED Attachment"/>
        <s v="Special order CO2 Hose (Complementary)"/>
        <s v="JIC Union Nipple - 3/8&quot; Male (Complementary)"/>
        <s v="Replacement Keys - The Button (Complementary)"/>
        <s v="Quad Jet Foot Assembly"/>
        <s v="Large Rubber Foot Binder Screw"/>
        <s v="DIN cable with NEMA 5-15, 6FT"/>
        <s v="110v Solenoid Coil"/>
        <s v="Bracket used for attaching valve to clamp - INCLUDE ANGLE BRACKET"/>
        <s v="3/8&quot; Male Quick Connect Fitting BSPP thread female"/>
        <s v="1/4” NPT Male x 3/8” BSPP Male"/>
        <s v="3/8” BSPP Bonding Washer Seal"/>
        <s v="Daisy Chain Adapter"/>
        <s v="Quad Jet 110v with 3 Pin DMX With Barrels"/>
        <s v="3% Fee to Cover Credit Card Processing Charges"/>
        <s v="Replacement Keys - The Button"/>
        <s v="Co2 Hose 25FT Standard Config (Upgrade from Included 15FT)"/>
        <s v="Truss Clamp for Micro Jet MKII w/ Hardware"/>
        <s v="1/4&quot; TS Power mode Adapter"/>
        <s v="15FT CO2 HOSE - FEMALE JIC #6 x FEMALE JIC #6"/>
        <s v="24x30 Road Case"/>
        <s v="24x30 Road Case Insert - LED Attachment (Included)"/>
        <s v="24x30 Road Case Insert - Pro Jet (Included)"/>
        <s v="24x30 Road Case Insert - Top Tray Insert (Included)"/>
        <s v="Co2 Hose 15FT Daisy Chain"/>
        <s v="Male Quick Connect to Male Quick Connect (Complementary)"/>
        <s v="Single CO2 Washer"/>
        <s v="Neutrik PowerCON True1 Cords - 15FT, Daisy Chain"/>
        <s v="Truss clamp for CC2 with 1/2-13 x 3/4” CS screw (Included)"/>
        <s v="Travel Case"/>
        <s v="Co2 Tank Attachment Tool (Complementary)"/>
        <s v="Micro Jet MKII Serial# 1123463"/>
        <s v="110v Valve with Solenoid fittings and Wires for Micro Jet MKII"/>
        <s v="3D printed clip to secure IDC Cable"/>
        <s v="Right Angle Adapter"/>
        <s v="Single CO2 Washer (Complementary)"/>
        <s v="Warranty / T&amp;M"/>
        <s v="Sticky Rubber Foot"/>
        <s v="12mm D135 Key Switch"/>
        <s v="Co2 Hose 35FT Standard Config - Upgrade from Included 15FT "/>
        <s v="Replacement Keys - The Button (Complimentary)"/>
        <s v="Replacement Keys - Shomaster &amp; ShoStarter (Complimentary)"/>
        <s v="1/2-13 x 3/4” CS screw (Complimentary)"/>
      </sharedItems>
    </cacheField>
    <cacheField name="1" numFmtId="0">
      <sharedItems containsSemiMixedTypes="0" containsNonDate="0" containsString="0" containsNumber="1" containsInteger="1" minValue="1" maxValue="100" count="16">
        <n v="1"/>
        <n v="2"/>
        <n v="6"/>
        <n v="12"/>
        <n v="5"/>
        <n v="8"/>
        <n v="10"/>
        <n v="4"/>
        <n v="26"/>
        <n v="15"/>
        <n v="3"/>
        <n v="9"/>
        <n v="24"/>
        <n v="100"/>
        <n v="50"/>
        <n v="20"/>
      </sharedItems>
    </cacheField>
    <cacheField name=" &#9;9.99  " numFmtId="0">
      <sharedItems containsSemiMixedTypes="0" containsNonDate="0" containsString="0" containsNumber="1" minValue="-1215.52" maxValue="3199.99" count="123">
        <n v="37.4925"/>
        <n v="14.5"/>
        <n v="9.99"/>
        <n v="109.99"/>
        <n v="849.99"/>
        <n v="50"/>
        <n v="0"/>
        <n v="59.99"/>
        <n v="119.99"/>
        <n v="79.98999999999999"/>
        <n v="349.99"/>
        <n v="199.99"/>
        <n v="19.99"/>
        <n v="24.99"/>
        <n v="249.99"/>
        <n v="49.99"/>
        <n v="899.9924999999999"/>
        <n v="399.99"/>
        <n v="599.99"/>
        <n v="187.4925"/>
        <n v="22.4925"/>
        <n v="19.6"/>
        <n v="374.99"/>
        <n v="289.99"/>
        <n v="140.49"/>
        <n v="229.99"/>
        <n v="264.99"/>
        <n v="269.99"/>
        <n v="299.99"/>
        <n v="329.99"/>
        <n v="359.99"/>
        <n v="409.99"/>
        <n v="429.99"/>
        <n v="71.24250000000001"/>
        <n v="112.4925"/>
        <n v="59.9925"/>
        <n v="48.7425"/>
        <n v="58.75"/>
        <n v="61.8"/>
        <n v="53.25"/>
        <n v="7.5"/>
        <n v="4.81"/>
        <n v="149.99"/>
        <n v="20"/>
        <n v="10"/>
        <n v="45.6"/>
        <n v="900"/>
        <n v="41.25"/>
        <n v="32.4"/>
        <n v="29.99"/>
        <n v="599.9924999999999"/>
        <n v="55.32"/>
        <n v="41.5"/>
        <n v="449.99"/>
        <n v="549.99"/>
        <n v="1199.99"/>
        <n v="98.5"/>
        <n v="14.4"/>
        <n v="52.4925"/>
        <n v="2.86956525"/>
        <n v="15"/>
        <n v="2399.9925"/>
        <n v="143.9994"/>
        <n v="81.59999999999999"/>
        <n v="10.5"/>
        <n v="13.5"/>
        <n v="1299.99"/>
        <n v="100"/>
        <n v="391.42"/>
        <n v="99.98999999999999"/>
        <n v="-25"/>
        <n v="11.5"/>
        <n v="499.99"/>
        <n v="15.217391"/>
        <n v="-1215.52"/>
        <n v="325"/>
        <n v="353.64"/>
        <n v="134.9925"/>
        <n v="14.9925"/>
        <n v="1.4925"/>
        <n v="7.4925"/>
        <n v="56.2425"/>
        <n v="299.9925"/>
        <n v="974.9924999999999"/>
        <n v="17.2425"/>
        <n v="224.9925"/>
        <n v="45.64"/>
        <n v="41.15"/>
        <n v="14.35"/>
        <n v="216.8"/>
        <n v="5"/>
        <n v="69.98999999999999"/>
        <n v="1.99"/>
        <n v="14.56"/>
        <n v="1874.9925"/>
        <n v="112.4994"/>
        <n v="182.57"/>
        <n v="44.9925"/>
        <n v="5.6175"/>
        <n v="66.95"/>
        <n v="176.23"/>
        <n v="5.99"/>
        <n v="574.99"/>
        <n v="130"/>
        <n v="49.5"/>
        <n v="1599.99"/>
        <n v="749.99"/>
        <n v="186.4"/>
        <n v="74.98999999999999"/>
        <n v="3199.99"/>
        <n v="844.4299999999999"/>
        <n v="44.45"/>
        <n v="394.43"/>
        <n v="54.43"/>
        <n v="44.44"/>
        <n v="219.99"/>
        <n v="55"/>
        <n v="120"/>
        <n v="55.68"/>
        <n v="15.5"/>
        <n v="1199.9925"/>
        <n v="89.99250000000001"/>
        <n v="49.62"/>
      </sharedItems>
    </cacheField>
    <cacheField name=" &#9;4,763.00  " numFmtId="0">
      <sharedItems containsSemiMixedTypes="0" containsNonDate="0" containsString="0" containsNumber="1" minValue="-1215.52" maxValue="7199.955" count="174">
        <n v="37.4925"/>
        <n v="14.5"/>
        <n v="9.99"/>
        <n v="109.99"/>
        <n v="849.99"/>
        <n v="50"/>
        <n v="0"/>
        <n v="59.99"/>
        <n v="119.99"/>
        <n v="159.98"/>
        <n v="699.98"/>
        <n v="199.99"/>
        <n v="119.94"/>
        <n v="299.88"/>
        <n v="249.99"/>
        <n v="49.95"/>
        <n v="99.98"/>
        <n v="899.9924999999999"/>
        <n v="49.99"/>
        <n v="399.99"/>
        <n v="599.99"/>
        <n v="479.96"/>
        <n v="374.985"/>
        <n v="44.985"/>
        <n v="19.6"/>
        <n v="749.98"/>
        <n v="119.98"/>
        <n v="579.98"/>
        <n v="280.98"/>
        <n v="499.98"/>
        <n v="229.99"/>
        <n v="264.99"/>
        <n v="269.99"/>
        <n v="299.99"/>
        <n v="329.99"/>
        <n v="359.99"/>
        <n v="409.99"/>
        <n v="429.99"/>
        <n v="1852.305"/>
        <n v="1124.925"/>
        <n v="719.91"/>
        <n v="487.425"/>
        <n v="58.75"/>
        <n v="219.98"/>
        <n v="19.98"/>
        <n v="599.9"/>
        <n v="39.98"/>
        <n v="349.99"/>
        <n v="599.95"/>
        <n v="61.8"/>
        <n v="599.97"/>
        <n v="53.25"/>
        <n v="7.5"/>
        <n v="19.99"/>
        <n v="4.81"/>
        <n v="399.95"/>
        <n v="149.99"/>
        <n v="80"/>
        <n v="40"/>
        <n v="45.6"/>
        <n v="3600"/>
        <n v="41.25"/>
        <n v="32.4"/>
        <n v="119.96"/>
        <n v="239.98"/>
        <n v="29.99"/>
        <n v="1199.985"/>
        <n v="55.32"/>
        <n v="60"/>
        <n v="41.5"/>
        <n v="1349.97"/>
        <n v="549.99"/>
        <n v="1699.98"/>
        <n v="1199.99"/>
        <n v="359.94"/>
        <n v="199.96"/>
        <n v="98.5"/>
        <n v="112.4775"/>
        <n v="14.4"/>
        <n v="262.4625"/>
        <n v="14.34782625"/>
        <n v="15"/>
        <n v="2399.9925"/>
        <n v="143.9994"/>
        <n v="81.59999999999999"/>
        <n v="119.985"/>
        <n v="10.5"/>
        <n v="13.5"/>
        <n v="2599.98"/>
        <n v="200"/>
        <n v="391.42"/>
        <n v="199.98"/>
        <n v="-25"/>
        <n v="11.5"/>
        <n v="1079.91"/>
        <n v="499.99"/>
        <n v="45.652173"/>
        <n v="479.92"/>
        <n v="99.98999999999999"/>
        <n v="89.97"/>
        <n v="-1215.52"/>
        <n v="5199.96"/>
        <n v="1300"/>
        <n v="353.64"/>
        <n v="269.985"/>
        <n v="389.94"/>
        <n v="44.9775"/>
        <n v="11.94"/>
        <n v="29.97"/>
        <n v="59.94"/>
        <n v="56.2425"/>
        <n v="299.9925"/>
        <n v="1949.985"/>
        <n v="17.91"/>
        <n v="14.925"/>
        <n v="17.2425"/>
        <n v="449.985"/>
        <n v="45.64"/>
        <n v="2399.97"/>
        <n v="41.15"/>
        <n v="14.35"/>
        <n v="999.98"/>
        <n v="59.98"/>
        <n v="299.98"/>
        <n v="899.98"/>
        <n v="79.98999999999999"/>
        <n v="374.99"/>
        <n v="4799.985"/>
        <n v="599.985"/>
        <n v="216.8"/>
        <n v="120"/>
        <n v="24.99"/>
        <n v="69.98999999999999"/>
        <n v="3.98"/>
        <n v="1.99"/>
        <n v="1999.95"/>
        <n v="14.56"/>
        <n v="3749.985"/>
        <n v="112.4994"/>
        <n v="182.57"/>
        <n v="89.985"/>
        <n v="299.9625"/>
        <n v="44.94"/>
        <n v="66.95"/>
        <n v="100"/>
        <n v="176.23"/>
        <n v="11.98"/>
        <n v="574.99"/>
        <n v="594"/>
        <n v="1599.99"/>
        <n v="2999.96"/>
        <n v="186.4"/>
        <n v="149.98"/>
        <n v="1199.98"/>
        <n v="3199.99"/>
        <n v="179.91"/>
        <n v="1688.86"/>
        <n v="88.90000000000001"/>
        <n v="394.43"/>
        <n v="108.86"/>
        <n v="88.88"/>
        <n v="219.99"/>
        <n v="55"/>
        <n v="55.68"/>
        <n v="15.5"/>
        <n v="959.92"/>
        <n v="1099.98"/>
        <n v="7199.955"/>
        <n v="3899.97"/>
        <n v="299.96"/>
        <n v="449.85"/>
        <n v="239.96"/>
        <n v="599.9924999999999"/>
        <n v="49.6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31" createdVersion="7">
  <cacheSource type="worksheet">
    <worksheetSource ref="A2:H343" sheet="March 2024"/>
  </cacheSource>
  <cacheFields count="8">
    <cacheField name="Sales Order" numFmtId="0">
      <sharedItems containsNonDate="0" count="136">
        <s v="4582"/>
        <s v="4581"/>
        <s v="4580"/>
        <s v="4577"/>
        <s v="4576"/>
        <s v="4579"/>
        <s v="4578"/>
        <s v="4575"/>
        <s v="4572"/>
        <s v="4571"/>
        <s v="4570"/>
        <s v="4569"/>
        <s v="4568"/>
        <s v="4573"/>
        <s v="4574"/>
        <s v="4567"/>
        <s v="4566"/>
        <s v="4565"/>
        <s v="4564"/>
        <s v="4561"/>
        <s v="4560"/>
        <s v="4559"/>
        <s v="4563"/>
        <s v="4556"/>
        <s v="4555"/>
        <s v="4554"/>
        <s v="4552"/>
        <s v="4551"/>
        <s v="4550"/>
        <s v="4553"/>
        <s v="4557"/>
        <s v="4558"/>
        <s v="4549"/>
        <s v="4548"/>
        <s v="4546"/>
        <s v="4545"/>
        <s v="4547"/>
        <s v="4543"/>
        <s v="4539"/>
        <s v="4538"/>
        <s v="4542"/>
        <s v="4541"/>
        <s v="4544"/>
        <s v="4540"/>
        <s v="4536"/>
        <s v="4535"/>
        <s v="4537"/>
        <s v="4534"/>
        <s v="4531"/>
        <s v="4530"/>
        <s v="4529"/>
        <s v="4528"/>
        <s v="4527"/>
        <s v="4526"/>
        <s v="4525"/>
        <s v="4533"/>
        <s v="4532"/>
        <s v="4524"/>
        <s v="4523"/>
        <s v="4522"/>
        <s v="4521"/>
        <s v="4520"/>
        <s v="4519"/>
        <s v="4518"/>
        <s v="4517"/>
        <s v="4516"/>
        <s v="4514"/>
        <s v="4515"/>
        <s v="4513"/>
        <s v="4512"/>
        <s v="4510"/>
        <s v="4509"/>
        <s v="4508"/>
        <s v="4511"/>
        <s v="4506"/>
        <s v="4505"/>
        <s v="4507"/>
        <s v="4503"/>
        <s v="4502"/>
        <s v="4501"/>
        <s v="4500"/>
        <s v="4499"/>
        <s v="4498"/>
        <s v="4497"/>
        <s v="4504"/>
        <s v="4496"/>
        <s v="4495"/>
        <s v="4494"/>
        <s v="4493"/>
        <s v="4492"/>
        <s v="4491"/>
        <s v="4490"/>
        <s v="4489"/>
        <s v="4488"/>
        <s v="4487"/>
        <s v="4486"/>
        <s v="4485"/>
        <s v="4482"/>
        <s v="4480"/>
        <s v="4479"/>
        <s v="4484"/>
        <s v="4483"/>
        <s v="4481"/>
        <s v="4476"/>
        <s v="4477"/>
        <s v="4478"/>
        <s v="4474"/>
        <s v="4472"/>
        <s v="4471"/>
        <s v="4470"/>
        <s v="4469"/>
        <s v="4468"/>
        <s v="4466"/>
        <s v="4465"/>
        <s v="4467"/>
        <s v="4473"/>
        <s v="4475"/>
        <s v="4464"/>
        <s v="4461"/>
        <s v="4460"/>
        <s v="4463"/>
        <s v="4459"/>
        <s v="4462"/>
        <s v="4458"/>
        <s v="4456"/>
        <s v="4455"/>
        <s v="4457"/>
        <s v="4454"/>
        <s v="4453"/>
        <s v="4452"/>
        <s v="4451"/>
        <s v="4450"/>
        <s v="4449"/>
        <s v="4448"/>
        <s v="4447"/>
        <s v="4446"/>
      </sharedItems>
    </cacheField>
    <cacheField name="Customer" numFmtId="0">
      <sharedItems containsNonDate="0" count="123">
        <s v="David R. Wistocki"/>
        <s v="Jamil Mcinnis"/>
        <s v="Martin Arredondo"/>
        <s v="Brendan White"/>
        <s v="Michael Tobian"/>
        <s v="Gear Club Direct "/>
        <s v="Rohan Malhotra"/>
        <s v="Mark Dixon"/>
        <s v="casey kanady"/>
        <s v="Steven Dotson"/>
        <s v="Rich Ward"/>
        <s v="Cesar Martinez"/>
        <s v="Blake Robling"/>
        <s v="4WALL ENTERTAINMENT, INC."/>
        <s v="Zack Mann"/>
        <s v="Joseph Chiarelli"/>
        <s v="SFX Solutions"/>
        <s v="Koty Schwerin"/>
        <s v="Kwadwo Korang"/>
        <s v="Brett Young"/>
        <s v="Special FX Rentals"/>
        <s v="Kyriakos Zarkadas"/>
        <s v="Donald Van Slyke"/>
        <s v="Israel Goldenberg"/>
        <s v="Eliot Pirone"/>
        <s v="David Miller"/>
        <s v="Chirag Gandhi"/>
        <s v="Max Poolman"/>
        <s v="Brown Note Productions"/>
        <s v="Alex Gomez"/>
        <s v="Beth Cummings"/>
        <s v="Jeremy Kinney"/>
        <s v="Daniel Rivera"/>
        <s v="Cori Herbst"/>
        <s v="Kaylee Presnell"/>
        <s v="jaime olescyski"/>
        <s v="Aleida Perez"/>
        <s v=" El Monte Union High School District - Arroyo High School"/>
        <s v="Pyrotek FX"/>
        <s v="Promedsa"/>
        <s v="John Pitone"/>
        <s v="Giovanni Navarrete"/>
        <s v="LRAV"/>
        <s v="Jorge Ayala"/>
        <s v="Hector Perez"/>
        <s v="Jake Warner"/>
        <s v="Shana McCullough Downing"/>
        <s v="KATHLEEN FRANK"/>
        <s v="Carleen Salmon"/>
        <s v="Robert Hines"/>
        <s v="Christian DeArmitt"/>
        <s v="Flutter Fetti"/>
        <s v="Manuel Diaz"/>
        <s v="Nicholas Orpilla"/>
        <s v="Timothy Varacchi"/>
        <s v="Adalberto Reyes"/>
        <s v="Darcy Hunter"/>
        <s v="Charlton Combs"/>
        <s v="Debra Liebowitz"/>
        <s v="Jonathan Rojas"/>
        <s v="Greg Dorman"/>
        <s v="Image Engineering"/>
        <s v="The Tribe Utah"/>
        <s v="Gagandeep Singh"/>
        <s v="Jason Wolf"/>
        <s v="Gregory Papageorge"/>
        <s v="Keaton Lusk"/>
        <s v="Light FX Pros"/>
        <s v="Matt Luckett"/>
        <s v="Kimario McFadden"/>
        <s v="Juan Luna"/>
        <s v="Darrien Jerman"/>
        <s v="Steve Goldstein"/>
        <s v="Brett Wilson"/>
        <s v="Russell Yoskowitz"/>
        <s v="Rico Guerra"/>
        <s v="Amped Entertainment"/>
        <s v="Ramesh Arora"/>
        <s v="Aaron Ingersoll"/>
        <s v="Brandon Anderson"/>
        <s v="Cole Young"/>
        <s v="Josh Johnson"/>
        <s v="Angus Davis"/>
        <s v="Jack Murphy"/>
        <s v="Matthew Hazelgrove"/>
        <s v="Callen Zumach"/>
        <s v="Jeff Gaufin Cognitive FX"/>
        <s v="Jimmy Rains"/>
        <s v="john jimenez"/>
        <s v="Fabian Powell-harris"/>
        <s v="Shadow Mountain Productions"/>
        <s v="PROVIDE CO.,LTD."/>
        <s v="Juan Reyes"/>
        <s v="FFP FX"/>
        <s v="AFX Pro / Jackie Johnson"/>
        <s v="Evelyn Brown"/>
        <s v="Collins Atuquayfio"/>
        <s v="Charlie Christenson"/>
        <s v="John Wagner"/>
        <s v="Bob Hickman"/>
        <s v="Jason Thayil"/>
        <s v="Jorge Pulido Ayala"/>
        <s v="Jeffrey Giancaspro"/>
        <s v="Gurpreet Chana"/>
        <s v="Starsound Audio Inc"/>
        <s v="Steven Retas"/>
        <s v="Nick Battaglia"/>
        <s v="Michael Green"/>
        <s v="Rick Moyer"/>
        <s v="Eric Norris"/>
        <s v="Jorge Gonzalez"/>
        <s v="Sean Weaver"/>
        <s v="Tristan Rakhan"/>
        <s v="Edward Prato"/>
        <s v="philippe Maurais"/>
        <s v="Vishav Singh"/>
        <s v="Andrew Kinzel"/>
        <s v="Lorenzo Gonzales"/>
        <s v="noe garcia lopez"/>
        <s v="Gennesis Orellana"/>
        <s v="Stephen Cannella"/>
        <s v="Adam Shipman"/>
        <s v="Dianne Morgan"/>
      </sharedItems>
    </cacheField>
    <cacheField name="Ordered Date" numFmtId="0">
      <sharedItems containsSemiMixedTypes="0" containsNonDate="0" containsDate="1" containsString="0" minDate="2024-03-01T15:33:11" maxDate="2024-03-31T17:34:30" count="115">
        <d v="2024-03-31T17:34:30"/>
        <d v="2024-03-30T19:14:28"/>
        <d v="2024-03-29T21:49:39"/>
        <d v="2024-03-29T17:07:25"/>
        <d v="2024-03-29T04:03:53"/>
        <d v="2024-03-29T00:00:00"/>
        <d v="2024-03-28T23:18:49"/>
        <d v="2024-03-28T21:49:35"/>
        <d v="2024-03-28T21:00:36"/>
        <d v="2024-03-28T17:31:50"/>
        <d v="2024-03-28T15:40:01"/>
        <d v="2024-03-28T12:31:17"/>
        <d v="2024-03-28T00:00:00"/>
        <d v="2024-03-27T22:30:48"/>
        <d v="2024-03-27T21:35:01"/>
        <d v="2024-03-27T00:00:00"/>
        <d v="2024-03-26T17:24:18"/>
        <d v="2024-03-26T13:53:54"/>
        <d v="2024-03-26T10:47:53"/>
        <d v="2024-03-26T00:00:00"/>
        <d v="2024-03-25T21:16:26"/>
        <d v="2024-03-25T20:48:23"/>
        <d v="2024-03-25T17:39:27"/>
        <d v="2024-03-25T15:40:50"/>
        <d v="2024-03-25T13:03:49"/>
        <d v="2024-03-25T00:13:51"/>
        <d v="2024-03-25T00:00:00"/>
        <d v="2024-03-23T23:48:26"/>
        <d v="2024-03-23T18:05:02"/>
        <d v="2024-03-22T17:46:58"/>
        <d v="2024-03-22T00:00:00"/>
        <d v="2024-03-21T17:38:57"/>
        <d v="2024-03-21T05:48:22"/>
        <d v="2024-03-21T00:25:49"/>
        <d v="2024-03-21T00:00:00"/>
        <d v="2024-03-20T19:31:08"/>
        <d v="2024-03-20T00:00:00"/>
        <d v="2024-03-19T19:49:45"/>
        <d v="2024-03-19T19:10:28"/>
        <d v="2024-03-19T14:44:33"/>
        <d v="2024-03-19T13:39:35"/>
        <d v="2024-03-19T03:44:51"/>
        <d v="2024-03-19T02:15:48"/>
        <d v="2024-03-19T01:49:15"/>
        <d v="2024-03-19T00:00:00"/>
        <d v="2024-03-18T20:44:33"/>
        <d v="2024-03-18T06:50:03"/>
        <d v="2024-03-18T05:49:02"/>
        <d v="2024-03-18T01:44:17"/>
        <d v="2024-03-17T02:44:52"/>
        <d v="2024-03-16T02:26:36"/>
        <d v="2024-03-15T20:11:22"/>
        <d v="2024-03-15T19:59:38"/>
        <d v="2024-03-15T19:12:32"/>
        <d v="2024-03-15T15:22:22"/>
        <d v="2024-03-15T00:00:00"/>
        <d v="2024-03-14T23:22:18"/>
        <d v="2024-03-14T16:18:48"/>
        <d v="2024-03-14T16:15:00"/>
        <d v="2024-03-14T14:16:06"/>
        <d v="2024-03-14T00:00:00"/>
        <d v="2024-03-13T17:53:20"/>
        <d v="2024-03-13T05:24:36"/>
        <d v="2024-03-13T00:00:00"/>
        <d v="2024-03-12T21:09:05"/>
        <d v="2024-03-12T19:55:58"/>
        <d v="2024-03-12T19:28:40"/>
        <d v="2024-03-12T09:33:19"/>
        <d v="2024-03-12T03:22:54"/>
        <d v="2024-03-12T03:13:42"/>
        <d v="2024-03-12T02:08:45"/>
        <d v="2024-03-12T00:00:00"/>
        <d v="2024-03-11T21:18:42"/>
        <d v="2024-03-11T21:06:11"/>
        <d v="2024-03-11T15:19:50"/>
        <d v="2024-03-11T02:38:49"/>
        <d v="2024-03-11T00:03:48"/>
        <d v="2024-03-10T15:11:15"/>
        <d v="2024-03-10T01:48:26"/>
        <d v="2024-03-10T00:11:07"/>
        <d v="2024-03-09T18:50:01"/>
        <d v="2024-03-09T06:42:33"/>
        <d v="2024-03-08T23:20:52"/>
        <d v="2024-03-08T21:22:40"/>
        <d v="2024-03-08T12:34:42"/>
        <d v="2024-03-08T00:22:58"/>
        <d v="2024-03-08T00:15:59"/>
        <d v="2024-03-08T00:00:00"/>
        <d v="2024-03-07T13:41:41"/>
        <d v="2024-03-07T00:00:00"/>
        <d v="2024-03-06T23:02:22"/>
        <d v="2024-03-06T22:12:32"/>
        <d v="2024-03-06T21:30:25"/>
        <d v="2024-03-06T20:25:43"/>
        <d v="2024-03-06T18:00:39"/>
        <d v="2024-03-06T17:00:47"/>
        <d v="2024-03-06T04:46:06"/>
        <d v="2024-03-06T02:33:42"/>
        <d v="2024-03-06T00:00:00"/>
        <d v="2024-03-05T04:41:07"/>
        <d v="2024-03-05T00:56:27"/>
        <d v="2024-03-05T00:00:00"/>
        <d v="2024-03-04T23:36:13"/>
        <d v="2024-03-04T15:11:35"/>
        <d v="2024-03-04T01:40:22"/>
        <d v="2024-03-04T00:00:00"/>
        <d v="2024-03-02T23:19:28"/>
        <d v="2024-03-02T19:49:49"/>
        <d v="2024-03-02T18:48:39"/>
        <d v="2024-03-02T17:38:31"/>
        <d v="2024-03-01T19:29:08"/>
        <d v="2024-03-01T18:56:51"/>
        <d v="2024-03-01T17:16:20"/>
        <d v="2024-03-01T15:45:14"/>
        <d v="2024-03-01T15:33:11"/>
      </sharedItems>
      <fieldGroup base="2">
        <rangePr startDate="2024-03-01T15:33:11" endDate="2024-03-31T17:34:30" groupBy="days"/>
        <groupItems count="368">
          <s v="&lt;03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3/31/2024"/>
        </groupItems>
      </fieldGroup>
    </cacheField>
    <cacheField name="Line Item Name" numFmtId="0">
      <sharedItems containsNonDate="0" count="95">
        <s v="CC-AC-CTAT"/>
        <s v="CC-WASH-10"/>
        <s v="CC-HCCMKII-08-TC"/>
        <s v="CC-AC-CCL"/>
        <s v="CC-TB-35"/>
        <s v="CC-AC-ROR2"/>
        <s v="CC-CH-25-STD"/>
        <s v="CC-AC-OP"/>
        <s v="CC-CH-05-EXT"/>
        <s v="Shipping Fees"/>
        <s v="CC-CH-50-STD"/>
        <s v="Shipping Charges"/>
        <s v="CC-HCCMKII-15-TC"/>
        <s v="CC-CTC-20"/>
        <s v="CC-PROJ-5-110"/>
        <s v="CC-NPTC-06-STD"/>
        <s v="CC-F-COT"/>
        <s v="CC-CH-15-STD"/>
        <s v="CC-CH-15-DSY"/>
        <s v="CC-HCCMKII-08-NC"/>
        <s v="CC-CTC-50"/>
        <s v="Fee"/>
        <s v="Repair"/>
        <s v="1/2-13 x 3/4” CS screw"/>
        <s v="1/4-20 x 1/2&quot; SEMS Screws / Internal Tooth Washer / PH S Black"/>
        <s v="Shoulder washers"/>
        <s v="3/4 OD X 1/4 ID X 1/8 Thickness Neoprene Rubber Washers"/>
        <s v="CC-CC2-110"/>
        <s v="Cryo Clamp Valve Assembly"/>
        <s v="CC-CH-10-STD"/>
        <s v="Custom Hose Charge"/>
        <s v="CC-CH-03.5-MFD"/>
        <s v="CC-AC-4PM"/>
        <s v=" CC-AC-CGAJIC-SET - 1"/>
        <s v="CC-AC-RAA"/>
        <s v="CC-VV-KIT"/>
        <s v="Solenoid Din Connector"/>
        <s v="CO2 Valve Replacement Seal"/>
        <s v="CC-AC-ROR"/>
        <s v="E-Stop Harness 3&quot; / 76mm Assembly with 3 Pin TE Connector"/>
        <s v="Emergency Stop Button"/>
        <s v="CC-CH-15-EXT"/>
        <s v="CC-SS-35"/>
        <s v="CC-AC-CTS"/>
        <s v="5-pin DMX Passthrough Assembly"/>
        <s v="NAC3PX-TOP"/>
        <s v="Pro Jet 110v Valve Assembly"/>
        <s v="8P 4x2 IDC 2.54mm 4&quot; Cable"/>
        <s v="CC-CH-XX-EXT"/>
        <s v="CC-F-DCHA"/>
        <s v="CC-CH-25-EXT"/>
        <s v="CC-AC-LA2"/>
        <s v="CC-AC-CLAMP-MJMKII-KIT"/>
        <s v="CC-MJMKII-3-110"/>
        <s v="CC-AC-PMA"/>
        <s v="Tax: CA Tax (10.25%)"/>
        <s v="Micro Jet MKII Main PCB"/>
        <s v="CC-CH-50-EXT"/>
        <s v="CC-AC-CLAMP"/>
        <s v="CC-AC-4PM-QC"/>
        <s v="CC-CH-05-MFD"/>
        <s v="CC-F-CGA-FQC"/>
        <s v="CC-F-HEA"/>
        <s v="PayPal Processing Fee"/>
        <s v="CC-WASH-INT-01"/>
        <s v="CC-CH-05-STD - 01"/>
        <s v="Discount"/>
        <s v="CC-CH-08-DSY"/>
        <s v="CC-F-MFDCGAJIC"/>
        <s v="Load Handle 90mm - 1"/>
        <s v="Small Key Lock Tool"/>
        <s v="The Button Key Assembly - 1"/>
        <s v="CC-HCCMKII-15-NC"/>
        <s v="CC-CH-08-STD"/>
        <s v="Obsidian RP2 Relay Pack"/>
        <s v="Tax: CA Tax (8.75%)"/>
        <s v="CC-NPTC-25-DSY"/>
        <s v="CC-CH-08-EXT"/>
        <s v="6in Barrel Assembly Powdercoated"/>
        <s v="CC-SM-5"/>
        <s v="CC-AC-BM-KIT"/>
        <s v="CC-NPTC-15-DSY"/>
        <s v="The Button Encoder Assembly"/>
        <s v="The Button Encoder Knob"/>
        <s v="CC-QJ-5-110"/>
        <s v="CC-QJ-5-110-WP"/>
        <s v="CC-RC-2430"/>
        <s v="CC-RC-2430-PJI"/>
        <s v="CC-RC-2430-TTI"/>
        <s v="Emergency Stop Button Assembly"/>
        <s v="Bulk Discount"/>
        <s v="The Button LED PCB"/>
        <s v="The Button Packaging Insert - Top"/>
        <s v="The. Button Packaging Insert -  Bottom"/>
        <s v="CC-CH-35-EXT"/>
      </sharedItems>
    </cacheField>
    <cacheField name="Line Item Description" numFmtId="0">
      <sharedItems containsNonDate="0" containsBlank="1" count="100">
        <s v="Co2 Tank Attachment Tool"/>
        <s v="CO2 Washers (10 pack)"/>
        <s v="Handheld MKII in travel case with 8ft hose"/>
        <s v="CO2 Cylinder Link"/>
        <s v="The Button - with both 3 &amp; 5 pin DMX ports"/>
        <s v="Replacement O-Ring - 2023 Quick Connects. EPDM"/>
        <s v="Co2 Hose 25FT Standard Config"/>
        <s v="CO2 Tank Tool + Documentation"/>
        <s v="Co2 Hose 05FT MQC x MQC"/>
        <m/>
        <s v="Co2 Hose 50FT Standard Config - Exchange for 25FT STD"/>
        <s v="Handheld MKII in travel case with 15ft hose"/>
        <s v="CO2 Tank Covers - 20lb Cover"/>
        <s v="Pro Jet"/>
        <s v="Neutrik PowerCON True1 Cords - 6FT, Standard"/>
        <s v=" CO2 Output Terminator"/>
        <s v="Co2 Hose 15FT Standard Config"/>
        <s v="Co2 Hose 15FT Daisy Chain"/>
        <s v="Handheld CO2 Cannon MKII"/>
        <s v="CO2 Tank Covers - 50lb Cover"/>
        <s v="Repair of DMX Jet - 4W387566"/>
        <s v="1/2-13 x 3/4” CS screw"/>
        <s v="1/4-20 x 1/2&quot; SEMS Screws / Internal Tooth Washer / PH S Black"/>
        <s v="Shoulder washers"/>
        <s v="3/4 OD X 1/4 ID X 1/8 Thickness Neoprene Rubber Washers"/>
        <s v="Cryo Clamp II, 110v, Weatherproof CO2 Jet"/>
        <s v="CO2 valve with BSPP MQC x BSPP FQC w/ 6FT DIN to NEMA 5-15"/>
        <s v="Co2 Hose 25FT JIC x JIC"/>
        <s v="Co2 Hose 15FT JIC x JIC"/>
        <s v="Co2 Hose 10FT JIC x JIC"/>
        <s v="Fee for cutting and crimping custom hoses"/>
        <s v="3 1/2FT CO2 Hose (CGA-320 x Female JIC 3/8&quot;) For use with Manifold"/>
        <s v="4 Port Co2 Manifold - 4x JIC 3/8&quot; Inlets, 1x JIC 3/8&quot; Outlet with Truss Bracket"/>
        <s v="CGA-320 to JIC adapter with nut and integrated groove for o-ring"/>
        <s v="Right Angle Adapter"/>
        <s v="Volt View - True1 voltage detection device"/>
        <s v="Solenoid Din Connector"/>
        <s v="Teflon &amp; Brass seal for 1/4&quot; CO2 Valve"/>
        <s v="Replacement O-Ring"/>
        <s v="Short 3&quot; / 76mm Emergency Stop Harness with TE Connector"/>
        <s v="ShoStarter"/>
        <s v="Co2 Hose 15FT Extension Config"/>
        <s v="Labor for inspection of Micro Jets Serial# 1221689, 0921769 RMA# 1570"/>
        <s v="ShoStarter DMX Controller with 3 &amp; 5 Pin Connectors in Box"/>
        <s v="CO2 Tank Splitter"/>
        <s v="Repair of DMX Jet "/>
        <s v="5-pin DMX Passthrough Assembly"/>
        <s v="True1 Duplex inlet"/>
        <s v="Pro Jet 110v Valve Assembly"/>
        <s v="Cable to connect to Main and XLR Board"/>
        <s v="Co2 Hose 18&quot; (3/8&quot; Male NPT x 1/4&quot; Female NPT)"/>
        <s v="Daisy Chain Adapter"/>
        <s v="Co2 Hose 15FT Standard Config (Included)"/>
        <s v="Co2 Hose 25FT Extension Config"/>
        <s v="LED Attachment for DMX Jet, DMX Jet MKII, and Pro Jet."/>
        <s v="Warranty Repair of HandHeld MKII Serial #004835"/>
        <s v="Truss Clamp for Micro Jet MKII w/ Hardware"/>
        <s v="Micro CO2 Jet MKII"/>
        <s v="1/4&quot; TS Power mode Adapter"/>
        <s v="Micro Jet MKII Main PCB"/>
        <s v="Co2 Hose 15FT Extension Config (Included)"/>
        <s v="Co2 Hose 50FT Extension Config (Upgrade from included 15FT)"/>
        <s v="Truss Clamp"/>
        <s v="4 Port Co2 Manifold - 4x MQC Inlets, 1x FQC Outlet with Truss Bracket"/>
        <s v="5FT CO2 Hose (MQC to FQC) For use with Manifold"/>
        <s v="CGA-320 Female to Female Quick Connect"/>
        <s v="Hose Extension Adapter"/>
        <s v="Single CO2 Washer - International"/>
        <s v="Co2 Hose 05FT Standard Config"/>
        <s v="Co2 Hose 08FT Daisy Chain"/>
        <s v="Adapter for use with Manifold - to attach standard CGA-320 hose configuration"/>
        <s v="Club Cannon Lift Handle - Aluminum (Black)"/>
        <s v="Used for installing / removing small key switch"/>
        <s v="Key Switch with Wires and JST Connector for The Button"/>
        <s v="Co2 Hose 08FT Standard Config"/>
        <s v="2 Output DMX Relay with Timer"/>
        <s v="Neutrik PowerCON True1 Cords - 25FT, Daisy Chain"/>
        <s v="Co2 Hose 08FT Extension Config"/>
        <s v="6in Jet Barrel with powdercoating"/>
        <s v="ShoMaster Console"/>
        <s v="Ball Mount Assembly for Cryo Clamp with 4x 10-32 x 3/8&quot; socket head screws"/>
        <s v="Neutrik PowerCON True1 Cords - 15FT, Daisy Chain"/>
        <s v="Co2 Hose 50FT Standard Config"/>
        <s v="PCB with encoder attached"/>
        <s v="Black Anodized Aluminum Encoder Knob"/>
        <s v="Quad Jet 110v with 5 Pin DMX With Barrels"/>
        <s v="Quad Jet, 5 Pin DMX, 110v AC, Weatherproof"/>
        <s v="Neutrik PowerCON True1 Cords - 6FT, Standard (Included)"/>
        <s v="Co2 Hose 15FT Male to Female Quick Connect (Included)"/>
        <s v="24x30 Road Case"/>
        <s v="24x30 Road Case Insert - Pro Jet"/>
        <s v="24x30 Road Case Insert - Top Tray Insert"/>
        <s v="CO2 Tank Tool + Washers "/>
        <s v="Emergency Stop with TE Connector"/>
        <s v="Repair of The Button - Serial# 31253"/>
        <s v="10% Bulk Order Discou"/>
        <s v="The Button LED Button PCB"/>
        <s v="die cut packaging topper for The Button"/>
        <s v="die cut packaging bottom for The Button"/>
        <s v="Co2 Hose 35FT Extension Config"/>
      </sharedItems>
    </cacheField>
    <cacheField name="Order Quantity" numFmtId="0">
      <sharedItems containsSemiMixedTypes="0" containsNonDate="0" containsString="0" containsNumber="1" containsInteger="1" minValue="1" maxValue="1000" count="18">
        <n v="2"/>
        <n v="1"/>
        <n v="6"/>
        <n v="4"/>
        <n v="3"/>
        <n v="8"/>
        <n v="40"/>
        <n v="27"/>
        <n v="5"/>
        <n v="9"/>
        <n v="10"/>
        <n v="12"/>
        <n v="20"/>
        <n v="1000"/>
        <n v="7"/>
        <n v="15"/>
        <n v="55"/>
        <n v="220"/>
      </sharedItems>
    </cacheField>
    <cacheField name="Unit Price" numFmtId="0">
      <sharedItems containsSemiMixedTypes="0" containsNonDate="0" containsString="0" containsNumber="1" minValue="-119.96" maxValue="3199.99" count="87">
        <n v="9.99"/>
        <n v="549.99"/>
        <n v="119.99"/>
        <n v="399.99"/>
        <n v="1.99"/>
        <n v="199.99"/>
        <n v="74.99250000000001"/>
        <n v="16.4"/>
        <n v="100"/>
        <n v="26.15"/>
        <n v="599.99"/>
        <n v="587.49"/>
        <n v="37.49"/>
        <n v="1299.99"/>
        <n v="0"/>
        <n v="149.99"/>
        <n v="349.99"/>
        <n v="59.99"/>
        <n v="531"/>
        <n v="65"/>
        <n v="374.9925"/>
        <n v="187.4925"/>
        <n v="299.9925"/>
        <n v="149.9925"/>
        <n v="112.4925"/>
        <n v="97.49250000000001"/>
        <n v="11.25"/>
        <n v="52.4925"/>
        <n v="134.9925"/>
        <n v="17.2425"/>
        <n v="37.4925"/>
        <n v="59.9925"/>
        <n v="536.6799999999999"/>
        <n v="45"/>
        <n v="18.44"/>
        <n v="1199.99"/>
        <n v="49.99"/>
        <n v="195"/>
        <n v="40"/>
        <n v="225"/>
        <n v="272.55"/>
        <n v="22.6"/>
        <n v="29.99"/>
        <n v="799.99"/>
        <n v="849.99"/>
        <n v="5.99"/>
        <n v="120"/>
        <n v="123"/>
        <n v="974.9924999999999"/>
        <n v="22.4925"/>
        <n v="131.25"/>
        <n v="56.2425"/>
        <n v="48.7425"/>
        <n v="211.47"/>
        <n v="637.4924999999999"/>
        <n v="14.9925"/>
        <n v="899.9924999999999"/>
        <n v="343.3338"/>
        <n v="572.63"/>
        <n v="1"/>
        <n v="16.5"/>
        <n v="99.98999999999999"/>
        <n v="-50"/>
        <n v="19.99"/>
        <n v="50"/>
        <n v="109.99"/>
        <n v="334.99"/>
        <n v="29.31"/>
        <n v="574.99"/>
        <n v="3199.99"/>
        <n v="499.99"/>
        <n v="89.42"/>
        <n v="599.9924999999999"/>
        <n v="4.4925"/>
        <n v="224.9925"/>
        <n v="1955.68"/>
        <n v="1874.9925"/>
        <n v="1199.9925"/>
        <n v="924.99"/>
        <n v="611.2"/>
        <n v="79.98999999999999"/>
        <n v="14.55"/>
        <n v="-119.96"/>
        <n v="299.99"/>
        <n v="179.99"/>
        <n v="15"/>
        <n v="249.99"/>
      </sharedItems>
    </cacheField>
    <cacheField name="Total Line Item $" numFmtId="0">
      <sharedItems containsSemiMixedTypes="0" containsNonDate="0" containsString="0" containsNumber="1" minValue="-119.96" maxValue="103124.5875" count="136">
        <n v="19.98"/>
        <n v="9.99"/>
        <n v="549.99"/>
        <n v="239.98"/>
        <n v="399.99"/>
        <n v="11.94"/>
        <n v="399.98"/>
        <n v="1099.98"/>
        <n v="74.99250000000001"/>
        <n v="16.4"/>
        <n v="400"/>
        <n v="26.15"/>
        <n v="599.99"/>
        <n v="587.49"/>
        <n v="37.49"/>
        <n v="5199.96"/>
        <n v="0"/>
        <n v="449.97"/>
        <n v="349.99"/>
        <n v="479.92"/>
        <n v="531"/>
        <n v="65"/>
        <n v="1499.97"/>
        <n v="749.97"/>
        <n v="599.985"/>
        <n v="1199.94"/>
        <n v="899.9400000000001"/>
        <n v="389.97"/>
        <n v="90"/>
        <n v="2099.7"/>
        <n v="1079.94"/>
        <n v="465.5475"/>
        <n v="299.94"/>
        <n v="119.985"/>
        <n v="536.6799999999999"/>
        <n v="149.99"/>
        <n v="45"/>
        <n v="18.44"/>
        <n v="1079.91"/>
        <n v="199.99"/>
        <n v="19.9"/>
        <n v="1199.99"/>
        <n v="479.96"/>
        <n v="799.98"/>
        <n v="49.99"/>
        <n v="195"/>
        <n v="40"/>
        <n v="225"/>
        <n v="699.98"/>
        <n v="272.55"/>
        <n v="239.97"/>
        <n v="22.6"/>
        <n v="29.99"/>
        <n v="59.99"/>
        <n v="3199.96"/>
        <n v="59.98"/>
        <n v="849.99"/>
        <n v="5.99"/>
        <n v="1199.98"/>
        <n v="120"/>
        <n v="123"/>
        <n v="99.98"/>
        <n v="7799.94"/>
        <n v="179.94"/>
        <n v="262.5"/>
        <n v="674.91"/>
        <n v="584.91"/>
        <n v="211.47"/>
        <n v="7649.91"/>
        <n v="1799.91"/>
        <n v="179.91"/>
        <n v="449.91"/>
        <n v="899.9924999999999"/>
        <n v="344.85"/>
        <n v="343.3338"/>
        <n v="572.63"/>
        <n v="1000"/>
        <n v="16.5"/>
        <n v="119.98"/>
        <n v="119.99"/>
        <n v="199.98"/>
        <n v="-50"/>
        <n v="79.95999999999999"/>
        <n v="200"/>
        <n v="719.9400000000001"/>
        <n v="769.9299999999999"/>
        <n v="249.95"/>
        <n v="39.98"/>
        <n v="219.98"/>
        <n v="359.955"/>
        <n v="334.99"/>
        <n v="29.31"/>
        <n v="59.97"/>
        <n v="999.9"/>
        <n v="109.99"/>
        <n v="149.97"/>
        <n v="699.9299999999999"/>
        <n v="574.99"/>
        <n v="3199.99"/>
        <n v="499.99"/>
        <n v="15.92"/>
        <n v="299.97"/>
        <n v="449.94"/>
        <n v="269.91"/>
        <n v="89.42"/>
        <n v="6374.925"/>
        <n v="9749.924999999999"/>
        <n v="449.85"/>
        <n v="299.85"/>
        <n v="1199.985"/>
        <n v="44.925"/>
        <n v="4499.9625"/>
        <n v="1687.3875"/>
        <n v="2249.925"/>
        <n v="1955.68"/>
        <n v="103124.5875"/>
        <n v="2399.985"/>
        <n v="1849.98"/>
        <n v="611.2"/>
        <n v="6799.92"/>
        <n v="19.99"/>
        <n v="159.98"/>
        <n v="14.55"/>
        <n v="1199.6"/>
        <n v="-119.96"/>
        <n v="899.97"/>
        <n v="959.92"/>
        <n v="2399.88"/>
        <n v="179.99"/>
        <n v="99.98999999999999"/>
        <n v="15"/>
        <n v="1299.99"/>
        <n v="249.99"/>
        <n v="89.97"/>
        <n v="1699.98"/>
        <n v="11.9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D2:F343" sheet="March 2024"/>
  </cacheSource>
  <cacheFields count="3">
    <cacheField name="Line Item Name" numFmtId="0">
      <sharedItems containsNonDate="0" containsBlank="1" count="96">
        <s v="CC-AC-CTAT"/>
        <s v="CC-WASH-10"/>
        <s v="CC-HCCMKII-08-TC"/>
        <s v="CC-AC-CCL"/>
        <s v="CC-TB-35"/>
        <s v="CC-AC-ROR2"/>
        <s v="CC-CH-25-STD"/>
        <s v="CC-AC-OP"/>
        <s v="CC-CH-05-EXT"/>
        <s v="Shipping Fees"/>
        <s v="CC-CH-50-STD"/>
        <s v="Shipping Charges"/>
        <s v="CC-HCCMKII-15-TC"/>
        <s v="CC-CTC-20"/>
        <s v="CC-PROJ-5-110"/>
        <s v="CC-NPTC-06-STD"/>
        <s v="CC-F-COT"/>
        <s v="CC-CH-15-STD"/>
        <s v="CC-CH-15-DSY"/>
        <s v="CC-HCCMKII-08-NC"/>
        <s v="CC-CTC-50"/>
        <s v="Fee"/>
        <s v="Repair"/>
        <s v="1/2-13 x 3/4” CS screw"/>
        <s v="1/4-20 x 1/2&quot; SEMS Screws / Internal Tooth Washer / PH S Black"/>
        <s v="Shoulder washers"/>
        <s v="3/4 OD X 1/4 ID X 1/8 Thickness Neoprene Rubber Washers"/>
        <s v="CC-CC2-110"/>
        <s v="Cryo Clamp Valve Assembly"/>
        <s v="CC-CH-10-STD"/>
        <s v="Custom Hose Charge"/>
        <s v="CC-CH-03.5-MFD"/>
        <s v="CC-AC-4PM"/>
        <s v=" CC-AC-CGAJIC-SET - 1"/>
        <s v="CC-AC-RAA"/>
        <s v="CC-VV-KIT"/>
        <s v="Solenoid Din Connector"/>
        <s v="CO2 Valve Replacement Seal"/>
        <s v="CC-AC-ROR"/>
        <s v="E-Stop Harness 3&quot; / 76mm Assembly with 3 Pin TE Connector"/>
        <s v="Emergency Stop Button"/>
        <s v="CC-CH-15-EXT"/>
        <s v="CC-SS-35"/>
        <s v="CC-AC-CTS"/>
        <s v="5-pin DMX Passthrough Assembly"/>
        <s v="NAC3PX-TOP"/>
        <s v="Pro Jet 110v Valve Assembly"/>
        <s v="8P 4x2 IDC 2.54mm 4&quot; Cable"/>
        <s v="CC-CH-XX-EXT"/>
        <s v="CC-F-DCHA"/>
        <s v="CC-CH-25-EXT"/>
        <s v="CC-AC-LA2"/>
        <s v="CC-AC-CLAMP-MJMKII-KIT"/>
        <s v="CC-MJMKII-3-110"/>
        <s v="CC-AC-PMA"/>
        <s v="Tax: CA Tax (10.25%)"/>
        <s v="Micro Jet MKII Main PCB"/>
        <s v="CC-CH-50-EXT"/>
        <s v="CC-AC-CLAMP"/>
        <s v="CC-AC-4PM-QC"/>
        <s v="CC-CH-05-MFD"/>
        <s v="CC-F-CGA-FQC"/>
        <s v="CC-F-HEA"/>
        <s v="PayPal Processing Fee"/>
        <s v="CC-WASH-INT-01"/>
        <s v="CC-CH-05-STD - 01"/>
        <s v="Discount"/>
        <s v="CC-CH-08-DSY"/>
        <s v="CC-F-MFDCGAJIC"/>
        <s v="Load Handle 90mm - 1"/>
        <s v="Small Key Lock Tool"/>
        <s v="The Button Key Assembly - 1"/>
        <s v="CC-HCCMKII-15-NC"/>
        <s v="CC-CH-08-STD"/>
        <s v="Obsidian RP2 Relay Pack"/>
        <s v="Tax: CA Tax (8.75%)"/>
        <s v="CC-NPTC-25-DSY"/>
        <s v="CC-CH-08-EXT"/>
        <s v="6in Barrel Assembly Powdercoated"/>
        <s v="CC-SM-5"/>
        <s v="CC-AC-BM-KIT"/>
        <s v="CC-NPTC-15-DSY"/>
        <s v="The Button Encoder Assembly"/>
        <s v="The Button Encoder Knob"/>
        <s v="CC-QJ-5-110"/>
        <s v="CC-QJ-5-110-WP"/>
        <s v="CC-RC-2430"/>
        <s v="CC-RC-2430-PJI"/>
        <s v="CC-RC-2430-TTI"/>
        <s v="Emergency Stop Button Assembly"/>
        <s v="Bulk Discount"/>
        <s v="The Button LED PCB"/>
        <s v="The Button Packaging Insert - Top"/>
        <s v="The. Button Packaging Insert -  Bottom"/>
        <s v="CC-CH-35-EXT"/>
        <m/>
      </sharedItems>
    </cacheField>
    <cacheField name="Line Item Description" numFmtId="0">
      <sharedItems containsNonDate="0" containsBlank="1" count="100">
        <s v="Co2 Tank Attachment Tool"/>
        <s v="CO2 Washers (10 pack)"/>
        <s v="Handheld MKII in travel case with 8ft hose"/>
        <s v="CO2 Cylinder Link"/>
        <s v="The Button - with both 3 &amp; 5 pin DMX ports"/>
        <s v="Replacement O-Ring - 2023 Quick Connects. EPDM"/>
        <s v="Co2 Hose 25FT Standard Config"/>
        <s v="CO2 Tank Tool + Documentation"/>
        <s v="Co2 Hose 05FT MQC x MQC"/>
        <m/>
        <s v="Co2 Hose 50FT Standard Config - Exchange for 25FT STD"/>
        <s v="Handheld MKII in travel case with 15ft hose"/>
        <s v="CO2 Tank Covers - 20lb Cover"/>
        <s v="Pro Jet"/>
        <s v="Neutrik PowerCON True1 Cords - 6FT, Standard"/>
        <s v=" CO2 Output Terminator"/>
        <s v="Co2 Hose 15FT Standard Config"/>
        <s v="Co2 Hose 15FT Daisy Chain"/>
        <s v="Handheld CO2 Cannon MKII"/>
        <s v="CO2 Tank Covers - 50lb Cover"/>
        <s v="Repair of DMX Jet - 4W387566"/>
        <s v="1/2-13 x 3/4” CS screw"/>
        <s v="1/4-20 x 1/2&quot; SEMS Screws / Internal Tooth Washer / PH S Black"/>
        <s v="Shoulder washers"/>
        <s v="3/4 OD X 1/4 ID X 1/8 Thickness Neoprene Rubber Washers"/>
        <s v="Cryo Clamp II, 110v, Weatherproof CO2 Jet"/>
        <s v="CO2 valve with BSPP MQC x BSPP FQC w/ 6FT DIN to NEMA 5-15"/>
        <s v="Co2 Hose 25FT JIC x JIC"/>
        <s v="Co2 Hose 15FT JIC x JIC"/>
        <s v="Co2 Hose 10FT JIC x JIC"/>
        <s v="Fee for cutting and crimping custom hoses"/>
        <s v="3 1/2FT CO2 Hose (CGA-320 x Female JIC 3/8&quot;) For use with Manifold"/>
        <s v="4 Port Co2 Manifold - 4x JIC 3/8&quot; Inlets, 1x JIC 3/8&quot; Outlet with Truss Bracket"/>
        <s v="CGA-320 to JIC adapter with nut and integrated groove for o-ring"/>
        <s v="Right Angle Adapter"/>
        <s v="Volt View - True1 voltage detection device"/>
        <s v="Solenoid Din Connector"/>
        <s v="Teflon &amp; Brass seal for 1/4&quot; CO2 Valve"/>
        <s v="Replacement O-Ring"/>
        <s v="Short 3&quot; / 76mm Emergency Stop Harness with TE Connector"/>
        <s v="ShoStarter"/>
        <s v="Co2 Hose 15FT Extension Config"/>
        <s v="Labor for inspection of Micro Jets Serial# 1221689, 0921769 RMA# 1570"/>
        <s v="ShoStarter DMX Controller with 3 &amp; 5 Pin Connectors in Box"/>
        <s v="CO2 Tank Splitter"/>
        <s v="Repair of DMX Jet "/>
        <s v="5-pin DMX Passthrough Assembly"/>
        <s v="True1 Duplex inlet"/>
        <s v="Pro Jet 110v Valve Assembly"/>
        <s v="Cable to connect to Main and XLR Board"/>
        <s v="Co2 Hose 18&quot; (3/8&quot; Male NPT x 1/4&quot; Female NPT)"/>
        <s v="Daisy Chain Adapter"/>
        <s v="Co2 Hose 15FT Standard Config (Included)"/>
        <s v="Co2 Hose 25FT Extension Config"/>
        <s v="LED Attachment for DMX Jet, DMX Jet MKII, and Pro Jet."/>
        <s v="Warranty Repair of HandHeld MKII Serial #004835"/>
        <s v="Truss Clamp for Micro Jet MKII w/ Hardware"/>
        <s v="Micro CO2 Jet MKII"/>
        <s v="1/4&quot; TS Power mode Adapter"/>
        <s v="Micro Jet MKII Main PCB"/>
        <s v="Co2 Hose 15FT Extension Config (Included)"/>
        <s v="Co2 Hose 50FT Extension Config (Upgrade from included 15FT)"/>
        <s v="Truss Clamp"/>
        <s v="4 Port Co2 Manifold - 4x MQC Inlets, 1x FQC Outlet with Truss Bracket"/>
        <s v="5FT CO2 Hose (MQC to FQC) For use with Manifold"/>
        <s v="CGA-320 Female to Female Quick Connect"/>
        <s v="Hose Extension Adapter"/>
        <s v="Single CO2 Washer - International"/>
        <s v="Co2 Hose 05FT Standard Config"/>
        <s v="Co2 Hose 08FT Daisy Chain"/>
        <s v="Adapter for use with Manifold - to attach standard CGA-320 hose configuration"/>
        <s v="Club Cannon Lift Handle - Aluminum (Black)"/>
        <s v="Used for installing / removing small key switch"/>
        <s v="Key Switch with Wires and JST Connector for The Button"/>
        <s v="Co2 Hose 08FT Standard Config"/>
        <s v="2 Output DMX Relay with Timer"/>
        <s v="Neutrik PowerCON True1 Cords - 25FT, Daisy Chain"/>
        <s v="Co2 Hose 08FT Extension Config"/>
        <s v="6in Jet Barrel with powdercoating"/>
        <s v="ShoMaster Console"/>
        <s v="Ball Mount Assembly for Cryo Clamp with 4x 10-32 x 3/8&quot; socket head screws"/>
        <s v="Neutrik PowerCON True1 Cords - 15FT, Daisy Chain"/>
        <s v="Co2 Hose 50FT Standard Config"/>
        <s v="PCB with encoder attached"/>
        <s v="Black Anodized Aluminum Encoder Knob"/>
        <s v="Quad Jet 110v with 5 Pin DMX With Barrels"/>
        <s v="Quad Jet, 5 Pin DMX, 110v AC, Weatherproof"/>
        <s v="Neutrik PowerCON True1 Cords - 6FT, Standard (Included)"/>
        <s v="Co2 Hose 15FT Male to Female Quick Connect (Included)"/>
        <s v="24x30 Road Case"/>
        <s v="24x30 Road Case Insert - Pro Jet"/>
        <s v="24x30 Road Case Insert - Top Tray Insert"/>
        <s v="CO2 Tank Tool + Washers "/>
        <s v="Emergency Stop with TE Connector"/>
        <s v="Repair of The Button - Serial# 31253"/>
        <s v="10% Bulk Order Discou"/>
        <s v="The Button LED Button PCB"/>
        <s v="die cut packaging topper for The Button"/>
        <s v="die cut packaging bottom for The Button"/>
        <s v="Co2 Hose 35FT Extension Config"/>
      </sharedItems>
    </cacheField>
    <cacheField name="Order Quantity" numFmtId="0">
      <sharedItems containsNonDate="0" containsString="0" containsBlank="1" containsNumber="1" containsInteger="1" minValue="1" maxValue="1000" count="19">
        <n v="2"/>
        <n v="1"/>
        <n v="6"/>
        <n v="4"/>
        <n v="3"/>
        <n v="8"/>
        <n v="40"/>
        <n v="27"/>
        <n v="5"/>
        <n v="9"/>
        <n v="10"/>
        <n v="12"/>
        <n v="20"/>
        <n v="1000"/>
        <n v="7"/>
        <n v="15"/>
        <n v="55"/>
        <n v="220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1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D2:H343" sheet="March 2024"/>
  </cacheSource>
  <cacheFields count="5">
    <cacheField name="Line Item Name" numFmtId="0">
      <sharedItems containsNonDate="0" containsBlank="1" count="96">
        <s v="CC-AC-CTAT"/>
        <s v="CC-WASH-10"/>
        <s v="CC-HCCMKII-08-TC"/>
        <s v="CC-AC-CCL"/>
        <s v="CC-TB-35"/>
        <s v="CC-AC-ROR2"/>
        <s v="CC-CH-25-STD"/>
        <s v="CC-AC-OP"/>
        <s v="CC-CH-05-EXT"/>
        <s v="Shipping Fees"/>
        <s v="CC-CH-50-STD"/>
        <s v="Shipping Charges"/>
        <s v="CC-HCCMKII-15-TC"/>
        <s v="CC-CTC-20"/>
        <s v="CC-PROJ-5-110"/>
        <s v="CC-NPTC-06-STD"/>
        <s v="CC-F-COT"/>
        <s v="CC-CH-15-STD"/>
        <s v="CC-CH-15-DSY"/>
        <s v="CC-HCCMKII-08-NC"/>
        <s v="CC-CTC-50"/>
        <s v="Fee"/>
        <s v="Repair"/>
        <s v="1/2-13 x 3/4” CS screw"/>
        <s v="1/4-20 x 1/2&quot; SEMS Screws / Internal Tooth Washer / PH S Black"/>
        <s v="Shoulder washers"/>
        <s v="3/4 OD X 1/4 ID X 1/8 Thickness Neoprene Rubber Washers"/>
        <s v="CC-CC2-110"/>
        <s v="Cryo Clamp Valve Assembly"/>
        <s v="CC-CH-10-STD"/>
        <s v="Custom Hose Charge"/>
        <s v="CC-CH-03.5-MFD"/>
        <s v="CC-AC-4PM"/>
        <s v=" CC-AC-CGAJIC-SET - 1"/>
        <s v="CC-AC-RAA"/>
        <s v="CC-VV-KIT"/>
        <s v="Solenoid Din Connector"/>
        <s v="CO2 Valve Replacement Seal"/>
        <s v="CC-AC-ROR"/>
        <s v="E-Stop Harness 3&quot; / 76mm Assembly with 3 Pin TE Connector"/>
        <s v="Emergency Stop Button"/>
        <s v="CC-CH-15-EXT"/>
        <s v="CC-SS-35"/>
        <s v="CC-AC-CTS"/>
        <s v="5-pin DMX Passthrough Assembly"/>
        <s v="NAC3PX-TOP"/>
        <s v="Pro Jet 110v Valve Assembly"/>
        <s v="8P 4x2 IDC 2.54mm 4&quot; Cable"/>
        <s v="CC-CH-XX-EXT"/>
        <s v="CC-F-DCHA"/>
        <s v="CC-CH-25-EXT"/>
        <s v="CC-AC-LA2"/>
        <s v="CC-AC-CLAMP-MJMKII-KIT"/>
        <s v="CC-MJMKII-3-110"/>
        <s v="CC-AC-PMA"/>
        <s v="Tax: CA Tax (10.25%)"/>
        <s v="Micro Jet MKII Main PCB"/>
        <s v="CC-CH-50-EXT"/>
        <s v="CC-AC-CLAMP"/>
        <s v="CC-AC-4PM-QC"/>
        <s v="CC-CH-05-MFD"/>
        <s v="CC-F-CGA-FQC"/>
        <s v="CC-F-HEA"/>
        <s v="PayPal Processing Fee"/>
        <s v="CC-WASH-INT-01"/>
        <s v="CC-CH-05-STD - 01"/>
        <s v="Discount"/>
        <s v="CC-CH-08-DSY"/>
        <s v="CC-F-MFDCGAJIC"/>
        <s v="Load Handle 90mm - 1"/>
        <s v="Small Key Lock Tool"/>
        <s v="The Button Key Assembly - 1"/>
        <s v="CC-HCCMKII-15-NC"/>
        <s v="CC-CH-08-STD"/>
        <s v="Obsidian RP2 Relay Pack"/>
        <s v="Tax: CA Tax (8.75%)"/>
        <s v="CC-NPTC-25-DSY"/>
        <s v="CC-CH-08-EXT"/>
        <s v="6in Barrel Assembly Powdercoated"/>
        <s v="CC-SM-5"/>
        <s v="CC-AC-BM-KIT"/>
        <s v="CC-NPTC-15-DSY"/>
        <s v="The Button Encoder Assembly"/>
        <s v="The Button Encoder Knob"/>
        <s v="CC-QJ-5-110"/>
        <s v="CC-QJ-5-110-WP"/>
        <s v="CC-RC-2430"/>
        <s v="CC-RC-2430-PJI"/>
        <s v="CC-RC-2430-TTI"/>
        <s v="Emergency Stop Button Assembly"/>
        <s v="Bulk Discount"/>
        <s v="The Button LED PCB"/>
        <s v="The Button Packaging Insert - Top"/>
        <s v="The. Button Packaging Insert -  Bottom"/>
        <s v="CC-CH-35-EXT"/>
        <m/>
      </sharedItems>
    </cacheField>
    <cacheField name="Line Item Description" numFmtId="0">
      <sharedItems containsNonDate="0" containsBlank="1" count="100">
        <s v="Co2 Tank Attachment Tool"/>
        <s v="CO2 Washers (10 pack)"/>
        <s v="Handheld MKII in travel case with 8ft hose"/>
        <s v="CO2 Cylinder Link"/>
        <s v="The Button - with both 3 &amp; 5 pin DMX ports"/>
        <s v="Replacement O-Ring - 2023 Quick Connects. EPDM"/>
        <s v="Co2 Hose 25FT Standard Config"/>
        <s v="CO2 Tank Tool + Documentation"/>
        <s v="Co2 Hose 05FT MQC x MQC"/>
        <m/>
        <s v="Co2 Hose 50FT Standard Config - Exchange for 25FT STD"/>
        <s v="Handheld MKII in travel case with 15ft hose"/>
        <s v="CO2 Tank Covers - 20lb Cover"/>
        <s v="Pro Jet"/>
        <s v="Neutrik PowerCON True1 Cords - 6FT, Standard"/>
        <s v=" CO2 Output Terminator"/>
        <s v="Co2 Hose 15FT Standard Config"/>
        <s v="Co2 Hose 15FT Daisy Chain"/>
        <s v="Handheld CO2 Cannon MKII"/>
        <s v="CO2 Tank Covers - 50lb Cover"/>
        <s v="Repair of DMX Jet - 4W387566"/>
        <s v="1/2-13 x 3/4” CS screw"/>
        <s v="1/4-20 x 1/2&quot; SEMS Screws / Internal Tooth Washer / PH S Black"/>
        <s v="Shoulder washers"/>
        <s v="3/4 OD X 1/4 ID X 1/8 Thickness Neoprene Rubber Washers"/>
        <s v="Cryo Clamp II, 110v, Weatherproof CO2 Jet"/>
        <s v="CO2 valve with BSPP MQC x BSPP FQC w/ 6FT DIN to NEMA 5-15"/>
        <s v="Co2 Hose 25FT JIC x JIC"/>
        <s v="Co2 Hose 15FT JIC x JIC"/>
        <s v="Co2 Hose 10FT JIC x JIC"/>
        <s v="Fee for cutting and crimping custom hoses"/>
        <s v="3 1/2FT CO2 Hose (CGA-320 x Female JIC 3/8&quot;) For use with Manifold"/>
        <s v="4 Port Co2 Manifold - 4x JIC 3/8&quot; Inlets, 1x JIC 3/8&quot; Outlet with Truss Bracket"/>
        <s v="CGA-320 to JIC adapter with nut and integrated groove for o-ring"/>
        <s v="Right Angle Adapter"/>
        <s v="Volt View - True1 voltage detection device"/>
        <s v="Solenoid Din Connector"/>
        <s v="Teflon &amp; Brass seal for 1/4&quot; CO2 Valve"/>
        <s v="Replacement O-Ring"/>
        <s v="Short 3&quot; / 76mm Emergency Stop Harness with TE Connector"/>
        <s v="ShoStarter"/>
        <s v="Co2 Hose 15FT Extension Config"/>
        <s v="Labor for inspection of Micro Jets Serial# 1221689, 0921769 RMA# 1570"/>
        <s v="ShoStarter DMX Controller with 3 &amp; 5 Pin Connectors in Box"/>
        <s v="CO2 Tank Splitter"/>
        <s v="Repair of DMX Jet "/>
        <s v="5-pin DMX Passthrough Assembly"/>
        <s v="True1 Duplex inlet"/>
        <s v="Pro Jet 110v Valve Assembly"/>
        <s v="Cable to connect to Main and XLR Board"/>
        <s v="Co2 Hose 18&quot; (3/8&quot; Male NPT x 1/4&quot; Female NPT)"/>
        <s v="Daisy Chain Adapter"/>
        <s v="Co2 Hose 15FT Standard Config (Included)"/>
        <s v="Co2 Hose 25FT Extension Config"/>
        <s v="LED Attachment for DMX Jet, DMX Jet MKII, and Pro Jet."/>
        <s v="Warranty Repair of HandHeld MKII Serial #004835"/>
        <s v="Truss Clamp for Micro Jet MKII w/ Hardware"/>
        <s v="Micro CO2 Jet MKII"/>
        <s v="1/4&quot; TS Power mode Adapter"/>
        <s v="Micro Jet MKII Main PCB"/>
        <s v="Co2 Hose 15FT Extension Config (Included)"/>
        <s v="Co2 Hose 50FT Extension Config (Upgrade from included 15FT)"/>
        <s v="Truss Clamp"/>
        <s v="4 Port Co2 Manifold - 4x MQC Inlets, 1x FQC Outlet with Truss Bracket"/>
        <s v="5FT CO2 Hose (MQC to FQC) For use with Manifold"/>
        <s v="CGA-320 Female to Female Quick Connect"/>
        <s v="Hose Extension Adapter"/>
        <s v="Single CO2 Washer - International"/>
        <s v="Co2 Hose 05FT Standard Config"/>
        <s v="Co2 Hose 08FT Daisy Chain"/>
        <s v="Adapter for use with Manifold - to attach standard CGA-320 hose configuration"/>
        <s v="Club Cannon Lift Handle - Aluminum (Black)"/>
        <s v="Used for installing / removing small key switch"/>
        <s v="Key Switch with Wires and JST Connector for The Button"/>
        <s v="Co2 Hose 08FT Standard Config"/>
        <s v="2 Output DMX Relay with Timer"/>
        <s v="Neutrik PowerCON True1 Cords - 25FT, Daisy Chain"/>
        <s v="Co2 Hose 08FT Extension Config"/>
        <s v="6in Jet Barrel with powdercoating"/>
        <s v="ShoMaster Console"/>
        <s v="Ball Mount Assembly for Cryo Clamp with 4x 10-32 x 3/8&quot; socket head screws"/>
        <s v="Neutrik PowerCON True1 Cords - 15FT, Daisy Chain"/>
        <s v="Co2 Hose 50FT Standard Config"/>
        <s v="PCB with encoder attached"/>
        <s v="Black Anodized Aluminum Encoder Knob"/>
        <s v="Quad Jet 110v with 5 Pin DMX With Barrels"/>
        <s v="Quad Jet, 5 Pin DMX, 110v AC, Weatherproof"/>
        <s v="Neutrik PowerCON True1 Cords - 6FT, Standard (Included)"/>
        <s v="Co2 Hose 15FT Male to Female Quick Connect (Included)"/>
        <s v="24x30 Road Case"/>
        <s v="24x30 Road Case Insert - Pro Jet"/>
        <s v="24x30 Road Case Insert - Top Tray Insert"/>
        <s v="CO2 Tank Tool + Washers "/>
        <s v="Emergency Stop with TE Connector"/>
        <s v="Repair of The Button - Serial# 31253"/>
        <s v="10% Bulk Order Discou"/>
        <s v="The Button LED Button PCB"/>
        <s v="die cut packaging topper for The Button"/>
        <s v="die cut packaging bottom for The Button"/>
        <s v="Co2 Hose 35FT Extension Config"/>
      </sharedItems>
    </cacheField>
    <cacheField name="Order Quantity" numFmtId="0">
      <sharedItems containsNonDate="0" containsString="0" containsBlank="1" containsNumber="1" containsInteger="1" minValue="1" maxValue="1000" count="19">
        <n v="2"/>
        <n v="1"/>
        <n v="6"/>
        <n v="4"/>
        <n v="3"/>
        <n v="8"/>
        <n v="40"/>
        <n v="27"/>
        <n v="5"/>
        <n v="9"/>
        <n v="10"/>
        <n v="12"/>
        <n v="20"/>
        <n v="1000"/>
        <n v="7"/>
        <n v="15"/>
        <n v="55"/>
        <n v="220"/>
        <m/>
      </sharedItems>
    </cacheField>
    <cacheField name="Unit Price" numFmtId="0">
      <sharedItems containsNonDate="0" containsString="0" containsBlank="1" containsNumber="1" minValue="-119.96" maxValue="3199.99" count="88">
        <n v="9.99"/>
        <n v="549.99"/>
        <n v="119.99"/>
        <n v="399.99"/>
        <n v="1.99"/>
        <n v="199.99"/>
        <n v="74.99250000000001"/>
        <n v="16.4"/>
        <n v="100"/>
        <n v="26.15"/>
        <n v="599.99"/>
        <n v="587.49"/>
        <n v="37.49"/>
        <n v="1299.99"/>
        <n v="0"/>
        <n v="149.99"/>
        <n v="349.99"/>
        <n v="59.99"/>
        <n v="531"/>
        <n v="65"/>
        <n v="374.9925"/>
        <n v="187.4925"/>
        <n v="299.9925"/>
        <n v="149.9925"/>
        <n v="112.4925"/>
        <n v="97.49250000000001"/>
        <n v="11.25"/>
        <n v="52.4925"/>
        <n v="134.9925"/>
        <n v="17.2425"/>
        <n v="37.4925"/>
        <n v="59.9925"/>
        <n v="536.6799999999999"/>
        <n v="45"/>
        <n v="18.44"/>
        <n v="1199.99"/>
        <n v="49.99"/>
        <n v="195"/>
        <n v="40"/>
        <n v="225"/>
        <n v="272.55"/>
        <n v="22.6"/>
        <n v="29.99"/>
        <n v="799.99"/>
        <n v="849.99"/>
        <n v="5.99"/>
        <n v="120"/>
        <n v="123"/>
        <n v="974.9924999999999"/>
        <n v="22.4925"/>
        <n v="131.25"/>
        <n v="56.2425"/>
        <n v="48.7425"/>
        <n v="211.47"/>
        <n v="637.4924999999999"/>
        <n v="14.9925"/>
        <n v="899.9924999999999"/>
        <n v="343.3338"/>
        <n v="572.63"/>
        <n v="1"/>
        <n v="16.5"/>
        <n v="99.98999999999999"/>
        <n v="-50"/>
        <n v="19.99"/>
        <n v="50"/>
        <n v="109.99"/>
        <n v="334.99"/>
        <n v="29.31"/>
        <n v="574.99"/>
        <n v="3199.99"/>
        <n v="499.99"/>
        <n v="89.42"/>
        <n v="599.9924999999999"/>
        <n v="4.4925"/>
        <n v="224.9925"/>
        <n v="1955.68"/>
        <n v="1874.9925"/>
        <n v="1199.9925"/>
        <n v="924.99"/>
        <n v="611.2"/>
        <n v="79.98999999999999"/>
        <n v="14.55"/>
        <n v="-119.96"/>
        <n v="299.99"/>
        <n v="179.99"/>
        <n v="15"/>
        <n v="249.99"/>
        <m/>
      </sharedItems>
    </cacheField>
    <cacheField name="Total Line Item $" numFmtId="0">
      <sharedItems containsNonDate="0" containsString="0" containsBlank="1" containsNumber="1" minValue="-119.96" maxValue="103124.5875" count="137">
        <n v="19.98"/>
        <n v="9.99"/>
        <n v="549.99"/>
        <n v="239.98"/>
        <n v="399.99"/>
        <n v="11.94"/>
        <n v="399.98"/>
        <n v="1099.98"/>
        <n v="74.99250000000001"/>
        <n v="16.4"/>
        <n v="400"/>
        <n v="26.15"/>
        <n v="599.99"/>
        <n v="587.49"/>
        <n v="37.49"/>
        <n v="5199.96"/>
        <n v="0"/>
        <n v="449.97"/>
        <n v="349.99"/>
        <n v="479.92"/>
        <n v="531"/>
        <n v="65"/>
        <n v="1499.97"/>
        <n v="749.97"/>
        <n v="599.985"/>
        <n v="1199.94"/>
        <n v="899.9400000000001"/>
        <n v="389.97"/>
        <n v="90"/>
        <n v="2099.7"/>
        <n v="1079.94"/>
        <n v="465.5475"/>
        <n v="299.94"/>
        <n v="119.985"/>
        <n v="536.6799999999999"/>
        <n v="149.99"/>
        <n v="45"/>
        <n v="18.44"/>
        <n v="1079.91"/>
        <n v="199.99"/>
        <n v="19.9"/>
        <n v="1199.99"/>
        <n v="479.96"/>
        <n v="799.98"/>
        <n v="49.99"/>
        <n v="195"/>
        <n v="40"/>
        <n v="225"/>
        <n v="699.98"/>
        <n v="272.55"/>
        <n v="239.97"/>
        <n v="22.6"/>
        <n v="29.99"/>
        <n v="59.99"/>
        <n v="3199.96"/>
        <n v="59.98"/>
        <n v="849.99"/>
        <n v="5.99"/>
        <n v="1199.98"/>
        <n v="120"/>
        <n v="123"/>
        <n v="99.98"/>
        <n v="7799.94"/>
        <n v="179.94"/>
        <n v="262.5"/>
        <n v="674.91"/>
        <n v="584.91"/>
        <n v="211.47"/>
        <n v="7649.91"/>
        <n v="1799.91"/>
        <n v="179.91"/>
        <n v="449.91"/>
        <n v="899.9924999999999"/>
        <n v="344.85"/>
        <n v="343.3338"/>
        <n v="572.63"/>
        <n v="1000"/>
        <n v="16.5"/>
        <n v="119.98"/>
        <n v="119.99"/>
        <n v="199.98"/>
        <n v="-50"/>
        <n v="79.95999999999999"/>
        <n v="200"/>
        <n v="719.9400000000001"/>
        <n v="769.9299999999999"/>
        <n v="249.95"/>
        <n v="39.98"/>
        <n v="219.98"/>
        <n v="359.955"/>
        <n v="334.99"/>
        <n v="29.31"/>
        <n v="59.97"/>
        <n v="999.9"/>
        <n v="109.99"/>
        <n v="149.97"/>
        <n v="699.9299999999999"/>
        <n v="574.99"/>
        <n v="3199.99"/>
        <n v="499.99"/>
        <n v="15.92"/>
        <n v="299.97"/>
        <n v="449.94"/>
        <n v="269.91"/>
        <n v="89.42"/>
        <n v="6374.925"/>
        <n v="9749.924999999999"/>
        <n v="449.85"/>
        <n v="299.85"/>
        <n v="1199.985"/>
        <n v="44.925"/>
        <n v="4499.9625"/>
        <n v="1687.3875"/>
        <n v="2249.925"/>
        <n v="1955.68"/>
        <n v="103124.5875"/>
        <n v="2399.985"/>
        <n v="1849.98"/>
        <n v="611.2"/>
        <n v="6799.92"/>
        <n v="19.99"/>
        <n v="159.98"/>
        <n v="14.55"/>
        <n v="1199.6"/>
        <n v="-119.96"/>
        <n v="899.97"/>
        <n v="959.92"/>
        <n v="2399.88"/>
        <n v="179.99"/>
        <n v="99.98999999999999"/>
        <n v="15"/>
        <n v="1299.99"/>
        <n v="249.99"/>
        <n v="89.97"/>
        <n v="1699.98"/>
        <n v="11.98"/>
        <m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A2:H343" sheet="February 2024"/>
  </cacheSource>
  <cacheFields count="8">
    <cacheField name="Sales Order" numFmtId="0">
      <sharedItems containsNonDate="0" count="136">
        <s v="4439"/>
        <s v="4441"/>
        <s v="4443"/>
        <s v="4440"/>
        <s v="4444"/>
        <s v="4442"/>
        <s v="4445"/>
        <s v="4438"/>
        <s v="4436"/>
        <s v="4435"/>
        <s v="4437"/>
        <s v="4434"/>
        <s v="4433"/>
        <s v="4432"/>
        <s v="4429"/>
        <s v="4428"/>
        <s v="4431"/>
        <s v="4430"/>
        <s v="4427"/>
        <s v="4426"/>
        <s v="4423"/>
        <s v="4422"/>
        <s v="4421"/>
        <s v="4420"/>
        <s v="4419"/>
        <s v="4425"/>
        <s v="4424"/>
        <s v="4418"/>
        <s v="4417"/>
        <s v="4416"/>
        <s v="4415"/>
        <s v="4414"/>
        <s v="4413"/>
        <s v="4412"/>
        <s v="4410"/>
        <s v="4411"/>
        <s v="4408"/>
        <s v="4407"/>
        <s v="4406"/>
        <s v="4403"/>
        <s v="4402"/>
        <s v="4401"/>
        <s v="4405"/>
        <s v="4409"/>
        <s v="4404"/>
        <s v="4400"/>
        <s v="4396"/>
        <s v="4394"/>
        <s v="4399"/>
        <s v="4395"/>
        <s v="4398"/>
        <s v="4397"/>
        <s v="4392"/>
        <s v="4391"/>
        <s v="4390"/>
        <s v="4388"/>
        <s v="4393"/>
        <s v="4389"/>
        <s v="4387"/>
        <s v="4386"/>
        <s v="4385"/>
        <s v="4384"/>
        <s v="4382"/>
        <s v="4379"/>
        <s v="4378"/>
        <s v="4380"/>
        <s v="4381"/>
        <s v="4376"/>
        <s v="4373"/>
        <s v="4371"/>
        <s v="4374"/>
        <s v="4375"/>
        <s v="4377"/>
        <s v="4372"/>
        <s v="4370"/>
        <s v="4369"/>
        <s v="4366"/>
        <s v="4365"/>
        <s v="4361"/>
        <s v="4360"/>
        <s v="4367"/>
        <s v="4363"/>
        <s v="4362"/>
        <s v="4364"/>
        <s v="4368"/>
        <s v="4356"/>
        <s v="4355"/>
        <s v="4354"/>
        <s v="4353"/>
        <s v="4359"/>
        <s v="4358"/>
        <s v="4352"/>
        <s v="4350"/>
        <s v="4349"/>
        <s v="4346"/>
        <s v="4348"/>
        <s v="4351"/>
        <s v="4343"/>
        <s v="4341"/>
        <s v="4339"/>
        <s v="4338"/>
        <s v="4337"/>
        <s v="4342"/>
        <s v="4344"/>
        <s v="4345"/>
        <s v="4340"/>
        <s v="4334"/>
        <s v="4336"/>
        <s v="4335"/>
        <s v="4333"/>
        <s v="4330"/>
        <s v="4329"/>
        <s v="4331"/>
        <s v="4332"/>
        <s v="4328"/>
        <s v="4327"/>
        <s v="4326"/>
        <s v="4325"/>
        <s v="4324"/>
        <s v="4323"/>
        <s v="4322"/>
        <s v="4320"/>
        <s v="4319"/>
        <s v="4318"/>
        <s v="4317"/>
        <s v="4316"/>
        <s v="4315"/>
        <s v="4314"/>
        <s v="4313"/>
        <s v="4312"/>
        <s v="4311"/>
        <s v="4310"/>
        <s v="4307"/>
        <s v="4306"/>
        <s v="4309"/>
        <s v="4308"/>
      </sharedItems>
    </cacheField>
    <cacheField name="Customer" numFmtId="0">
      <sharedItems containsNonDate="0" count="114">
        <s v="Conrad Perry"/>
        <s v="Special FX Rentals"/>
        <s v="Cleveland Cavaliers"/>
        <s v="COJE Management Group"/>
        <s v="Jason Weldon"/>
        <s v="Resort World"/>
        <s v="Michael Greenberg"/>
        <s v="Joseph Benvenisti"/>
        <s v="Corey King"/>
        <s v="BBE-TCC"/>
        <s v="Barbara Costanzo"/>
        <s v="Adam Peterson"/>
        <s v="Jorge Antonatos"/>
        <s v="Jesus Corral"/>
        <s v="Gear Club Direct "/>
        <s v="Awakening Events Inc"/>
        <s v="Edward Prato"/>
        <s v="Max Victory"/>
        <s v="Robert Parisi"/>
        <s v="Eric Norris"/>
        <s v="Jak Klumpp"/>
        <s v="Gregory Papageorge"/>
        <s v="Johnathon Allen"/>
        <s v="Joe Romanowski"/>
        <s v="Rick HALE"/>
        <s v="Devin Moore"/>
        <s v="Jonathan Ratter"/>
        <s v="JITENDRA PITHADIA"/>
        <s v="Shelby Mattingly"/>
        <s v="Ale Girardeau Charron"/>
        <s v="Jason Dawson"/>
        <s v="Cory Stinar"/>
        <s v="4WALL ENTERTAINMENT, INC."/>
        <s v="Jack Algerio"/>
        <s v="Derek Carter"/>
        <s v="Tyler Hetland"/>
        <s v="Edward Walsh"/>
        <s v="Matthew Corron"/>
        <s v="Morrie Silver"/>
        <s v="Ariel Castillo / Confetti Fog FX"/>
        <s v="Keith Cruz"/>
        <s v="Sangeen Singh"/>
        <s v="Jiten Khatri"/>
        <s v="Petrose Keshishyan"/>
        <s v="Illuminated Integration"/>
        <s v="Disney Cruise Line"/>
        <s v="Mete Aslan"/>
        <s v="ER Productions"/>
        <s v="Timothy Doyle"/>
        <s v="kirk hill"/>
        <s v="Salvatore Carmolingo"/>
        <s v="Luis Garcia"/>
        <s v="Steve Vanderheyden / Band Ayd Event Group"/>
        <s v="Josue Barbosa"/>
        <s v="Adam Shipman"/>
        <s v="Karol Kadziolka"/>
        <s v="Robert Wintle"/>
        <s v="joseph miller"/>
        <s v="Juan Gaitan"/>
        <s v="PYROTECNICO"/>
        <s v="Dios Vazquez"/>
        <s v="Zack de Leon"/>
        <s v="Chris Fernandez"/>
        <s v="Jon Ballog"/>
        <s v="Charles Mckinley / Pyro Productions"/>
        <s v="Enrique Ortiz"/>
        <s v="Videlio HMS"/>
        <s v="Félix Hernandez"/>
        <s v="Joe Torres"/>
        <s v="Marianne Exbrayat"/>
        <s v="Ashmal Umetia"/>
        <s v="Frank Guertler"/>
        <s v="Complete Production Resources"/>
        <s v="ZL Production s.r.o."/>
        <s v="Grant Ashling"/>
        <s v="Harjot Uppal"/>
        <s v="Drake Doren"/>
        <s v="Elby Farrwood"/>
        <s v="Brett Henrichsen"/>
        <s v="Jay Scrivener"/>
        <s v="warren monnich"/>
        <s v="Melissa Tonery"/>
        <s v="Koty Schwerin"/>
        <s v="Monkey Wrench Productions"/>
        <s v="Andy Jimenez"/>
        <s v="Gilbert Jacinto"/>
        <s v="Marisol Padilla"/>
        <s v="Steven Dobo"/>
        <s v="Nick Sieffert"/>
        <s v="Image Engineering"/>
        <s v="DJ Event Gear"/>
        <s v="Kevin Biechler"/>
        <s v="Josue Sencion"/>
        <s v="Alex Allen"/>
        <s v="Nathanial Lopes"/>
        <s v="Pyrotek FX"/>
        <s v="Deyron Bell"/>
        <s v="Kunal Dawar"/>
        <s v="Russell Waite"/>
        <s v="Image SFX"/>
        <s v="Tracey Becca"/>
        <s v="Pro Audio World"/>
        <s v="Thomas Kvamme"/>
        <s v="Dylan Dang"/>
        <s v="Cori Herbst"/>
        <s v="george lyristis"/>
        <s v="Joshua Gutierrez"/>
        <s v="matthew reid"/>
        <s v="Hayley Sewell"/>
        <s v="Garrett Belschner"/>
        <s v="David Lenis"/>
        <s v="Angelo Angela"/>
        <s v="Amped Entertainment"/>
        <s v="Luis Yrtube"/>
      </sharedItems>
    </cacheField>
    <cacheField name="Ordered Date" numFmtId="0">
      <sharedItems containsSemiMixedTypes="0" containsNonDate="0" containsDate="1" containsString="0" minDate="2024-02-01T00:00:00" maxDate="2024-02-29T05:06:13" count="105">
        <d v="2024-02-29T05:06:13"/>
        <d v="2024-02-29T00:00:00"/>
        <d v="2024-02-28T22:38:50"/>
        <d v="2024-02-28T19:08:09"/>
        <d v="2024-02-28T07:15:58"/>
        <d v="2024-02-28T00:00:00"/>
        <d v="2024-02-27T22:12:55"/>
        <d v="2024-02-27T20:51:50"/>
        <d v="2024-02-27T20:43:02"/>
        <d v="2024-02-27T15:16:05"/>
        <d v="2024-02-27T02:02:22"/>
        <d v="2024-02-27T00:00:00"/>
        <d v="2024-02-26T23:01:11"/>
        <d v="2024-02-26T22:49:51"/>
        <d v="2024-02-26T19:08:46"/>
        <d v="2024-02-26T17:22:57"/>
        <d v="2024-02-26T14:31:09"/>
        <d v="2024-02-26T02:38:55"/>
        <d v="2024-02-26T02:29:04"/>
        <d v="2024-02-26T00:00:00"/>
        <d v="2024-02-25T03:02:03"/>
        <d v="2024-02-25T01:02:54"/>
        <d v="2024-02-25T01:00:22"/>
        <d v="2024-02-25T00:43:38"/>
        <d v="2024-02-24T04:57:58"/>
        <d v="2024-02-24T03:16:35"/>
        <d v="2024-02-23T21:29:18"/>
        <d v="2024-02-23T15:22:10"/>
        <d v="2024-02-23T00:00:00"/>
        <d v="2024-02-22T22:00:57"/>
        <d v="2024-02-22T21:37:48"/>
        <d v="2024-02-22T20:39:41"/>
        <d v="2024-02-22T14:44:51"/>
        <d v="2024-02-22T09:25:00"/>
        <d v="2024-02-22T06:39:29"/>
        <d v="2024-02-22T00:00:00"/>
        <d v="2024-02-21T22:07:09"/>
        <d v="2024-02-20T18:59:09"/>
        <d v="2024-02-20T01:15:15"/>
        <d v="2024-02-20T00:00:00"/>
        <d v="2024-02-19T21:24:06"/>
        <d v="2024-02-19T18:10:39"/>
        <d v="2024-02-19T15:32:47"/>
        <d v="2024-02-19T14:49:49"/>
        <d v="2024-02-19T00:00:00"/>
        <d v="2024-02-17T19:45:11"/>
        <d v="2024-02-17T15:33:25"/>
        <d v="2024-02-17T00:19:29"/>
        <d v="2024-02-16T20:30:05"/>
        <d v="2024-02-16T19:04:49"/>
        <d v="2024-02-16T17:23:37"/>
        <d v="2024-02-16T00:17:10"/>
        <d v="2024-02-16T00:00:00"/>
        <d v="2024-02-15T21:19:14"/>
        <d v="2024-02-15T16:32:27"/>
        <d v="2024-02-15T01:00:23"/>
        <d v="2024-02-15T00:00:00"/>
        <d v="2024-02-14T21:57:30"/>
        <d v="2024-02-14T21:23:53"/>
        <d v="2024-02-14T20:35:34"/>
        <d v="2024-02-14T20:32:20"/>
        <d v="2024-02-14T17:40:29"/>
        <d v="2024-02-14T13:41:22"/>
        <d v="2024-02-14T00:00:00"/>
        <d v="2024-02-13T16:29:26"/>
        <d v="2024-02-13T14:50:01"/>
        <d v="2024-02-13T10:53:35"/>
        <d v="2024-02-13T02:35:07"/>
        <d v="2024-02-13T00:00:00"/>
        <d v="2024-02-12T23:50:17"/>
        <d v="2024-02-12T21:12:52"/>
        <d v="2024-02-12T20:52:15"/>
        <d v="2024-02-12T19:15:08"/>
        <d v="2024-02-12T00:00:00"/>
        <d v="2024-02-09T21:28:13"/>
        <d v="2024-02-09T20:12:16"/>
        <d v="2024-02-09T07:38:18"/>
        <d v="2024-02-09T05:22:35"/>
        <d v="2024-02-09T00:57:01"/>
        <d v="2024-02-09T00:00:00"/>
        <d v="2024-02-08T00:26:35"/>
        <d v="2024-02-08T00:00:00"/>
        <d v="2024-02-07T22:11:30"/>
        <d v="2024-02-07T18:24:40"/>
        <d v="2024-02-07T17:57:47"/>
        <d v="2024-02-07T00:00:00"/>
        <d v="2024-02-06T23:49:04"/>
        <d v="2024-02-06T23:45:46"/>
        <d v="2024-02-06T23:19:05"/>
        <d v="2024-02-06T21:01:49"/>
        <d v="2024-02-06T19:31:59"/>
        <d v="2024-02-06T00:00:00"/>
        <d v="2024-02-05T19:20:47"/>
        <d v="2024-02-05T00:00:00"/>
        <d v="2024-02-04T17:31:05"/>
        <d v="2024-02-04T04:11:14"/>
        <d v="2024-02-03T01:17:23"/>
        <d v="2024-02-02T21:49:22"/>
        <d v="2024-02-02T20:20:08"/>
        <d v="2024-02-02T18:14:06"/>
        <d v="2024-02-02T03:08:02"/>
        <d v="2024-02-01T20:25:05"/>
        <d v="2024-02-01T05:03:50"/>
        <d v="2024-02-01T04:10:45"/>
        <d v="2024-02-01T00:00:00"/>
      </sharedItems>
      <fieldGroup base="2">
        <rangePr startDate="2024-02-01T00:00:00" endDate="2024-02-29T05:06:13" groupBy="days"/>
        <groupItems count="368">
          <s v="&lt;02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/29/2024"/>
        </groupItems>
      </fieldGroup>
    </cacheField>
    <cacheField name="Line Item Name" numFmtId="0">
      <sharedItems containsNonDate="0" count="103">
        <s v="CC-F-HEA"/>
        <s v="MagicFX ARM SFX SAFETY TERMINATOR"/>
        <s v="CC-VV-KIT"/>
        <s v="Shipping Charges"/>
        <s v="CC-QJ-5-110"/>
        <s v="CC-NPTC-06-STD"/>
        <s v="CC-WASH-10"/>
        <s v="CC-AC-CTAT"/>
        <s v="CC-CH-15-STD"/>
        <s v="CC-PROJ-5-110"/>
        <s v="CC-AC-CLAMP"/>
        <s v="CC-AC-OP"/>
        <s v="CC-CH-15-DSY"/>
        <s v="CC-CH-15-EXT"/>
        <s v="CC-CH-100-STD"/>
        <s v="CC-AC-CCL"/>
        <s v="Shipping Fees"/>
        <s v="CC-CH-25-EXT"/>
        <s v="CO2 Valve Replacement Seal"/>
        <s v="Repair"/>
        <s v="CC-AC-CTS"/>
        <s v="CC-CTC-20"/>
        <s v="CC-HCCMKII-08-NC"/>
        <s v="CC-AC-ROR"/>
        <s v="CC-SS-35"/>
        <s v="CC-CH-50-EXT"/>
        <s v="CC-TB-35"/>
        <s v="CC-HCCMKII-15-NC"/>
        <s v="CC-CTC-50"/>
        <s v="CC-CH-05-EXT"/>
        <s v="CC-AC-CGANPT-SET"/>
        <s v="CC-F-DCHA"/>
        <s v="CC-CH-08-STD"/>
        <s v="CC-HCCMKII-15-TC"/>
        <s v="CC-HCCMKII-08-TC"/>
        <s v="CC Processing Fee"/>
        <s v="CC-CC2-110"/>
        <s v="CC-CH-50-STD"/>
        <s v="CC-CH-08-EXT"/>
        <s v="CC-AC-TB-KIT"/>
        <s v="CC-F-MFFQC-TEE"/>
        <s v="CC-AC-BM-KIT"/>
        <s v="CC-CH-35-EXT"/>
        <s v="CC-MJMKII-3-110"/>
        <s v="CC-CH-25-STD"/>
        <s v="CC-AC-CLAMP-CC2-KIT"/>
        <s v="CC-F-COT"/>
        <s v="CC-CH-35-STD"/>
        <s v="MagicFX Device updater"/>
        <s v="CC-PROJ-5-110-JIC"/>
        <s v="CC-AC-LA2"/>
        <s v="CC-CH-05-STD - 01"/>
        <s v="CC-AC-ROR2"/>
        <s v="Compressible-Stem Push-In Bumpers"/>
        <s v="Mocap 1/2” hole cap"/>
        <s v="#12 x 1/2&quot; High Low Thread Forming Screws / Phillips / Pan Head / Steel / Black Zinc"/>
        <s v="1/4-20 x 3/4” CS screw"/>
        <s v="1/2-13 x 3/4” CS screw"/>
        <s v="CC-AC-4PM"/>
        <s v="CC-CH-05-MFD"/>
        <s v=" CC-AC-CGAJIC-SET - 1"/>
        <s v="CC-CH-35-DSY"/>
        <s v="CC-AC-TC"/>
        <s v="Small Key Lock Tool"/>
        <s v="The Button Key Assembly - 1"/>
        <s v="Discount"/>
        <s v="MagicFX StadiumBlaster"/>
        <s v="Obsidian RP2 Relay Pack"/>
        <s v="CC-F-CGA-FQC"/>
        <s v="CC-CH-02-MFD"/>
        <s v="CC-F-MFDCGAJIC"/>
        <s v="CC-CH-08-DSY"/>
        <s v="CC-AC-LGK"/>
        <s v="MFX-MFD-CUST"/>
        <s v="CO2-T - BSPP"/>
        <s v="3/8” BSPP Bonding Washer Seal"/>
        <s v="CC-F-MQCBSPPF"/>
        <s v="CC-QJ-5-110-JIC"/>
        <s v="Micro Jet MKII 5-Pin XLR PCB"/>
        <s v="8-32 x 3/8&quot; Binding Screw"/>
        <s v="Tact Switch Caps"/>
        <s v="#4 x 3/8&quot; Thread Forming Screws for Plastics (48-2) CS Steel Black"/>
        <s v="CC-AC-CGAJIC - 1"/>
        <s v="CGA-320 Nut"/>
        <s v=" CC-AC-CGAJIC-SET"/>
        <s v="100FT CO2 HOSE - 3/8&quot; (BSPP x JIC #6)"/>
        <s v="50FT CO2 HOSE - 3/8&quot; (BSPP x JIC #6)"/>
        <s v="35FT CO2 HOSE - 3/8&quot; (BSPP x JIC #6)"/>
        <s v="25FT CO2 HOSE - 3/8&quot; (BSPP x JIC #6)"/>
        <s v="15FT CO2 HOSE - 3/8&quot; (BSPP x JIC #6)"/>
        <s v="10FT CO2 Hose - JIC  x JIC"/>
        <s v="6FJ-6SB"/>
        <s v="Cut &amp; Crimp Fee"/>
        <s v="CC-RC-2430"/>
        <s v="CC-RC-2430-PJI"/>
        <s v="CC-RC-2430-LAI"/>
        <s v="CC-RC-2430-TTI"/>
        <s v="1/4&quot;(.250in) 6.3mm 14-16awg Spade Terminal"/>
        <s v="Shoulder washers"/>
        <s v="1/4-20 x 1/2&quot; SEMS Screws / Internal Tooth Washer / PH S Black"/>
        <s v="3/4 OD X 1/4 ID X 1/8 Thickness Neoprene Rubber Washers"/>
        <s v="CC-AC-CLAMP-MJMKII-KIT"/>
        <s v="Valve Top Component"/>
      </sharedItems>
    </cacheField>
    <cacheField name="Line Item Description" numFmtId="0">
      <sharedItems containsNonDate="0" containsBlank="1" count="114">
        <s v="Hose Extension Adapter"/>
        <s v="RJ45 Terminator - required for ARM System"/>
        <s v="Volt View - True1 voltage detection device"/>
        <m/>
        <s v="Quad Jet 110v with 5 Pin DMX With Barrels"/>
        <s v="Neutrik PowerCON True1 Cords - 6FT, Standard"/>
        <s v="CO2 Washers (10 pack)"/>
        <s v="Co2 Tank Attachment Tool"/>
        <s v="Co2 Hose 15FT Standard Config"/>
        <s v="Pro Jet"/>
        <s v="Truss Clamp"/>
        <s v="CO2 Tank Tool + Washers "/>
        <s v="Co2 Hose 15FT Daisy Chain"/>
        <s v="Co2 Hose 15FT Extension Config"/>
        <s v="Co2 Hose 100FT Standard Config"/>
        <s v="CO2 Cylinder Link"/>
        <s v="Co2 Hose 25FT Extension Config"/>
        <s v="Teflon &amp; Brass seal for 1/4&quot; CO2 Valve"/>
        <s v="Maintenance on 4-Zone Controllers"/>
        <s v="CO2 Tank Splitter"/>
        <s v="CO2 Tank Covers - 20lb Cover"/>
        <s v="Handheld CO2 Cannon MKII"/>
        <s v="Replacement O-Ring"/>
        <s v="ShoStarter DMX Controller with 3 &amp; 5 Pin Connectors in Box"/>
        <s v="Co2 Hose 50FT Extension Config"/>
        <s v="The Button - with both 3 &amp; 5 pin DMX ports"/>
        <s v="Reprogramming of Quad Jets"/>
        <s v="CO2 Tank Covers - 50lb Cover"/>
        <s v="Co2 Hose 05FT Extension Config"/>
        <s v="CGA-320 to 1/4&quot; NPT adapter with nut."/>
        <s v="Daisy Chain Adapter"/>
        <s v="Co2 Hose 08FT Standard Config"/>
        <s v="Repair of Handheld MKII Serial# 003067"/>
        <s v="Warranty Repair of Serial# 004855"/>
        <s v="Handheld MKII in travel case with 15ft hose"/>
        <s v="Handheld MKII in travel case with 8ft hose"/>
        <s v="3% Fee for CC Processing Charges"/>
        <s v="Cryo Clamp II, 110v, Weatherproof CO2 Jet"/>
        <s v="Co2 Hose 50FT Standard Config"/>
        <s v="Co2 Hose 08FT Extension Config"/>
        <s v="Cryo Clamp wall mount bracket kit with included 1/2-13 x 3/4&quot; stainless pan head screw"/>
        <s v="Male x Female x Female Quick Connect Junction"/>
        <s v="Ball Mount Assembly for Cryo Clamp with 4x 10-32 x 3/8&quot; socket head screws"/>
        <s v="Warranty Repair RMA# 108357"/>
        <s v="Co2 Hose 35FT Extension Config"/>
        <s v="Micro CO2 Jet MKII"/>
        <s v="Co2 Hose 25FT Standard Config"/>
        <s v="Truss clamp for CC2 with 1/2-13 x 3/4” CS screw"/>
        <s v=" CO2 Output Terminator"/>
        <s v="Co2 Hose 35FT Standard Config"/>
        <s v="Used for pushing firmware to products"/>
        <s v="Pro Jet - 5 Pin, 110v, JIC in/out"/>
        <s v="LED Attachment for DMX Jet, DMX Jet MKII, and Pro Jet."/>
        <s v="Co2 Hose 05FT Standard Config"/>
        <s v="Replacement O-Ring - 2023 Quick Connects. EPDM"/>
        <s v="Warranty Repair of Pro Jet Serial# 0322841"/>
        <s v="Compressible-Stem Push-In Bumpers - pro jet foot"/>
        <s v="Mocap 1/2” hole cap - pro jet foot cap"/>
        <s v="Pro Jet feet screws (thread forming)"/>
        <s v="1/4-20 x 3/4” CS screw"/>
        <s v="1/2-13 x 3/4” CS screw"/>
        <s v="4 Port Co2 Manifold - 4x JIC 3/8&quot; Inlets, 1x JIC 3/8&quot; Outlet with Truss Bracket"/>
        <s v="5FT CO2 Hose (CGA-320 x Female JIC 3/8&quot;) For use with Manifold"/>
        <s v="CGA-320 to JIC adapter with nut and integrated groove for o-ring"/>
        <s v="Warranty Repair of LED Attachment Serial# 0923019"/>
        <s v="Co2 Hose 35FT Daisy Chain"/>
        <s v="Travel Case"/>
        <s v="Used for installing / removing small key switch"/>
        <s v="Key Switch with Wires and JST Connector for The Button"/>
        <s v="Bulk Order Discount"/>
        <s v="DMX Controlled Confetti Blower"/>
        <s v="2 Output DMX Relay with Timer"/>
        <s v="Pro Jet - No Hose"/>
        <s v="CGA-320 Female to Female Quick Connect"/>
        <s v="2FT CO2 Hose (CGA-320 x Female JIC 3/8&quot;) For use with Manifold"/>
        <s v="Adapter for use with Manifold - to attach standard CGA-320 hose configuration"/>
        <s v="Co2 Hose 08FT Daisy Chain"/>
        <s v="Replacement Keys - Shomaster &amp; ShoStarter"/>
        <s v="Custom Magic FX Manifold"/>
        <s v="Brass Center Pull Co2 passthrough with male BSPP"/>
        <s v="3/8” BSPP Bonding Washer Seal"/>
        <s v="3/8&quot; Male Quick Connect Fitting BSPP thread female"/>
        <s v="Quad Jet 110v with 5 Pin DMX, JIC Connections - No Hoses"/>
        <s v="Pro Jet - 5 Pin, 110v, JIC in/out - No Hoses"/>
        <s v="Co2 Hose 15FT Extension Config - Included"/>
        <s v="Co2 Hose 100FT Standard Config - Upgrade from 15FT "/>
        <s v="DMX Input PCB"/>
        <s v="Micro Jet MKII Foot Screw"/>
        <s v="Soft Tact Switch Cap"/>
        <s v="Micro Jet XLR Fasteners"/>
        <s v="CGA-320 to 3/8in JIC with groove for integrated O-ring"/>
        <s v="CGA-320 Nut"/>
        <s v="CGA-320 to JIC adapter with nut."/>
        <s v="100FT CO2 HOSE - FEMALE JIC #6 x FEMALE JIC #6"/>
        <s v="50FT CO2 HOSE - FEMALE JIC #6 x FEMALE JIC #6"/>
        <s v="35FT CO2 HOSE - FEMALE JIC #6 x FEMALE JIC #6"/>
        <s v="25FT CO2 HOSE - FEMALE JIC #6 x FEMALE JIC #6"/>
        <s v="15FT CO2 HOSE - FEMALE JIC #6 x FEMALE JIC #6"/>
        <s v="10FT CO2 Hose - JIC  x JIC"/>
        <s v="#6 JIC Female Hose Crimp Fitting"/>
        <s v="Pro Jet - 5 Pin, 110v, JIC in/out - White"/>
        <s v="LED Attachment for Pro Jet - White"/>
        <s v="24x30 Road Case"/>
        <s v="24x30 Road Case Insert - Pro Jet"/>
        <s v="24x30 Road Case Insert - LED Attachment"/>
        <s v="24x30 Road Case Insert - Top Tray Insert"/>
        <s v="Repair of 4 x DMX Jet MKII PCB, Valve maintenance and cleaning, and testing."/>
        <s v="1/4&quot;(.250in) 6.3mm 14-16awg Spade Terminal"/>
        <s v="Shoulder washers"/>
        <s v="1/4-20 x 1/2&quot; SEMS Screws / Internal Tooth Washer / PH S Black"/>
        <s v="3/4 OD X 1/4 ID X 1/8 Thickness Neoprene Rubber Washers"/>
        <s v="Truss Clamp for Micro Jet MKII w/ Hardware"/>
        <s v="CO2 Cylinder Link "/>
        <s v="Top of 1/4&quot; CO2 Valve"/>
      </sharedItems>
    </cacheField>
    <cacheField name="Order Quantity" numFmtId="0">
      <sharedItems containsSemiMixedTypes="0" containsNonDate="0" containsString="0" containsNumber="1" containsInteger="1" minValue="1" maxValue="80" count="20">
        <n v="1"/>
        <n v="4"/>
        <n v="2"/>
        <n v="8"/>
        <n v="3"/>
        <n v="6"/>
        <n v="9"/>
        <n v="12"/>
        <n v="5"/>
        <n v="10"/>
        <n v="67"/>
        <n v="59"/>
        <n v="20"/>
        <n v="80"/>
        <n v="7"/>
        <n v="14"/>
        <n v="28"/>
        <n v="50"/>
        <n v="24"/>
        <n v="25"/>
      </sharedItems>
    </cacheField>
    <cacheField name="Unit Price" numFmtId="0">
      <sharedItems containsSemiMixedTypes="0" containsNonDate="0" containsString="0" containsNumber="1" minValue="-318.874" maxValue="3999.99" count="106">
        <n v="19.99"/>
        <n v="29.99"/>
        <n v="59.9925"/>
        <n v="19.6"/>
        <n v="2499.99"/>
        <n v="0"/>
        <n v="1299.99"/>
        <n v="549.99"/>
        <n v="119.99"/>
        <n v="211.64"/>
        <n v="149.99"/>
        <n v="199.99"/>
        <n v="39.64"/>
        <n v="49.99"/>
        <n v="349.99"/>
        <n v="1.99"/>
        <n v="1199.99"/>
        <n v="34.16"/>
        <n v="299.99"/>
        <n v="399.99"/>
        <n v="9.99"/>
        <n v="79.98999999999999"/>
        <n v="37.4925"/>
        <n v="15.66"/>
        <n v="189.46"/>
        <n v="59.99"/>
        <n v="99.98999999999999"/>
        <n v="22.99"/>
        <n v="109.99"/>
        <n v="599.99"/>
        <n v="330"/>
        <n v="9.9"/>
        <n v="324.99"/>
        <n v="2350"/>
        <n v="43.5"/>
        <n v="374.9925"/>
        <n v="224.9925"/>
        <n v="82.49250000000001"/>
        <n v="135.35"/>
        <n v="499.99"/>
        <n v="126.89"/>
        <n v="187.4925"/>
        <n v="35.42"/>
        <n v="849.99"/>
        <n v="50"/>
        <n v="89.99250000000001"/>
        <n v="29.45"/>
        <n v="14.5"/>
        <n v="100"/>
        <n v="145"/>
        <n v="14"/>
        <n v="974.9924999999999"/>
        <n v="599.9924999999999"/>
        <n v="899.9924999999999"/>
        <n v="92.40000000000001"/>
        <n v="249.99"/>
        <n v="134.9925"/>
        <n v="56.2425"/>
        <n v="17.2425"/>
        <n v="299.9925"/>
        <n v="112.4925"/>
        <n v="262.4925"/>
        <n v="297.53"/>
        <n v="219.99"/>
        <n v="58.65"/>
        <n v="175"/>
        <n v="8.99"/>
        <n v="-318.874"/>
        <n v="3999.99"/>
        <n v="576.4400000000001"/>
        <n v="334.99"/>
        <n v="52.81"/>
        <n v="900"/>
        <n v="48.7425"/>
        <n v="121.55"/>
        <n v="591.65"/>
        <n v="41.66"/>
        <n v="179.99"/>
        <n v="64.98999999999999"/>
        <n v="12.99"/>
        <n v="320"/>
        <n v="12.65"/>
        <n v="40"/>
        <n v="16.42"/>
        <n v="1650"/>
        <n v="116.25"/>
        <n v="314.991"/>
        <n v="637.4924999999999"/>
        <n v="318.75"/>
        <n v="449.9925"/>
        <n v="221.66"/>
        <n v="22.4925"/>
        <n v="171.8"/>
        <n v="412.4925"/>
        <n v="149.9925"/>
        <n v="48.75"/>
        <n v="7.5"/>
        <n v="15"/>
        <n v="1024.6"/>
        <n v="22.9"/>
        <n v="956.2424999999999"/>
        <n v="1199.9925"/>
        <n v="266.84"/>
        <n v="470"/>
        <n v="28.65"/>
        <n v="52.34"/>
      </sharedItems>
    </cacheField>
    <cacheField name="Total Line Item $" numFmtId="0">
      <sharedItems containsSemiMixedTypes="0" containsNonDate="0" containsString="0" containsNumber="1" minValue="-318.874" maxValue="12600" count="161">
        <n v="19.99"/>
        <n v="29.99"/>
        <n v="239.97"/>
        <n v="19.6"/>
        <n v="4999.98"/>
        <n v="0"/>
        <n v="5199.96"/>
        <n v="119.96"/>
        <n v="549.99"/>
        <n v="239.98"/>
        <n v="211.64"/>
        <n v="149.99"/>
        <n v="399.98"/>
        <n v="39.64"/>
        <n v="49.99"/>
        <n v="99.98"/>
        <n v="349.99"/>
        <n v="1.99"/>
        <n v="1199.99"/>
        <n v="34.16"/>
        <n v="199.96"/>
        <n v="599.98"/>
        <n v="399.99"/>
        <n v="19.98"/>
        <n v="79.98999999999999"/>
        <n v="74.985"/>
        <n v="15.66"/>
        <n v="189.46"/>
        <n v="59.99"/>
        <n v="399.96"/>
        <n v="22.99"/>
        <n v="109.99"/>
        <n v="9.99"/>
        <n v="599.99"/>
        <n v="119.98"/>
        <n v="330"/>
        <n v="9.9"/>
        <n v="59.94"/>
        <n v="324.99"/>
        <n v="2350"/>
        <n v="43.5"/>
        <n v="374.9925"/>
        <n v="224.9925"/>
        <n v="82.49250000000001"/>
        <n v="59.9925"/>
        <n v="135.35"/>
        <n v="1199.98"/>
        <n v="1999.96"/>
        <n v="79.95999999999999"/>
        <n v="1199.96"/>
        <n v="126.89"/>
        <n v="1499.94"/>
        <n v="35.42"/>
        <n v="849.99"/>
        <n v="50"/>
        <n v="219.98"/>
        <n v="199.99"/>
        <n v="719.9400000000001"/>
        <n v="29.45"/>
        <n v="179.9775"/>
        <n v="14.5"/>
        <n v="59.98"/>
        <n v="2599.98"/>
        <n v="200"/>
        <n v="1699.98"/>
        <n v="100"/>
        <n v="39.96"/>
        <n v="145"/>
        <n v="14"/>
        <n v="3899.97"/>
        <n v="2399.97"/>
        <n v="899.9924999999999"/>
        <n v="92.40000000000001"/>
        <n v="99.98999999999999"/>
        <n v="499.98"/>
        <n v="5.97"/>
        <n v="3.98"/>
        <n v="269.985"/>
        <n v="506.1825"/>
        <n v="137.94"/>
        <n v="299.9925"/>
        <n v="337.4775"/>
        <n v="974.9924999999999"/>
        <n v="787.4775"/>
        <n v="297.53"/>
        <n v="479.96"/>
        <n v="249.99"/>
        <n v="299.99"/>
        <n v="439.98"/>
        <n v="149.97"/>
        <n v="58.65"/>
        <n v="6799.92"/>
        <n v="525"/>
        <n v="44.95"/>
        <n v="19.9"/>
        <n v="2009.33"/>
        <n v="1179.41"/>
        <n v="-318.874"/>
        <n v="875"/>
        <n v="499.99"/>
        <n v="799.98"/>
        <n v="3999.99"/>
        <n v="576.4400000000001"/>
        <n v="334.99"/>
        <n v="52.81"/>
        <n v="159.98"/>
        <n v="359.97"/>
        <n v="29.97"/>
        <n v="719.88"/>
        <n v="4500"/>
        <n v="3749.85"/>
        <n v="3899.4"/>
        <n v="121.55"/>
        <n v="591.65"/>
        <n v="83.31999999999999"/>
        <n v="359.98"/>
        <n v="519.92"/>
        <n v="159.92"/>
        <n v="329.97"/>
        <n v="12.99"/>
        <n v="320"/>
        <n v="12.65"/>
        <n v="160"/>
        <n v="16.42"/>
        <n v="8250"/>
        <n v="6300"/>
        <n v="116.25"/>
        <n v="314.991"/>
        <n v="5099.94"/>
        <n v="956.25"/>
        <n v="374.985"/>
        <n v="1199.97"/>
        <n v="899.985"/>
        <n v="899.9775"/>
        <n v="221.66"/>
        <n v="12600"/>
        <n v="629.79"/>
        <n v="171.8"/>
        <n v="700"/>
        <n v="1649.97"/>
        <n v="1799.94"/>
        <n v="749.97"/>
        <n v="599.97"/>
        <n v="449.97"/>
        <n v="195"/>
        <n v="210"/>
        <n v="360"/>
        <n v="1024.6"/>
        <n v="1250"/>
        <n v="22.9"/>
        <n v="149.95"/>
        <n v="4781.2125"/>
        <n v="3187.4625"/>
        <n v="1199.9925"/>
        <n v="266.84"/>
        <n v="179.97"/>
        <n v="470"/>
        <n v="1049.97"/>
        <n v="28.65"/>
        <n v="179.99"/>
        <n v="52.34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D2:F343" sheet="February 2024"/>
  </cacheSource>
  <cacheFields count="3">
    <cacheField name="Line Item Name" numFmtId="0">
      <sharedItems containsNonDate="0" count="103">
        <s v="CC-F-HEA"/>
        <s v="MagicFX ARM SFX SAFETY TERMINATOR"/>
        <s v="CC-VV-KIT"/>
        <s v="Shipping Charges"/>
        <s v="CC-QJ-5-110"/>
        <s v="CC-NPTC-06-STD"/>
        <s v="CC-WASH-10"/>
        <s v="CC-AC-CTAT"/>
        <s v="CC-CH-15-STD"/>
        <s v="CC-PROJ-5-110"/>
        <s v="CC-AC-CLAMP"/>
        <s v="CC-AC-OP"/>
        <s v="CC-CH-15-DSY"/>
        <s v="CC-CH-15-EXT"/>
        <s v="CC-CH-100-STD"/>
        <s v="CC-AC-CCL"/>
        <s v="Shipping Fees"/>
        <s v="CC-CH-25-EXT"/>
        <s v="CO2 Valve Replacement Seal"/>
        <s v="Repair"/>
        <s v="CC-AC-CTS"/>
        <s v="CC-CTC-20"/>
        <s v="CC-HCCMKII-08-NC"/>
        <s v="CC-AC-ROR"/>
        <s v="CC-SS-35"/>
        <s v="CC-CH-50-EXT"/>
        <s v="CC-TB-35"/>
        <s v="CC-HCCMKII-15-NC"/>
        <s v="CC-CTC-50"/>
        <s v="CC-CH-05-EXT"/>
        <s v="CC-AC-CGANPT-SET"/>
        <s v="CC-F-DCHA"/>
        <s v="CC-CH-08-STD"/>
        <s v="CC-HCCMKII-15-TC"/>
        <s v="CC-HCCMKII-08-TC"/>
        <s v="CC Processing Fee"/>
        <s v="CC-CC2-110"/>
        <s v="CC-CH-50-STD"/>
        <s v="CC-CH-08-EXT"/>
        <s v="CC-AC-TB-KIT"/>
        <s v="CC-F-MFFQC-TEE"/>
        <s v="CC-AC-BM-KIT"/>
        <s v="CC-CH-35-EXT"/>
        <s v="CC-MJMKII-3-110"/>
        <s v="CC-CH-25-STD"/>
        <s v="CC-AC-CLAMP-CC2-KIT"/>
        <s v="CC-F-COT"/>
        <s v="CC-CH-35-STD"/>
        <s v="MagicFX Device updater"/>
        <s v="CC-PROJ-5-110-JIC"/>
        <s v="CC-AC-LA2"/>
        <s v="CC-CH-05-STD - 01"/>
        <s v="CC-AC-ROR2"/>
        <s v="Compressible-Stem Push-In Bumpers"/>
        <s v="Mocap 1/2” hole cap"/>
        <s v="#12 x 1/2&quot; High Low Thread Forming Screws / Phillips / Pan Head / Steel / Black Zinc"/>
        <s v="1/4-20 x 3/4” CS screw"/>
        <s v="1/2-13 x 3/4” CS screw"/>
        <s v="CC-AC-4PM"/>
        <s v="CC-CH-05-MFD"/>
        <s v=" CC-AC-CGAJIC-SET - 1"/>
        <s v="CC-CH-35-DSY"/>
        <s v="CC-AC-TC"/>
        <s v="Small Key Lock Tool"/>
        <s v="The Button Key Assembly - 1"/>
        <s v="Discount"/>
        <s v="MagicFX StadiumBlaster"/>
        <s v="Obsidian RP2 Relay Pack"/>
        <s v="CC-F-CGA-FQC"/>
        <s v="CC-CH-02-MFD"/>
        <s v="CC-F-MFDCGAJIC"/>
        <s v="CC-CH-08-DSY"/>
        <s v="CC-AC-LGK"/>
        <s v="MFX-MFD-CUST"/>
        <s v="CO2-T - BSPP"/>
        <s v="3/8” BSPP Bonding Washer Seal"/>
        <s v="CC-F-MQCBSPPF"/>
        <s v="CC-QJ-5-110-JIC"/>
        <s v="Micro Jet MKII 5-Pin XLR PCB"/>
        <s v="8-32 x 3/8&quot; Binding Screw"/>
        <s v="Tact Switch Caps"/>
        <s v="#4 x 3/8&quot; Thread Forming Screws for Plastics (48-2) CS Steel Black"/>
        <s v="CC-AC-CGAJIC - 1"/>
        <s v="CGA-320 Nut"/>
        <s v=" CC-AC-CGAJIC-SET"/>
        <s v="100FT CO2 HOSE - 3/8&quot; (BSPP x JIC #6)"/>
        <s v="50FT CO2 HOSE - 3/8&quot; (BSPP x JIC #6)"/>
        <s v="35FT CO2 HOSE - 3/8&quot; (BSPP x JIC #6)"/>
        <s v="25FT CO2 HOSE - 3/8&quot; (BSPP x JIC #6)"/>
        <s v="15FT CO2 HOSE - 3/8&quot; (BSPP x JIC #6)"/>
        <s v="10FT CO2 Hose - JIC  x JIC"/>
        <s v="6FJ-6SB"/>
        <s v="Cut &amp; Crimp Fee"/>
        <s v="CC-RC-2430"/>
        <s v="CC-RC-2430-PJI"/>
        <s v="CC-RC-2430-LAI"/>
        <s v="CC-RC-2430-TTI"/>
        <s v="1/4&quot;(.250in) 6.3mm 14-16awg Spade Terminal"/>
        <s v="Shoulder washers"/>
        <s v="1/4-20 x 1/2&quot; SEMS Screws / Internal Tooth Washer / PH S Black"/>
        <s v="3/4 OD X 1/4 ID X 1/8 Thickness Neoprene Rubber Washers"/>
        <s v="CC-AC-CLAMP-MJMKII-KIT"/>
        <s v="Valve Top Component"/>
      </sharedItems>
    </cacheField>
    <cacheField name="Line Item Description" numFmtId="0">
      <sharedItems containsNonDate="0" containsBlank="1" count="114">
        <s v="Hose Extension Adapter"/>
        <s v="RJ45 Terminator - required for ARM System"/>
        <s v="Volt View - True1 voltage detection device"/>
        <m/>
        <s v="Quad Jet 110v with 5 Pin DMX With Barrels"/>
        <s v="Neutrik PowerCON True1 Cords - 6FT, Standard"/>
        <s v="CO2 Washers (10 pack)"/>
        <s v="Co2 Tank Attachment Tool"/>
        <s v="Co2 Hose 15FT Standard Config"/>
        <s v="Pro Jet"/>
        <s v="Truss Clamp"/>
        <s v="CO2 Tank Tool + Washers "/>
        <s v="Co2 Hose 15FT Daisy Chain"/>
        <s v="Co2 Hose 15FT Extension Config"/>
        <s v="Co2 Hose 100FT Standard Config"/>
        <s v="CO2 Cylinder Link"/>
        <s v="Co2 Hose 25FT Extension Config"/>
        <s v="Teflon &amp; Brass seal for 1/4&quot; CO2 Valve"/>
        <s v="Maintenance on 4-Zone Controllers"/>
        <s v="CO2 Tank Splitter"/>
        <s v="CO2 Tank Covers - 20lb Cover"/>
        <s v="Handheld CO2 Cannon MKII"/>
        <s v="Replacement O-Ring"/>
        <s v="ShoStarter DMX Controller with 3 &amp; 5 Pin Connectors in Box"/>
        <s v="Co2 Hose 50FT Extension Config"/>
        <s v="The Button - with both 3 &amp; 5 pin DMX ports"/>
        <s v="Reprogramming of Quad Jets"/>
        <s v="CO2 Tank Covers - 50lb Cover"/>
        <s v="Co2 Hose 05FT Extension Config"/>
        <s v="CGA-320 to 1/4&quot; NPT adapter with nut."/>
        <s v="Daisy Chain Adapter"/>
        <s v="Co2 Hose 08FT Standard Config"/>
        <s v="Repair of Handheld MKII Serial# 003067"/>
        <s v="Warranty Repair of Serial# 004855"/>
        <s v="Handheld MKII in travel case with 15ft hose"/>
        <s v="Handheld MKII in travel case with 8ft hose"/>
        <s v="3% Fee for CC Processing Charges"/>
        <s v="Cryo Clamp II, 110v, Weatherproof CO2 Jet"/>
        <s v="Co2 Hose 50FT Standard Config"/>
        <s v="Co2 Hose 08FT Extension Config"/>
        <s v="Cryo Clamp wall mount bracket kit with included 1/2-13 x 3/4&quot; stainless pan head screw"/>
        <s v="Male x Female x Female Quick Connect Junction"/>
        <s v="Ball Mount Assembly for Cryo Clamp with 4x 10-32 x 3/8&quot; socket head screws"/>
        <s v="Warranty Repair RMA# 108357"/>
        <s v="Co2 Hose 35FT Extension Config"/>
        <s v="Micro CO2 Jet MKII"/>
        <s v="Co2 Hose 25FT Standard Config"/>
        <s v="Truss clamp for CC2 with 1/2-13 x 3/4” CS screw"/>
        <s v=" CO2 Output Terminator"/>
        <s v="Co2 Hose 35FT Standard Config"/>
        <s v="Used for pushing firmware to products"/>
        <s v="Pro Jet - 5 Pin, 110v, JIC in/out"/>
        <s v="LED Attachment for DMX Jet, DMX Jet MKII, and Pro Jet."/>
        <s v="Co2 Hose 05FT Standard Config"/>
        <s v="Replacement O-Ring - 2023 Quick Connects. EPDM"/>
        <s v="Warranty Repair of Pro Jet Serial# 0322841"/>
        <s v="Compressible-Stem Push-In Bumpers - pro jet foot"/>
        <s v="Mocap 1/2” hole cap - pro jet foot cap"/>
        <s v="Pro Jet feet screws (thread forming)"/>
        <s v="1/4-20 x 3/4” CS screw"/>
        <s v="1/2-13 x 3/4” CS screw"/>
        <s v="4 Port Co2 Manifold - 4x JIC 3/8&quot; Inlets, 1x JIC 3/8&quot; Outlet with Truss Bracket"/>
        <s v="5FT CO2 Hose (CGA-320 x Female JIC 3/8&quot;) For use with Manifold"/>
        <s v="CGA-320 to JIC adapter with nut and integrated groove for o-ring"/>
        <s v="Warranty Repair of LED Attachment Serial# 0923019"/>
        <s v="Co2 Hose 35FT Daisy Chain"/>
        <s v="Travel Case"/>
        <s v="Used for installing / removing small key switch"/>
        <s v="Key Switch with Wires and JST Connector for The Button"/>
        <s v="Bulk Order Discount"/>
        <s v="DMX Controlled Confetti Blower"/>
        <s v="2 Output DMX Relay with Timer"/>
        <s v="Pro Jet - No Hose"/>
        <s v="CGA-320 Female to Female Quick Connect"/>
        <s v="2FT CO2 Hose (CGA-320 x Female JIC 3/8&quot;) For use with Manifold"/>
        <s v="Adapter for use with Manifold - to attach standard CGA-320 hose configuration"/>
        <s v="Co2 Hose 08FT Daisy Chain"/>
        <s v="Replacement Keys - Shomaster &amp; ShoStarter"/>
        <s v="Custom Magic FX Manifold"/>
        <s v="Brass Center Pull Co2 passthrough with male BSPP"/>
        <s v="3/8” BSPP Bonding Washer Seal"/>
        <s v="3/8&quot; Male Quick Connect Fitting BSPP thread female"/>
        <s v="Quad Jet 110v with 5 Pin DMX, JIC Connections - No Hoses"/>
        <s v="Pro Jet - 5 Pin, 110v, JIC in/out - No Hoses"/>
        <s v="Co2 Hose 15FT Extension Config - Included"/>
        <s v="Co2 Hose 100FT Standard Config - Upgrade from 15FT "/>
        <s v="DMX Input PCB"/>
        <s v="Micro Jet MKII Foot Screw"/>
        <s v="Soft Tact Switch Cap"/>
        <s v="Micro Jet XLR Fasteners"/>
        <s v="CGA-320 to 3/8in JIC with groove for integrated O-ring"/>
        <s v="CGA-320 Nut"/>
        <s v="CGA-320 to JIC adapter with nut."/>
        <s v="100FT CO2 HOSE - FEMALE JIC #6 x FEMALE JIC #6"/>
        <s v="50FT CO2 HOSE - FEMALE JIC #6 x FEMALE JIC #6"/>
        <s v="35FT CO2 HOSE - FEMALE JIC #6 x FEMALE JIC #6"/>
        <s v="25FT CO2 HOSE - FEMALE JIC #6 x FEMALE JIC #6"/>
        <s v="15FT CO2 HOSE - FEMALE JIC #6 x FEMALE JIC #6"/>
        <s v="10FT CO2 Hose - JIC  x JIC"/>
        <s v="#6 JIC Female Hose Crimp Fitting"/>
        <s v="Pro Jet - 5 Pin, 110v, JIC in/out - White"/>
        <s v="LED Attachment for Pro Jet - White"/>
        <s v="24x30 Road Case"/>
        <s v="24x30 Road Case Insert - Pro Jet"/>
        <s v="24x30 Road Case Insert - LED Attachment"/>
        <s v="24x30 Road Case Insert - Top Tray Insert"/>
        <s v="Repair of 4 x DMX Jet MKII PCB, Valve maintenance and cleaning, and testing."/>
        <s v="1/4&quot;(.250in) 6.3mm 14-16awg Spade Terminal"/>
        <s v="Shoulder washers"/>
        <s v="1/4-20 x 1/2&quot; SEMS Screws / Internal Tooth Washer / PH S Black"/>
        <s v="3/4 OD X 1/4 ID X 1/8 Thickness Neoprene Rubber Washers"/>
        <s v="Truss Clamp for Micro Jet MKII w/ Hardware"/>
        <s v="CO2 Cylinder Link "/>
        <s v="Top of 1/4&quot; CO2 Valve"/>
      </sharedItems>
    </cacheField>
    <cacheField name="Order Quantity" numFmtId="0">
      <sharedItems containsSemiMixedTypes="0" containsNonDate="0" containsString="0" containsNumber="1" containsInteger="1" minValue="1" maxValue="80" count="20">
        <n v="1"/>
        <n v="4"/>
        <n v="2"/>
        <n v="8"/>
        <n v="3"/>
        <n v="6"/>
        <n v="9"/>
        <n v="12"/>
        <n v="5"/>
        <n v="10"/>
        <n v="67"/>
        <n v="59"/>
        <n v="20"/>
        <n v="80"/>
        <n v="7"/>
        <n v="14"/>
        <n v="28"/>
        <n v="50"/>
        <n v="24"/>
        <n v="2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41" createdVersion="7">
  <cacheSource type="worksheet">
    <worksheetSource ref="D2:H343" sheet="February 2024"/>
  </cacheSource>
  <cacheFields count="5">
    <cacheField name="Line Item Name" numFmtId="0">
      <sharedItems containsNonDate="0" count="103">
        <s v="CC-F-HEA"/>
        <s v="MagicFX ARM SFX SAFETY TERMINATOR"/>
        <s v="CC-VV-KIT"/>
        <s v="Shipping Charges"/>
        <s v="CC-QJ-5-110"/>
        <s v="CC-NPTC-06-STD"/>
        <s v="CC-WASH-10"/>
        <s v="CC-AC-CTAT"/>
        <s v="CC-CH-15-STD"/>
        <s v="CC-PROJ-5-110"/>
        <s v="CC-AC-CLAMP"/>
        <s v="CC-AC-OP"/>
        <s v="CC-CH-15-DSY"/>
        <s v="CC-CH-15-EXT"/>
        <s v="CC-CH-100-STD"/>
        <s v="CC-AC-CCL"/>
        <s v="Shipping Fees"/>
        <s v="CC-CH-25-EXT"/>
        <s v="CO2 Valve Replacement Seal"/>
        <s v="Repair"/>
        <s v="CC-AC-CTS"/>
        <s v="CC-CTC-20"/>
        <s v="CC-HCCMKII-08-NC"/>
        <s v="CC-AC-ROR"/>
        <s v="CC-SS-35"/>
        <s v="CC-CH-50-EXT"/>
        <s v="CC-TB-35"/>
        <s v="CC-HCCMKII-15-NC"/>
        <s v="CC-CTC-50"/>
        <s v="CC-CH-05-EXT"/>
        <s v="CC-AC-CGANPT-SET"/>
        <s v="CC-F-DCHA"/>
        <s v="CC-CH-08-STD"/>
        <s v="CC-HCCMKII-15-TC"/>
        <s v="CC-HCCMKII-08-TC"/>
        <s v="CC Processing Fee"/>
        <s v="CC-CC2-110"/>
        <s v="CC-CH-50-STD"/>
        <s v="CC-CH-08-EXT"/>
        <s v="CC-AC-TB-KIT"/>
        <s v="CC-F-MFFQC-TEE"/>
        <s v="CC-AC-BM-KIT"/>
        <s v="CC-CH-35-EXT"/>
        <s v="CC-MJMKII-3-110"/>
        <s v="CC-CH-25-STD"/>
        <s v="CC-AC-CLAMP-CC2-KIT"/>
        <s v="CC-F-COT"/>
        <s v="CC-CH-35-STD"/>
        <s v="MagicFX Device updater"/>
        <s v="CC-PROJ-5-110-JIC"/>
        <s v="CC-AC-LA2"/>
        <s v="CC-CH-05-STD - 01"/>
        <s v="CC-AC-ROR2"/>
        <s v="Compressible-Stem Push-In Bumpers"/>
        <s v="Mocap 1/2” hole cap"/>
        <s v="#12 x 1/2&quot; High Low Thread Forming Screws / Phillips / Pan Head / Steel / Black Zinc"/>
        <s v="1/4-20 x 3/4” CS screw"/>
        <s v="1/2-13 x 3/4” CS screw"/>
        <s v="CC-AC-4PM"/>
        <s v="CC-CH-05-MFD"/>
        <s v=" CC-AC-CGAJIC-SET - 1"/>
        <s v="CC-CH-35-DSY"/>
        <s v="CC-AC-TC"/>
        <s v="Small Key Lock Tool"/>
        <s v="The Button Key Assembly - 1"/>
        <s v="Discount"/>
        <s v="MagicFX StadiumBlaster"/>
        <s v="Obsidian RP2 Relay Pack"/>
        <s v="CC-F-CGA-FQC"/>
        <s v="CC-CH-02-MFD"/>
        <s v="CC-F-MFDCGAJIC"/>
        <s v="CC-CH-08-DSY"/>
        <s v="CC-AC-LGK"/>
        <s v="MFX-MFD-CUST"/>
        <s v="CO2-T - BSPP"/>
        <s v="3/8” BSPP Bonding Washer Seal"/>
        <s v="CC-F-MQCBSPPF"/>
        <s v="CC-QJ-5-110-JIC"/>
        <s v="Micro Jet MKII 5-Pin XLR PCB"/>
        <s v="8-32 x 3/8&quot; Binding Screw"/>
        <s v="Tact Switch Caps"/>
        <s v="#4 x 3/8&quot; Thread Forming Screws for Plastics (48-2) CS Steel Black"/>
        <s v="CC-AC-CGAJIC - 1"/>
        <s v="CGA-320 Nut"/>
        <s v=" CC-AC-CGAJIC-SET"/>
        <s v="100FT CO2 HOSE - 3/8&quot; (BSPP x JIC #6)"/>
        <s v="50FT CO2 HOSE - 3/8&quot; (BSPP x JIC #6)"/>
        <s v="35FT CO2 HOSE - 3/8&quot; (BSPP x JIC #6)"/>
        <s v="25FT CO2 HOSE - 3/8&quot; (BSPP x JIC #6)"/>
        <s v="15FT CO2 HOSE - 3/8&quot; (BSPP x JIC #6)"/>
        <s v="10FT CO2 Hose - JIC  x JIC"/>
        <s v="6FJ-6SB"/>
        <s v="Cut &amp; Crimp Fee"/>
        <s v="CC-RC-2430"/>
        <s v="CC-RC-2430-PJI"/>
        <s v="CC-RC-2430-LAI"/>
        <s v="CC-RC-2430-TTI"/>
        <s v="1/4&quot;(.250in) 6.3mm 14-16awg Spade Terminal"/>
        <s v="Shoulder washers"/>
        <s v="1/4-20 x 1/2&quot; SEMS Screws / Internal Tooth Washer / PH S Black"/>
        <s v="3/4 OD X 1/4 ID X 1/8 Thickness Neoprene Rubber Washers"/>
        <s v="CC-AC-CLAMP-MJMKII-KIT"/>
        <s v="Valve Top Component"/>
      </sharedItems>
    </cacheField>
    <cacheField name="Line Item Description" numFmtId="0">
      <sharedItems containsNonDate="0" containsBlank="1" count="114">
        <s v="Hose Extension Adapter"/>
        <s v="RJ45 Terminator - required for ARM System"/>
        <s v="Volt View - True1 voltage detection device"/>
        <m/>
        <s v="Quad Jet 110v with 5 Pin DMX With Barrels"/>
        <s v="Neutrik PowerCON True1 Cords - 6FT, Standard"/>
        <s v="CO2 Washers (10 pack)"/>
        <s v="Co2 Tank Attachment Tool"/>
        <s v="Co2 Hose 15FT Standard Config"/>
        <s v="Pro Jet"/>
        <s v="Truss Clamp"/>
        <s v="CO2 Tank Tool + Washers "/>
        <s v="Co2 Hose 15FT Daisy Chain"/>
        <s v="Co2 Hose 15FT Extension Config"/>
        <s v="Co2 Hose 100FT Standard Config"/>
        <s v="CO2 Cylinder Link"/>
        <s v="Co2 Hose 25FT Extension Config"/>
        <s v="Teflon &amp; Brass seal for 1/4&quot; CO2 Valve"/>
        <s v="Maintenance on 4-Zone Controllers"/>
        <s v="CO2 Tank Splitter"/>
        <s v="CO2 Tank Covers - 20lb Cover"/>
        <s v="Handheld CO2 Cannon MKII"/>
        <s v="Replacement O-Ring"/>
        <s v="ShoStarter DMX Controller with 3 &amp; 5 Pin Connectors in Box"/>
        <s v="Co2 Hose 50FT Extension Config"/>
        <s v="The Button - with both 3 &amp; 5 pin DMX ports"/>
        <s v="Reprogramming of Quad Jets"/>
        <s v="CO2 Tank Covers - 50lb Cover"/>
        <s v="Co2 Hose 05FT Extension Config"/>
        <s v="CGA-320 to 1/4&quot; NPT adapter with nut."/>
        <s v="Daisy Chain Adapter"/>
        <s v="Co2 Hose 08FT Standard Config"/>
        <s v="Repair of Handheld MKII Serial# 003067"/>
        <s v="Warranty Repair of Serial# 004855"/>
        <s v="Handheld MKII in travel case with 15ft hose"/>
        <s v="Handheld MKII in travel case with 8ft hose"/>
        <s v="3% Fee for CC Processing Charges"/>
        <s v="Cryo Clamp II, 110v, Weatherproof CO2 Jet"/>
        <s v="Co2 Hose 50FT Standard Config"/>
        <s v="Co2 Hose 08FT Extension Config"/>
        <s v="Cryo Clamp wall mount bracket kit with included 1/2-13 x 3/4&quot; stainless pan head screw"/>
        <s v="Male x Female x Female Quick Connect Junction"/>
        <s v="Ball Mount Assembly for Cryo Clamp with 4x 10-32 x 3/8&quot; socket head screws"/>
        <s v="Warranty Repair RMA# 108357"/>
        <s v="Co2 Hose 35FT Extension Config"/>
        <s v="Micro CO2 Jet MKII"/>
        <s v="Co2 Hose 25FT Standard Config"/>
        <s v="Truss clamp for CC2 with 1/2-13 x 3/4” CS screw"/>
        <s v=" CO2 Output Terminator"/>
        <s v="Co2 Hose 35FT Standard Config"/>
        <s v="Used for pushing firmware to products"/>
        <s v="Pro Jet - 5 Pin, 110v, JIC in/out"/>
        <s v="LED Attachment for DMX Jet, DMX Jet MKII, and Pro Jet."/>
        <s v="Co2 Hose 05FT Standard Config"/>
        <s v="Replacement O-Ring - 2023 Quick Connects. EPDM"/>
        <s v="Warranty Repair of Pro Jet Serial# 0322841"/>
        <s v="Compressible-Stem Push-In Bumpers - pro jet foot"/>
        <s v="Mocap 1/2” hole cap - pro jet foot cap"/>
        <s v="Pro Jet feet screws (thread forming)"/>
        <s v="1/4-20 x 3/4” CS screw"/>
        <s v="1/2-13 x 3/4” CS screw"/>
        <s v="4 Port Co2 Manifold - 4x JIC 3/8&quot; Inlets, 1x JIC 3/8&quot; Outlet with Truss Bracket"/>
        <s v="5FT CO2 Hose (CGA-320 x Female JIC 3/8&quot;) For use with Manifold"/>
        <s v="CGA-320 to JIC adapter with nut and integrated groove for o-ring"/>
        <s v="Warranty Repair of LED Attachment Serial# 0923019"/>
        <s v="Co2 Hose 35FT Daisy Chain"/>
        <s v="Travel Case"/>
        <s v="Used for installing / removing small key switch"/>
        <s v="Key Switch with Wires and JST Connector for The Button"/>
        <s v="Bulk Order Discount"/>
        <s v="DMX Controlled Confetti Blower"/>
        <s v="2 Output DMX Relay with Timer"/>
        <s v="Pro Jet - No Hose"/>
        <s v="CGA-320 Female to Female Quick Connect"/>
        <s v="2FT CO2 Hose (CGA-320 x Female JIC 3/8&quot;) For use with Manifold"/>
        <s v="Adapter for use with Manifold - to attach standard CGA-320 hose configuration"/>
        <s v="Co2 Hose 08FT Daisy Chain"/>
        <s v="Replacement Keys - Shomaster &amp; ShoStarter"/>
        <s v="Custom Magic FX Manifold"/>
        <s v="Brass Center Pull Co2 passthrough with male BSPP"/>
        <s v="3/8” BSPP Bonding Washer Seal"/>
        <s v="3/8&quot; Male Quick Connect Fitting BSPP thread female"/>
        <s v="Quad Jet 110v with 5 Pin DMX, JIC Connections - No Hoses"/>
        <s v="Pro Jet - 5 Pin, 110v, JIC in/out - No Hoses"/>
        <s v="Co2 Hose 15FT Extension Config - Included"/>
        <s v="Co2 Hose 100FT Standard Config - Upgrade from 15FT "/>
        <s v="DMX Input PCB"/>
        <s v="Micro Jet MKII Foot Screw"/>
        <s v="Soft Tact Switch Cap"/>
        <s v="Micro Jet XLR Fasteners"/>
        <s v="CGA-320 to 3/8in JIC with groove for integrated O-ring"/>
        <s v="CGA-320 Nut"/>
        <s v="CGA-320 to JIC adapter with nut."/>
        <s v="100FT CO2 HOSE - FEMALE JIC #6 x FEMALE JIC #6"/>
        <s v="50FT CO2 HOSE - FEMALE JIC #6 x FEMALE JIC #6"/>
        <s v="35FT CO2 HOSE - FEMALE JIC #6 x FEMALE JIC #6"/>
        <s v="25FT CO2 HOSE - FEMALE JIC #6 x FEMALE JIC #6"/>
        <s v="15FT CO2 HOSE - FEMALE JIC #6 x FEMALE JIC #6"/>
        <s v="10FT CO2 Hose - JIC  x JIC"/>
        <s v="#6 JIC Female Hose Crimp Fitting"/>
        <s v="Pro Jet - 5 Pin, 110v, JIC in/out - White"/>
        <s v="LED Attachment for Pro Jet - White"/>
        <s v="24x30 Road Case"/>
        <s v="24x30 Road Case Insert - Pro Jet"/>
        <s v="24x30 Road Case Insert - LED Attachment"/>
        <s v="24x30 Road Case Insert - Top Tray Insert"/>
        <s v="Repair of 4 x DMX Jet MKII PCB, Valve maintenance and cleaning, and testing."/>
        <s v="1/4&quot;(.250in) 6.3mm 14-16awg Spade Terminal"/>
        <s v="Shoulder washers"/>
        <s v="1/4-20 x 1/2&quot; SEMS Screws / Internal Tooth Washer / PH S Black"/>
        <s v="3/4 OD X 1/4 ID X 1/8 Thickness Neoprene Rubber Washers"/>
        <s v="Truss Clamp for Micro Jet MKII w/ Hardware"/>
        <s v="CO2 Cylinder Link "/>
        <s v="Top of 1/4&quot; CO2 Valve"/>
      </sharedItems>
    </cacheField>
    <cacheField name="Order Quantity" numFmtId="0">
      <sharedItems containsSemiMixedTypes="0" containsNonDate="0" containsString="0" containsNumber="1" containsInteger="1" minValue="1" maxValue="80" count="20">
        <n v="1"/>
        <n v="4"/>
        <n v="2"/>
        <n v="8"/>
        <n v="3"/>
        <n v="6"/>
        <n v="9"/>
        <n v="12"/>
        <n v="5"/>
        <n v="10"/>
        <n v="67"/>
        <n v="59"/>
        <n v="20"/>
        <n v="80"/>
        <n v="7"/>
        <n v="14"/>
        <n v="28"/>
        <n v="50"/>
        <n v="24"/>
        <n v="25"/>
      </sharedItems>
    </cacheField>
    <cacheField name="Unit Price" numFmtId="0">
      <sharedItems containsSemiMixedTypes="0" containsNonDate="0" containsString="0" containsNumber="1" minValue="-318.874" maxValue="3999.99" count="106">
        <n v="19.99"/>
        <n v="29.99"/>
        <n v="59.9925"/>
        <n v="19.6"/>
        <n v="2499.99"/>
        <n v="0"/>
        <n v="1299.99"/>
        <n v="549.99"/>
        <n v="119.99"/>
        <n v="211.64"/>
        <n v="149.99"/>
        <n v="199.99"/>
        <n v="39.64"/>
        <n v="49.99"/>
        <n v="349.99"/>
        <n v="1.99"/>
        <n v="1199.99"/>
        <n v="34.16"/>
        <n v="299.99"/>
        <n v="399.99"/>
        <n v="9.99"/>
        <n v="79.98999999999999"/>
        <n v="37.4925"/>
        <n v="15.66"/>
        <n v="189.46"/>
        <n v="59.99"/>
        <n v="99.98999999999999"/>
        <n v="22.99"/>
        <n v="109.99"/>
        <n v="599.99"/>
        <n v="330"/>
        <n v="9.9"/>
        <n v="324.99"/>
        <n v="2350"/>
        <n v="43.5"/>
        <n v="374.9925"/>
        <n v="224.9925"/>
        <n v="82.49250000000001"/>
        <n v="135.35"/>
        <n v="499.99"/>
        <n v="126.89"/>
        <n v="187.4925"/>
        <n v="35.42"/>
        <n v="849.99"/>
        <n v="50"/>
        <n v="89.99250000000001"/>
        <n v="29.45"/>
        <n v="14.5"/>
        <n v="100"/>
        <n v="145"/>
        <n v="14"/>
        <n v="974.9924999999999"/>
        <n v="599.9924999999999"/>
        <n v="899.9924999999999"/>
        <n v="92.40000000000001"/>
        <n v="249.99"/>
        <n v="134.9925"/>
        <n v="56.2425"/>
        <n v="17.2425"/>
        <n v="299.9925"/>
        <n v="112.4925"/>
        <n v="262.4925"/>
        <n v="297.53"/>
        <n v="219.99"/>
        <n v="58.65"/>
        <n v="175"/>
        <n v="8.99"/>
        <n v="-318.874"/>
        <n v="3999.99"/>
        <n v="576.4400000000001"/>
        <n v="334.99"/>
        <n v="52.81"/>
        <n v="900"/>
        <n v="48.7425"/>
        <n v="121.55"/>
        <n v="591.65"/>
        <n v="41.66"/>
        <n v="179.99"/>
        <n v="64.98999999999999"/>
        <n v="12.99"/>
        <n v="320"/>
        <n v="12.65"/>
        <n v="40"/>
        <n v="16.42"/>
        <n v="1650"/>
        <n v="116.25"/>
        <n v="314.991"/>
        <n v="637.4924999999999"/>
        <n v="318.75"/>
        <n v="449.9925"/>
        <n v="221.66"/>
        <n v="22.4925"/>
        <n v="171.8"/>
        <n v="412.4925"/>
        <n v="149.9925"/>
        <n v="48.75"/>
        <n v="7.5"/>
        <n v="15"/>
        <n v="1024.6"/>
        <n v="22.9"/>
        <n v="956.2424999999999"/>
        <n v="1199.9925"/>
        <n v="266.84"/>
        <n v="470"/>
        <n v="28.65"/>
        <n v="52.34"/>
      </sharedItems>
    </cacheField>
    <cacheField name="Total Line Item $" numFmtId="0">
      <sharedItems containsSemiMixedTypes="0" containsNonDate="0" containsString="0" containsNumber="1" minValue="-318.874" maxValue="12600" count="161">
        <n v="19.99"/>
        <n v="29.99"/>
        <n v="239.97"/>
        <n v="19.6"/>
        <n v="4999.98"/>
        <n v="0"/>
        <n v="5199.96"/>
        <n v="119.96"/>
        <n v="549.99"/>
        <n v="239.98"/>
        <n v="211.64"/>
        <n v="149.99"/>
        <n v="399.98"/>
        <n v="39.64"/>
        <n v="49.99"/>
        <n v="99.98"/>
        <n v="349.99"/>
        <n v="1.99"/>
        <n v="1199.99"/>
        <n v="34.16"/>
        <n v="199.96"/>
        <n v="599.98"/>
        <n v="399.99"/>
        <n v="19.98"/>
        <n v="79.98999999999999"/>
        <n v="74.985"/>
        <n v="15.66"/>
        <n v="189.46"/>
        <n v="59.99"/>
        <n v="399.96"/>
        <n v="22.99"/>
        <n v="109.99"/>
        <n v="9.99"/>
        <n v="599.99"/>
        <n v="119.98"/>
        <n v="330"/>
        <n v="9.9"/>
        <n v="59.94"/>
        <n v="324.99"/>
        <n v="2350"/>
        <n v="43.5"/>
        <n v="374.9925"/>
        <n v="224.9925"/>
        <n v="82.49250000000001"/>
        <n v="59.9925"/>
        <n v="135.35"/>
        <n v="1199.98"/>
        <n v="1999.96"/>
        <n v="79.95999999999999"/>
        <n v="1199.96"/>
        <n v="126.89"/>
        <n v="1499.94"/>
        <n v="35.42"/>
        <n v="849.99"/>
        <n v="50"/>
        <n v="219.98"/>
        <n v="199.99"/>
        <n v="719.9400000000001"/>
        <n v="29.45"/>
        <n v="179.9775"/>
        <n v="14.5"/>
        <n v="59.98"/>
        <n v="2599.98"/>
        <n v="200"/>
        <n v="1699.98"/>
        <n v="100"/>
        <n v="39.96"/>
        <n v="145"/>
        <n v="14"/>
        <n v="3899.97"/>
        <n v="2399.97"/>
        <n v="899.9924999999999"/>
        <n v="92.40000000000001"/>
        <n v="99.98999999999999"/>
        <n v="499.98"/>
        <n v="5.97"/>
        <n v="3.98"/>
        <n v="269.985"/>
        <n v="506.1825"/>
        <n v="137.94"/>
        <n v="299.9925"/>
        <n v="337.4775"/>
        <n v="974.9924999999999"/>
        <n v="787.4775"/>
        <n v="297.53"/>
        <n v="479.96"/>
        <n v="249.99"/>
        <n v="299.99"/>
        <n v="439.98"/>
        <n v="149.97"/>
        <n v="58.65"/>
        <n v="6799.92"/>
        <n v="525"/>
        <n v="44.95"/>
        <n v="19.9"/>
        <n v="2009.33"/>
        <n v="1179.41"/>
        <n v="-318.874"/>
        <n v="875"/>
        <n v="499.99"/>
        <n v="799.98"/>
        <n v="3999.99"/>
        <n v="576.4400000000001"/>
        <n v="334.99"/>
        <n v="52.81"/>
        <n v="159.98"/>
        <n v="359.97"/>
        <n v="29.97"/>
        <n v="719.88"/>
        <n v="4500"/>
        <n v="3749.85"/>
        <n v="3899.4"/>
        <n v="121.55"/>
        <n v="591.65"/>
        <n v="83.31999999999999"/>
        <n v="359.98"/>
        <n v="519.92"/>
        <n v="159.92"/>
        <n v="329.97"/>
        <n v="12.99"/>
        <n v="320"/>
        <n v="12.65"/>
        <n v="160"/>
        <n v="16.42"/>
        <n v="8250"/>
        <n v="6300"/>
        <n v="116.25"/>
        <n v="314.991"/>
        <n v="5099.94"/>
        <n v="956.25"/>
        <n v="374.985"/>
        <n v="1199.97"/>
        <n v="899.985"/>
        <n v="899.9775"/>
        <n v="221.66"/>
        <n v="12600"/>
        <n v="629.79"/>
        <n v="171.8"/>
        <n v="700"/>
        <n v="1649.97"/>
        <n v="1799.94"/>
        <n v="749.97"/>
        <n v="599.97"/>
        <n v="449.97"/>
        <n v="195"/>
        <n v="210"/>
        <n v="360"/>
        <n v="1024.6"/>
        <n v="1250"/>
        <n v="22.9"/>
        <n v="149.95"/>
        <n v="4781.2125"/>
        <n v="3187.4625"/>
        <n v="1199.9925"/>
        <n v="266.84"/>
        <n v="179.97"/>
        <n v="470"/>
        <n v="1049.97"/>
        <n v="28.65"/>
        <n v="179.99"/>
        <n v="52.34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60" createdVersion="7">
  <cacheSource type="worksheet">
    <worksheetSource ref="A2:H262" sheet="January 2024"/>
  </cacheSource>
  <cacheFields count="8">
    <cacheField name="Sales Order" numFmtId="0">
      <sharedItems containsNonDate="0" count="114">
        <s v="4305"/>
        <s v="4302"/>
        <s v="4301"/>
        <s v="4300"/>
        <s v="4299"/>
        <s v="4303"/>
        <s v="4304"/>
        <s v="4298"/>
        <s v="4297"/>
        <s v="4296"/>
        <s v="4295"/>
        <s v="4293"/>
        <s v="4291"/>
        <s v="4292"/>
        <s v="4294"/>
        <s v="4289"/>
        <s v="4290"/>
        <s v="4288"/>
        <s v="4286"/>
        <s v="4287"/>
        <s v="4285"/>
        <s v="4282"/>
        <s v="4281"/>
        <s v="4280"/>
        <s v="4284"/>
        <s v="4283"/>
        <s v="4277"/>
        <s v="4274"/>
        <s v="4271"/>
        <s v="4270"/>
        <s v="4269"/>
        <s v="4276"/>
        <s v="4273"/>
        <s v="4275"/>
        <s v="4278"/>
        <s v="4279"/>
        <s v="4267"/>
        <s v="4263"/>
        <s v="4262"/>
        <s v="4272"/>
        <s v="4265"/>
        <s v="4268"/>
        <s v="4260"/>
        <s v="4259"/>
        <s v="4258"/>
        <s v="4261"/>
        <s v="4257"/>
        <s v="4256"/>
        <s v="4255"/>
        <s v="4254"/>
        <s v="4253"/>
        <s v="4251"/>
        <s v="4252"/>
        <s v="4250"/>
        <s v="4248"/>
        <s v="4247"/>
        <s v="4246"/>
        <s v="4249"/>
        <s v="4243"/>
        <s v="4245"/>
        <s v="4244"/>
        <s v="4241"/>
        <s v="4240"/>
        <s v="4242"/>
        <s v="4239"/>
        <s v="4238"/>
        <s v="4236"/>
        <s v="4235"/>
        <s v="4234"/>
        <s v="4233"/>
        <s v="4232"/>
        <s v="4231"/>
        <s v="4228"/>
        <s v="4227"/>
        <s v="4226"/>
        <s v="4229"/>
        <s v="4225"/>
        <s v="4230"/>
        <s v="4223"/>
        <s v="4224"/>
        <s v="4222"/>
        <s v="4220"/>
        <s v="4219"/>
        <s v="4221"/>
        <s v="4218"/>
        <s v="4216"/>
        <s v="4214"/>
        <s v="4213"/>
        <s v="4212"/>
        <s v="4211"/>
        <s v="4210"/>
        <s v="4215"/>
        <s v="4209"/>
        <s v="4207"/>
        <s v="4206"/>
        <s v="4205"/>
        <s v="4204"/>
        <s v="4203"/>
        <s v="4208"/>
        <s v="4202"/>
        <s v="4201"/>
        <s v="4200"/>
        <s v="4197"/>
        <s v="4196"/>
        <s v="4199"/>
        <s v="4198"/>
        <s v="4195"/>
        <s v="4194"/>
        <s v="4193"/>
        <s v="4192"/>
        <s v="4191"/>
        <s v="4190"/>
        <s v="4189"/>
        <s v="4188"/>
      </sharedItems>
    </cacheField>
    <cacheField name="Customer" numFmtId="0">
      <sharedItems containsNonDate="0" count="104">
        <s v="Humberto Roman"/>
        <s v="Conor Vache"/>
        <s v="Scott Howard"/>
        <s v="Michael Greenberg"/>
        <s v="brian Robbins"/>
        <s v="Joshua Odmark"/>
        <s v="FFP FX"/>
        <s v="David Waldo"/>
        <s v="Jose Jeovanny Argueta"/>
        <s v="Garrett Belschner"/>
        <s v="Stewart Rosenzweig"/>
        <s v="Greg Lister"/>
        <s v="Ryan Neal"/>
        <s v="Poly-Flow"/>
        <s v="Steven Dobo"/>
        <s v="Juan Luna"/>
        <s v="Khaled Maarbani"/>
        <s v="Andy Znamenacek"/>
        <s v="Douglas Klein"/>
        <s v="Image Engineering"/>
        <s v="The Vanguard"/>
        <s v="Frank Guertler"/>
        <s v="Shivam Patel"/>
        <s v="Michael Presley"/>
        <s v="Pyrotek FX"/>
        <s v="ER Productions"/>
        <s v="joshua.teare@gmail.com"/>
        <s v="warren monnich"/>
        <s v="Jose Montano"/>
        <s v="Josmar Lopez"/>
        <s v="Trung Nguyen"/>
        <s v="Slightly Stoopid"/>
        <s v="Advanced Entertainment Services"/>
        <s v="PYROTECNICO"/>
        <s v="Reed Landry"/>
        <s v="Joe Romanowski"/>
        <s v="Michaeljohn Frierson"/>
        <s v="LUIS SALGADO"/>
        <s v="Kryogenifex"/>
        <s v="Tracey Becca"/>
        <s v="Paul Souza"/>
        <s v="Anastasios Dakas"/>
        <s v="Rafael Urban"/>
        <s v="troy robson"/>
        <s v="Jorge Pulido Ayala"/>
        <s v="Joshep Rosendo Guevara Rivero"/>
        <s v="Alma Delia Rivero Sanchez"/>
        <s v="Jack Murphy"/>
        <s v="Amanda Farrell"/>
        <s v="Awakening Events Inc"/>
        <s v="Image SFX"/>
        <s v="Brian Detri"/>
        <s v="Nerya Cohen"/>
        <s v="David Torres"/>
        <s v="SMG Events"/>
        <s v="frederic beausejour beausejour"/>
        <s v="Special FX Rentals"/>
        <s v="Marc DePetris"/>
        <s v="Chris Fernandez"/>
        <s v="Solotech U.S. Corporation"/>
        <s v="Paul Scott"/>
        <s v="Alex De francisco"/>
        <s v="Emmanuel Pimentel"/>
        <s v="Petrose Keshishyan"/>
        <s v="David Bosko"/>
        <s v="Chasen Tedder"/>
        <s v="Stanley Jerome Gergle"/>
        <s v="Andrew Contreras"/>
        <s v="Chris Niswender"/>
        <s v="Mike Anzaldi"/>
        <s v="Michael Zakutansky"/>
        <s v="Zak McClellan"/>
        <s v="Disney Cruise Line"/>
        <s v="Mitchell Edelson"/>
        <s v="Christian DeArmitt"/>
        <s v="Nick Sieffert"/>
        <s v="Ashley Lewis"/>
        <s v="Mete Aslan"/>
        <s v="Ashish Patel"/>
        <s v="Bryan Circus"/>
        <s v="Corey Hansen"/>
        <s v="Eric Landman"/>
        <s v="Kuldip Mann"/>
        <s v="Shadow Mountain Productions"/>
        <s v="Oscar Altamira"/>
        <s v="Marnix Stams"/>
        <s v="Brett Klug"/>
        <s v="Doug Schmitt"/>
        <s v="Carlos Rodriguez"/>
        <s v="Daniel Halterman"/>
        <s v="Dios Vazquez"/>
        <s v="Alexander Yuille"/>
        <s v="John Wagner"/>
        <s v="Billy Cooke"/>
        <s v="Kyle Radtke"/>
        <s v="Adam Crum"/>
        <s v="Michael Greer"/>
        <s v="Alex Woolum"/>
        <s v="Santokh Singh"/>
        <s v="Calvin Buechler"/>
        <s v="jose eduardo nolasco"/>
        <s v="Roderick Carrier"/>
        <s v="Antti-Oskari Taskinen"/>
        <s v="Chris Johnson"/>
      </sharedItems>
    </cacheField>
    <cacheField name="Ordered Date" numFmtId="0">
      <sharedItems containsSemiMixedTypes="0" containsNonDate="0" containsDate="1" containsString="0" minDate="2024-01-01T03:11:46" maxDate="2024-01-31T21:41:00" count="96">
        <d v="2024-01-31T21:41:00"/>
        <d v="2024-01-31T17:44:45"/>
        <d v="2024-01-31T14:02:46"/>
        <d v="2024-01-31T02:52:34"/>
        <d v="2024-01-31T01:20:19"/>
        <d v="2024-01-31T00:00:00"/>
        <d v="2024-01-30T19:24:21"/>
        <d v="2024-01-30T00:21:16"/>
        <d v="2024-01-29T22:40:21"/>
        <d v="2024-01-29T22:25:59"/>
        <d v="2024-01-29T19:44:37"/>
        <d v="2024-01-29T08:26:02"/>
        <d v="2024-01-29T00:00:00"/>
        <d v="2024-01-28T07:04:43"/>
        <d v="2024-01-28T00:00:00"/>
        <d v="2024-01-26T19:42:20"/>
        <d v="2024-01-26T16:59:11"/>
        <d v="2024-01-26T00:00:00"/>
        <d v="2024-01-25T18:22:36"/>
        <d v="2024-01-25T02:50:52"/>
        <d v="2024-01-25T02:26:06"/>
        <d v="2024-01-25T00:00:00"/>
        <d v="2024-01-24T23:06:35"/>
        <d v="2024-01-24T17:32:25"/>
        <d v="2024-01-24T05:07:54"/>
        <d v="2024-01-24T04:58:52"/>
        <d v="2024-01-24T04:35:08"/>
        <d v="2024-01-24T00:00:00"/>
        <d v="2024-01-23T22:19:31"/>
        <d v="2024-01-23T16:09:18"/>
        <d v="2024-01-23T03:08:35"/>
        <d v="2024-01-23T00:00:00"/>
        <d v="2024-01-22T18:39:19"/>
        <d v="2024-01-22T17:33:13"/>
        <d v="2024-01-22T02:46:51"/>
        <d v="2024-01-22T00:00:00"/>
        <d v="2024-01-21T20:26:52"/>
        <d v="2024-01-21T01:59:23"/>
        <d v="2024-01-20T18:13:39"/>
        <d v="2024-01-20T18:06:10"/>
        <d v="2024-01-20T00:31:45"/>
        <d v="2024-01-19T17:45:43"/>
        <d v="2024-01-19T00:00:00"/>
        <d v="2024-01-18T13:55:15"/>
        <d v="2024-01-18T04:44:35"/>
        <d v="2024-01-18T04:17:34"/>
        <d v="2024-01-18T00:00:00"/>
        <d v="2024-01-17T15:15:49"/>
        <d v="2024-01-17T00:00:00"/>
        <d v="2024-01-16T18:47:39"/>
        <d v="2024-01-16T00:00:00"/>
        <d v="2024-01-15T18:48:22"/>
        <d v="2024-01-15T17:50:23"/>
        <d v="2024-01-15T06:25:16"/>
        <d v="2024-01-15T06:16:44"/>
        <d v="2024-01-14T23:14:31"/>
        <d v="2024-01-14T18:40:27"/>
        <d v="2024-01-13T18:22:22"/>
        <d v="2024-01-13T07:54:14"/>
        <d v="2024-01-12T17:47:55"/>
        <d v="2024-01-12T15:44:47"/>
        <d v="2024-01-12T04:27:42"/>
        <d v="2024-01-12T00:00:00"/>
        <d v="2024-01-11T00:00:00"/>
        <d v="2024-01-10T02:12:07"/>
        <d v="2024-01-10T01:59:43"/>
        <d v="2024-01-10T00:00:00"/>
        <d v="2024-01-09T23:58:01"/>
        <d v="2024-01-09T19:08:49"/>
        <d v="2024-01-09T14:34:59"/>
        <d v="2024-01-09T09:19:16"/>
        <d v="2024-01-09T06:42:13"/>
        <d v="2024-01-09T03:03:02"/>
        <d v="2024-01-09T02:59:39"/>
        <d v="2024-01-09T00:00:00"/>
        <d v="2024-01-08T19:53:18"/>
        <d v="2024-01-08T14:52:54"/>
        <d v="2024-01-08T14:49:27"/>
        <d v="2024-01-08T14:41:01"/>
        <d v="2024-01-08T06:19:31"/>
        <d v="2024-01-08T02:20:44"/>
        <d v="2024-01-08T00:00:00"/>
        <d v="2024-01-07T22:41:43"/>
        <d v="2024-01-05T15:49:47"/>
        <d v="2024-01-04T19:21:44"/>
        <d v="2024-01-04T15:21:29"/>
        <d v="2024-01-04T03:50:42"/>
        <d v="2024-01-04T00:00:00"/>
        <d v="2024-01-03T14:59:07"/>
        <d v="2024-01-03T03:11:54"/>
        <d v="2024-01-03T00:23:56"/>
        <d v="2024-01-02T05:21:25"/>
        <d v="2024-01-02T05:17:22"/>
        <d v="2024-01-02T02:28:09"/>
        <d v="2024-01-01T12:32:35"/>
        <d v="2024-01-01T03:11:46"/>
      </sharedItems>
      <fieldGroup base="2">
        <rangePr startDate="2024-01-01T03:11:46" endDate="2024-01-31T21:41:00" groupBy="days"/>
        <groupItems count="368">
          <s v="&lt;01/01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31/2024"/>
        </groupItems>
      </fieldGroup>
    </cacheField>
    <cacheField name="Line Item Name" numFmtId="0">
      <sharedItems containsNonDate="0" count="87">
        <s v="CC-WASH-10"/>
        <s v="CC-CH-25-STD"/>
        <s v="CC-TB-35"/>
        <s v="CC-AC-CCL"/>
        <s v="CC-AC-CTAT"/>
        <s v="CC-AC-SMK"/>
        <s v="Repair"/>
        <s v="CC-NPTC-10-DSY"/>
        <s v="CC-HCCMKII-08-NC"/>
        <s v="CC-AC-CLAMP-MJMKII-KIT"/>
        <s v="CC-AC-CTS"/>
        <s v="CC-AC-ROR2"/>
        <s v="CC-CC2-110"/>
        <s v="CC-AC-CLAMP"/>
        <s v="Thread Caps"/>
        <s v="CC-SS-35"/>
        <s v="Shipping Charges"/>
        <s v="CC-AC-BM-KIT"/>
        <s v="CC-CH-35-STD"/>
        <s v="CC-AC-OP"/>
        <s v="CC-AC-TC"/>
        <s v="Freight Insurance Charge"/>
        <s v="CC-NPTC-06-STD"/>
        <s v="CC-MJMKII-3-110"/>
        <s v="Shipping Fees"/>
        <s v="CC-CTC-20"/>
        <s v="CC-HCCMKII-08-TC"/>
        <s v="CC-PROJ-5-110"/>
        <s v="CC-F-COT"/>
        <s v="CC-F-DCHA-PYROTEK"/>
        <s v="CC-RC-2430"/>
        <s v="CC-RC-2430-PJI"/>
        <s v="CC-RC-2430-TTI"/>
        <s v="CC-WASH-INT-01"/>
        <s v="Insulating Barrel Washer"/>
        <s v="Shoulder washers"/>
        <s v="1/4-20 x 1/2&quot; SEMS Screws / Internal Tooth Washer / PH S Black"/>
        <s v="CC-HCCMKII-15-TC"/>
        <s v="CC-CTC-50"/>
        <s v="CC-CH-15-STD"/>
        <s v="CC-F-HEA"/>
        <s v="6FJ-6SB"/>
        <s v="CC-HCCMKII-05-NC"/>
        <s v="CC-MJMKII-5-110"/>
        <s v="CC-CH-15-EXT"/>
        <s v="CC-CH-35-EXT"/>
        <s v="CC-AC-ROR"/>
        <s v="MagicFX StadiumShot III"/>
        <s v="MagicFX SFX Safety ARM Controller"/>
        <s v="6in Barrel Assembly Powdercoated"/>
        <s v="CC-F-DCHA"/>
        <s v="CC-AC-CLAMP-CC2-KIT"/>
        <s v="Return Shipping from Mexico"/>
        <s v="Repacking Fee"/>
        <s v="CC-AC-RAA"/>
        <s v="CC-QJ-5-110"/>
        <s v="6 Way Single Shot Mine Rack"/>
        <s v="CC-CH-50-STD"/>
        <s v="Obsidian RP2 Relay Pack"/>
        <s v="CC-F-MFDCGAJIC"/>
        <s v="Micro Jet MKII Main PCB"/>
        <s v="IDC Cable Clip"/>
        <s v="Flat Button Interior Overlay Assembly - 1"/>
        <s v="CC-CH-35-OB"/>
        <s v="CC-AC-CGANPT-INT-SET"/>
        <s v="CC-AC-CGANPT-SET"/>
        <s v="3/8&quot; JIC Male x 1/4&quot; NPT Female 90 Degree Elbow"/>
        <s v="CO2 Valve Replacement Seal"/>
        <s v="#10 Neoprene-Steel Sealing Washer"/>
        <s v="CC-CC2-110-JIC"/>
        <s v="CC-HCCMKII-15-NC"/>
        <s v="CC-PROJ-3-110-JIC"/>
        <s v="CC-CH-08-DSY"/>
        <s v="CC-CH-25-EXT"/>
        <s v="CC-CH-08-STD"/>
        <s v="CC-NPTC-15-DSY"/>
        <s v="CC-NPTC-25-DSY"/>
        <s v="100FT CO2 HOSE - 3/8&quot; (BSPP x JIC #6)"/>
        <s v="15FT CO2 HOSE - 3/8&quot; (BSPP x JIC #6)"/>
        <s v="CC-AC-TB-KIT"/>
        <s v="CC-F-CGA-FQC"/>
        <s v="CC-STP-5"/>
        <s v="CC-AC-LA2"/>
        <s v="CC-AC-4PM"/>
        <s v="CC-CH-02-MFD"/>
        <s v="CC-CH-05-DSY"/>
        <s v="CC-CH-03.5-MFD"/>
      </sharedItems>
    </cacheField>
    <cacheField name="Line Item Description" numFmtId="0">
      <sharedItems containsNonDate="0" containsBlank="1" count="97">
        <s v="CO2 Washers (10 pack)"/>
        <s v="Co2 Hose 25FT Standard Config"/>
        <s v="The Button - with both 3 &amp; 5 pin DMX ports"/>
        <s v="CO2 Cylinder Link"/>
        <s v="Co2 Tank Attachment Tool"/>
        <s v="Replacement Keys - The Button"/>
        <s v="Warranty Repair of The Button #31932"/>
        <s v="Replacement DMX Jet"/>
        <s v="Neutrik PowerCON True1 Cords - 10FT, Daisy Chain"/>
        <s v="Handheld CO2 Cannon MKII"/>
        <s v="Truss Clamp for Micro Jet MKII w/ Hardware"/>
        <s v="CO2 Tank Splitter"/>
        <s v="Replacement O-Ring - 2023 Quick Connects. EPDM"/>
        <s v="Cryo Clamp II, 110v, Weatherproof CO2 Jet"/>
        <s v="Truss Clamp"/>
        <s v="Thread Protectors "/>
        <s v="ShoStarter DMX Controller with 3 &amp; 5 Pin Connectors in Box"/>
        <m/>
        <s v="Ball Mount Assembly for Cryo Clamp with 4x 10-32 x 3/8&quot; socket head screws"/>
        <s v="Co2 Hose 35FT Standard Config"/>
        <s v="CO2 Tank Tool + Washers "/>
        <s v="Handheld CO2 Cannon MKII - International CO2 fittings, washer &amp; attachment tool."/>
        <s v="Travel Case"/>
        <s v="Neutrik PowerCON True1 Cords - 6FT, Standard"/>
        <s v="Micro CO2 Jet MKII - No Hose, install ISO-B quick connects on units"/>
        <s v="CO2 Tank Covers - 20lb Cover"/>
        <s v="Handheld MKII in travel case with 8ft hose"/>
        <s v="Pro Jet"/>
        <s v=" CO2 Output Terminator"/>
        <s v="Daisy Chain Adapter (1/2&quot; JIC)"/>
        <s v="24x30 Road Case"/>
        <s v="24x30 Road Case Insert - Pro Jet"/>
        <s v="24x30 Road Case Insert - Top Tray Insert"/>
        <s v="Single CO2 Washer - International"/>
        <s v="installs under CO2 barrel"/>
        <s v="Shoulder washers for Pro Jet Yoke"/>
        <s v="1/4-20 x 1/2&quot; SEMS Screws / Internal Tooth Washer / PH S Black"/>
        <s v="Handheld MKII in travel case with 15ft hose"/>
        <s v="CO2 Tank Covers - 50lb Cover"/>
        <s v="Co2 Hose 15FT Standard Config"/>
        <s v="Hose Extension Adapter"/>
        <s v="RMA #2998 - Hose Repair"/>
        <s v="#6 JIC Female Hose Crimp Fitting"/>
        <s v="Handheld MKII in box with 5ft hose"/>
        <s v="RMA #10944 - No issues detected with product"/>
        <s v="RMA #10944 - No issues found, product performed normally."/>
        <s v="Micro CO2 Jet MKII"/>
        <s v="Co2 Hose 15FT Extension Config"/>
        <s v="Co2 Hose 35FT Extension Config"/>
        <s v="Replacement O-Ring"/>
        <s v="DMX Controlled Confetti Launcher - Lightly Used"/>
        <s v="DMX Controlled Confetti Launcher"/>
        <s v="48v Safety Controller"/>
        <s v="6in Jet Barrel with powdercoating"/>
        <s v="Daisy Chain Adapter"/>
        <s v="Truss clamp for CC2 and Pro Jet with 1/2-13 x 3/4” CS screw"/>
        <s v="Right Angle Adapter"/>
        <s v="Quad Jet 110v with 5 Pin DMX With Barrels - Demo Units"/>
        <s v="6-Way single shot mine rack (max. effect ∅: 100 mm)"/>
        <s v="Co2 Hose 50FT Standard Config"/>
        <s v="2 Output DMX Relay with Timer"/>
        <s v="Adapter for use with Manifold - to attach standard CGA-320 hose configuration"/>
        <s v="Repair of Micro Jet MKII #0921768"/>
        <s v="Micro Jet MKII Main PCB"/>
        <s v="3D printed clip to secure IDC Cable"/>
        <s v="Repair of The Button #31621 &amp; #31467"/>
        <s v="3d printed white Plastic overlay window and grey Acrylic for display"/>
        <s v="CO2 Hose Off-Brand - 35FT CO2 Hose"/>
        <s v="International CO2 fitting 1/4&quot; NPT to DIN 477"/>
        <s v="CGA-320 to 1/4&quot; NPT adapter with nut."/>
        <s v="Warranty Repair of The Button Serial #31914 - RMA #105452"/>
        <s v="Replacement Stadium Blaster Internal Hose (Magic FX)"/>
        <s v="Warranty Repair of Handheld MKII Serial #004853 - RMA #106479"/>
        <s v="Warranty Repair of Micro Jet MKII Serial #1233642"/>
        <s v="Elbow for Micro Jet Barrel Assembly"/>
        <s v="Teflon &amp; Brass seal for 1/4&quot; CO2 Valve"/>
        <s v="Solenoid Neoprene Spacer/Washer"/>
        <s v="Cryo Clamp II, 110v, Weatherproof CO2 Jet with JIC Inlet"/>
        <s v="Repair of Magic FX Arm Controller Serial #015, #126"/>
        <s v="Pro Jet - 3 Pin, 110v, JIC in/out"/>
        <s v="Co2 Hose 15FT Standard Config - JIC x JIC"/>
        <s v="Co2 Hose 08FT Daisy Chain"/>
        <s v="Co2 Hose 25FT Extension Config"/>
        <s v="Co2 Hose 08FT Standard Config"/>
        <s v="Neutrik PowerCON True1 Cords - 15FT, Daisy Chain"/>
        <s v="Neutrik PowerCON True1 Cords - 25FT, Daisy Chain"/>
        <s v="100FT CO2 HOSE - FEMALE JIC #6 x FEMALE JIC #6"/>
        <s v="15FT CO2 HOSE - FEMALE JIC #6 x FEMALE JIC #6"/>
        <s v="Cryo Clamp wall mount bracket kit with included 1/2-13 x 3/4&quot; stainless pan head screw"/>
        <s v="CGA-320 Female to Female Quick Connect"/>
        <s v="ShoStopper E-Stop with 5 pin DMX"/>
        <s v="LED Attachment for DMX Jet, DMX Jet MKII, and Pro Jet."/>
        <s v="Quad Jet 110v with 5 Pin DMX With Barrels"/>
        <s v="4 Port Co2 Manifold - 4x JIC 3/8&quot; Inlets, 1x JIC 3/8&quot; Outlet with Truss Bracket"/>
        <s v="2FT CO2 Hose (CGA-320 x Female JIC 3/8&quot;) For use with Manifold"/>
        <s v="Co2 Hose 05FT Daisy Chain"/>
        <s v="3 1/2FT CO2 Hose (CGA-320 x Female JIC 3/8&quot;) For use with Manifold"/>
      </sharedItems>
    </cacheField>
    <cacheField name="Order Quantity" numFmtId="0">
      <sharedItems containsSemiMixedTypes="0" containsNonDate="0" containsString="0" containsNumber="1" containsInteger="1" minValue="1" maxValue="300" count="15">
        <n v="1"/>
        <n v="4"/>
        <n v="2"/>
        <n v="7"/>
        <n v="12"/>
        <n v="24"/>
        <n v="6"/>
        <n v="300"/>
        <n v="10"/>
        <n v="20"/>
        <n v="8"/>
        <n v="11"/>
        <n v="3"/>
        <n v="5"/>
        <n v="9"/>
      </sharedItems>
    </cacheField>
    <cacheField name="Unit Price" numFmtId="0">
      <sharedItems containsSemiMixedTypes="0" containsNonDate="0" containsString="0" containsNumber="1" minValue="0" maxValue="3750" count="81">
        <n v="9.99"/>
        <n v="199.99"/>
        <n v="399.99"/>
        <n v="119.99"/>
        <n v="7.49"/>
        <n v="0"/>
        <n v="54.99"/>
        <n v="349.99"/>
        <n v="29.99"/>
        <n v="49.99"/>
        <n v="1.99"/>
        <n v="499.99"/>
        <n v="899.9924999999999"/>
        <n v="16.55"/>
        <n v="249.99"/>
        <n v="15"/>
        <n v="262.4925"/>
        <n v="194.99"/>
        <n v="218.88"/>
        <n v="637.4924999999999"/>
        <n v="62"/>
        <n v="343.74"/>
        <n v="43.74"/>
        <n v="549.99"/>
        <n v="900"/>
        <n v="22.4925"/>
        <n v="1199.9925"/>
        <n v="246.65"/>
        <n v="599.99"/>
        <n v="59.99"/>
        <n v="149.99"/>
        <n v="19.99"/>
        <n v="262.5"/>
        <n v="299.9925"/>
        <n v="33.54"/>
        <n v="24.89"/>
        <n v="782.991"/>
        <n v="134.991"/>
        <n v="224.991"/>
        <n v="107.991"/>
        <n v="256.31"/>
        <n v="3500"/>
        <n v="3750"/>
        <n v="800"/>
        <n v="855.4"/>
        <n v="80"/>
        <n v="40"/>
        <n v="640.33"/>
        <n v="64"/>
        <n v="142.63"/>
        <n v="849.99"/>
        <n v="100"/>
        <n v="550"/>
        <n v="545"/>
        <n v="574.99"/>
        <n v="299.99"/>
        <n v="334.99"/>
        <n v="18.54"/>
        <n v="869.99"/>
        <n v="22.99"/>
        <n v="149"/>
        <n v="19.55"/>
        <n v="974.9924999999999"/>
        <n v="59.65"/>
        <n v="109.99"/>
        <n v="587.49"/>
        <n v="48.7425"/>
        <n v="56.2425"/>
        <n v="26"/>
        <n v="412.4925"/>
        <n v="112.4925"/>
        <n v="72"/>
        <n v="374.9925"/>
        <n v="14.9925"/>
        <n v="36"/>
        <n v="179.99"/>
        <n v="64.98999999999999"/>
        <n v="99.98999999999999"/>
        <n v="50"/>
        <n v="1199.99"/>
        <n v="69.98999999999999"/>
      </sharedItems>
    </cacheField>
    <cacheField name="Total Line Item $" numFmtId="0">
      <sharedItems containsSemiMixedTypes="0" containsNonDate="0" containsString="0" containsNumber="1" minValue="0" maxValue="38500" count="114">
        <n v="9.99"/>
        <n v="199.99"/>
        <n v="399.99"/>
        <n v="479.96"/>
        <n v="39.96"/>
        <n v="7.49"/>
        <n v="0"/>
        <n v="219.96"/>
        <n v="699.98"/>
        <n v="59.98"/>
        <n v="49.99"/>
        <n v="1.99"/>
        <n v="3499.93"/>
        <n v="209.93"/>
        <n v="399.98"/>
        <n v="899.9924999999999"/>
        <n v="16.55"/>
        <n v="499.99"/>
        <n v="249.99"/>
        <n v="15"/>
        <n v="3149.91"/>
        <n v="194.99"/>
        <n v="218.88"/>
        <n v="2549.97"/>
        <n v="62"/>
        <n v="687.48"/>
        <n v="87.48"/>
        <n v="549.99"/>
        <n v="349.99"/>
        <n v="10800"/>
        <n v="539.8200000000001"/>
        <n v="2399.985"/>
        <n v="246.65"/>
        <n v="599.99"/>
        <n v="59.99"/>
        <n v="599.96"/>
        <n v="99.98"/>
        <n v="79.95999999999999"/>
        <n v="262.5"/>
        <n v="599.985"/>
        <n v="33.54"/>
        <n v="24.89"/>
        <n v="4697.946"/>
        <n v="539.9640000000001"/>
        <n v="449.982"/>
        <n v="863.928"/>
        <n v="256.31"/>
        <n v="38500"/>
        <n v="3750"/>
        <n v="2400"/>
        <n v="855.4"/>
        <n v="400"/>
        <n v="40"/>
        <n v="179.97"/>
        <n v="39.98"/>
        <n v="999.98"/>
        <n v="640.33"/>
        <n v="64"/>
        <n v="142.63"/>
        <n v="1699.98"/>
        <n v="200"/>
        <n v="239.98"/>
        <n v="19.98"/>
        <n v="239.96"/>
        <n v="119.98"/>
        <n v="3300"/>
        <n v="545"/>
        <n v="574.99"/>
        <n v="1999.96"/>
        <n v="1199.96"/>
        <n v="60"/>
        <n v="669.98"/>
        <n v="19.99"/>
        <n v="149.97"/>
        <n v="29.97"/>
        <n v="100"/>
        <n v="18.54"/>
        <n v="3479.96"/>
        <n v="199.96"/>
        <n v="999.8"/>
        <n v="22.99"/>
        <n v="119.99"/>
        <n v="149"/>
        <n v="19.55"/>
        <n v="799.98"/>
        <n v="3.98"/>
        <n v="3899.97"/>
        <n v="179.94"/>
        <n v="59.65"/>
        <n v="219.98"/>
        <n v="109.99"/>
        <n v="1174.98"/>
        <n v="194.97"/>
        <n v="449.94"/>
        <n v="26"/>
        <n v="239.92"/>
        <n v="1649.97"/>
        <n v="449.97"/>
        <n v="72"/>
        <n v="7.96"/>
        <n v="1499.97"/>
        <n v="89.97"/>
        <n v="59.97"/>
        <n v="36"/>
        <n v="139.93"/>
        <n v="179.99"/>
        <n v="259.96"/>
        <n v="99.98999999999999"/>
        <n v="6799.92"/>
        <n v="1199.99"/>
        <n v="359.98"/>
        <n v="559.92"/>
        <n v="69.98999999999999"/>
        <n v="89.91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60" createdVersion="7">
  <cacheSource type="worksheet">
    <worksheetSource ref="D2:F262" sheet="January 2024"/>
  </cacheSource>
  <cacheFields count="3">
    <cacheField name="Line Item Name" numFmtId="0">
      <sharedItems containsNonDate="0" count="87">
        <s v="CC-WASH-10"/>
        <s v="CC-CH-25-STD"/>
        <s v="CC-TB-35"/>
        <s v="CC-AC-CCL"/>
        <s v="CC-AC-CTAT"/>
        <s v="CC-AC-SMK"/>
        <s v="Repair"/>
        <s v="CC-NPTC-10-DSY"/>
        <s v="CC-HCCMKII-08-NC"/>
        <s v="CC-AC-CLAMP-MJMKII-KIT"/>
        <s v="CC-AC-CTS"/>
        <s v="CC-AC-ROR2"/>
        <s v="CC-CC2-110"/>
        <s v="CC-AC-CLAMP"/>
        <s v="Thread Caps"/>
        <s v="CC-SS-35"/>
        <s v="Shipping Charges"/>
        <s v="CC-AC-BM-KIT"/>
        <s v="CC-CH-35-STD"/>
        <s v="CC-AC-OP"/>
        <s v="CC-AC-TC"/>
        <s v="Freight Insurance Charge"/>
        <s v="CC-NPTC-06-STD"/>
        <s v="CC-MJMKII-3-110"/>
        <s v="Shipping Fees"/>
        <s v="CC-CTC-20"/>
        <s v="CC-HCCMKII-08-TC"/>
        <s v="CC-PROJ-5-110"/>
        <s v="CC-F-COT"/>
        <s v="CC-F-DCHA-PYROTEK"/>
        <s v="CC-RC-2430"/>
        <s v="CC-RC-2430-PJI"/>
        <s v="CC-RC-2430-TTI"/>
        <s v="CC-WASH-INT-01"/>
        <s v="Insulating Barrel Washer"/>
        <s v="Shoulder washers"/>
        <s v="1/4-20 x 1/2&quot; SEMS Screws / Internal Tooth Washer / PH S Black"/>
        <s v="CC-HCCMKII-15-TC"/>
        <s v="CC-CTC-50"/>
        <s v="CC-CH-15-STD"/>
        <s v="CC-F-HEA"/>
        <s v="6FJ-6SB"/>
        <s v="CC-HCCMKII-05-NC"/>
        <s v="CC-MJMKII-5-110"/>
        <s v="CC-CH-15-EXT"/>
        <s v="CC-CH-35-EXT"/>
        <s v="CC-AC-ROR"/>
        <s v="MagicFX StadiumShot III"/>
        <s v="MagicFX SFX Safety ARM Controller"/>
        <s v="6in Barrel Assembly Powdercoated"/>
        <s v="CC-F-DCHA"/>
        <s v="CC-AC-CLAMP-CC2-KIT"/>
        <s v="Return Shipping from Mexico"/>
        <s v="Repacking Fee"/>
        <s v="CC-AC-RAA"/>
        <s v="CC-QJ-5-110"/>
        <s v="6 Way Single Shot Mine Rack"/>
        <s v="CC-CH-50-STD"/>
        <s v="Obsidian RP2 Relay Pack"/>
        <s v="CC-F-MFDCGAJIC"/>
        <s v="Micro Jet MKII Main PCB"/>
        <s v="IDC Cable Clip"/>
        <s v="Flat Button Interior Overlay Assembly - 1"/>
        <s v="CC-CH-35-OB"/>
        <s v="CC-AC-CGANPT-INT-SET"/>
        <s v="CC-AC-CGANPT-SET"/>
        <s v="3/8&quot; JIC Male x 1/4&quot; NPT Female 90 Degree Elbow"/>
        <s v="CO2 Valve Replacement Seal"/>
        <s v="#10 Neoprene-Steel Sealing Washer"/>
        <s v="CC-CC2-110-JIC"/>
        <s v="CC-HCCMKII-15-NC"/>
        <s v="CC-PROJ-3-110-JIC"/>
        <s v="CC-CH-08-DSY"/>
        <s v="CC-CH-25-EXT"/>
        <s v="CC-CH-08-STD"/>
        <s v="CC-NPTC-15-DSY"/>
        <s v="CC-NPTC-25-DSY"/>
        <s v="100FT CO2 HOSE - 3/8&quot; (BSPP x JIC #6)"/>
        <s v="15FT CO2 HOSE - 3/8&quot; (BSPP x JIC #6)"/>
        <s v="CC-AC-TB-KIT"/>
        <s v="CC-F-CGA-FQC"/>
        <s v="CC-STP-5"/>
        <s v="CC-AC-LA2"/>
        <s v="CC-AC-4PM"/>
        <s v="CC-CH-02-MFD"/>
        <s v="CC-CH-05-DSY"/>
        <s v="CC-CH-03.5-MFD"/>
      </sharedItems>
    </cacheField>
    <cacheField name="Line Item Description" numFmtId="0">
      <sharedItems containsNonDate="0" containsBlank="1" count="97">
        <s v="CO2 Washers (10 pack)"/>
        <s v="Co2 Hose 25FT Standard Config"/>
        <s v="The Button - with both 3 &amp; 5 pin DMX ports"/>
        <s v="CO2 Cylinder Link"/>
        <s v="Co2 Tank Attachment Tool"/>
        <s v="Replacement Keys - The Button"/>
        <s v="Warranty Repair of The Button #31932"/>
        <s v="Replacement DMX Jet"/>
        <s v="Neutrik PowerCON True1 Cords - 10FT, Daisy Chain"/>
        <s v="Handheld CO2 Cannon MKII"/>
        <s v="Truss Clamp for Micro Jet MKII w/ Hardware"/>
        <s v="CO2 Tank Splitter"/>
        <s v="Replacement O-Ring - 2023 Quick Connects. EPDM"/>
        <s v="Cryo Clamp II, 110v, Weatherproof CO2 Jet"/>
        <s v="Truss Clamp"/>
        <s v="Thread Protectors "/>
        <s v="ShoStarter DMX Controller with 3 &amp; 5 Pin Connectors in Box"/>
        <m/>
        <s v="Ball Mount Assembly for Cryo Clamp with 4x 10-32 x 3/8&quot; socket head screws"/>
        <s v="Co2 Hose 35FT Standard Config"/>
        <s v="CO2 Tank Tool + Washers "/>
        <s v="Handheld CO2 Cannon MKII - International CO2 fittings, washer &amp; attachment tool."/>
        <s v="Travel Case"/>
        <s v="Neutrik PowerCON True1 Cords - 6FT, Standard"/>
        <s v="Micro CO2 Jet MKII - No Hose, install ISO-B quick connects on units"/>
        <s v="CO2 Tank Covers - 20lb Cover"/>
        <s v="Handheld MKII in travel case with 8ft hose"/>
        <s v="Pro Jet"/>
        <s v=" CO2 Output Terminator"/>
        <s v="Daisy Chain Adapter (1/2&quot; JIC)"/>
        <s v="24x30 Road Case"/>
        <s v="24x30 Road Case Insert - Pro Jet"/>
        <s v="24x30 Road Case Insert - Top Tray Insert"/>
        <s v="Single CO2 Washer - International"/>
        <s v="installs under CO2 barrel"/>
        <s v="Shoulder washers for Pro Jet Yoke"/>
        <s v="1/4-20 x 1/2&quot; SEMS Screws / Internal Tooth Washer / PH S Black"/>
        <s v="Handheld MKII in travel case with 15ft hose"/>
        <s v="CO2 Tank Covers - 50lb Cover"/>
        <s v="Co2 Hose 15FT Standard Config"/>
        <s v="Hose Extension Adapter"/>
        <s v="RMA #2998 - Hose Repair"/>
        <s v="#6 JIC Female Hose Crimp Fitting"/>
        <s v="Handheld MKII in box with 5ft hose"/>
        <s v="RMA #10944 - No issues detected with product"/>
        <s v="RMA #10944 - No issues found, product performed normally."/>
        <s v="Micro CO2 Jet MKII"/>
        <s v="Co2 Hose 15FT Extension Config"/>
        <s v="Co2 Hose 35FT Extension Config"/>
        <s v="Replacement O-Ring"/>
        <s v="DMX Controlled Confetti Launcher - Lightly Used"/>
        <s v="DMX Controlled Confetti Launcher"/>
        <s v="48v Safety Controller"/>
        <s v="6in Jet Barrel with powdercoating"/>
        <s v="Daisy Chain Adapter"/>
        <s v="Truss clamp for CC2 and Pro Jet with 1/2-13 x 3/4” CS screw"/>
        <s v="Right Angle Adapter"/>
        <s v="Quad Jet 110v with 5 Pin DMX With Barrels - Demo Units"/>
        <s v="6-Way single shot mine rack (max. effect ∅: 100 mm)"/>
        <s v="Co2 Hose 50FT Standard Config"/>
        <s v="2 Output DMX Relay with Timer"/>
        <s v="Adapter for use with Manifold - to attach standard CGA-320 hose configuration"/>
        <s v="Repair of Micro Jet MKII #0921768"/>
        <s v="Micro Jet MKII Main PCB"/>
        <s v="3D printed clip to secure IDC Cable"/>
        <s v="Repair of The Button #31621 &amp; #31467"/>
        <s v="3d printed white Plastic overlay window and grey Acrylic for display"/>
        <s v="CO2 Hose Off-Brand - 35FT CO2 Hose"/>
        <s v="International CO2 fitting 1/4&quot; NPT to DIN 477"/>
        <s v="CGA-320 to 1/4&quot; NPT adapter with nut."/>
        <s v="Warranty Repair of The Button Serial #31914 - RMA #105452"/>
        <s v="Replacement Stadium Blaster Internal Hose (Magic FX)"/>
        <s v="Warranty Repair of Handheld MKII Serial #004853 - RMA #106479"/>
        <s v="Warranty Repair of Micro Jet MKII Serial #1233642"/>
        <s v="Elbow for Micro Jet Barrel Assembly"/>
        <s v="Teflon &amp; Brass seal for 1/4&quot; CO2 Valve"/>
        <s v="Solenoid Neoprene Spacer/Washer"/>
        <s v="Cryo Clamp II, 110v, Weatherproof CO2 Jet with JIC Inlet"/>
        <s v="Repair of Magic FX Arm Controller Serial #015, #126"/>
        <s v="Pro Jet - 3 Pin, 110v, JIC in/out"/>
        <s v="Co2 Hose 15FT Standard Config - JIC x JIC"/>
        <s v="Co2 Hose 08FT Daisy Chain"/>
        <s v="Co2 Hose 25FT Extension Config"/>
        <s v="Co2 Hose 08FT Standard Config"/>
        <s v="Neutrik PowerCON True1 Cords - 15FT, Daisy Chain"/>
        <s v="Neutrik PowerCON True1 Cords - 25FT, Daisy Chain"/>
        <s v="100FT CO2 HOSE - FEMALE JIC #6 x FEMALE JIC #6"/>
        <s v="15FT CO2 HOSE - FEMALE JIC #6 x FEMALE JIC #6"/>
        <s v="Cryo Clamp wall mount bracket kit with included 1/2-13 x 3/4&quot; stainless pan head screw"/>
        <s v="CGA-320 Female to Female Quick Connect"/>
        <s v="ShoStopper E-Stop with 5 pin DMX"/>
        <s v="LED Attachment for DMX Jet, DMX Jet MKII, and Pro Jet."/>
        <s v="Quad Jet 110v with 5 Pin DMX With Barrels"/>
        <s v="4 Port Co2 Manifold - 4x JIC 3/8&quot; Inlets, 1x JIC 3/8&quot; Outlet with Truss Bracket"/>
        <s v="2FT CO2 Hose (CGA-320 x Female JIC 3/8&quot;) For use with Manifold"/>
        <s v="Co2 Hose 05FT Daisy Chain"/>
        <s v="3 1/2FT CO2 Hose (CGA-320 x Female JIC 3/8&quot;) For use with Manifold"/>
      </sharedItems>
    </cacheField>
    <cacheField name="Order Quantity" numFmtId="0">
      <sharedItems containsSemiMixedTypes="0" containsNonDate="0" containsString="0" containsNumber="1" containsInteger="1" minValue="1" maxValue="300" count="15">
        <n v="1"/>
        <n v="4"/>
        <n v="2"/>
        <n v="7"/>
        <n v="12"/>
        <n v="24"/>
        <n v="6"/>
        <n v="300"/>
        <n v="10"/>
        <n v="20"/>
        <n v="8"/>
        <n v="11"/>
        <n v="3"/>
        <n v="5"/>
        <n v="9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60" createdVersion="7">
  <cacheSource type="worksheet">
    <worksheetSource ref="D2:H262" sheet="January 2024"/>
  </cacheSource>
  <cacheFields count="5">
    <cacheField name="Line Item Name" numFmtId="0">
      <sharedItems containsNonDate="0" count="87">
        <s v="CC-WASH-10"/>
        <s v="CC-CH-25-STD"/>
        <s v="CC-TB-35"/>
        <s v="CC-AC-CCL"/>
        <s v="CC-AC-CTAT"/>
        <s v="CC-AC-SMK"/>
        <s v="Repair"/>
        <s v="CC-NPTC-10-DSY"/>
        <s v="CC-HCCMKII-08-NC"/>
        <s v="CC-AC-CLAMP-MJMKII-KIT"/>
        <s v="CC-AC-CTS"/>
        <s v="CC-AC-ROR2"/>
        <s v="CC-CC2-110"/>
        <s v="CC-AC-CLAMP"/>
        <s v="Thread Caps"/>
        <s v="CC-SS-35"/>
        <s v="Shipping Charges"/>
        <s v="CC-AC-BM-KIT"/>
        <s v="CC-CH-35-STD"/>
        <s v="CC-AC-OP"/>
        <s v="CC-AC-TC"/>
        <s v="Freight Insurance Charge"/>
        <s v="CC-NPTC-06-STD"/>
        <s v="CC-MJMKII-3-110"/>
        <s v="Shipping Fees"/>
        <s v="CC-CTC-20"/>
        <s v="CC-HCCMKII-08-TC"/>
        <s v="CC-PROJ-5-110"/>
        <s v="CC-F-COT"/>
        <s v="CC-F-DCHA-PYROTEK"/>
        <s v="CC-RC-2430"/>
        <s v="CC-RC-2430-PJI"/>
        <s v="CC-RC-2430-TTI"/>
        <s v="CC-WASH-INT-01"/>
        <s v="Insulating Barrel Washer"/>
        <s v="Shoulder washers"/>
        <s v="1/4-20 x 1/2&quot; SEMS Screws / Internal Tooth Washer / PH S Black"/>
        <s v="CC-HCCMKII-15-TC"/>
        <s v="CC-CTC-50"/>
        <s v="CC-CH-15-STD"/>
        <s v="CC-F-HEA"/>
        <s v="6FJ-6SB"/>
        <s v="CC-HCCMKII-05-NC"/>
        <s v="CC-MJMKII-5-110"/>
        <s v="CC-CH-15-EXT"/>
        <s v="CC-CH-35-EXT"/>
        <s v="CC-AC-ROR"/>
        <s v="MagicFX StadiumShot III"/>
        <s v="MagicFX SFX Safety ARM Controller"/>
        <s v="6in Barrel Assembly Powdercoated"/>
        <s v="CC-F-DCHA"/>
        <s v="CC-AC-CLAMP-CC2-KIT"/>
        <s v="Return Shipping from Mexico"/>
        <s v="Repacking Fee"/>
        <s v="CC-AC-RAA"/>
        <s v="CC-QJ-5-110"/>
        <s v="6 Way Single Shot Mine Rack"/>
        <s v="CC-CH-50-STD"/>
        <s v="Obsidian RP2 Relay Pack"/>
        <s v="CC-F-MFDCGAJIC"/>
        <s v="Micro Jet MKII Main PCB"/>
        <s v="IDC Cable Clip"/>
        <s v="Flat Button Interior Overlay Assembly - 1"/>
        <s v="CC-CH-35-OB"/>
        <s v="CC-AC-CGANPT-INT-SET"/>
        <s v="CC-AC-CGANPT-SET"/>
        <s v="3/8&quot; JIC Male x 1/4&quot; NPT Female 90 Degree Elbow"/>
        <s v="CO2 Valve Replacement Seal"/>
        <s v="#10 Neoprene-Steel Sealing Washer"/>
        <s v="CC-CC2-110-JIC"/>
        <s v="CC-HCCMKII-15-NC"/>
        <s v="CC-PROJ-3-110-JIC"/>
        <s v="CC-CH-08-DSY"/>
        <s v="CC-CH-25-EXT"/>
        <s v="CC-CH-08-STD"/>
        <s v="CC-NPTC-15-DSY"/>
        <s v="CC-NPTC-25-DSY"/>
        <s v="100FT CO2 HOSE - 3/8&quot; (BSPP x JIC #6)"/>
        <s v="15FT CO2 HOSE - 3/8&quot; (BSPP x JIC #6)"/>
        <s v="CC-AC-TB-KIT"/>
        <s v="CC-F-CGA-FQC"/>
        <s v="CC-STP-5"/>
        <s v="CC-AC-LA2"/>
        <s v="CC-AC-4PM"/>
        <s v="CC-CH-02-MFD"/>
        <s v="CC-CH-05-DSY"/>
        <s v="CC-CH-03.5-MFD"/>
      </sharedItems>
    </cacheField>
    <cacheField name="Line Item Description" numFmtId="0">
      <sharedItems containsNonDate="0" containsBlank="1" count="97">
        <s v="CO2 Washers (10 pack)"/>
        <s v="Co2 Hose 25FT Standard Config"/>
        <s v="The Button - with both 3 &amp; 5 pin DMX ports"/>
        <s v="CO2 Cylinder Link"/>
        <s v="Co2 Tank Attachment Tool"/>
        <s v="Replacement Keys - The Button"/>
        <s v="Warranty Repair of The Button #31932"/>
        <s v="Replacement DMX Jet"/>
        <s v="Neutrik PowerCON True1 Cords - 10FT, Daisy Chain"/>
        <s v="Handheld CO2 Cannon MKII"/>
        <s v="Truss Clamp for Micro Jet MKII w/ Hardware"/>
        <s v="CO2 Tank Splitter"/>
        <s v="Replacement O-Ring - 2023 Quick Connects. EPDM"/>
        <s v="Cryo Clamp II, 110v, Weatherproof CO2 Jet"/>
        <s v="Truss Clamp"/>
        <s v="Thread Protectors "/>
        <s v="ShoStarter DMX Controller with 3 &amp; 5 Pin Connectors in Box"/>
        <m/>
        <s v="Ball Mount Assembly for Cryo Clamp with 4x 10-32 x 3/8&quot; socket head screws"/>
        <s v="Co2 Hose 35FT Standard Config"/>
        <s v="CO2 Tank Tool + Washers "/>
        <s v="Handheld CO2 Cannon MKII - International CO2 fittings, washer &amp; attachment tool."/>
        <s v="Travel Case"/>
        <s v="Neutrik PowerCON True1 Cords - 6FT, Standard"/>
        <s v="Micro CO2 Jet MKII - No Hose, install ISO-B quick connects on units"/>
        <s v="CO2 Tank Covers - 20lb Cover"/>
        <s v="Handheld MKII in travel case with 8ft hose"/>
        <s v="Pro Jet"/>
        <s v=" CO2 Output Terminator"/>
        <s v="Daisy Chain Adapter (1/2&quot; JIC)"/>
        <s v="24x30 Road Case"/>
        <s v="24x30 Road Case Insert - Pro Jet"/>
        <s v="24x30 Road Case Insert - Top Tray Insert"/>
        <s v="Single CO2 Washer - International"/>
        <s v="installs under CO2 barrel"/>
        <s v="Shoulder washers for Pro Jet Yoke"/>
        <s v="1/4-20 x 1/2&quot; SEMS Screws / Internal Tooth Washer / PH S Black"/>
        <s v="Handheld MKII in travel case with 15ft hose"/>
        <s v="CO2 Tank Covers - 50lb Cover"/>
        <s v="Co2 Hose 15FT Standard Config"/>
        <s v="Hose Extension Adapter"/>
        <s v="RMA #2998 - Hose Repair"/>
        <s v="#6 JIC Female Hose Crimp Fitting"/>
        <s v="Handheld MKII in box with 5ft hose"/>
        <s v="RMA #10944 - No issues detected with product"/>
        <s v="RMA #10944 - No issues found, product performed normally."/>
        <s v="Micro CO2 Jet MKII"/>
        <s v="Co2 Hose 15FT Extension Config"/>
        <s v="Co2 Hose 35FT Extension Config"/>
        <s v="Replacement O-Ring"/>
        <s v="DMX Controlled Confetti Launcher - Lightly Used"/>
        <s v="DMX Controlled Confetti Launcher"/>
        <s v="48v Safety Controller"/>
        <s v="6in Jet Barrel with powdercoating"/>
        <s v="Daisy Chain Adapter"/>
        <s v="Truss clamp for CC2 and Pro Jet with 1/2-13 x 3/4” CS screw"/>
        <s v="Right Angle Adapter"/>
        <s v="Quad Jet 110v with 5 Pin DMX With Barrels - Demo Units"/>
        <s v="6-Way single shot mine rack (max. effect ∅: 100 mm)"/>
        <s v="Co2 Hose 50FT Standard Config"/>
        <s v="2 Output DMX Relay with Timer"/>
        <s v="Adapter for use with Manifold - to attach standard CGA-320 hose configuration"/>
        <s v="Repair of Micro Jet MKII #0921768"/>
        <s v="Micro Jet MKII Main PCB"/>
        <s v="3D printed clip to secure IDC Cable"/>
        <s v="Repair of The Button #31621 &amp; #31467"/>
        <s v="3d printed white Plastic overlay window and grey Acrylic for display"/>
        <s v="CO2 Hose Off-Brand - 35FT CO2 Hose"/>
        <s v="International CO2 fitting 1/4&quot; NPT to DIN 477"/>
        <s v="CGA-320 to 1/4&quot; NPT adapter with nut."/>
        <s v="Warranty Repair of The Button Serial #31914 - RMA #105452"/>
        <s v="Replacement Stadium Blaster Internal Hose (Magic FX)"/>
        <s v="Warranty Repair of Handheld MKII Serial #004853 - RMA #106479"/>
        <s v="Warranty Repair of Micro Jet MKII Serial #1233642"/>
        <s v="Elbow for Micro Jet Barrel Assembly"/>
        <s v="Teflon &amp; Brass seal for 1/4&quot; CO2 Valve"/>
        <s v="Solenoid Neoprene Spacer/Washer"/>
        <s v="Cryo Clamp II, 110v, Weatherproof CO2 Jet with JIC Inlet"/>
        <s v="Repair of Magic FX Arm Controller Serial #015, #126"/>
        <s v="Pro Jet - 3 Pin, 110v, JIC in/out"/>
        <s v="Co2 Hose 15FT Standard Config - JIC x JIC"/>
        <s v="Co2 Hose 08FT Daisy Chain"/>
        <s v="Co2 Hose 25FT Extension Config"/>
        <s v="Co2 Hose 08FT Standard Config"/>
        <s v="Neutrik PowerCON True1 Cords - 15FT, Daisy Chain"/>
        <s v="Neutrik PowerCON True1 Cords - 25FT, Daisy Chain"/>
        <s v="100FT CO2 HOSE - FEMALE JIC #6 x FEMALE JIC #6"/>
        <s v="15FT CO2 HOSE - FEMALE JIC #6 x FEMALE JIC #6"/>
        <s v="Cryo Clamp wall mount bracket kit with included 1/2-13 x 3/4&quot; stainless pan head screw"/>
        <s v="CGA-320 Female to Female Quick Connect"/>
        <s v="ShoStopper E-Stop with 5 pin DMX"/>
        <s v="LED Attachment for DMX Jet, DMX Jet MKII, and Pro Jet."/>
        <s v="Quad Jet 110v with 5 Pin DMX With Barrels"/>
        <s v="4 Port Co2 Manifold - 4x JIC 3/8&quot; Inlets, 1x JIC 3/8&quot; Outlet with Truss Bracket"/>
        <s v="2FT CO2 Hose (CGA-320 x Female JIC 3/8&quot;) For use with Manifold"/>
        <s v="Co2 Hose 05FT Daisy Chain"/>
        <s v="3 1/2FT CO2 Hose (CGA-320 x Female JIC 3/8&quot;) For use with Manifold"/>
      </sharedItems>
    </cacheField>
    <cacheField name="Order Quantity" numFmtId="0">
      <sharedItems containsSemiMixedTypes="0" containsNonDate="0" containsString="0" containsNumber="1" containsInteger="1" minValue="1" maxValue="300" count="15">
        <n v="1"/>
        <n v="4"/>
        <n v="2"/>
        <n v="7"/>
        <n v="12"/>
        <n v="24"/>
        <n v="6"/>
        <n v="300"/>
        <n v="10"/>
        <n v="20"/>
        <n v="8"/>
        <n v="11"/>
        <n v="3"/>
        <n v="5"/>
        <n v="9"/>
      </sharedItems>
    </cacheField>
    <cacheField name="Unit Price" numFmtId="0">
      <sharedItems containsSemiMixedTypes="0" containsNonDate="0" containsString="0" containsNumber="1" minValue="0" maxValue="3750" count="81">
        <n v="9.99"/>
        <n v="199.99"/>
        <n v="399.99"/>
        <n v="119.99"/>
        <n v="7.49"/>
        <n v="0"/>
        <n v="54.99"/>
        <n v="349.99"/>
        <n v="29.99"/>
        <n v="49.99"/>
        <n v="1.99"/>
        <n v="499.99"/>
        <n v="899.9924999999999"/>
        <n v="16.55"/>
        <n v="249.99"/>
        <n v="15"/>
        <n v="262.4925"/>
        <n v="194.99"/>
        <n v="218.88"/>
        <n v="637.4924999999999"/>
        <n v="62"/>
        <n v="343.74"/>
        <n v="43.74"/>
        <n v="549.99"/>
        <n v="900"/>
        <n v="22.4925"/>
        <n v="1199.9925"/>
        <n v="246.65"/>
        <n v="599.99"/>
        <n v="59.99"/>
        <n v="149.99"/>
        <n v="19.99"/>
        <n v="262.5"/>
        <n v="299.9925"/>
        <n v="33.54"/>
        <n v="24.89"/>
        <n v="782.991"/>
        <n v="134.991"/>
        <n v="224.991"/>
        <n v="107.991"/>
        <n v="256.31"/>
        <n v="3500"/>
        <n v="3750"/>
        <n v="800"/>
        <n v="855.4"/>
        <n v="80"/>
        <n v="40"/>
        <n v="640.33"/>
        <n v="64"/>
        <n v="142.63"/>
        <n v="849.99"/>
        <n v="100"/>
        <n v="550"/>
        <n v="545"/>
        <n v="574.99"/>
        <n v="299.99"/>
        <n v="334.99"/>
        <n v="18.54"/>
        <n v="869.99"/>
        <n v="22.99"/>
        <n v="149"/>
        <n v="19.55"/>
        <n v="974.9924999999999"/>
        <n v="59.65"/>
        <n v="109.99"/>
        <n v="587.49"/>
        <n v="48.7425"/>
        <n v="56.2425"/>
        <n v="26"/>
        <n v="412.4925"/>
        <n v="112.4925"/>
        <n v="72"/>
        <n v="374.9925"/>
        <n v="14.9925"/>
        <n v="36"/>
        <n v="179.99"/>
        <n v="64.98999999999999"/>
        <n v="99.98999999999999"/>
        <n v="50"/>
        <n v="1199.99"/>
        <n v="69.98999999999999"/>
      </sharedItems>
    </cacheField>
    <cacheField name="Total Line Item $" numFmtId="0">
      <sharedItems containsSemiMixedTypes="0" containsNonDate="0" containsString="0" containsNumber="1" minValue="0" maxValue="38500" count="114">
        <n v="9.99"/>
        <n v="199.99"/>
        <n v="399.99"/>
        <n v="479.96"/>
        <n v="39.96"/>
        <n v="7.49"/>
        <n v="0"/>
        <n v="219.96"/>
        <n v="699.98"/>
        <n v="59.98"/>
        <n v="49.99"/>
        <n v="1.99"/>
        <n v="3499.93"/>
        <n v="209.93"/>
        <n v="399.98"/>
        <n v="899.9924999999999"/>
        <n v="16.55"/>
        <n v="499.99"/>
        <n v="249.99"/>
        <n v="15"/>
        <n v="3149.91"/>
        <n v="194.99"/>
        <n v="218.88"/>
        <n v="2549.97"/>
        <n v="62"/>
        <n v="687.48"/>
        <n v="87.48"/>
        <n v="549.99"/>
        <n v="349.99"/>
        <n v="10800"/>
        <n v="539.8200000000001"/>
        <n v="2399.985"/>
        <n v="246.65"/>
        <n v="599.99"/>
        <n v="59.99"/>
        <n v="599.96"/>
        <n v="99.98"/>
        <n v="79.95999999999999"/>
        <n v="262.5"/>
        <n v="599.985"/>
        <n v="33.54"/>
        <n v="24.89"/>
        <n v="4697.946"/>
        <n v="539.9640000000001"/>
        <n v="449.982"/>
        <n v="863.928"/>
        <n v="256.31"/>
        <n v="38500"/>
        <n v="3750"/>
        <n v="2400"/>
        <n v="855.4"/>
        <n v="400"/>
        <n v="40"/>
        <n v="179.97"/>
        <n v="39.98"/>
        <n v="999.98"/>
        <n v="640.33"/>
        <n v="64"/>
        <n v="142.63"/>
        <n v="1699.98"/>
        <n v="200"/>
        <n v="239.98"/>
        <n v="19.98"/>
        <n v="239.96"/>
        <n v="119.98"/>
        <n v="3300"/>
        <n v="545"/>
        <n v="574.99"/>
        <n v="1999.96"/>
        <n v="1199.96"/>
        <n v="60"/>
        <n v="669.98"/>
        <n v="19.99"/>
        <n v="149.97"/>
        <n v="29.97"/>
        <n v="100"/>
        <n v="18.54"/>
        <n v="3479.96"/>
        <n v="199.96"/>
        <n v="999.8"/>
        <n v="22.99"/>
        <n v="119.99"/>
        <n v="149"/>
        <n v="19.55"/>
        <n v="799.98"/>
        <n v="3.98"/>
        <n v="3899.97"/>
        <n v="179.94"/>
        <n v="59.65"/>
        <n v="219.98"/>
        <n v="109.99"/>
        <n v="1174.98"/>
        <n v="194.97"/>
        <n v="449.94"/>
        <n v="26"/>
        <n v="239.92"/>
        <n v="1649.97"/>
        <n v="449.97"/>
        <n v="72"/>
        <n v="7.96"/>
        <n v="1499.97"/>
        <n v="89.97"/>
        <n v="59.97"/>
        <n v="36"/>
        <n v="139.93"/>
        <n v="179.99"/>
        <n v="259.96"/>
        <n v="99.98999999999999"/>
        <n v="6799.92"/>
        <n v="1199.99"/>
        <n v="359.98"/>
        <n v="559.92"/>
        <n v="69.98999999999999"/>
        <n v="89.91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3" createdVersion="7">
  <cacheSource type="worksheet">
    <worksheetSource ref="A2:H305" sheet="Decemeber 2023"/>
  </cacheSource>
  <cacheFields count="8">
    <cacheField name="Sales Order" numFmtId="0">
      <sharedItems containsNonDate="0" count="127">
        <s v="4187"/>
        <s v="4186"/>
        <s v="4185"/>
        <s v="4184"/>
        <s v="4183"/>
        <s v="4182"/>
        <s v="4181"/>
        <s v="4177"/>
        <s v="4176"/>
        <s v="4178"/>
        <s v="4179"/>
        <s v="4180"/>
        <s v="4175"/>
        <s v="4174"/>
        <s v="4173"/>
        <s v="4172"/>
        <s v="4171"/>
        <s v="4170"/>
        <s v="4169"/>
        <s v="4168"/>
        <s v="4167"/>
        <s v="4166"/>
        <s v="4165"/>
        <s v="4163"/>
        <s v="4162"/>
        <s v="4164"/>
        <s v="4160"/>
        <s v="4161"/>
        <s v="4158"/>
        <s v="4155"/>
        <s v="4151"/>
        <s v="4150"/>
        <s v="4148"/>
        <s v="4153"/>
        <s v="4154"/>
        <s v="4152"/>
        <s v="4149"/>
        <s v="4159"/>
        <s v="4156"/>
        <s v="4157"/>
        <s v="4147"/>
        <s v="4144"/>
        <s v="4143"/>
        <s v="4142"/>
        <s v="4145"/>
        <s v="4146"/>
        <s v="4140"/>
        <s v="4141"/>
        <s v="4139"/>
        <s v="4136"/>
        <s v="4132"/>
        <s v="4131"/>
        <s v="4130"/>
        <s v="4129"/>
        <s v="4133"/>
        <s v="4134"/>
        <s v="4137"/>
        <s v="4128"/>
        <s v="4127"/>
        <s v="4126"/>
        <s v="4124"/>
        <s v="4122"/>
        <s v="4123"/>
        <s v="4125"/>
        <s v="4121"/>
        <s v="4119"/>
        <s v="4118"/>
        <s v="4117"/>
        <s v="4120"/>
        <s v="4116"/>
        <s v="4114"/>
        <s v="4112"/>
        <s v="4111"/>
        <s v="4109"/>
        <s v="4110"/>
        <s v="4115"/>
        <s v="4107"/>
        <s v="4105"/>
        <s v="4106"/>
        <s v="4108"/>
        <s v="4104"/>
        <s v="4101"/>
        <s v="4103"/>
        <s v="4100"/>
        <s v="4102"/>
        <s v="4099"/>
        <s v="4097"/>
        <s v="4096"/>
        <s v="4098"/>
        <s v="4095"/>
        <s v="4091"/>
        <s v="4090"/>
        <s v="4093"/>
        <s v="4094"/>
        <s v="4092"/>
        <s v="4088"/>
        <s v="4086"/>
        <s v="4089"/>
        <s v="4087"/>
        <s v="4085"/>
        <s v="4084"/>
        <s v="4083"/>
        <s v="4082"/>
        <s v="4080"/>
        <s v="4079"/>
        <s v="4078"/>
        <s v="4077"/>
        <s v="4076"/>
        <s v="4075"/>
        <s v="4074"/>
        <s v="4081"/>
        <s v="4073"/>
        <s v="4072"/>
        <s v="4071"/>
        <s v="4070"/>
        <s v="4069"/>
        <s v="4068"/>
        <s v="4067"/>
        <s v="4066"/>
        <s v="4065"/>
        <s v="4063"/>
        <s v="4062"/>
        <s v="4061"/>
        <s v="4064"/>
        <s v="4060"/>
        <s v="4059"/>
        <s v="4058"/>
      </sharedItems>
    </cacheField>
    <cacheField name="Customer" numFmtId="0">
      <sharedItems containsNonDate="0" count="106">
        <s v="Jackson Maki"/>
        <s v="CHARLENE REED"/>
        <s v="Billy Cooke"/>
        <s v="Jordan Lillis"/>
        <s v="warren monnich"/>
        <s v="Rico Iavarone"/>
        <s v="Sven Richter"/>
        <s v="Franklin Munoz"/>
        <s v="JOSE ANTONIO MAR HERNANDEZ"/>
        <s v="Reno Rosser / Flying U Rodeo"/>
        <s v="David Belogolovsky"/>
        <s v="Magic FX"/>
        <s v="Yury Desiderio"/>
        <s v="David Perez"/>
        <s v="Ardy Rahbarpoor"/>
        <s v="Edwin Bermudez"/>
        <s v="Chris Johnson"/>
        <s v="Joey Castillo"/>
        <s v="Eduardo Alves"/>
        <s v="Paul Scott"/>
        <s v="Bryan Circus"/>
        <s v="Paulo Miyamoto"/>
        <s v="Michael Darby"/>
        <s v="Zcibeiro Medina"/>
        <s v="HUGO FELICIANO"/>
        <s v="Image SFX"/>
        <s v="ALLEN DAVIDOO"/>
        <s v="Steven Dobo"/>
        <s v="Kevin Moore"/>
        <s v="Darrien Jerman"/>
        <s v="Ralph Bracamonte"/>
        <s v="Travis Johnson"/>
        <s v="Sean Atkins"/>
        <s v="AFX Pro / Jackie Johnson"/>
        <s v="Dios Vazquez"/>
        <s v="Disney Cruise Line"/>
        <s v="Johannes Kastner"/>
        <s v="Pyrotek FX"/>
        <s v="Christopher Bartosik"/>
        <s v="Kevin Farrell"/>
        <s v="Colin McNair"/>
        <s v="Robert Kirby"/>
        <s v="Marko Marjanovic"/>
        <s v="FFP FX"/>
        <s v="MTI Sound, Lighting, and Staging"/>
        <s v="Jameson Rodgers"/>
        <s v="Alex De francisco"/>
        <s v="Zak McClellan"/>
        <s v="john csordas jr"/>
        <s v="FELIPE ROMERO"/>
        <s v="Scott Gray"/>
        <s v="The Tribe Utah"/>
        <s v="Freaklife Inc"/>
        <s v="thomas Perniciaro"/>
        <s v="Christopher Schulte"/>
        <s v="alex mazuryn"/>
        <s v="Brett Mccutcheon"/>
        <s v="Saul Demis"/>
        <s v="V2 Productions"/>
        <s v="Ricardo Sandoval"/>
        <s v="Gabriel Garzaro"/>
        <s v="Jakub Rzepka"/>
        <s v="Rolando Aspuru"/>
        <s v="Luis Yrtube"/>
        <s v="Michael Garmon"/>
        <s v="MICHAEL KING"/>
        <s v="Ronny Fernández"/>
        <s v="LUIS SALGADO"/>
        <s v="Richard Gagliardi"/>
        <s v="Matthew Lucyk"/>
        <s v="Jacob Ross"/>
        <s v="Roderick Carrier"/>
        <s v="Ariel Castillo / Confetti Fog FX"/>
        <s v="Majed Abou Alkhir"/>
        <s v="Michael Zakutansky"/>
        <s v="Scott Connell"/>
        <s v="Sandor Pap"/>
        <s v="ffp effects inc c/o Third Encore"/>
        <s v="Misty Knievel"/>
        <s v="Videlio HMS"/>
        <s v="Michelle Cheng"/>
        <s v="Haroon Samuel"/>
        <s v="Deyron Bell"/>
        <s v="Washington A Espinoza"/>
        <s v="Kedd Jones"/>
        <s v="John Wagner"/>
        <s v="Carlos Randeles"/>
        <s v="Michael Bedkowski"/>
        <s v="Sabrina Natale"/>
        <s v="Carson Howe"/>
        <s v="Joseph Bennett"/>
        <s v="FRANK MURABITO"/>
        <s v="Christopher Lopez"/>
        <s v="Timothy Doyle"/>
        <s v="Estefania Urban"/>
        <s v="Julio Urbina"/>
        <s v="Romin Zandi (Personal)"/>
        <s v="tony@envisionproav.com"/>
        <s v="Ericson R Cesar"/>
        <s v="Fred Flores"/>
        <s v="Francis miguel Guerrero"/>
        <s v="Yoshi Haddad"/>
        <s v="Ralph Abbenante"/>
        <s v="Special FX Rentals"/>
        <s v="Rick Olsen"/>
        <s v="Amped Entertainment"/>
      </sharedItems>
    </cacheField>
    <cacheField name="Ordered Date" numFmtId="0">
      <sharedItems containsSemiMixedTypes="0" containsNonDate="0" containsDate="1" containsString="0" minDate="2023-12-01T00:00:00" maxDate="2023-12-31T06:58:49" count="102">
        <d v="2023-12-31T06:58:49"/>
        <d v="2023-12-30T03:14:49"/>
        <d v="2023-12-29T21:11:08"/>
        <d v="2023-12-29T18:04:36"/>
        <d v="2023-12-28T17:41:48"/>
        <d v="2023-12-28T17:25:13"/>
        <d v="2023-12-28T17:08:50"/>
        <d v="2023-12-28T13:55:26"/>
        <d v="2023-12-28T06:05:47"/>
        <d v="2023-12-28T00:00:00"/>
        <d v="2023-12-27T19:26:15"/>
        <d v="2023-12-27T00:57:22"/>
        <d v="2023-12-26T22:22:41"/>
        <d v="2023-12-26T18:01:54"/>
        <d v="2023-12-26T17:41:11"/>
        <d v="2023-12-26T15:33:51"/>
        <d v="2023-12-26T05:36:28"/>
        <d v="2023-12-24T20:04:11"/>
        <d v="2023-12-24T19:52:27"/>
        <d v="2023-12-24T18:27:35"/>
        <d v="2023-12-24T01:38:23"/>
        <d v="2023-12-23T04:48:25"/>
        <d v="2023-12-23T03:53:45"/>
        <d v="2023-12-23T00:00:00"/>
        <d v="2023-12-22T19:21:20"/>
        <d v="2023-12-22T00:00:00"/>
        <d v="2023-12-21T20:58:18"/>
        <d v="2023-12-21T18:54:01"/>
        <d v="2023-12-21T16:46:55"/>
        <d v="2023-12-21T16:44:00"/>
        <d v="2023-12-21T12:49:33"/>
        <d v="2023-12-21T00:00:00"/>
        <d v="2023-12-20T21:34:40"/>
        <d v="2023-12-20T13:52:43"/>
        <d v="2023-12-20T12:17:19"/>
        <d v="2023-12-20T02:57:53"/>
        <d v="2023-12-20T00:00:00"/>
        <d v="2023-12-19T00:00:00"/>
        <d v="2023-12-18T23:05:36"/>
        <d v="2023-12-18T18:54:05"/>
        <d v="2023-12-18T17:40:11"/>
        <d v="2023-12-18T17:16:55"/>
        <d v="2023-12-18T04:23:25"/>
        <d v="2023-12-18T00:00:00"/>
        <d v="2023-12-17T15:41:34"/>
        <d v="2023-12-17T15:09:14"/>
        <d v="2023-12-17T05:30:43"/>
        <d v="2023-12-15T19:45:42"/>
        <d v="2023-12-15T17:06:21"/>
        <d v="2023-12-15T00:00:00"/>
        <d v="2023-12-14T21:00:43"/>
        <d v="2023-12-14T04:50:17"/>
        <d v="2023-12-14T02:57:06"/>
        <d v="2023-12-14T00:05:44"/>
        <d v="2023-12-14T00:00:00"/>
        <d v="2023-12-13T21:36:32"/>
        <d v="2023-12-13T20:27:25"/>
        <d v="2023-12-13T16:17:56"/>
        <d v="2023-12-13T16:07:03"/>
        <d v="2023-12-13T00:10:41"/>
        <d v="2023-12-13T00:00:00"/>
        <d v="2023-12-12T20:31:13"/>
        <d v="2023-12-12T12:19:30"/>
        <d v="2023-12-12T00:00:00"/>
        <d v="2023-12-11T20:14:30"/>
        <d v="2023-12-11T17:18:24"/>
        <d v="2023-12-11T00:00:00"/>
        <d v="2023-12-09T15:17:26"/>
        <d v="2023-12-08T20:58:58"/>
        <d v="2023-12-08T16:21:06"/>
        <d v="2023-12-08T00:00:00"/>
        <d v="2023-12-07T23:56:15"/>
        <d v="2023-12-07T17:08:20"/>
        <d v="2023-12-07T05:03:20"/>
        <d v="2023-12-07T00:00:00"/>
        <d v="2023-12-06T17:22:49"/>
        <d v="2023-12-06T05:42:29"/>
        <d v="2023-12-06T00:00:00"/>
        <d v="2023-12-05T22:10:30"/>
        <d v="2023-12-05T18:39:39"/>
        <d v="2023-12-05T17:35:58"/>
        <d v="2023-12-05T02:49:53"/>
        <d v="2023-12-05T02:49:49"/>
        <d v="2023-12-05T02:32:40"/>
        <d v="2023-12-05T02:32:32"/>
        <d v="2023-12-05T02:32:13"/>
        <d v="2023-12-05T02:14:30"/>
        <d v="2023-12-05T02:08:14"/>
        <d v="2023-12-05T00:00:00"/>
        <d v="2023-12-04T21:00:52"/>
        <d v="2023-12-04T20:43:03"/>
        <d v="2023-12-04T19:26:54"/>
        <d v="2023-12-04T19:25:29"/>
        <d v="2023-12-04T19:22:00"/>
        <d v="2023-12-04T19:20:44"/>
        <d v="2023-12-04T19:20:15"/>
        <d v="2023-12-04T19:17:20"/>
        <d v="2023-12-04T19:17:04"/>
        <d v="2023-12-04T18:06:29"/>
        <d v="2023-12-04T17:55:15"/>
        <d v="2023-12-04T00:00:00"/>
        <d v="2023-12-01T00:00:00"/>
      </sharedItems>
      <fieldGroup base="2">
        <rangePr startDate="2023-12-01T00:00:00" endDate="2023-12-31T06:58:49" groupBy="days"/>
        <groupItems count="368">
          <s v="&lt;12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2/31/2023"/>
        </groupItems>
      </fieldGroup>
    </cacheField>
    <cacheField name="Line Item Name" numFmtId="0">
      <sharedItems containsNonDate="0" count="104">
        <s v="CC-AC-CTS"/>
        <s v="CC-WASH-10"/>
        <s v="CC-AC-CTAT"/>
        <s v="CC-CTC-20"/>
        <s v="CC-AC-CCL"/>
        <s v="CC-CH-15-STD"/>
        <s v="CC-TB-35"/>
        <s v="CC-HCCMKII-08-NC"/>
        <s v="CC-AC-4PM"/>
        <s v="CC-AC-LA2"/>
        <s v="CC-STP-5"/>
        <s v="CC-CH-05-STD - 01"/>
        <s v="CC-F-MFDCGAJIC"/>
        <s v="CC-CH-08-STD"/>
        <s v="CC-MJMKII-3-110"/>
        <s v="CC-NPTC-06-STD"/>
        <s v="CC-F-HEA"/>
        <s v="CC-F-DCHA"/>
        <s v="CC-CH-15-EXT"/>
        <s v="CC-AC-OP"/>
        <s v="CC-CH-35-STD"/>
        <s v="CC-AC-ROR2"/>
        <s v="Slowfall Confetti Rectangles (Black)"/>
        <s v="CC-S-GLD-M"/>
        <s v="CC-S-SIL-M"/>
        <s v="Shipping Charges"/>
        <s v="Slowfall Confetti Rectangles (Red)"/>
        <s v="Slowfall Confetti Rectangles (Light Blue)"/>
        <s v="CC-AC-CGANPT-SET"/>
        <s v="CC-HCCMKII-15-TC"/>
        <s v="CC-PROJ-5-110"/>
        <s v="CC-F-COT"/>
        <s v="CC-CH-15-DSY"/>
        <s v="CC-CH-02-MFD"/>
        <s v="CC-CH-03.5-MFD"/>
        <s v="CC-WASH-01"/>
        <s v="CC-RC-2430"/>
        <s v="CC-RC-2430-PJI"/>
        <s v="CC-RC-2430-TTI"/>
        <s v="CC-CC2-110-JIC"/>
        <s v="CC-AC-TB-KIT"/>
        <s v="CO2 Valve Replacement Seal"/>
        <s v="The Button LED PCB"/>
        <s v="CC-NPTC-15-DSY"/>
        <s v="CC-SS-35"/>
        <s v="CC-CC2-110"/>
        <s v="5FT CO2 Hose - JIC  x JIC"/>
        <s v="1/4&quot; NPT Female x 3/8&quot; JIC Male"/>
        <s v="CGA-320 Male x 1/4&quot; NPT Male "/>
        <s v=" CC-AC-CGAJIC-SET"/>
        <s v="Repair"/>
        <s v="LED Attachment Driver PCB"/>
        <s v="LED Attachment Main PCB"/>
        <s v="Quad Jet Main PCB - 1"/>
        <s v="CC-T1M-515F-08in"/>
        <s v="6-32 x 3/8&quot; - CS, BSS"/>
        <s v="Insulating Barrel Washer"/>
        <s v="#12 x 1/2&quot; High Low Thread Forming Screws / Phillips / Pan Head / Steel / Black Zinc"/>
        <s v="Compressible-Stem Push-In Bumpers"/>
        <s v="4-40 1/8in Hex Screw"/>
        <s v="Flat Button Interior Overlay Raw"/>
        <s v="The Button Display Lens - 2"/>
        <s v="IDC Cable Clip"/>
        <s v="FS-QJ-01 - 002"/>
        <s v="CC-HCCMKII-15-NC"/>
        <s v="Micro Jet MKII 5-Pin XLR PCB"/>
        <s v="DMX Jet MKII Main PCB"/>
        <s v="CC-MJMKII-5-110"/>
        <s v="CC-CH-25-STD"/>
        <s v="CC-CH-05-MFD"/>
        <s v="CC-AC-ROR"/>
        <s v="CC-F-FQCNPTF"/>
        <s v="50FT CO2 HOSE - 3/8&quot; (BSPP x JIC #6)"/>
        <s v="MBSPP-FJX-6-6"/>
        <s v="3/8” BSPP Bonding Washer Seal"/>
        <s v="Micro Jet MKII Main PCB"/>
        <s v="CC-CH-08-DSY"/>
        <s v="Shipping Fees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CC-AC-CLAMP"/>
        <s v="25FT CO2 Hose - 1/4&quot; ID (JIC #6 x JIC #6)"/>
        <s v="1/2&quot; KZE 4-10 / ISO-A 7241 Male Quick Connect"/>
        <s v="1/2&quot; NPT Male x 3/8&quot; JIC Male"/>
        <s v="CC-CTC-50"/>
        <s v="The Button Key Assembly - 1"/>
        <s v="CC-AC-CLAMP-CC2-KIT"/>
        <s v="Obsidian RP2 Relay Pack"/>
        <s v="CC-CH-50-STD"/>
        <s v="CC-CH-100-STD"/>
        <s v="CC-CH-XX-STD"/>
        <s v="Pro Jet Main PCB"/>
        <s v="5-pin DMX Passthrough PCB"/>
        <s v="CC-AC-SMK"/>
        <s v="CC-HCCMKII-08-TC"/>
        <s v="Micro Jet MKII XLR PCB"/>
        <s v="The Button Encoder Knob"/>
        <s v="SF8 Rubber Foot"/>
        <s v="8-32 x 3/8&quot; Binding Screw"/>
        <s v="1/4-20 x 1/2&quot; SH Black Screw"/>
        <s v="CC-F-MQCBSPPF"/>
      </sharedItems>
    </cacheField>
    <cacheField name="Line Item Description" numFmtId="0">
      <sharedItems containsNonDate="0" containsBlank="1" count="112">
        <s v="CO2 Tank Splitter"/>
        <s v="CO2 Washers (10 pack)"/>
        <s v="Co2 Tank Attachment Tool"/>
        <s v="CO2 Tank Covers - 20lb Cover"/>
        <s v="CO2 Cylinder Link"/>
        <s v="Co2 Hose 15FT Standard Config"/>
        <s v="The Button - with both 3 &amp; 5 pin DMX ports"/>
        <s v="Handheld CO2 Cannon MKII"/>
        <s v="4 Port Co2 Manifold - 4x JIC 3/8&quot; Inlets, 1x JIC 3/8&quot; Outlet with Truss Bracket"/>
        <s v="LED Attachment for DMX Jet, DMX Jet MKII, and Pro Jet."/>
        <s v="ShoStopper E-Stop with 5 pin DMX (Demo Unit)"/>
        <s v="ShoStopper E-Stop with 5 pin DMX"/>
        <s v="Co2 Hose 05FT Standard Config"/>
        <s v="Adapter for use with Manifold - to attach standard CGA-320 hose configuration"/>
        <s v="Co2 Hose 08FT Standard Config"/>
        <s v="Micro CO2 Jet MKII"/>
        <s v="Neutrik PowerCON True1 Cords - 6FT, Standard"/>
        <s v="Hose Extension Adapter"/>
        <s v="Daisy Chain Adapter"/>
        <s v="Co2 Hose 15FT Extension Config"/>
        <s v="CO2 Tank Tool + Washers "/>
        <s v="Co2 Hose 35FT Standard Config"/>
        <s v="Replacement O-Ring - 2023 Quick Connects. EPDM"/>
        <s v="Confetti - 1KG"/>
        <s v="Streamers - Gold Mylar"/>
        <s v="Streamers - Silver Mylar"/>
        <m/>
        <s v="MagicFX Confetti - 1KG"/>
        <s v="CGA-320 to 1/4&quot; NPT adapter with nut."/>
        <s v="Handheld MKII in travel case with 15ft hose"/>
        <s v="Pro Jet"/>
        <s v=" CO2 Output Terminator"/>
        <s v="Co2 Hose 15FT Daisy Chain"/>
        <s v="2FT CO2 Hose (CGA-320 x Female JIC 3/8&quot;) For use with Manifold"/>
        <s v="3 1/2FT CO2 Hose (CGA-320 x Female JIC 3/8&quot;) For use with Manifold"/>
        <s v="Single CO2 Washer"/>
        <s v="24x30 Road Case"/>
        <s v="24x30 Road Case Insert - Pro Jet"/>
        <s v="24x30 Road Case Insert - Top Tray Insert"/>
        <s v="Cryo Clamp II, 110v, Weatherproof CO2 Jet with JIC Inlet"/>
        <s v="Cryo Clamp wall mount bracket kit with included 1/2-13 x 3/4&quot; stainless pan head screw"/>
        <s v="Teflon &amp; Brass seal for 1/4&quot; CO2 Valve"/>
        <s v="The Button LED Button PCB"/>
        <s v="Neutrik PowerCON True1 Cords - 15FT, Daisy Chain"/>
        <s v="ShoStarter DMX Controller with 3 &amp; 5 Pin Connectors in Box"/>
        <s v="Cryo Clamp II, 110v, Weatherproof CO2 Jet"/>
        <s v="5FT CO2 Hose - JIC  x JIC"/>
        <s v="Adapter for NPT to JIC male, CGA-320 JIC adapter"/>
        <s v="Adapter for CGA-320 to 1/4&quot; NPT Male"/>
        <s v="CGA-320 to JIC adapter with nut."/>
        <s v="Warranty / T&amp;M"/>
        <s v="Warranty Repair of Quad Jet (x2) and LED Attachment (x2)"/>
        <s v="Replaced on Serial #0923025"/>
        <s v="Quad Jet Main PCB"/>
        <s v="True1 Male to Nema 5-15 Female Output Adapter 8in"/>
        <s v="Repair and maintenance for 2x DMX Jet "/>
        <s v="Countersunk head, black stainless steel"/>
        <s v="N70 Series Neoprene Rubber Washers 2 1/4&quot; OD X 9/16&quot; ID X 1/8&quot; Thickness - 70 Duro Shore A"/>
        <s v="Pro Jet feet screws (thread forming)"/>
        <s v="Compressible-Stem Push-In Bumpers - pro jet foot"/>
        <s v="4-40 1/8in Socket set screw cup point"/>
        <s v="Warranty Repair of Buttons - #31430 &amp; #31425"/>
        <s v="White Plastic overlay before Laser Cut"/>
        <s v="Dark Grey Acrylic Lens for 7-Segment Display"/>
        <s v="3D printed clip to secure IDC Cable"/>
        <s v="Warranty Repair For 2x Quad Jet"/>
        <s v="Quad Jet elbow. 1/4&quot; NPT to 3/8 BSPP"/>
        <s v="DMX Input PCB"/>
        <s v="DMX Jet MKII Main PCB"/>
        <s v="Co2 Hose 25FT Standard Config - Upgrade from 15FT"/>
        <s v="5FT CO2 Hose (CGA-320 x Female JIC 3/8&quot;) For use with Manifold"/>
        <s v="Replacement O-Ring"/>
        <s v="Female Quick Connect (3/8″ NPT Female)"/>
        <s v="50FT CO2 HOSE - 3/8&quot; MALE BSPP x FEMALE JIC #6"/>
        <s v="Straight Adapter - 3/8 in Female JIC 37° Flare Swivel x 3/8 in Male British Standard Pipe Parallel"/>
        <s v="3/8” BSPP Bonding Washer Seal"/>
        <s v="Micro Jet MKII Main PCB"/>
        <s v="Co2 Hose 08FT Daisy Chain"/>
        <s v="Maintenance, filter removal, cleaning and solenoid replacement for DMX Jets ($100 / hour labor)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Repair of Big Red Button - Replaced PCB"/>
        <s v="Truss Clamp"/>
        <s v="Special order CO2 Hose"/>
        <s v="1/2&quot; KZE 4-10 / ISO-A 7241 Male Quick Connect Fitting"/>
        <s v="Male Connector for 1/2&quot; NPT to 3/8&quot; JIC"/>
        <s v="Co2 Hose 25FT Standard Config"/>
        <s v="CO2 Tank Covers - 50lb Cover"/>
        <s v="Warranty Repair for The Button Serial #31601&#10;RMA #93389"/>
        <s v="Key Switch with Wires and JST Connector for The Button"/>
        <s v="Truss clamp for CC2 with 1/2-13 x 3/4” CS screw"/>
        <s v="2 Output DMX Relay with Timer"/>
        <s v="Co2 Hose 50FT Standard Config - Upgrade from 15FT"/>
        <s v="Co2 Hose 100FT Standard Config - Upgrade from 15FT"/>
        <s v="Co2 Hose 50FT Standard Config"/>
        <s v="Co2 Hose 75FT Standard"/>
        <s v="Pro Jet Main PCB"/>
        <s v="5-pin DMX Passthrough PCB"/>
        <s v="Replacement Keys - The Button"/>
        <s v="Handheld MKII in travel case with 8ft hose"/>
        <s v="3 Pin DMX Input and Power Trigger PCB"/>
        <s v="Repair of Handheld MKII - replaced handle and body. &#10;Fully Testing - Passed"/>
        <s v="Reprogramming of Micro Jets, hose repair"/>
        <s v="Black Anodized Aluminum Encoder Knob"/>
        <s v="Micro Jet MKII Rubber Foot"/>
        <s v="Micro Jet MKII Foot Screw"/>
        <s v="Handle Screw"/>
        <s v="Repair of Quad Jet w/ stuck valve"/>
        <s v="3/8&quot; MQC Quick Connect Fitting BSPP thread"/>
      </sharedItems>
    </cacheField>
    <cacheField name="Order Quantity" numFmtId="0">
      <sharedItems containsSemiMixedTypes="0" containsNonDate="0" containsString="0" containsNumber="1" minValue="1" maxValue="200" count="20">
        <n v="2"/>
        <n v="1"/>
        <n v="20"/>
        <n v="10"/>
        <n v="5"/>
        <n v="50"/>
        <n v="4"/>
        <n v="3"/>
        <n v="8"/>
        <n v="16"/>
        <n v="100"/>
        <n v="12"/>
        <n v="32"/>
        <n v="150"/>
        <n v="15"/>
        <n v="6"/>
        <n v="200"/>
        <n v="8.300000000000001"/>
        <n v="14"/>
        <n v="7"/>
      </sharedItems>
    </cacheField>
    <cacheField name="Unit Price" numFmtId="0">
      <sharedItems containsSemiMixedTypes="0" containsNonDate="0" containsString="0" containsNumber="1" minValue="0" maxValue="1299.99" count="87">
        <n v="49.99"/>
        <n v="9.99"/>
        <n v="119.99"/>
        <n v="149.99"/>
        <n v="399.99"/>
        <n v="349.99"/>
        <n v="179.99"/>
        <n v="599.9924999999999"/>
        <n v="0"/>
        <n v="99.98999999999999"/>
        <n v="19.99"/>
        <n v="109.99"/>
        <n v="849.99"/>
        <n v="29.99"/>
        <n v="15"/>
        <n v="100"/>
        <n v="1.99"/>
        <n v="15.99"/>
        <n v="4"/>
        <n v="75"/>
        <n v="11.9925"/>
        <n v="22.99"/>
        <n v="599.99"/>
        <n v="1299.99"/>
        <n v="134.9925"/>
        <n v="48.7425"/>
        <n v="52.4925"/>
        <n v="14.9925"/>
        <n v="145"/>
        <n v="1199.9925"/>
        <n v="475"/>
        <n v="374.9925"/>
        <n v="18.5"/>
        <n v="7.99"/>
        <n v="89.99250000000001"/>
        <n v="24"/>
        <n v="176.87"/>
        <n v="61.86"/>
        <n v="66.86"/>
        <n v="16.87"/>
        <n v="1199.99"/>
        <n v="499.99"/>
        <n v="79.98999999999999"/>
        <n v="110"/>
        <n v="299.9925"/>
        <n v="14.24"/>
        <n v="22.4925"/>
        <n v="13.66"/>
        <n v="50"/>
        <n v="16.34"/>
        <n v="392.46"/>
        <n v="40"/>
        <n v="140"/>
        <n v="652.4924999999999"/>
        <n v="37.5"/>
        <n v="187.4925"/>
        <n v="112.4925"/>
        <n v="56.2425"/>
        <n v="17.2425"/>
        <n v="18.7425"/>
        <n v="78"/>
        <n v="94.98999999999999"/>
        <n v="299.99"/>
        <n v="1079.991"/>
        <n v="134.991"/>
        <n v="68.73"/>
        <n v="0.5"/>
        <n v="11"/>
        <n v="42"/>
        <n v="14"/>
        <n v="111.375"/>
        <n v="6"/>
        <n v="4.005"/>
        <n v="29"/>
        <n v="899.9924999999999"/>
        <n v="59.99"/>
        <n v="262.4925"/>
        <n v="36"/>
        <n v="35"/>
        <n v="374.99"/>
        <n v="150"/>
        <n v="425"/>
        <n v="175"/>
        <n v="88"/>
        <n v="7.49"/>
        <n v="549.99"/>
        <n v="18"/>
      </sharedItems>
    </cacheField>
    <cacheField name="Total Line Item $" numFmtId="0">
      <sharedItems containsSemiMixedTypes="0" containsNonDate="0" containsString="0" containsNumber="1" minValue="0" maxValue="5199.96" count="117">
        <n v="99.98"/>
        <n v="19.98"/>
        <n v="9.99"/>
        <n v="49.99"/>
        <n v="119.99"/>
        <n v="299.98"/>
        <n v="399.99"/>
        <n v="349.99"/>
        <n v="3599.8"/>
        <n v="1199.985"/>
        <n v="0"/>
        <n v="199.98"/>
        <n v="19.99"/>
        <n v="109.99"/>
        <n v="199.9"/>
        <n v="849.99"/>
        <n v="29.99"/>
        <n v="149.99"/>
        <n v="1699.98"/>
        <n v="59.98"/>
        <n v="30"/>
        <n v="200"/>
        <n v="19.9"/>
        <n v="39.98"/>
        <n v="79.95"/>
        <n v="75"/>
        <n v="479.96"/>
        <n v="39.96"/>
        <n v="119.925"/>
        <n v="68.97"/>
        <n v="1199.98"/>
        <n v="2599.98"/>
        <n v="1079.94"/>
        <n v="779.88"/>
        <n v="839.88"/>
        <n v="119.94"/>
        <n v="145"/>
        <n v="4799.97"/>
        <n v="2399.97"/>
        <n v="475"/>
        <n v="749.985"/>
        <n v="18.5"/>
        <n v="159.8"/>
        <n v="2879.76"/>
        <n v="24"/>
        <n v="176.87"/>
        <n v="123.72"/>
        <n v="133.72"/>
        <n v="33.74"/>
        <n v="1199.99"/>
        <n v="999.98"/>
        <n v="239.97"/>
        <n v="110"/>
        <n v="299.9925"/>
        <n v="14.24"/>
        <n v="149.925"/>
        <n v="224.925"/>
        <n v="13.66"/>
        <n v="599.99"/>
        <n v="699.98"/>
        <n v="50"/>
        <n v="16.34"/>
        <n v="392.46"/>
        <n v="219.98"/>
        <n v="240"/>
        <n v="280"/>
        <n v="1304.985"/>
        <n v="374.985"/>
        <n v="224.985"/>
        <n v="1799.76"/>
        <n v="29.985"/>
        <n v="56.2275"/>
        <n v="78"/>
        <n v="949.9"/>
        <n v="1499.95"/>
        <n v="239.98"/>
        <n v="79.95999999999999"/>
        <n v="5199.96"/>
        <n v="329.97"/>
        <n v="1079.991"/>
        <n v="89.97"/>
        <n v="134.991"/>
        <n v="68.73"/>
        <n v="100"/>
        <n v="11"/>
        <n v="622.5"/>
        <n v="42"/>
        <n v="44.985"/>
        <n v="14"/>
        <n v="445.5"/>
        <n v="36"/>
        <n v="24.03"/>
        <n v="29"/>
        <n v="899.9924999999999"/>
        <n v="15"/>
        <n v="49.95"/>
        <n v="59.99"/>
        <n v="3399.96"/>
        <n v="1499.97"/>
        <n v="599.98"/>
        <n v="262.4925"/>
        <n v="524.985"/>
        <n v="35"/>
        <n v="374.99"/>
        <n v="300"/>
        <n v="850"/>
        <n v="175"/>
        <n v="400"/>
        <n v="88"/>
        <n v="119.96"/>
        <n v="22.47"/>
        <n v="549.99"/>
        <n v="359.98"/>
        <n v="7.49"/>
        <n v="15.92"/>
        <n v="1199.97"/>
        <n v="1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3" createdVersion="7">
  <cacheSource type="worksheet">
    <worksheetSource ref="D2:F305" sheet="Decemeber 2023"/>
  </cacheSource>
  <cacheFields count="3">
    <cacheField name="Line Item Name" numFmtId="0">
      <sharedItems containsNonDate="0" count="104">
        <s v="CC-AC-CTS"/>
        <s v="CC-WASH-10"/>
        <s v="CC-AC-CTAT"/>
        <s v="CC-CTC-20"/>
        <s v="CC-AC-CCL"/>
        <s v="CC-CH-15-STD"/>
        <s v="CC-TB-35"/>
        <s v="CC-HCCMKII-08-NC"/>
        <s v="CC-AC-4PM"/>
        <s v="CC-AC-LA2"/>
        <s v="CC-STP-5"/>
        <s v="CC-CH-05-STD - 01"/>
        <s v="CC-F-MFDCGAJIC"/>
        <s v="CC-CH-08-STD"/>
        <s v="CC-MJMKII-3-110"/>
        <s v="CC-NPTC-06-STD"/>
        <s v="CC-F-HEA"/>
        <s v="CC-F-DCHA"/>
        <s v="CC-CH-15-EXT"/>
        <s v="CC-AC-OP"/>
        <s v="CC-CH-35-STD"/>
        <s v="CC-AC-ROR2"/>
        <s v="Slowfall Confetti Rectangles (Black)"/>
        <s v="CC-S-GLD-M"/>
        <s v="CC-S-SIL-M"/>
        <s v="Shipping Charges"/>
        <s v="Slowfall Confetti Rectangles (Red)"/>
        <s v="Slowfall Confetti Rectangles (Light Blue)"/>
        <s v="CC-AC-CGANPT-SET"/>
        <s v="CC-HCCMKII-15-TC"/>
        <s v="CC-PROJ-5-110"/>
        <s v="CC-F-COT"/>
        <s v="CC-CH-15-DSY"/>
        <s v="CC-CH-02-MFD"/>
        <s v="CC-CH-03.5-MFD"/>
        <s v="CC-WASH-01"/>
        <s v="CC-RC-2430"/>
        <s v="CC-RC-2430-PJI"/>
        <s v="CC-RC-2430-TTI"/>
        <s v="CC-CC2-110-JIC"/>
        <s v="CC-AC-TB-KIT"/>
        <s v="CO2 Valve Replacement Seal"/>
        <s v="The Button LED PCB"/>
        <s v="CC-NPTC-15-DSY"/>
        <s v="CC-SS-35"/>
        <s v="CC-CC2-110"/>
        <s v="5FT CO2 Hose - JIC  x JIC"/>
        <s v="1/4&quot; NPT Female x 3/8&quot; JIC Male"/>
        <s v="CGA-320 Male x 1/4&quot; NPT Male "/>
        <s v=" CC-AC-CGAJIC-SET"/>
        <s v="Repair"/>
        <s v="LED Attachment Driver PCB"/>
        <s v="LED Attachment Main PCB"/>
        <s v="Quad Jet Main PCB - 1"/>
        <s v="CC-T1M-515F-08in"/>
        <s v="6-32 x 3/8&quot; - CS, BSS"/>
        <s v="Insulating Barrel Washer"/>
        <s v="#12 x 1/2&quot; High Low Thread Forming Screws / Phillips / Pan Head / Steel / Black Zinc"/>
        <s v="Compressible-Stem Push-In Bumpers"/>
        <s v="4-40 1/8in Hex Screw"/>
        <s v="Flat Button Interior Overlay Raw"/>
        <s v="The Button Display Lens - 2"/>
        <s v="IDC Cable Clip"/>
        <s v="FS-QJ-01 - 002"/>
        <s v="CC-HCCMKII-15-NC"/>
        <s v="Micro Jet MKII 5-Pin XLR PCB"/>
        <s v="DMX Jet MKII Main PCB"/>
        <s v="CC-MJMKII-5-110"/>
        <s v="CC-CH-25-STD"/>
        <s v="CC-CH-05-MFD"/>
        <s v="CC-AC-ROR"/>
        <s v="CC-F-FQCNPTF"/>
        <s v="50FT CO2 HOSE - 3/8&quot; (BSPP x JIC #6)"/>
        <s v="MBSPP-FJX-6-6"/>
        <s v="3/8” BSPP Bonding Washer Seal"/>
        <s v="Micro Jet MKII Main PCB"/>
        <s v="CC-CH-08-DSY"/>
        <s v="Shipping Fees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CC-AC-CLAMP"/>
        <s v="25FT CO2 Hose - 1/4&quot; ID (JIC #6 x JIC #6)"/>
        <s v="1/2&quot; KZE 4-10 / ISO-A 7241 Male Quick Connect"/>
        <s v="1/2&quot; NPT Male x 3/8&quot; JIC Male"/>
        <s v="CC-CTC-50"/>
        <s v="The Button Key Assembly - 1"/>
        <s v="CC-AC-CLAMP-CC2-KIT"/>
        <s v="Obsidian RP2 Relay Pack"/>
        <s v="CC-CH-50-STD"/>
        <s v="CC-CH-100-STD"/>
        <s v="CC-CH-XX-STD"/>
        <s v="Pro Jet Main PCB"/>
        <s v="5-pin DMX Passthrough PCB"/>
        <s v="CC-AC-SMK"/>
        <s v="CC-HCCMKII-08-TC"/>
        <s v="Micro Jet MKII XLR PCB"/>
        <s v="The Button Encoder Knob"/>
        <s v="SF8 Rubber Foot"/>
        <s v="8-32 x 3/8&quot; Binding Screw"/>
        <s v="1/4-20 x 1/2&quot; SH Black Screw"/>
        <s v="CC-F-MQCBSPPF"/>
      </sharedItems>
    </cacheField>
    <cacheField name="Line Item Description" numFmtId="0">
      <sharedItems containsNonDate="0" containsBlank="1" count="112">
        <s v="CO2 Tank Splitter"/>
        <s v="CO2 Washers (10 pack)"/>
        <s v="Co2 Tank Attachment Tool"/>
        <s v="CO2 Tank Covers - 20lb Cover"/>
        <s v="CO2 Cylinder Link"/>
        <s v="Co2 Hose 15FT Standard Config"/>
        <s v="The Button - with both 3 &amp; 5 pin DMX ports"/>
        <s v="Handheld CO2 Cannon MKII"/>
        <s v="4 Port Co2 Manifold - 4x JIC 3/8&quot; Inlets, 1x JIC 3/8&quot; Outlet with Truss Bracket"/>
        <s v="LED Attachment for DMX Jet, DMX Jet MKII, and Pro Jet."/>
        <s v="ShoStopper E-Stop with 5 pin DMX (Demo Unit)"/>
        <s v="ShoStopper E-Stop with 5 pin DMX"/>
        <s v="Co2 Hose 05FT Standard Config"/>
        <s v="Adapter for use with Manifold - to attach standard CGA-320 hose configuration"/>
        <s v="Co2 Hose 08FT Standard Config"/>
        <s v="Micro CO2 Jet MKII"/>
        <s v="Neutrik PowerCON True1 Cords - 6FT, Standard"/>
        <s v="Hose Extension Adapter"/>
        <s v="Daisy Chain Adapter"/>
        <s v="Co2 Hose 15FT Extension Config"/>
        <s v="CO2 Tank Tool + Washers "/>
        <s v="Co2 Hose 35FT Standard Config"/>
        <s v="Replacement O-Ring - 2023 Quick Connects. EPDM"/>
        <s v="Confetti - 1KG"/>
        <s v="Streamers - Gold Mylar"/>
        <s v="Streamers - Silver Mylar"/>
        <m/>
        <s v="MagicFX Confetti - 1KG"/>
        <s v="CGA-320 to 1/4&quot; NPT adapter with nut."/>
        <s v="Handheld MKII in travel case with 15ft hose"/>
        <s v="Pro Jet"/>
        <s v=" CO2 Output Terminator"/>
        <s v="Co2 Hose 15FT Daisy Chain"/>
        <s v="2FT CO2 Hose (CGA-320 x Female JIC 3/8&quot;) For use with Manifold"/>
        <s v="3 1/2FT CO2 Hose (CGA-320 x Female JIC 3/8&quot;) For use with Manifold"/>
        <s v="Single CO2 Washer"/>
        <s v="24x30 Road Case"/>
        <s v="24x30 Road Case Insert - Pro Jet"/>
        <s v="24x30 Road Case Insert - Top Tray Insert"/>
        <s v="Cryo Clamp II, 110v, Weatherproof CO2 Jet with JIC Inlet"/>
        <s v="Cryo Clamp wall mount bracket kit with included 1/2-13 x 3/4&quot; stainless pan head screw"/>
        <s v="Teflon &amp; Brass seal for 1/4&quot; CO2 Valve"/>
        <s v="The Button LED Button PCB"/>
        <s v="Neutrik PowerCON True1 Cords - 15FT, Daisy Chain"/>
        <s v="ShoStarter DMX Controller with 3 &amp; 5 Pin Connectors in Box"/>
        <s v="Cryo Clamp II, 110v, Weatherproof CO2 Jet"/>
        <s v="5FT CO2 Hose - JIC  x JIC"/>
        <s v="Adapter for NPT to JIC male, CGA-320 JIC adapter"/>
        <s v="Adapter for CGA-320 to 1/4&quot; NPT Male"/>
        <s v="CGA-320 to JIC adapter with nut."/>
        <s v="Warranty / T&amp;M"/>
        <s v="Warranty Repair of Quad Jet (x2) and LED Attachment (x2)"/>
        <s v="Replaced on Serial #0923025"/>
        <s v="Quad Jet Main PCB"/>
        <s v="True1 Male to Nema 5-15 Female Output Adapter 8in"/>
        <s v="Repair and maintenance for 2x DMX Jet "/>
        <s v="Countersunk head, black stainless steel"/>
        <s v="N70 Series Neoprene Rubber Washers 2 1/4&quot; OD X 9/16&quot; ID X 1/8&quot; Thickness - 70 Duro Shore A"/>
        <s v="Pro Jet feet screws (thread forming)"/>
        <s v="Compressible-Stem Push-In Bumpers - pro jet foot"/>
        <s v="4-40 1/8in Socket set screw cup point"/>
        <s v="Warranty Repair of Buttons - #31430 &amp; #31425"/>
        <s v="White Plastic overlay before Laser Cut"/>
        <s v="Dark Grey Acrylic Lens for 7-Segment Display"/>
        <s v="3D printed clip to secure IDC Cable"/>
        <s v="Warranty Repair For 2x Quad Jet"/>
        <s v="Quad Jet elbow. 1/4&quot; NPT to 3/8 BSPP"/>
        <s v="DMX Input PCB"/>
        <s v="DMX Jet MKII Main PCB"/>
        <s v="Co2 Hose 25FT Standard Config - Upgrade from 15FT"/>
        <s v="5FT CO2 Hose (CGA-320 x Female JIC 3/8&quot;) For use with Manifold"/>
        <s v="Replacement O-Ring"/>
        <s v="Female Quick Connect (3/8″ NPT Female)"/>
        <s v="50FT CO2 HOSE - 3/8&quot; MALE BSPP x FEMALE JIC #6"/>
        <s v="Straight Adapter - 3/8 in Female JIC 37° Flare Swivel x 3/8 in Male British Standard Pipe Parallel"/>
        <s v="3/8” BSPP Bonding Washer Seal"/>
        <s v="Micro Jet MKII Main PCB"/>
        <s v="Co2 Hose 08FT Daisy Chain"/>
        <s v="Maintenance, filter removal, cleaning and solenoid replacement for DMX Jets ($100 / hour labor)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Repair of Big Red Button - Replaced PCB"/>
        <s v="Truss Clamp"/>
        <s v="Special order CO2 Hose"/>
        <s v="1/2&quot; KZE 4-10 / ISO-A 7241 Male Quick Connect Fitting"/>
        <s v="Male Connector for 1/2&quot; NPT to 3/8&quot; JIC"/>
        <s v="Co2 Hose 25FT Standard Config"/>
        <s v="CO2 Tank Covers - 50lb Cover"/>
        <s v="Warranty Repair for The Button Serial #31601&#10;RMA #93389"/>
        <s v="Key Switch with Wires and JST Connector for The Button"/>
        <s v="Truss clamp for CC2 with 1/2-13 x 3/4” CS screw"/>
        <s v="2 Output DMX Relay with Timer"/>
        <s v="Co2 Hose 50FT Standard Config - Upgrade from 15FT"/>
        <s v="Co2 Hose 100FT Standard Config - Upgrade from 15FT"/>
        <s v="Co2 Hose 50FT Standard Config"/>
        <s v="Co2 Hose 75FT Standard"/>
        <s v="Pro Jet Main PCB"/>
        <s v="5-pin DMX Passthrough PCB"/>
        <s v="Replacement Keys - The Button"/>
        <s v="Handheld MKII in travel case with 8ft hose"/>
        <s v="3 Pin DMX Input and Power Trigger PCB"/>
        <s v="Repair of Handheld MKII - replaced handle and body. &#10;Fully Testing - Passed"/>
        <s v="Reprogramming of Micro Jets, hose repair"/>
        <s v="Black Anodized Aluminum Encoder Knob"/>
        <s v="Micro Jet MKII Rubber Foot"/>
        <s v="Micro Jet MKII Foot Screw"/>
        <s v="Handle Screw"/>
        <s v="Repair of Quad Jet w/ stuck valve"/>
        <s v="3/8&quot; MQC Quick Connect Fitting BSPP thread"/>
      </sharedItems>
    </cacheField>
    <cacheField name="Order Quantity" numFmtId="0">
      <sharedItems containsSemiMixedTypes="0" containsNonDate="0" containsString="0" containsNumber="1" minValue="1" maxValue="200" count="20">
        <n v="2"/>
        <n v="1"/>
        <n v="20"/>
        <n v="10"/>
        <n v="5"/>
        <n v="50"/>
        <n v="4"/>
        <n v="3"/>
        <n v="8"/>
        <n v="16"/>
        <n v="100"/>
        <n v="12"/>
        <n v="32"/>
        <n v="150"/>
        <n v="15"/>
        <n v="6"/>
        <n v="200"/>
        <n v="8.300000000000001"/>
        <n v="14"/>
        <n v="7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3" createdVersion="7">
  <cacheSource type="worksheet">
    <worksheetSource ref="D2:H305" sheet="Decemeber 2023"/>
  </cacheSource>
  <cacheFields count="5">
    <cacheField name="Line Item Name" numFmtId="0">
      <sharedItems containsNonDate="0" count="104">
        <s v="CC-AC-CTS"/>
        <s v="CC-WASH-10"/>
        <s v="CC-AC-CTAT"/>
        <s v="CC-CTC-20"/>
        <s v="CC-AC-CCL"/>
        <s v="CC-CH-15-STD"/>
        <s v="CC-TB-35"/>
        <s v="CC-HCCMKII-08-NC"/>
        <s v="CC-AC-4PM"/>
        <s v="CC-AC-LA2"/>
        <s v="CC-STP-5"/>
        <s v="CC-CH-05-STD - 01"/>
        <s v="CC-F-MFDCGAJIC"/>
        <s v="CC-CH-08-STD"/>
        <s v="CC-MJMKII-3-110"/>
        <s v="CC-NPTC-06-STD"/>
        <s v="CC-F-HEA"/>
        <s v="CC-F-DCHA"/>
        <s v="CC-CH-15-EXT"/>
        <s v="CC-AC-OP"/>
        <s v="CC-CH-35-STD"/>
        <s v="CC-AC-ROR2"/>
        <s v="Slowfall Confetti Rectangles (Black)"/>
        <s v="CC-S-GLD-M"/>
        <s v="CC-S-SIL-M"/>
        <s v="Shipping Charges"/>
        <s v="Slowfall Confetti Rectangles (Red)"/>
        <s v="Slowfall Confetti Rectangles (Light Blue)"/>
        <s v="CC-AC-CGANPT-SET"/>
        <s v="CC-HCCMKII-15-TC"/>
        <s v="CC-PROJ-5-110"/>
        <s v="CC-F-COT"/>
        <s v="CC-CH-15-DSY"/>
        <s v="CC-CH-02-MFD"/>
        <s v="CC-CH-03.5-MFD"/>
        <s v="CC-WASH-01"/>
        <s v="CC-RC-2430"/>
        <s v="CC-RC-2430-PJI"/>
        <s v="CC-RC-2430-TTI"/>
        <s v="CC-CC2-110-JIC"/>
        <s v="CC-AC-TB-KIT"/>
        <s v="CO2 Valve Replacement Seal"/>
        <s v="The Button LED PCB"/>
        <s v="CC-NPTC-15-DSY"/>
        <s v="CC-SS-35"/>
        <s v="CC-CC2-110"/>
        <s v="5FT CO2 Hose - JIC  x JIC"/>
        <s v="1/4&quot; NPT Female x 3/8&quot; JIC Male"/>
        <s v="CGA-320 Male x 1/4&quot; NPT Male "/>
        <s v=" CC-AC-CGAJIC-SET"/>
        <s v="Repair"/>
        <s v="LED Attachment Driver PCB"/>
        <s v="LED Attachment Main PCB"/>
        <s v="Quad Jet Main PCB - 1"/>
        <s v="CC-T1M-515F-08in"/>
        <s v="6-32 x 3/8&quot; - CS, BSS"/>
        <s v="Insulating Barrel Washer"/>
        <s v="#12 x 1/2&quot; High Low Thread Forming Screws / Phillips / Pan Head / Steel / Black Zinc"/>
        <s v="Compressible-Stem Push-In Bumpers"/>
        <s v="4-40 1/8in Hex Screw"/>
        <s v="Flat Button Interior Overlay Raw"/>
        <s v="The Button Display Lens - 2"/>
        <s v="IDC Cable Clip"/>
        <s v="FS-QJ-01 - 002"/>
        <s v="CC-HCCMKII-15-NC"/>
        <s v="Micro Jet MKII 5-Pin XLR PCB"/>
        <s v="DMX Jet MKII Main PCB"/>
        <s v="CC-MJMKII-5-110"/>
        <s v="CC-CH-25-STD"/>
        <s v="CC-CH-05-MFD"/>
        <s v="CC-AC-ROR"/>
        <s v="CC-F-FQCNPTF"/>
        <s v="50FT CO2 HOSE - 3/8&quot; (BSPP x JIC #6)"/>
        <s v="MBSPP-FJX-6-6"/>
        <s v="3/8” BSPP Bonding Washer Seal"/>
        <s v="Micro Jet MKII Main PCB"/>
        <s v="CC-CH-08-DSY"/>
        <s v="Shipping Fees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CC-AC-CLAMP"/>
        <s v="25FT CO2 Hose - 1/4&quot; ID (JIC #6 x JIC #6)"/>
        <s v="1/2&quot; KZE 4-10 / ISO-A 7241 Male Quick Connect"/>
        <s v="1/2&quot; NPT Male x 3/8&quot; JIC Male"/>
        <s v="CC-CTC-50"/>
        <s v="The Button Key Assembly - 1"/>
        <s v="CC-AC-CLAMP-CC2-KIT"/>
        <s v="Obsidian RP2 Relay Pack"/>
        <s v="CC-CH-50-STD"/>
        <s v="CC-CH-100-STD"/>
        <s v="CC-CH-XX-STD"/>
        <s v="Pro Jet Main PCB"/>
        <s v="5-pin DMX Passthrough PCB"/>
        <s v="CC-AC-SMK"/>
        <s v="CC-HCCMKII-08-TC"/>
        <s v="Micro Jet MKII XLR PCB"/>
        <s v="The Button Encoder Knob"/>
        <s v="SF8 Rubber Foot"/>
        <s v="8-32 x 3/8&quot; Binding Screw"/>
        <s v="1/4-20 x 1/2&quot; SH Black Screw"/>
        <s v="CC-F-MQCBSPPF"/>
      </sharedItems>
    </cacheField>
    <cacheField name="Line Item Description" numFmtId="0">
      <sharedItems containsNonDate="0" containsBlank="1" count="112">
        <s v="CO2 Tank Splitter"/>
        <s v="CO2 Washers (10 pack)"/>
        <s v="Co2 Tank Attachment Tool"/>
        <s v="CO2 Tank Covers - 20lb Cover"/>
        <s v="CO2 Cylinder Link"/>
        <s v="Co2 Hose 15FT Standard Config"/>
        <s v="The Button - with both 3 &amp; 5 pin DMX ports"/>
        <s v="Handheld CO2 Cannon MKII"/>
        <s v="4 Port Co2 Manifold - 4x JIC 3/8&quot; Inlets, 1x JIC 3/8&quot; Outlet with Truss Bracket"/>
        <s v="LED Attachment for DMX Jet, DMX Jet MKII, and Pro Jet."/>
        <s v="ShoStopper E-Stop with 5 pin DMX (Demo Unit)"/>
        <s v="ShoStopper E-Stop with 5 pin DMX"/>
        <s v="Co2 Hose 05FT Standard Config"/>
        <s v="Adapter for use with Manifold - to attach standard CGA-320 hose configuration"/>
        <s v="Co2 Hose 08FT Standard Config"/>
        <s v="Micro CO2 Jet MKII"/>
        <s v="Neutrik PowerCON True1 Cords - 6FT, Standard"/>
        <s v="Hose Extension Adapter"/>
        <s v="Daisy Chain Adapter"/>
        <s v="Co2 Hose 15FT Extension Config"/>
        <s v="CO2 Tank Tool + Washers "/>
        <s v="Co2 Hose 35FT Standard Config"/>
        <s v="Replacement O-Ring - 2023 Quick Connects. EPDM"/>
        <s v="Confetti - 1KG"/>
        <s v="Streamers - Gold Mylar"/>
        <s v="Streamers - Silver Mylar"/>
        <m/>
        <s v="MagicFX Confetti - 1KG"/>
        <s v="CGA-320 to 1/4&quot; NPT adapter with nut."/>
        <s v="Handheld MKII in travel case with 15ft hose"/>
        <s v="Pro Jet"/>
        <s v=" CO2 Output Terminator"/>
        <s v="Co2 Hose 15FT Daisy Chain"/>
        <s v="2FT CO2 Hose (CGA-320 x Female JIC 3/8&quot;) For use with Manifold"/>
        <s v="3 1/2FT CO2 Hose (CGA-320 x Female JIC 3/8&quot;) For use with Manifold"/>
        <s v="Single CO2 Washer"/>
        <s v="24x30 Road Case"/>
        <s v="24x30 Road Case Insert - Pro Jet"/>
        <s v="24x30 Road Case Insert - Top Tray Insert"/>
        <s v="Cryo Clamp II, 110v, Weatherproof CO2 Jet with JIC Inlet"/>
        <s v="Cryo Clamp wall mount bracket kit with included 1/2-13 x 3/4&quot; stainless pan head screw"/>
        <s v="Teflon &amp; Brass seal for 1/4&quot; CO2 Valve"/>
        <s v="The Button LED Button PCB"/>
        <s v="Neutrik PowerCON True1 Cords - 15FT, Daisy Chain"/>
        <s v="ShoStarter DMX Controller with 3 &amp; 5 Pin Connectors in Box"/>
        <s v="Cryo Clamp II, 110v, Weatherproof CO2 Jet"/>
        <s v="5FT CO2 Hose - JIC  x JIC"/>
        <s v="Adapter for NPT to JIC male, CGA-320 JIC adapter"/>
        <s v="Adapter for CGA-320 to 1/4&quot; NPT Male"/>
        <s v="CGA-320 to JIC adapter with nut."/>
        <s v="Warranty / T&amp;M"/>
        <s v="Warranty Repair of Quad Jet (x2) and LED Attachment (x2)"/>
        <s v="Replaced on Serial #0923025"/>
        <s v="Quad Jet Main PCB"/>
        <s v="True1 Male to Nema 5-15 Female Output Adapter 8in"/>
        <s v="Repair and maintenance for 2x DMX Jet "/>
        <s v="Countersunk head, black stainless steel"/>
        <s v="N70 Series Neoprene Rubber Washers 2 1/4&quot; OD X 9/16&quot; ID X 1/8&quot; Thickness - 70 Duro Shore A"/>
        <s v="Pro Jet feet screws (thread forming)"/>
        <s v="Compressible-Stem Push-In Bumpers - pro jet foot"/>
        <s v="4-40 1/8in Socket set screw cup point"/>
        <s v="Warranty Repair of Buttons - #31430 &amp; #31425"/>
        <s v="White Plastic overlay before Laser Cut"/>
        <s v="Dark Grey Acrylic Lens for 7-Segment Display"/>
        <s v="3D printed clip to secure IDC Cable"/>
        <s v="Warranty Repair For 2x Quad Jet"/>
        <s v="Quad Jet elbow. 1/4&quot; NPT to 3/8 BSPP"/>
        <s v="DMX Input PCB"/>
        <s v="DMX Jet MKII Main PCB"/>
        <s v="Co2 Hose 25FT Standard Config - Upgrade from 15FT"/>
        <s v="5FT CO2 Hose (CGA-320 x Female JIC 3/8&quot;) For use with Manifold"/>
        <s v="Replacement O-Ring"/>
        <s v="Female Quick Connect (3/8″ NPT Female)"/>
        <s v="50FT CO2 HOSE - 3/8&quot; MALE BSPP x FEMALE JIC #6"/>
        <s v="Straight Adapter - 3/8 in Female JIC 37° Flare Swivel x 3/8 in Male British Standard Pipe Parallel"/>
        <s v="3/8” BSPP Bonding Washer Seal"/>
        <s v="Micro Jet MKII Main PCB"/>
        <s v="Co2 Hose 08FT Daisy Chain"/>
        <s v="Maintenance, filter removal, cleaning and solenoid replacement for DMX Jets ($100 / hour labor)"/>
        <s v="Shoulder washers"/>
        <s v="1/4-20 x 1/2&quot; SEMS Screws / Internal Tooth Washer / PH S Black"/>
        <s v="3/4 OD X 1/4 ID X 1/8 Thickness Neoprene Rubber Washers"/>
        <s v="110v Solenoid Coil"/>
        <s v="Club Cannon Barrel Band"/>
        <s v="Repair of Big Red Button - Replaced PCB"/>
        <s v="Truss Clamp"/>
        <s v="Special order CO2 Hose"/>
        <s v="1/2&quot; KZE 4-10 / ISO-A 7241 Male Quick Connect Fitting"/>
        <s v="Male Connector for 1/2&quot; NPT to 3/8&quot; JIC"/>
        <s v="Co2 Hose 25FT Standard Config"/>
        <s v="CO2 Tank Covers - 50lb Cover"/>
        <s v="Warranty Repair for The Button Serial #31601&#10;RMA #93389"/>
        <s v="Key Switch with Wires and JST Connector for The Button"/>
        <s v="Truss clamp for CC2 with 1/2-13 x 3/4” CS screw"/>
        <s v="2 Output DMX Relay with Timer"/>
        <s v="Co2 Hose 50FT Standard Config - Upgrade from 15FT"/>
        <s v="Co2 Hose 100FT Standard Config - Upgrade from 15FT"/>
        <s v="Co2 Hose 50FT Standard Config"/>
        <s v="Co2 Hose 75FT Standard"/>
        <s v="Pro Jet Main PCB"/>
        <s v="5-pin DMX Passthrough PCB"/>
        <s v="Replacement Keys - The Button"/>
        <s v="Handheld MKII in travel case with 8ft hose"/>
        <s v="3 Pin DMX Input and Power Trigger PCB"/>
        <s v="Repair of Handheld MKII - replaced handle and body. &#10;Fully Testing - Passed"/>
        <s v="Reprogramming of Micro Jets, hose repair"/>
        <s v="Black Anodized Aluminum Encoder Knob"/>
        <s v="Micro Jet MKII Rubber Foot"/>
        <s v="Micro Jet MKII Foot Screw"/>
        <s v="Handle Screw"/>
        <s v="Repair of Quad Jet w/ stuck valve"/>
        <s v="3/8&quot; MQC Quick Connect Fitting BSPP thread"/>
      </sharedItems>
    </cacheField>
    <cacheField name="Order Quantity" numFmtId="0">
      <sharedItems containsSemiMixedTypes="0" containsNonDate="0" containsString="0" containsNumber="1" minValue="1" maxValue="200" count="20">
        <n v="2"/>
        <n v="1"/>
        <n v="20"/>
        <n v="10"/>
        <n v="5"/>
        <n v="50"/>
        <n v="4"/>
        <n v="3"/>
        <n v="8"/>
        <n v="16"/>
        <n v="100"/>
        <n v="12"/>
        <n v="32"/>
        <n v="150"/>
        <n v="15"/>
        <n v="6"/>
        <n v="200"/>
        <n v="8.300000000000001"/>
        <n v="14"/>
        <n v="7"/>
      </sharedItems>
    </cacheField>
    <cacheField name="Unit Price" numFmtId="0">
      <sharedItems containsSemiMixedTypes="0" containsNonDate="0" containsString="0" containsNumber="1" minValue="0" maxValue="1299.99" count="87">
        <n v="49.99"/>
        <n v="9.99"/>
        <n v="119.99"/>
        <n v="149.99"/>
        <n v="399.99"/>
        <n v="349.99"/>
        <n v="179.99"/>
        <n v="599.9924999999999"/>
        <n v="0"/>
        <n v="99.98999999999999"/>
        <n v="19.99"/>
        <n v="109.99"/>
        <n v="849.99"/>
        <n v="29.99"/>
        <n v="15"/>
        <n v="100"/>
        <n v="1.99"/>
        <n v="15.99"/>
        <n v="4"/>
        <n v="75"/>
        <n v="11.9925"/>
        <n v="22.99"/>
        <n v="599.99"/>
        <n v="1299.99"/>
        <n v="134.9925"/>
        <n v="48.7425"/>
        <n v="52.4925"/>
        <n v="14.9925"/>
        <n v="145"/>
        <n v="1199.9925"/>
        <n v="475"/>
        <n v="374.9925"/>
        <n v="18.5"/>
        <n v="7.99"/>
        <n v="89.99250000000001"/>
        <n v="24"/>
        <n v="176.87"/>
        <n v="61.86"/>
        <n v="66.86"/>
        <n v="16.87"/>
        <n v="1199.99"/>
        <n v="499.99"/>
        <n v="79.98999999999999"/>
        <n v="110"/>
        <n v="299.9925"/>
        <n v="14.24"/>
        <n v="22.4925"/>
        <n v="13.66"/>
        <n v="50"/>
        <n v="16.34"/>
        <n v="392.46"/>
        <n v="40"/>
        <n v="140"/>
        <n v="652.4924999999999"/>
        <n v="37.5"/>
        <n v="187.4925"/>
        <n v="112.4925"/>
        <n v="56.2425"/>
        <n v="17.2425"/>
        <n v="18.7425"/>
        <n v="78"/>
        <n v="94.98999999999999"/>
        <n v="299.99"/>
        <n v="1079.991"/>
        <n v="134.991"/>
        <n v="68.73"/>
        <n v="0.5"/>
        <n v="11"/>
        <n v="42"/>
        <n v="14"/>
        <n v="111.375"/>
        <n v="6"/>
        <n v="4.005"/>
        <n v="29"/>
        <n v="899.9924999999999"/>
        <n v="59.99"/>
        <n v="262.4925"/>
        <n v="36"/>
        <n v="35"/>
        <n v="374.99"/>
        <n v="150"/>
        <n v="425"/>
        <n v="175"/>
        <n v="88"/>
        <n v="7.49"/>
        <n v="549.99"/>
        <n v="18"/>
      </sharedItems>
    </cacheField>
    <cacheField name="Total Line Item $" numFmtId="0">
      <sharedItems containsSemiMixedTypes="0" containsNonDate="0" containsString="0" containsNumber="1" minValue="0" maxValue="5199.96" count="117">
        <n v="99.98"/>
        <n v="19.98"/>
        <n v="9.99"/>
        <n v="49.99"/>
        <n v="119.99"/>
        <n v="299.98"/>
        <n v="399.99"/>
        <n v="349.99"/>
        <n v="3599.8"/>
        <n v="1199.985"/>
        <n v="0"/>
        <n v="199.98"/>
        <n v="19.99"/>
        <n v="109.99"/>
        <n v="199.9"/>
        <n v="849.99"/>
        <n v="29.99"/>
        <n v="149.99"/>
        <n v="1699.98"/>
        <n v="59.98"/>
        <n v="30"/>
        <n v="200"/>
        <n v="19.9"/>
        <n v="39.98"/>
        <n v="79.95"/>
        <n v="75"/>
        <n v="479.96"/>
        <n v="39.96"/>
        <n v="119.925"/>
        <n v="68.97"/>
        <n v="1199.98"/>
        <n v="2599.98"/>
        <n v="1079.94"/>
        <n v="779.88"/>
        <n v="839.88"/>
        <n v="119.94"/>
        <n v="145"/>
        <n v="4799.97"/>
        <n v="2399.97"/>
        <n v="475"/>
        <n v="749.985"/>
        <n v="18.5"/>
        <n v="159.8"/>
        <n v="2879.76"/>
        <n v="24"/>
        <n v="176.87"/>
        <n v="123.72"/>
        <n v="133.72"/>
        <n v="33.74"/>
        <n v="1199.99"/>
        <n v="999.98"/>
        <n v="239.97"/>
        <n v="110"/>
        <n v="299.9925"/>
        <n v="14.24"/>
        <n v="149.925"/>
        <n v="224.925"/>
        <n v="13.66"/>
        <n v="599.99"/>
        <n v="699.98"/>
        <n v="50"/>
        <n v="16.34"/>
        <n v="392.46"/>
        <n v="219.98"/>
        <n v="240"/>
        <n v="280"/>
        <n v="1304.985"/>
        <n v="374.985"/>
        <n v="224.985"/>
        <n v="1799.76"/>
        <n v="29.985"/>
        <n v="56.2275"/>
        <n v="78"/>
        <n v="949.9"/>
        <n v="1499.95"/>
        <n v="239.98"/>
        <n v="79.95999999999999"/>
        <n v="5199.96"/>
        <n v="329.97"/>
        <n v="1079.991"/>
        <n v="89.97"/>
        <n v="134.991"/>
        <n v="68.73"/>
        <n v="100"/>
        <n v="11"/>
        <n v="622.5"/>
        <n v="42"/>
        <n v="44.985"/>
        <n v="14"/>
        <n v="445.5"/>
        <n v="36"/>
        <n v="24.03"/>
        <n v="29"/>
        <n v="899.9924999999999"/>
        <n v="15"/>
        <n v="49.95"/>
        <n v="59.99"/>
        <n v="3399.96"/>
        <n v="1499.97"/>
        <n v="599.98"/>
        <n v="262.4925"/>
        <n v="524.985"/>
        <n v="35"/>
        <n v="374.99"/>
        <n v="300"/>
        <n v="850"/>
        <n v="175"/>
        <n v="400"/>
        <n v="88"/>
        <n v="119.96"/>
        <n v="22.47"/>
        <n v="549.99"/>
        <n v="359.98"/>
        <n v="7.49"/>
        <n v="15.92"/>
        <n v="1199.97"/>
        <n v="1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2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33" createdVersion="7">
  <cacheSource type="worksheet">
    <worksheetSource ref="A2:H335" sheet="November 2023"/>
  </cacheSource>
  <cacheFields count="8">
    <cacheField name="Sales Order" numFmtId="0">
      <sharedItems containsNonDate="0" count="129">
        <s v="4057"/>
        <s v="4054"/>
        <s v="4053"/>
        <s v="4051"/>
        <s v="4055"/>
        <s v="4056"/>
        <s v="4052"/>
        <s v="4048"/>
        <s v="4047"/>
        <s v="4046"/>
        <s v="4045"/>
        <s v="4050"/>
        <s v="4049"/>
        <s v="4043"/>
        <s v="4042"/>
        <s v="4041"/>
        <s v="4039"/>
        <s v="4040"/>
        <s v="4044"/>
        <s v="4038"/>
        <s v="4037"/>
        <s v="4036"/>
        <s v="4035"/>
        <s v="4034"/>
        <s v="4033"/>
        <s v="4032"/>
        <s v="4031"/>
        <s v="4027"/>
        <s v="4024"/>
        <s v="4030"/>
        <s v="4026"/>
        <s v="4029"/>
        <s v="4028"/>
        <s v="4025"/>
        <s v="4023"/>
        <s v="4021"/>
        <s v="4022"/>
        <s v="4019"/>
        <s v="4017"/>
        <s v="4016"/>
        <s v="4013"/>
        <s v="4012"/>
        <s v="4011"/>
        <s v="4014"/>
        <s v="4018"/>
        <s v="4015"/>
        <s v="4020"/>
        <s v="4010"/>
        <s v="4009"/>
        <s v="4008"/>
        <s v="4001"/>
        <s v="4000"/>
        <s v="3999"/>
        <s v="4003"/>
        <s v="4006"/>
        <s v="3998"/>
        <s v="3995"/>
        <s v="3996"/>
        <s v="3994"/>
        <s v="3993"/>
        <s v="3992"/>
        <s v="3991"/>
        <s v="3990"/>
        <s v="3989"/>
        <s v="3988"/>
        <s v="3987"/>
        <s v="3986"/>
        <s v="3985"/>
        <s v="3984"/>
        <s v="3983"/>
        <s v="3982"/>
        <s v="3981"/>
        <s v="3980"/>
        <s v="3979"/>
        <s v="3978"/>
        <s v="3977"/>
        <s v="3976"/>
        <s v="3972"/>
        <s v="3971"/>
        <s v="3970"/>
        <s v="3974"/>
        <s v="3973"/>
        <s v="3975"/>
        <s v="3684"/>
        <s v="3969"/>
        <s v="3968"/>
        <s v="3967"/>
        <s v="3965"/>
        <s v="3963"/>
        <s v="3962"/>
        <s v="3964"/>
        <s v="3966"/>
        <s v="3959"/>
        <s v="3958"/>
        <s v="3957"/>
        <s v="3956"/>
        <s v="3955"/>
        <s v="3960"/>
        <s v="3961"/>
        <s v="3953"/>
        <s v="3952"/>
        <s v="3951"/>
        <s v="3954"/>
        <s v="3949"/>
        <s v="3948"/>
        <s v="3946"/>
        <s v="3945"/>
        <s v="3942"/>
        <s v="3941"/>
        <s v="3940"/>
        <s v="3939"/>
        <s v="3947"/>
        <s v="3938"/>
        <s v="3937"/>
        <s v="3936"/>
        <s v="3935"/>
        <s v="3934"/>
        <s v="3933"/>
        <s v="3930"/>
        <s v="3932"/>
        <s v="3931"/>
        <s v="3926"/>
        <s v="3925"/>
        <s v="3924"/>
        <s v="3923"/>
        <s v="3922"/>
        <s v="3927"/>
        <s v="3929"/>
        <s v="3928"/>
      </sharedItems>
    </cacheField>
    <cacheField name="Customer" numFmtId="0">
      <sharedItems containsNonDate="0" count="111">
        <s v="Disney Cruise Line"/>
        <s v="Michelle Cheng"/>
        <s v="Ryan Riechman"/>
        <s v="Promedsa"/>
        <s v="David Belogolovsky"/>
        <s v="Coco Bongo"/>
        <s v="Michael Darby"/>
        <s v="Michael Lutz"/>
        <s v="Wellington Pinheiro"/>
        <s v="Ericson R Cesar"/>
        <s v="Israel Lopez"/>
        <s v="Anthony Hall"/>
        <s v="philippe Maurais"/>
        <s v="Jason van Miert"/>
        <s v="Nestor Jason"/>
        <s v="AFX Pro / Jackie Johnson"/>
        <s v="Matthew Butler"/>
        <s v="Eric Deren"/>
        <s v="Stanley Miese"/>
        <s v="Romin Zandi (Personal)"/>
        <s v="Tim Varacchi"/>
        <s v="Kaival Patel"/>
        <s v="Justin Eleuterio"/>
        <s v="Rosemary Rodriguez"/>
        <s v="Sara Wetenhall"/>
        <s v="Jessica Peters"/>
        <s v="Pro Audio World"/>
        <s v="Jason Goetz"/>
        <s v="Amped Entertainment"/>
        <s v="Pyrotek FX"/>
        <s v="Light FX Pros"/>
        <s v="Nicholas Jones"/>
        <s v="Justin Ellis"/>
        <s v="Sarah Pier"/>
        <s v="Jose Gutierrez"/>
        <s v="Melissa Ellingson"/>
        <s v="Jesus Ramirez"/>
        <s v="Ryan Slocum"/>
        <s v="Image Engineering"/>
        <s v="Jorge Ayala"/>
        <s v="Cris Medina"/>
        <s v="jean casas"/>
        <s v="Ashlee Holmes"/>
        <s v="Rogelio Picen Sanchez"/>
        <s v="Enrique Sanchez"/>
        <s v="Shawn McDonough"/>
        <s v="Jacob Gunzel"/>
        <s v="Stephen Bland"/>
        <s v="Rick Olsen"/>
        <s v="TODD ROBERTS"/>
        <s v="John Almonte"/>
        <s v="Blaso Pyrotechnics"/>
        <s v="The Tribe Utah"/>
        <s v="Andrew Rogers"/>
        <s v="Mehdi Qaini"/>
        <s v="Alexander Haje"/>
        <s v="christopher Brown"/>
        <s v="Owen Steiner"/>
        <s v="NELSON PINEDA"/>
        <s v="Russell Samowitz"/>
        <s v="Idean Fooladi"/>
        <s v="Brandon Firman"/>
        <s v="Brent Archer"/>
        <s v="Alexandre Laverdure"/>
        <s v="Gene Raffel"/>
        <s v="Summer Kim"/>
        <s v="Delia Sánchez Arce"/>
        <s v="Eric Stanton"/>
        <s v="Neel Desai"/>
        <s v="Ramon Cruz"/>
        <s v="Kice Akkawi"/>
        <s v="Manuel Magin"/>
        <s v="Jamie Phong"/>
        <s v="Jason Houser"/>
        <s v="Bobby Ferguson"/>
        <s v="Dax Talbert"/>
        <s v="Tito Agbayani"/>
        <s v="Randy Valdez"/>
        <s v="Daniel Wyatt"/>
        <s v="Trevor Donovan"/>
        <s v="Rana Jchaj"/>
        <s v="Alexander Waelde"/>
        <s v="Michael Bedkowski"/>
        <s v="Special FX Rentals"/>
        <s v="Marcus Schloss"/>
        <s v="Martin Eichert"/>
        <s v="benjamin hebert"/>
        <s v="Kimberly Feliberti"/>
        <s v="PYROTECNICO"/>
        <s v="Gregory Papageorge"/>
        <s v="Fayyaz Khimani"/>
        <s v="Eric Norris"/>
        <s v="Eric Gussin"/>
        <s v="Adam Stipe"/>
        <s v="Yury Desiderio"/>
        <s v="Adrian Del Busso"/>
        <s v="Tabitha Oneilll"/>
        <s v="John Chimento"/>
        <s v="RJM Entertainment"/>
        <s v="Image SFX"/>
        <s v="Petr Burian"/>
        <s v="Matthew Gonzalez"/>
        <s v="Tim Warren"/>
        <s v="Courtney Wright"/>
        <s v="4WALL ENTERTAINMENT, INC."/>
        <s v="Walid Douban"/>
        <s v="Ronny Fernandez"/>
        <s v="Shay Peri"/>
        <s v="Joshep Rosendo Guevara Rivero"/>
        <s v="Ruben Rodriguez"/>
        <s v="Sean Atkins"/>
      </sharedItems>
    </cacheField>
    <cacheField name="Ordered Date" numFmtId="0">
      <sharedItems containsSemiMixedTypes="0" containsNonDate="0" containsDate="1" containsString="0" minDate="2023-11-01T00:00:00" maxDate="2023-11-30T00:00:00" count="106">
        <d v="2023-11-30T00:00:00"/>
        <d v="2023-11-29T17:31:36"/>
        <d v="2023-11-29T17:28:42"/>
        <d v="2023-11-29T00:58:13"/>
        <d v="2023-11-29T00:00:00"/>
        <d v="2023-11-28T17:31:19"/>
        <d v="2023-11-28T04:58:28"/>
        <d v="2023-11-28T04:18:26"/>
        <d v="2023-11-28T02:31:25"/>
        <d v="2023-11-28T00:00:00"/>
        <d v="2023-11-27T22:28:16"/>
        <d v="2023-11-27T21:04:18"/>
        <d v="2023-11-27T17:14:01"/>
        <d v="2023-11-27T03:42:24"/>
        <d v="2023-11-27T00:00:00"/>
        <d v="2023-11-26T16:41:03"/>
        <d v="2023-11-26T15:06:01"/>
        <d v="2023-11-25T04:57:48"/>
        <d v="2023-11-24T21:39:08"/>
        <d v="2023-11-24T14:56:52"/>
        <d v="2023-11-23T19:37:26"/>
        <d v="2023-11-22T22:42:00"/>
        <d v="2023-11-22T22:33:23"/>
        <d v="2023-11-22T18:20:51"/>
        <d v="2023-11-22T01:31:32"/>
        <d v="2023-11-22T00:00:00"/>
        <d v="2023-11-21T21:27:28"/>
        <d v="2023-11-21T13:27:56"/>
        <d v="2023-11-21T00:00:00"/>
        <d v="2023-11-20T22:02:53"/>
        <d v="2023-11-20T21:14:50"/>
        <d v="2023-11-20T20:32:17"/>
        <d v="2023-11-20T17:59:36"/>
        <d v="2023-11-20T15:21:21"/>
        <d v="2023-11-20T00:56:48"/>
        <d v="2023-11-20T00:00:00"/>
        <d v="2023-11-19T22:33:47"/>
        <d v="2023-11-19T21:01:15"/>
        <d v="2023-11-18T06:06:13"/>
        <d v="2023-11-17T18:08:55"/>
        <d v="2023-11-17T02:32:20"/>
        <d v="2023-11-17T01:00:48"/>
        <d v="2023-11-17T00:00:00"/>
        <d v="2023-11-16T17:21:57"/>
        <d v="2023-11-16T06:11:59"/>
        <d v="2023-11-16T00:00:00"/>
        <d v="2023-11-15T18:46:04"/>
        <d v="2023-11-15T04:21:18"/>
        <d v="2023-11-14T21:47:14"/>
        <d v="2023-11-14T21:23:43"/>
        <d v="2023-11-14T20:38:46"/>
        <d v="2023-11-14T18:45:23"/>
        <d v="2023-11-14T18:41:51"/>
        <d v="2023-11-14T17:58:30"/>
        <d v="2023-11-14T01:22:37"/>
        <d v="2023-11-14T01:11:46"/>
        <d v="2023-11-13T20:01:54"/>
        <d v="2023-11-13T19:00:55"/>
        <d v="2023-11-13T16:54:29"/>
        <d v="2023-11-13T16:26:06"/>
        <d v="2023-11-12T18:45:24"/>
        <d v="2023-11-12T06:54:09"/>
        <d v="2023-11-11T06:20:40"/>
        <d v="2023-11-11T01:24:11"/>
        <d v="2023-11-10T21:29:17"/>
        <d v="2023-11-10T21:22:26"/>
        <d v="2023-11-10T21:10:05"/>
        <d v="2023-11-10T00:00:00"/>
        <d v="2023-11-09T23:20:22"/>
        <d v="2023-11-09T22:12:56"/>
        <d v="2023-11-09T21:57:40"/>
        <d v="2023-11-09T19:27:14"/>
        <d v="2023-11-09T16:59:17"/>
        <d v="2023-11-09T03:16:28"/>
        <d v="2023-11-09T00:00:00"/>
        <d v="2023-11-08T23:44:10"/>
        <d v="2023-11-08T22:26:51"/>
        <d v="2023-11-08T20:17:41"/>
        <d v="2023-11-08T18:10:26"/>
        <d v="2023-11-08T01:08:29"/>
        <d v="2023-11-08T00:00:00"/>
        <d v="2023-11-07T20:55:48"/>
        <d v="2023-11-07T20:39:47"/>
        <d v="2023-11-07T18:37:17"/>
        <d v="2023-11-07T00:00:00"/>
        <d v="2023-11-06T22:11:49"/>
        <d v="2023-11-06T19:57:44"/>
        <d v="2023-11-06T19:07:27"/>
        <d v="2023-11-06T17:38:55"/>
        <d v="2023-11-06T17:23:52"/>
        <d v="2023-11-06T17:06:00"/>
        <d v="2023-11-06T00:00:00"/>
        <d v="2023-11-05T21:13:05"/>
        <d v="2023-11-05T20:16:10"/>
        <d v="2023-11-05T16:20:44"/>
        <d v="2023-11-04T19:21:27"/>
        <d v="2023-11-03T13:54:30"/>
        <d v="2023-11-02T17:24:02"/>
        <d v="2023-11-02T00:37:45"/>
        <d v="2023-11-02T00:00:00"/>
        <d v="2023-11-01T14:43:52"/>
        <d v="2023-11-01T14:40:47"/>
        <d v="2023-11-01T05:56:45"/>
        <d v="2023-11-01T05:39:50"/>
        <d v="2023-11-01T00:12:25"/>
        <d v="2023-11-01T00:00:00"/>
      </sharedItems>
      <fieldGroup base="2">
        <rangePr startDate="2023-11-01T00:00:00" endDate="2023-11-30T00:00:00" groupBy="days"/>
        <groupItems count="368">
          <s v="&lt;11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30/2023"/>
        </groupItems>
      </fieldGroup>
    </cacheField>
    <cacheField name="Line Item Name" numFmtId="0">
      <sharedItems containsNonDate="0" count="91">
        <s v="CC-WASH-01"/>
        <s v="CC-CTC-50"/>
        <s v="CC-HCCMKII-15-TC"/>
        <s v="CC-MJMKII-3-110"/>
        <s v="CC-NPTC-06-STD"/>
        <s v="CC-CH-25-STD"/>
        <s v="CC-QJ-5-110"/>
        <s v="CC-WASH-10"/>
        <s v="CC-AC-CTAT"/>
        <s v="CC-HCCMKII-08-NC"/>
        <s v="CC-SS-35"/>
        <s v="CC-TB-35"/>
        <s v="CC-AC-CCL"/>
        <s v="CC-SM-3"/>
        <s v="Shipping Charges"/>
        <s v="CC-T1M-515F-08in"/>
        <s v="CC-CH-15-STD"/>
        <s v="CC-CH-15-EXT"/>
        <s v="CC-CH-35-STD"/>
        <s v="CC-F-HEA"/>
        <s v="CC-F-DCHA"/>
        <s v="Pro Jet Main PCB - 1"/>
        <s v="Micro Jet MKII 5-Pin XLR PCB"/>
        <s v="Pro Jet Power Harness"/>
        <s v="8P 4x2 IDC 2.54mm 4&quot; Cable"/>
        <s v="Shipping Fees"/>
        <s v="CC-AC-CTS"/>
        <s v="CC-AC-4PM"/>
        <s v="CC-CH-03.5-MFD"/>
        <s v="CC-F-MFDCGAJIC"/>
        <s v="CC-F-COT"/>
        <s v="CC-AC-ROR2"/>
        <s v="Shomaster XLR Harness"/>
        <s v="Shomaster XLR PCB Assembly"/>
        <s v="1/4-20 x 1/2&quot; SEMS Screws / Internal Tooth Washer / PH S Black"/>
        <s v="Obsidian RP2 Relay Pack"/>
        <s v="CC-CH-50-STD"/>
        <s v="CC-CTC-20"/>
        <s v="CC-AC-TC"/>
        <s v="CC-PROJ-5-110"/>
        <s v="CC-AC-OP"/>
        <s v="CC-CH-25-EXT"/>
        <s v="CC-CH-35-EXT"/>
        <s v="CC-F-MQCNPTM"/>
        <s v="DMX Jet MKII Main PCB"/>
        <s v="CC-HCCMKII-15-NC"/>
        <s v="CC-CC2-110"/>
        <s v="CC-AC-CLAMP"/>
        <s v="CC-HCCMKII-08-TC"/>
        <s v="Repair"/>
        <s v="Flat Button Interior Housing"/>
        <s v="MFX-AC-SBRV"/>
        <s v="TJC Screen 2.4"/>
        <s v="CC-AC-CGANPT-SET"/>
        <s v="CC-PROJ-5-110-JIC"/>
        <s v="CC-CH-08-STD"/>
        <s v="CC-QJ-5-110-JIC"/>
        <s v="Micro Jet MKII XLR PCB"/>
        <s v="The Button Main PCB"/>
        <s v="The Button Encoder Assembly"/>
        <s v="The Button Main Harness"/>
        <s v="Fee"/>
        <s v="CC-AC-LGK"/>
        <s v="CC-CH-10-STD"/>
        <s v="CC-CH-XX-STD"/>
        <s v="CC-AC-LA2"/>
        <s v="CC-AC-SMK"/>
        <s v="CC-CH-05-DSY"/>
        <s v="CC-CH-05-MFD"/>
        <s v="CC-AC-RAA"/>
        <s v="CC-CH-50-STD-1/4"/>
        <s v="The Button Key Assembly - 1"/>
        <s v="CC-RC-2430"/>
        <s v="CC-RC-2430-PJI"/>
        <s v="CC-RC-2430-LAI"/>
        <s v="CC-RC-2430-TTI"/>
        <s v="Discount"/>
        <s v="Tax: CA Tax (8.75%)"/>
        <s v="Overnight Shipping Upgrade"/>
        <s v="CC-AC-PMA"/>
        <s v="CC-CH-05-EXT"/>
        <s v="CC-CH-05-STD - 01"/>
        <s v="CC-CC2-110-JIC"/>
        <s v="Survey Credit"/>
        <s v="CC-S-GLD-M"/>
        <s v="CC-S-SIL-M"/>
        <s v="Jet Trade-In Credit"/>
        <s v="CC-MJMKII-5-110"/>
        <s v="CC-F-MQCBSPPF"/>
        <s v="3/8” BSPP Bonding Washer Seal"/>
        <s v="MBSPP-FJX-6-6"/>
      </sharedItems>
    </cacheField>
    <cacheField name="Line Item Description" numFmtId="0">
      <sharedItems containsNonDate="0" containsBlank="1" count="97">
        <s v="Single CO2 Washer"/>
        <s v="CO2 Tank Covers - 50lb Cover"/>
        <s v="Handheld MKII in travel case with 15ft hose"/>
        <s v="Micro CO2 Jet MKII"/>
        <s v="Neutrik PowerCON True1 Cords - 6FT, Standard"/>
        <s v="Co2 Hose 25FT Standard Config"/>
        <s v="Quad Jet 110v with 3 Pin DMX With Barrels (Converted)"/>
        <s v="CO2 Washers (10 pack)"/>
        <s v="Co2 Tank Attachment Tool"/>
        <s v="Handheld CO2 Cannon MKII"/>
        <s v="ShoStarter DMX Controller with 3 &amp; 5 Pin Connectors in Box"/>
        <s v="The Button - with both 3 &amp; 5 pin DMX ports"/>
        <s v="CO2 Cylinder Link"/>
        <s v="Shomaster Controller with 3 pin DMX"/>
        <m/>
        <s v="True1 Male to Nema 5-15 Female Output Adapter 8in"/>
        <s v="Co2 Hose 15FT Standard Config"/>
        <s v="Co2 Hose 15FT Extension Config"/>
        <s v="Co2 Hose 35FT Standard Config"/>
        <s v="Hose Extension Adapter"/>
        <s v="Daisy Chain Adapter"/>
        <s v="Pro Jet Main PCB"/>
        <s v="DMX Input PCB"/>
        <s v="Pro Jet Power In Harness"/>
        <s v="Cable to connect to Main and XLR Board"/>
        <s v="CO2 Tank Splitter"/>
        <s v="4 Port Co2 Manifold - 4x JIC 3/8&quot; Inlets, 1x JIC 3/8&quot; Outlet with Truss Bracket"/>
        <s v="3 1/2FT CO2 Hose (CGA-320 x Female JIC 3/8&quot;) For use with Manifold"/>
        <s v="Adapter for use with Manifold - to attach standard CGA-320 hose configuration"/>
        <s v=" CO2 Output Terminator"/>
        <s v="Replacement O-Ring - 2023 Quick Connects. EPDM"/>
        <s v="TE Harness to connect Main Board to XLR Board"/>
        <s v="PCB with XLR Connectors attached"/>
        <s v="1/4-20 x 1/2&quot; SEMS Screws / Internal Tooth Washer / PH S Black"/>
        <s v="2 Output DMX Relay with Timer"/>
        <s v="Co2 Hose 50FT Standard Config"/>
        <s v="CO2 Tank Covers - 20lb Cover"/>
        <s v="Travel Case"/>
        <s v="Pro Jet"/>
        <s v="CO2 Tank Tool + Washers "/>
        <s v="Co2 Hose 25FT Extension Config"/>
        <s v="Co2 Hose 35FT Extension Config"/>
        <s v="Male Quick Connect (3/8″ NPT Male)"/>
        <s v="DMX Jet MKII Main PCB"/>
        <s v="Cryo Clamp II, 110v, Weatherproof CO2 Jet"/>
        <s v="Truss Clamp"/>
        <s v="Handheld MKII in travel case with 8ft hose"/>
        <s v="Out of Warranty Repair - The Button - RMA# 10019"/>
        <s v="White Internal Housing for PCB Mounting w/ laser cut hole for PCB header"/>
        <s v="Co2 Hose 25FT Standard UPGRADE"/>
        <s v="Magic FX Stadium Blaster Replacement Valve"/>
        <s v="Magic FX Stadium Blaster Replacement Valve - Warranty "/>
        <s v="TJC3224T124_011"/>
        <s v="CGA-320 to 1/4&quot; NPT adapter with nut."/>
        <s v="Pro Jet - 5 Pin, 110v, JIC in/out"/>
        <s v="Co2 Hose 08FT Standard Config"/>
        <s v="Pro Jet - 5 Pin, 110v, JIC in/out (No Hose)"/>
        <s v="Quad Jet 110v, 5 Pin DMX, JIC - Custom Rainproof Design, Black (No Hose)"/>
        <s v="Quad Jet 110v, 5 Pin DMX, JIC - Custom Rainproof Design, White (No Hose)"/>
        <s v="3 Pin DMX Input and Power Trigger PCB"/>
        <s v="Warranty Repair of The Button - Serial# 31622"/>
        <s v="The Button Main PCB"/>
        <s v="PCB with encoder attached"/>
        <s v="Button, Encoder, and LED Harness"/>
        <s v="CC Processing Fee"/>
        <s v="Replacement Keys - Shomaster &amp; ShoStarter"/>
        <s v="Co2 Hose 10FT Standard "/>
        <s v="Co2 Hose 4FT Standard"/>
        <s v="Replacement of Quad Jet Touch Screen&#10;"/>
        <s v="LED Attachment for DMX Jet, DMX Jet MKII, and Pro Jet."/>
        <s v="Replacement Keys - The Button"/>
        <s v="Co2 Hose 05FT Daisy Chain"/>
        <s v="5FT CO2 Hose (CGA-320 x Female JIC 3/8&quot;) For use with Manifold"/>
        <s v="Right Angle Adapter"/>
        <s v="1/4&quot; Co2 Hose 50FT Standard Config"/>
        <s v="Warranty Repair for The Button RMA#29543"/>
        <s v="Key Switch with Wires and JST Connector for The Button"/>
        <s v="Warranty Repair for Button RMA# 69229"/>
        <s v="Reprogrammed Micro Jet MKII #0921845, Tested MKI #1219549 W/O Issue"/>
        <s v="24x30 Road Case"/>
        <s v="24x30 Road Case Insert - Pro Jet"/>
        <s v="24x30 Road Case Insert - LED Attachment"/>
        <s v="24x30 Road Case Insert - Top Tray Insert"/>
        <s v="Credit for Returned Fittings + $50 Survey Credit"/>
        <s v="1/4&quot; TS Power mode Adapter"/>
        <s v="Co2 Hose 05FT Extension Config"/>
        <s v="Co2 Hose 05FT Standard Config"/>
        <s v="Warranty Repair for The Button. Reconnected IDC cable and restored DMX function, secured with LET."/>
        <s v="Cryo Clamp II, 110v, Weatherproof CO2 Jet with JIC Inlet"/>
        <s v="Quad Jet 110v with 5 Pin DMX With Barrels"/>
        <s v="Completed Customer Survey "/>
        <s v="Streamers - Gold Mylar"/>
        <s v="Streamers - Silver Mylar"/>
        <s v="Trade-in credit for "/>
        <s v="3/8&quot; MQC Quick Connect Fitting BSPP thread"/>
        <s v="3/8” BSPP Bonding Washer Seal"/>
        <s v="Straight Adapter - 3/8 in Female JIC 37° Flare Swivel x 3/8 in Male British Standard Pipe Parallel"/>
      </sharedItems>
    </cacheField>
    <cacheField name="Order Quantity" numFmtId="0">
      <sharedItems containsSemiMixedTypes="0" containsNonDate="0" containsString="0" containsNumber="1" containsInteger="1" minValue="1" maxValue="100" count="18">
        <n v="100"/>
        <n v="1"/>
        <n v="4"/>
        <n v="6"/>
        <n v="24"/>
        <n v="28"/>
        <n v="2"/>
        <n v="8"/>
        <n v="14"/>
        <n v="3"/>
        <n v="5"/>
        <n v="10"/>
        <n v="11"/>
        <n v="12"/>
        <n v="7"/>
        <n v="16"/>
        <n v="48"/>
        <n v="97"/>
      </sharedItems>
    </cacheField>
    <cacheField name="Unit Price" numFmtId="0">
      <sharedItems containsSemiMixedTypes="0" containsNonDate="0" containsString="0" containsNumber="1" minValue="-1400" maxValue="2625" count="89">
        <n v="0"/>
        <n v="59.99"/>
        <n v="599.99"/>
        <n v="637.4924999999999"/>
        <n v="37.5"/>
        <n v="1874.9925"/>
        <n v="262.4925"/>
        <n v="899.9924999999999"/>
        <n v="299.9925"/>
        <n v="89.99250000000001"/>
        <n v="2399.9925"/>
        <n v="1087"/>
        <n v="14.9925"/>
        <n v="149.99"/>
        <n v="249.99"/>
        <n v="19.99"/>
        <n v="29.99"/>
        <n v="125"/>
        <n v="40"/>
        <n v="70"/>
        <n v="399.99"/>
        <n v="49.99"/>
        <n v="9.99"/>
        <n v="119.99"/>
        <n v="179.99"/>
        <n v="69.98999999999999"/>
        <n v="1.99"/>
        <n v="28.5"/>
        <n v="275"/>
        <n v="28"/>
        <n v="224.9925"/>
        <n v="19"/>
        <n v="219.99"/>
        <n v="1299.99"/>
        <n v="199.99"/>
        <n v="324.99"/>
        <n v="10"/>
        <n v="150"/>
        <n v="15"/>
        <n v="499.99"/>
        <n v="349.99"/>
        <n v="549.99"/>
        <n v="849.99"/>
        <n v="50"/>
        <n v="328.68"/>
        <n v="62"/>
        <n v="45"/>
        <n v="12"/>
        <n v="22.99"/>
        <n v="900"/>
        <n v="65"/>
        <n v="1199.99"/>
        <n v="109.99"/>
        <n v="2625"/>
        <n v="300"/>
        <n v="25"/>
        <n v="39"/>
        <n v="974.9924999999999"/>
        <n v="67.4991"/>
        <n v="42"/>
        <n v="12.99"/>
        <n v="809.99"/>
        <n v="21"/>
        <n v="173"/>
        <n v="599.9924999999999"/>
        <n v="22.4925"/>
        <n v="100"/>
        <n v="175"/>
        <n v="99.98999999999999"/>
        <n v="74.98999999999999"/>
        <n v="299.99"/>
        <n v="1199.9925"/>
        <n v="-484.78"/>
        <n v="325"/>
        <n v="616.01"/>
        <n v="8.49"/>
        <n v="374.99"/>
        <n v="74.93000000000001"/>
        <n v="48.46"/>
        <n v="5.99"/>
        <n v="8.99"/>
        <n v="7.49"/>
        <n v="-50"/>
        <n v="85"/>
        <n v="4"/>
        <n v="-1400"/>
        <n v="1575"/>
        <n v="869.99"/>
        <n v="18.7425"/>
      </sharedItems>
    </cacheField>
    <cacheField name="Total Line Item $" numFmtId="0">
      <sharedItems containsSemiMixedTypes="0" containsNonDate="0" containsString="0" containsNumber="1" minValue="-1400" maxValue="11249.955" count="142">
        <n v="0"/>
        <n v="59.99"/>
        <n v="599.99"/>
        <n v="2549.97"/>
        <n v="150"/>
        <n v="11249.955"/>
        <n v="900"/>
        <n v="524.985"/>
        <n v="7199.94"/>
        <n v="1799.955"/>
        <n v="539.955"/>
        <n v="2399.9925"/>
        <n v="1087"/>
        <n v="209.895"/>
        <n v="599.96"/>
        <n v="249.99"/>
        <n v="119.94"/>
        <n v="179.94"/>
        <n v="375"/>
        <n v="120"/>
        <n v="70"/>
        <n v="399.99"/>
        <n v="49.99"/>
        <n v="9.99"/>
        <n v="239.98"/>
        <n v="19.98"/>
        <n v="179.99"/>
        <n v="279.96"/>
        <n v="79.95999999999999"/>
        <n v="99.95"/>
        <n v="99.98"/>
        <n v="119.96"/>
        <n v="39.98"/>
        <n v="19.9"/>
        <n v="119.99"/>
        <n v="57"/>
        <n v="2200"/>
        <n v="28"/>
        <n v="674.9775"/>
        <n v="19"/>
        <n v="29.97"/>
        <n v="219.99"/>
        <n v="559.92"/>
        <n v="29.99"/>
        <n v="2599.98"/>
        <n v="399.98"/>
        <n v="499.98"/>
        <n v="324.99"/>
        <n v="19.99"/>
        <n v="10"/>
        <n v="300"/>
        <n v="15"/>
        <n v="999.98"/>
        <n v="299.98"/>
        <n v="349.99"/>
        <n v="549.99"/>
        <n v="359.97"/>
        <n v="499.99"/>
        <n v="1643.4"/>
        <n v="62"/>
        <n v="45"/>
        <n v="12"/>
        <n v="479.96"/>
        <n v="39.96"/>
        <n v="45.98"/>
        <n v="65"/>
        <n v="2399.98"/>
        <n v="149.99"/>
        <n v="109.99"/>
        <n v="4500"/>
        <n v="5250"/>
        <n v="10500"/>
        <n v="39"/>
        <n v="1949.985"/>
        <n v="299.9925"/>
        <n v="67.4991"/>
        <n v="42"/>
        <n v="149.97"/>
        <n v="12.99"/>
        <n v="1619.98"/>
        <n v="50"/>
        <n v="21"/>
        <n v="3599.97"/>
        <n v="173"/>
        <n v="3599.955"/>
        <n v="44.985"/>
        <n v="40"/>
        <n v="849.99"/>
        <n v="100"/>
        <n v="175"/>
        <n v="99.98999999999999"/>
        <n v="74.98999999999999"/>
        <n v="299.94"/>
        <n v="3399.96"/>
        <n v="1199.99"/>
        <n v="30"/>
        <n v="599.98"/>
        <n v="5999.9625"/>
        <n v="1199.985"/>
        <n v="-484.78"/>
        <n v="325"/>
        <n v="616.01"/>
        <n v="84.90000000000001"/>
        <n v="699.98"/>
        <n v="1874.95"/>
        <n v="1274.985"/>
        <n v="74.93000000000001"/>
        <n v="799.98"/>
        <n v="48.46"/>
        <n v="224.925"/>
        <n v="25"/>
        <n v="249.95"/>
        <n v="1699.98"/>
        <n v="11.98"/>
        <n v="199.98"/>
        <n v="1999.96"/>
        <n v="839.9299999999999"/>
        <n v="62.93"/>
        <n v="399.96"/>
        <n v="599.9400000000001"/>
        <n v="799.96"/>
        <n v="14.98"/>
        <n v="7499.97"/>
        <n v="600"/>
        <n v="899.9924999999999"/>
        <n v="-50"/>
        <n v="85"/>
        <n v="192"/>
        <n v="388"/>
        <n v="44.95"/>
        <n v="359.94"/>
        <n v="359.98"/>
        <n v="199.99"/>
        <n v="6824.9475"/>
        <n v="104.9475"/>
        <n v="157.4475"/>
        <n v="-1400"/>
        <n v="1575"/>
        <n v="1739.98"/>
        <n v="200"/>
        <n v="299.88"/>
        <n v="599.98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33" createdVersion="7">
  <cacheSource type="worksheet">
    <worksheetSource ref="D2:F335" sheet="November 2023"/>
  </cacheSource>
  <cacheFields count="3">
    <cacheField name="Line Item Name" numFmtId="0">
      <sharedItems containsNonDate="0" count="91">
        <s v="CC-WASH-01"/>
        <s v="CC-CTC-50"/>
        <s v="CC-HCCMKII-15-TC"/>
        <s v="CC-MJMKII-3-110"/>
        <s v="CC-NPTC-06-STD"/>
        <s v="CC-CH-25-STD"/>
        <s v="CC-QJ-5-110"/>
        <s v="CC-WASH-10"/>
        <s v="CC-AC-CTAT"/>
        <s v="CC-HCCMKII-08-NC"/>
        <s v="CC-SS-35"/>
        <s v="CC-TB-35"/>
        <s v="CC-AC-CCL"/>
        <s v="CC-SM-3"/>
        <s v="Shipping Charges"/>
        <s v="CC-T1M-515F-08in"/>
        <s v="CC-CH-15-STD"/>
        <s v="CC-CH-15-EXT"/>
        <s v="CC-CH-35-STD"/>
        <s v="CC-F-HEA"/>
        <s v="CC-F-DCHA"/>
        <s v="Pro Jet Main PCB - 1"/>
        <s v="Micro Jet MKII 5-Pin XLR PCB"/>
        <s v="Pro Jet Power Harness"/>
        <s v="8P 4x2 IDC 2.54mm 4&quot; Cable"/>
        <s v="Shipping Fees"/>
        <s v="CC-AC-CTS"/>
        <s v="CC-AC-4PM"/>
        <s v="CC-CH-03.5-MFD"/>
        <s v="CC-F-MFDCGAJIC"/>
        <s v="CC-F-COT"/>
        <s v="CC-AC-ROR2"/>
        <s v="Shomaster XLR Harness"/>
        <s v="Shomaster XLR PCB Assembly"/>
        <s v="1/4-20 x 1/2&quot; SEMS Screws / Internal Tooth Washer / PH S Black"/>
        <s v="Obsidian RP2 Relay Pack"/>
        <s v="CC-CH-50-STD"/>
        <s v="CC-CTC-20"/>
        <s v="CC-AC-TC"/>
        <s v="CC-PROJ-5-110"/>
        <s v="CC-AC-OP"/>
        <s v="CC-CH-25-EXT"/>
        <s v="CC-CH-35-EXT"/>
        <s v="CC-F-MQCNPTM"/>
        <s v="DMX Jet MKII Main PCB"/>
        <s v="CC-HCCMKII-15-NC"/>
        <s v="CC-CC2-110"/>
        <s v="CC-AC-CLAMP"/>
        <s v="CC-HCCMKII-08-TC"/>
        <s v="Repair"/>
        <s v="Flat Button Interior Housing"/>
        <s v="MFX-AC-SBRV"/>
        <s v="TJC Screen 2.4"/>
        <s v="CC-AC-CGANPT-SET"/>
        <s v="CC-PROJ-5-110-JIC"/>
        <s v="CC-CH-08-STD"/>
        <s v="CC-QJ-5-110-JIC"/>
        <s v="Micro Jet MKII XLR PCB"/>
        <s v="The Button Main PCB"/>
        <s v="The Button Encoder Assembly"/>
        <s v="The Button Main Harness"/>
        <s v="Fee"/>
        <s v="CC-AC-LGK"/>
        <s v="CC-CH-10-STD"/>
        <s v="CC-CH-XX-STD"/>
        <s v="CC-AC-LA2"/>
        <s v="CC-AC-SMK"/>
        <s v="CC-CH-05-DSY"/>
        <s v="CC-CH-05-MFD"/>
        <s v="CC-AC-RAA"/>
        <s v="CC-CH-50-STD-1/4"/>
        <s v="The Button Key Assembly - 1"/>
        <s v="CC-RC-2430"/>
        <s v="CC-RC-2430-PJI"/>
        <s v="CC-RC-2430-LAI"/>
        <s v="CC-RC-2430-TTI"/>
        <s v="Discount"/>
        <s v="Tax: CA Tax (8.75%)"/>
        <s v="Overnight Shipping Upgrade"/>
        <s v="CC-AC-PMA"/>
        <s v="CC-CH-05-EXT"/>
        <s v="CC-CH-05-STD - 01"/>
        <s v="CC-CC2-110-JIC"/>
        <s v="Survey Credit"/>
        <s v="CC-S-GLD-M"/>
        <s v="CC-S-SIL-M"/>
        <s v="Jet Trade-In Credit"/>
        <s v="CC-MJMKII-5-110"/>
        <s v="CC-F-MQCBSPPF"/>
        <s v="3/8” BSPP Bonding Washer Seal"/>
        <s v="MBSPP-FJX-6-6"/>
      </sharedItems>
    </cacheField>
    <cacheField name="Line Item Description" numFmtId="0">
      <sharedItems containsNonDate="0" containsBlank="1" count="97">
        <s v="Single CO2 Washer"/>
        <s v="CO2 Tank Covers - 50lb Cover"/>
        <s v="Handheld MKII in travel case with 15ft hose"/>
        <s v="Micro CO2 Jet MKII"/>
        <s v="Neutrik PowerCON True1 Cords - 6FT, Standard"/>
        <s v="Co2 Hose 25FT Standard Config"/>
        <s v="Quad Jet 110v with 3 Pin DMX With Barrels (Converted)"/>
        <s v="CO2 Washers (10 pack)"/>
        <s v="Co2 Tank Attachment Tool"/>
        <s v="Handheld CO2 Cannon MKII"/>
        <s v="ShoStarter DMX Controller with 3 &amp; 5 Pin Connectors in Box"/>
        <s v="The Button - with both 3 &amp; 5 pin DMX ports"/>
        <s v="CO2 Cylinder Link"/>
        <s v="Shomaster Controller with 3 pin DMX"/>
        <m/>
        <s v="True1 Male to Nema 5-15 Female Output Adapter 8in"/>
        <s v="Co2 Hose 15FT Standard Config"/>
        <s v="Co2 Hose 15FT Extension Config"/>
        <s v="Co2 Hose 35FT Standard Config"/>
        <s v="Hose Extension Adapter"/>
        <s v="Daisy Chain Adapter"/>
        <s v="Pro Jet Main PCB"/>
        <s v="DMX Input PCB"/>
        <s v="Pro Jet Power In Harness"/>
        <s v="Cable to connect to Main and XLR Board"/>
        <s v="CO2 Tank Splitter"/>
        <s v="4 Port Co2 Manifold - 4x JIC 3/8&quot; Inlets, 1x JIC 3/8&quot; Outlet with Truss Bracket"/>
        <s v="3 1/2FT CO2 Hose (CGA-320 x Female JIC 3/8&quot;) For use with Manifold"/>
        <s v="Adapter for use with Manifold - to attach standard CGA-320 hose configuration"/>
        <s v=" CO2 Output Terminator"/>
        <s v="Replacement O-Ring - 2023 Quick Connects. EPDM"/>
        <s v="TE Harness to connect Main Board to XLR Board"/>
        <s v="PCB with XLR Connectors attached"/>
        <s v="1/4-20 x 1/2&quot; SEMS Screws / Internal Tooth Washer / PH S Black"/>
        <s v="2 Output DMX Relay with Timer"/>
        <s v="Co2 Hose 50FT Standard Config"/>
        <s v="CO2 Tank Covers - 20lb Cover"/>
        <s v="Travel Case"/>
        <s v="Pro Jet"/>
        <s v="CO2 Tank Tool + Washers "/>
        <s v="Co2 Hose 25FT Extension Config"/>
        <s v="Co2 Hose 35FT Extension Config"/>
        <s v="Male Quick Connect (3/8″ NPT Male)"/>
        <s v="DMX Jet MKII Main PCB"/>
        <s v="Cryo Clamp II, 110v, Weatherproof CO2 Jet"/>
        <s v="Truss Clamp"/>
        <s v="Handheld MKII in travel case with 8ft hose"/>
        <s v="Out of Warranty Repair - The Button - RMA# 10019"/>
        <s v="White Internal Housing for PCB Mounting w/ laser cut hole for PCB header"/>
        <s v="Co2 Hose 25FT Standard UPGRADE"/>
        <s v="Magic FX Stadium Blaster Replacement Valve"/>
        <s v="Magic FX Stadium Blaster Replacement Valve - Warranty "/>
        <s v="TJC3224T124_011"/>
        <s v="CGA-320 to 1/4&quot; NPT adapter with nut."/>
        <s v="Pro Jet - 5 Pin, 110v, JIC in/out"/>
        <s v="Co2 Hose 08FT Standard Config"/>
        <s v="Pro Jet - 5 Pin, 110v, JIC in/out (No Hose)"/>
        <s v="Quad Jet 110v, 5 Pin DMX, JIC - Custom Rainproof Design, Black (No Hose)"/>
        <s v="Quad Jet 110v, 5 Pin DMX, JIC - Custom Rainproof Design, White (No Hose)"/>
        <s v="3 Pin DMX Input and Power Trigger PCB"/>
        <s v="Warranty Repair of The Button - Serial# 31622"/>
        <s v="The Button Main PCB"/>
        <s v="PCB with encoder attached"/>
        <s v="Button, Encoder, and LED Harness"/>
        <s v="CC Processing Fee"/>
        <s v="Replacement Keys - Shomaster &amp; ShoStarter"/>
        <s v="Co2 Hose 10FT Standard "/>
        <s v="Co2 Hose 4FT Standard"/>
        <s v="Replacement of Quad Jet Touch Screen&#10;"/>
        <s v="LED Attachment for DMX Jet, DMX Jet MKII, and Pro Jet."/>
        <s v="Replacement Keys - The Button"/>
        <s v="Co2 Hose 05FT Daisy Chain"/>
        <s v="5FT CO2 Hose (CGA-320 x Female JIC 3/8&quot;) For use with Manifold"/>
        <s v="Right Angle Adapter"/>
        <s v="1/4&quot; Co2 Hose 50FT Standard Config"/>
        <s v="Warranty Repair for The Button RMA#29543"/>
        <s v="Key Switch with Wires and JST Connector for The Button"/>
        <s v="Warranty Repair for Button RMA# 69229"/>
        <s v="Reprogrammed Micro Jet MKII #0921845, Tested MKI #1219549 W/O Issue"/>
        <s v="24x30 Road Case"/>
        <s v="24x30 Road Case Insert - Pro Jet"/>
        <s v="24x30 Road Case Insert - LED Attachment"/>
        <s v="24x30 Road Case Insert - Top Tray Insert"/>
        <s v="Credit for Returned Fittings + $50 Survey Credit"/>
        <s v="1/4&quot; TS Power mode Adapter"/>
        <s v="Co2 Hose 05FT Extension Config"/>
        <s v="Co2 Hose 05FT Standard Config"/>
        <s v="Warranty Repair for The Button. Reconnected IDC cable and restored DMX function, secured with LET."/>
        <s v="Cryo Clamp II, 110v, Weatherproof CO2 Jet with JIC Inlet"/>
        <s v="Quad Jet 110v with 5 Pin DMX With Barrels"/>
        <s v="Completed Customer Survey "/>
        <s v="Streamers - Gold Mylar"/>
        <s v="Streamers - Silver Mylar"/>
        <s v="Trade-in credit for "/>
        <s v="3/8&quot; MQC Quick Connect Fitting BSPP thread"/>
        <s v="3/8” BSPP Bonding Washer Seal"/>
        <s v="Straight Adapter - 3/8 in Female JIC 37° Flare Swivel x 3/8 in Male British Standard Pipe Parallel"/>
      </sharedItems>
    </cacheField>
    <cacheField name="Order Quantity" numFmtId="0">
      <sharedItems containsSemiMixedTypes="0" containsNonDate="0" containsString="0" containsNumber="1" containsInteger="1" minValue="1" maxValue="100" count="18">
        <n v="100"/>
        <n v="1"/>
        <n v="4"/>
        <n v="6"/>
        <n v="24"/>
        <n v="28"/>
        <n v="2"/>
        <n v="8"/>
        <n v="14"/>
        <n v="3"/>
        <n v="5"/>
        <n v="10"/>
        <n v="11"/>
        <n v="12"/>
        <n v="7"/>
        <n v="16"/>
        <n v="48"/>
        <n v="97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33" createdVersion="7">
  <cacheSource type="worksheet">
    <worksheetSource ref="D2:H335" sheet="November 2023"/>
  </cacheSource>
  <cacheFields count="5">
    <cacheField name="Line Item Name" numFmtId="0">
      <sharedItems containsNonDate="0" count="91">
        <s v="CC-WASH-01"/>
        <s v="CC-CTC-50"/>
        <s v="CC-HCCMKII-15-TC"/>
        <s v="CC-MJMKII-3-110"/>
        <s v="CC-NPTC-06-STD"/>
        <s v="CC-CH-25-STD"/>
        <s v="CC-QJ-5-110"/>
        <s v="CC-WASH-10"/>
        <s v="CC-AC-CTAT"/>
        <s v="CC-HCCMKII-08-NC"/>
        <s v="CC-SS-35"/>
        <s v="CC-TB-35"/>
        <s v="CC-AC-CCL"/>
        <s v="CC-SM-3"/>
        <s v="Shipping Charges"/>
        <s v="CC-T1M-515F-08in"/>
        <s v="CC-CH-15-STD"/>
        <s v="CC-CH-15-EXT"/>
        <s v="CC-CH-35-STD"/>
        <s v="CC-F-HEA"/>
        <s v="CC-F-DCHA"/>
        <s v="Pro Jet Main PCB - 1"/>
        <s v="Micro Jet MKII 5-Pin XLR PCB"/>
        <s v="Pro Jet Power Harness"/>
        <s v="8P 4x2 IDC 2.54mm 4&quot; Cable"/>
        <s v="Shipping Fees"/>
        <s v="CC-AC-CTS"/>
        <s v="CC-AC-4PM"/>
        <s v="CC-CH-03.5-MFD"/>
        <s v="CC-F-MFDCGAJIC"/>
        <s v="CC-F-COT"/>
        <s v="CC-AC-ROR2"/>
        <s v="Shomaster XLR Harness"/>
        <s v="Shomaster XLR PCB Assembly"/>
        <s v="1/4-20 x 1/2&quot; SEMS Screws / Internal Tooth Washer / PH S Black"/>
        <s v="Obsidian RP2 Relay Pack"/>
        <s v="CC-CH-50-STD"/>
        <s v="CC-CTC-20"/>
        <s v="CC-AC-TC"/>
        <s v="CC-PROJ-5-110"/>
        <s v="CC-AC-OP"/>
        <s v="CC-CH-25-EXT"/>
        <s v="CC-CH-35-EXT"/>
        <s v="CC-F-MQCNPTM"/>
        <s v="DMX Jet MKII Main PCB"/>
        <s v="CC-HCCMKII-15-NC"/>
        <s v="CC-CC2-110"/>
        <s v="CC-AC-CLAMP"/>
        <s v="CC-HCCMKII-08-TC"/>
        <s v="Repair"/>
        <s v="Flat Button Interior Housing"/>
        <s v="MFX-AC-SBRV"/>
        <s v="TJC Screen 2.4"/>
        <s v="CC-AC-CGANPT-SET"/>
        <s v="CC-PROJ-5-110-JIC"/>
        <s v="CC-CH-08-STD"/>
        <s v="CC-QJ-5-110-JIC"/>
        <s v="Micro Jet MKII XLR PCB"/>
        <s v="The Button Main PCB"/>
        <s v="The Button Encoder Assembly"/>
        <s v="The Button Main Harness"/>
        <s v="Fee"/>
        <s v="CC-AC-LGK"/>
        <s v="CC-CH-10-STD"/>
        <s v="CC-CH-XX-STD"/>
        <s v="CC-AC-LA2"/>
        <s v="CC-AC-SMK"/>
        <s v="CC-CH-05-DSY"/>
        <s v="CC-CH-05-MFD"/>
        <s v="CC-AC-RAA"/>
        <s v="CC-CH-50-STD-1/4"/>
        <s v="The Button Key Assembly - 1"/>
        <s v="CC-RC-2430"/>
        <s v="CC-RC-2430-PJI"/>
        <s v="CC-RC-2430-LAI"/>
        <s v="CC-RC-2430-TTI"/>
        <s v="Discount"/>
        <s v="Tax: CA Tax (8.75%)"/>
        <s v="Overnight Shipping Upgrade"/>
        <s v="CC-AC-PMA"/>
        <s v="CC-CH-05-EXT"/>
        <s v="CC-CH-05-STD - 01"/>
        <s v="CC-CC2-110-JIC"/>
        <s v="Survey Credit"/>
        <s v="CC-S-GLD-M"/>
        <s v="CC-S-SIL-M"/>
        <s v="Jet Trade-In Credit"/>
        <s v="CC-MJMKII-5-110"/>
        <s v="CC-F-MQCBSPPF"/>
        <s v="3/8” BSPP Bonding Washer Seal"/>
        <s v="MBSPP-FJX-6-6"/>
      </sharedItems>
    </cacheField>
    <cacheField name="Line Item Description" numFmtId="0">
      <sharedItems containsNonDate="0" containsBlank="1" count="97">
        <s v="Single CO2 Washer"/>
        <s v="CO2 Tank Covers - 50lb Cover"/>
        <s v="Handheld MKII in travel case with 15ft hose"/>
        <s v="Micro CO2 Jet MKII"/>
        <s v="Neutrik PowerCON True1 Cords - 6FT, Standard"/>
        <s v="Co2 Hose 25FT Standard Config"/>
        <s v="Quad Jet 110v with 3 Pin DMX With Barrels (Converted)"/>
        <s v="CO2 Washers (10 pack)"/>
        <s v="Co2 Tank Attachment Tool"/>
        <s v="Handheld CO2 Cannon MKII"/>
        <s v="ShoStarter DMX Controller with 3 &amp; 5 Pin Connectors in Box"/>
        <s v="The Button - with both 3 &amp; 5 pin DMX ports"/>
        <s v="CO2 Cylinder Link"/>
        <s v="Shomaster Controller with 3 pin DMX"/>
        <m/>
        <s v="True1 Male to Nema 5-15 Female Output Adapter 8in"/>
        <s v="Co2 Hose 15FT Standard Config"/>
        <s v="Co2 Hose 15FT Extension Config"/>
        <s v="Co2 Hose 35FT Standard Config"/>
        <s v="Hose Extension Adapter"/>
        <s v="Daisy Chain Adapter"/>
        <s v="Pro Jet Main PCB"/>
        <s v="DMX Input PCB"/>
        <s v="Pro Jet Power In Harness"/>
        <s v="Cable to connect to Main and XLR Board"/>
        <s v="CO2 Tank Splitter"/>
        <s v="4 Port Co2 Manifold - 4x JIC 3/8&quot; Inlets, 1x JIC 3/8&quot; Outlet with Truss Bracket"/>
        <s v="3 1/2FT CO2 Hose (CGA-320 x Female JIC 3/8&quot;) For use with Manifold"/>
        <s v="Adapter for use with Manifold - to attach standard CGA-320 hose configuration"/>
        <s v=" CO2 Output Terminator"/>
        <s v="Replacement O-Ring - 2023 Quick Connects. EPDM"/>
        <s v="TE Harness to connect Main Board to XLR Board"/>
        <s v="PCB with XLR Connectors attached"/>
        <s v="1/4-20 x 1/2&quot; SEMS Screws / Internal Tooth Washer / PH S Black"/>
        <s v="2 Output DMX Relay with Timer"/>
        <s v="Co2 Hose 50FT Standard Config"/>
        <s v="CO2 Tank Covers - 20lb Cover"/>
        <s v="Travel Case"/>
        <s v="Pro Jet"/>
        <s v="CO2 Tank Tool + Washers "/>
        <s v="Co2 Hose 25FT Extension Config"/>
        <s v="Co2 Hose 35FT Extension Config"/>
        <s v="Male Quick Connect (3/8″ NPT Male)"/>
        <s v="DMX Jet MKII Main PCB"/>
        <s v="Cryo Clamp II, 110v, Weatherproof CO2 Jet"/>
        <s v="Truss Clamp"/>
        <s v="Handheld MKII in travel case with 8ft hose"/>
        <s v="Out of Warranty Repair - The Button - RMA# 10019"/>
        <s v="White Internal Housing for PCB Mounting w/ laser cut hole for PCB header"/>
        <s v="Co2 Hose 25FT Standard UPGRADE"/>
        <s v="Magic FX Stadium Blaster Replacement Valve"/>
        <s v="Magic FX Stadium Blaster Replacement Valve - Warranty "/>
        <s v="TJC3224T124_011"/>
        <s v="CGA-320 to 1/4&quot; NPT adapter with nut."/>
        <s v="Pro Jet - 5 Pin, 110v, JIC in/out"/>
        <s v="Co2 Hose 08FT Standard Config"/>
        <s v="Pro Jet - 5 Pin, 110v, JIC in/out (No Hose)"/>
        <s v="Quad Jet 110v, 5 Pin DMX, JIC - Custom Rainproof Design, Black (No Hose)"/>
        <s v="Quad Jet 110v, 5 Pin DMX, JIC - Custom Rainproof Design, White (No Hose)"/>
        <s v="3 Pin DMX Input and Power Trigger PCB"/>
        <s v="Warranty Repair of The Button - Serial# 31622"/>
        <s v="The Button Main PCB"/>
        <s v="PCB with encoder attached"/>
        <s v="Button, Encoder, and LED Harness"/>
        <s v="CC Processing Fee"/>
        <s v="Replacement Keys - Shomaster &amp; ShoStarter"/>
        <s v="Co2 Hose 10FT Standard "/>
        <s v="Co2 Hose 4FT Standard"/>
        <s v="Replacement of Quad Jet Touch Screen&#10;"/>
        <s v="LED Attachment for DMX Jet, DMX Jet MKII, and Pro Jet."/>
        <s v="Replacement Keys - The Button"/>
        <s v="Co2 Hose 05FT Daisy Chain"/>
        <s v="5FT CO2 Hose (CGA-320 x Female JIC 3/8&quot;) For use with Manifold"/>
        <s v="Right Angle Adapter"/>
        <s v="1/4&quot; Co2 Hose 50FT Standard Config"/>
        <s v="Warranty Repair for The Button RMA#29543"/>
        <s v="Key Switch with Wires and JST Connector for The Button"/>
        <s v="Warranty Repair for Button RMA# 69229"/>
        <s v="Reprogrammed Micro Jet MKII #0921845, Tested MKI #1219549 W/O Issue"/>
        <s v="24x30 Road Case"/>
        <s v="24x30 Road Case Insert - Pro Jet"/>
        <s v="24x30 Road Case Insert - LED Attachment"/>
        <s v="24x30 Road Case Insert - Top Tray Insert"/>
        <s v="Credit for Returned Fittings + $50 Survey Credit"/>
        <s v="1/4&quot; TS Power mode Adapter"/>
        <s v="Co2 Hose 05FT Extension Config"/>
        <s v="Co2 Hose 05FT Standard Config"/>
        <s v="Warranty Repair for The Button. Reconnected IDC cable and restored DMX function, secured with LET."/>
        <s v="Cryo Clamp II, 110v, Weatherproof CO2 Jet with JIC Inlet"/>
        <s v="Quad Jet 110v with 5 Pin DMX With Barrels"/>
        <s v="Completed Customer Survey "/>
        <s v="Streamers - Gold Mylar"/>
        <s v="Streamers - Silver Mylar"/>
        <s v="Trade-in credit for "/>
        <s v="3/8&quot; MQC Quick Connect Fitting BSPP thread"/>
        <s v="3/8” BSPP Bonding Washer Seal"/>
        <s v="Straight Adapter - 3/8 in Female JIC 37° Flare Swivel x 3/8 in Male British Standard Pipe Parallel"/>
      </sharedItems>
    </cacheField>
    <cacheField name="Order Quantity" numFmtId="0">
      <sharedItems containsSemiMixedTypes="0" containsNonDate="0" containsString="0" containsNumber="1" containsInteger="1" minValue="1" maxValue="100" count="18">
        <n v="100"/>
        <n v="1"/>
        <n v="4"/>
        <n v="6"/>
        <n v="24"/>
        <n v="28"/>
        <n v="2"/>
        <n v="8"/>
        <n v="14"/>
        <n v="3"/>
        <n v="5"/>
        <n v="10"/>
        <n v="11"/>
        <n v="12"/>
        <n v="7"/>
        <n v="16"/>
        <n v="48"/>
        <n v="97"/>
      </sharedItems>
    </cacheField>
    <cacheField name="Unit Price" numFmtId="0">
      <sharedItems containsSemiMixedTypes="0" containsNonDate="0" containsString="0" containsNumber="1" minValue="-1400" maxValue="2625" count="89">
        <n v="0"/>
        <n v="59.99"/>
        <n v="599.99"/>
        <n v="637.4924999999999"/>
        <n v="37.5"/>
        <n v="1874.9925"/>
        <n v="262.4925"/>
        <n v="899.9924999999999"/>
        <n v="299.9925"/>
        <n v="89.99250000000001"/>
        <n v="2399.9925"/>
        <n v="1087"/>
        <n v="14.9925"/>
        <n v="149.99"/>
        <n v="249.99"/>
        <n v="19.99"/>
        <n v="29.99"/>
        <n v="125"/>
        <n v="40"/>
        <n v="70"/>
        <n v="399.99"/>
        <n v="49.99"/>
        <n v="9.99"/>
        <n v="119.99"/>
        <n v="179.99"/>
        <n v="69.98999999999999"/>
        <n v="1.99"/>
        <n v="28.5"/>
        <n v="275"/>
        <n v="28"/>
        <n v="224.9925"/>
        <n v="19"/>
        <n v="219.99"/>
        <n v="1299.99"/>
        <n v="199.99"/>
        <n v="324.99"/>
        <n v="10"/>
        <n v="150"/>
        <n v="15"/>
        <n v="499.99"/>
        <n v="349.99"/>
        <n v="549.99"/>
        <n v="849.99"/>
        <n v="50"/>
        <n v="328.68"/>
        <n v="62"/>
        <n v="45"/>
        <n v="12"/>
        <n v="22.99"/>
        <n v="900"/>
        <n v="65"/>
        <n v="1199.99"/>
        <n v="109.99"/>
        <n v="2625"/>
        <n v="300"/>
        <n v="25"/>
        <n v="39"/>
        <n v="974.9924999999999"/>
        <n v="67.4991"/>
        <n v="42"/>
        <n v="12.99"/>
        <n v="809.99"/>
        <n v="21"/>
        <n v="173"/>
        <n v="599.9924999999999"/>
        <n v="22.4925"/>
        <n v="100"/>
        <n v="175"/>
        <n v="99.98999999999999"/>
        <n v="74.98999999999999"/>
        <n v="299.99"/>
        <n v="1199.9925"/>
        <n v="-484.78"/>
        <n v="325"/>
        <n v="616.01"/>
        <n v="8.49"/>
        <n v="374.99"/>
        <n v="74.93000000000001"/>
        <n v="48.46"/>
        <n v="5.99"/>
        <n v="8.99"/>
        <n v="7.49"/>
        <n v="-50"/>
        <n v="85"/>
        <n v="4"/>
        <n v="-1400"/>
        <n v="1575"/>
        <n v="869.99"/>
        <n v="18.7425"/>
      </sharedItems>
    </cacheField>
    <cacheField name="Total Line Item $" numFmtId="0">
      <sharedItems containsSemiMixedTypes="0" containsNonDate="0" containsString="0" containsNumber="1" minValue="-1400" maxValue="11249.955" count="142">
        <n v="0"/>
        <n v="59.99"/>
        <n v="599.99"/>
        <n v="2549.97"/>
        <n v="150"/>
        <n v="11249.955"/>
        <n v="900"/>
        <n v="524.985"/>
        <n v="7199.94"/>
        <n v="1799.955"/>
        <n v="539.955"/>
        <n v="2399.9925"/>
        <n v="1087"/>
        <n v="209.895"/>
        <n v="599.96"/>
        <n v="249.99"/>
        <n v="119.94"/>
        <n v="179.94"/>
        <n v="375"/>
        <n v="120"/>
        <n v="70"/>
        <n v="399.99"/>
        <n v="49.99"/>
        <n v="9.99"/>
        <n v="239.98"/>
        <n v="19.98"/>
        <n v="179.99"/>
        <n v="279.96"/>
        <n v="79.95999999999999"/>
        <n v="99.95"/>
        <n v="99.98"/>
        <n v="119.96"/>
        <n v="39.98"/>
        <n v="19.9"/>
        <n v="119.99"/>
        <n v="57"/>
        <n v="2200"/>
        <n v="28"/>
        <n v="674.9775"/>
        <n v="19"/>
        <n v="29.97"/>
        <n v="219.99"/>
        <n v="559.92"/>
        <n v="29.99"/>
        <n v="2599.98"/>
        <n v="399.98"/>
        <n v="499.98"/>
        <n v="324.99"/>
        <n v="19.99"/>
        <n v="10"/>
        <n v="300"/>
        <n v="15"/>
        <n v="999.98"/>
        <n v="299.98"/>
        <n v="349.99"/>
        <n v="549.99"/>
        <n v="359.97"/>
        <n v="499.99"/>
        <n v="1643.4"/>
        <n v="62"/>
        <n v="45"/>
        <n v="12"/>
        <n v="479.96"/>
        <n v="39.96"/>
        <n v="45.98"/>
        <n v="65"/>
        <n v="2399.98"/>
        <n v="149.99"/>
        <n v="109.99"/>
        <n v="4500"/>
        <n v="5250"/>
        <n v="10500"/>
        <n v="39"/>
        <n v="1949.985"/>
        <n v="299.9925"/>
        <n v="67.4991"/>
        <n v="42"/>
        <n v="149.97"/>
        <n v="12.99"/>
        <n v="1619.98"/>
        <n v="50"/>
        <n v="21"/>
        <n v="3599.97"/>
        <n v="173"/>
        <n v="3599.955"/>
        <n v="44.985"/>
        <n v="40"/>
        <n v="849.99"/>
        <n v="100"/>
        <n v="175"/>
        <n v="99.98999999999999"/>
        <n v="74.98999999999999"/>
        <n v="299.94"/>
        <n v="3399.96"/>
        <n v="1199.99"/>
        <n v="30"/>
        <n v="599.98"/>
        <n v="5999.9625"/>
        <n v="1199.985"/>
        <n v="-484.78"/>
        <n v="325"/>
        <n v="616.01"/>
        <n v="84.90000000000001"/>
        <n v="699.98"/>
        <n v="1874.95"/>
        <n v="1274.985"/>
        <n v="74.93000000000001"/>
        <n v="799.98"/>
        <n v="48.46"/>
        <n v="224.925"/>
        <n v="25"/>
        <n v="249.95"/>
        <n v="1699.98"/>
        <n v="11.98"/>
        <n v="199.98"/>
        <n v="1999.96"/>
        <n v="839.9299999999999"/>
        <n v="62.93"/>
        <n v="399.96"/>
        <n v="599.9400000000001"/>
        <n v="799.96"/>
        <n v="14.98"/>
        <n v="7499.97"/>
        <n v="600"/>
        <n v="899.9924999999999"/>
        <n v="-50"/>
        <n v="85"/>
        <n v="192"/>
        <n v="388"/>
        <n v="44.95"/>
        <n v="359.94"/>
        <n v="359.98"/>
        <n v="199.99"/>
        <n v="6824.9475"/>
        <n v="104.9475"/>
        <n v="157.4475"/>
        <n v="-1400"/>
        <n v="1575"/>
        <n v="1739.98"/>
        <n v="200"/>
        <n v="299.88"/>
        <n v="599.98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36" createdVersion="7">
  <cacheSource type="worksheet">
    <worksheetSource ref="A2:H438" sheet="October 2023"/>
  </cacheSource>
  <cacheFields count="8">
    <cacheField name="Sales Order" numFmtId="0">
      <sharedItems containsNonDate="0" count="174">
        <s v="3921"/>
        <s v="3918"/>
        <s v="3920"/>
        <s v="3919"/>
        <s v="3917"/>
        <s v="3916"/>
        <s v="3913"/>
        <s v="3912"/>
        <s v="3910"/>
        <s v="3909"/>
        <s v="3908"/>
        <s v="3914"/>
        <s v="3915"/>
        <s v="3911"/>
        <s v="3907"/>
        <s v="3906"/>
        <s v="3905"/>
        <s v="3904"/>
        <s v="3903"/>
        <s v="3902"/>
        <s v="3901"/>
        <s v="3899"/>
        <s v="3897"/>
        <s v="3896"/>
        <s v="3900"/>
        <s v="3898"/>
        <s v="3894"/>
        <s v="3893"/>
        <s v="3892"/>
        <s v="3889"/>
        <s v="3888"/>
        <s v="3887"/>
        <s v="3886"/>
        <s v="3895"/>
        <s v="3891"/>
        <s v="3890"/>
        <s v="3885"/>
        <s v="3884"/>
        <s v="3883"/>
        <s v="3882"/>
        <s v="3881"/>
        <s v="3880"/>
        <s v="3879"/>
        <s v="3878"/>
        <s v="3876"/>
        <s v="3874"/>
        <s v="3873"/>
        <s v="3877"/>
        <s v="3875"/>
        <s v="3872"/>
        <s v="3871"/>
        <s v="3869"/>
        <s v="3868"/>
        <s v="3867"/>
        <s v="3866"/>
        <s v="3870"/>
        <s v="3865"/>
        <s v="3864"/>
        <s v="3863"/>
        <s v="3862"/>
        <s v="3861"/>
        <s v="3860"/>
        <s v="3859"/>
        <s v="3858"/>
        <s v="3855"/>
        <s v="3854"/>
        <s v="3853"/>
        <s v="3851"/>
        <s v="3850"/>
        <s v="3849"/>
        <s v="3848"/>
        <s v="3847"/>
        <s v="3846"/>
        <s v="3852"/>
        <s v="3857"/>
        <s v="3856"/>
        <s v="3845"/>
        <s v="3843"/>
        <s v="3842"/>
        <s v="3841"/>
        <s v="3840"/>
        <s v="3839"/>
        <s v="3838"/>
        <s v="3844"/>
        <s v="3837"/>
        <s v="3836"/>
        <s v="3835"/>
        <s v="3833"/>
        <s v="3832"/>
        <s v="3834"/>
        <s v="3831"/>
        <s v="3830"/>
        <s v="3828"/>
        <s v="3826"/>
        <s v="3825"/>
        <s v="3824"/>
        <s v="3827"/>
        <s v="3822"/>
        <s v="3821"/>
        <s v="3820"/>
        <s v="3823"/>
        <s v="3819"/>
        <s v="3818"/>
        <s v="3817"/>
        <s v="3816"/>
        <s v="3814"/>
        <s v="3815"/>
        <s v="3813"/>
        <s v="3811"/>
        <s v="3810"/>
        <s v="3807"/>
        <s v="3808"/>
        <s v="3812"/>
        <s v="3809"/>
        <s v="3806"/>
        <s v="3805"/>
        <s v="3803"/>
        <s v="3801"/>
        <s v="3800"/>
        <s v="3804"/>
        <s v="3802"/>
        <s v="3799"/>
        <s v="3798"/>
        <s v="3796"/>
        <s v="3795"/>
        <s v="3793"/>
        <s v="3792"/>
        <s v="3791"/>
        <s v="3794"/>
        <s v="3797"/>
        <s v="3790"/>
        <s v="3788"/>
        <s v="3787"/>
        <s v="3784"/>
        <s v="3786"/>
        <s v="3783"/>
        <s v="3789"/>
        <s v="3785"/>
        <s v="3781"/>
        <s v="3780"/>
        <s v="3782"/>
        <s v="3779"/>
        <s v="3778"/>
        <s v="3777"/>
        <s v="3776"/>
        <s v="3775"/>
        <s v="3774"/>
        <s v="3773"/>
        <s v="3771"/>
        <s v="3765"/>
        <s v="4138"/>
        <s v="3767"/>
        <s v="3769"/>
        <s v="3772"/>
        <s v="3766"/>
        <s v="3768"/>
        <s v="3770"/>
        <s v="3764"/>
        <s v="3762"/>
        <s v="3761"/>
        <s v="3760"/>
        <s v="3758"/>
        <s v="3756"/>
        <s v="3755"/>
        <s v="3754"/>
        <s v="3753"/>
        <s v="3759"/>
        <s v="3757"/>
        <s v="3752"/>
        <s v="3751"/>
        <s v="3750"/>
        <s v="3749"/>
        <s v="3748"/>
        <s v="3747"/>
      </sharedItems>
    </cacheField>
    <cacheField name="Customer" numFmtId="0">
      <sharedItems containsNonDate="0" count="153">
        <s v="Travis Case"/>
        <s v="Alma Delia Rivero Sánchez"/>
        <s v="Image SFX"/>
        <s v="Eric Landman"/>
        <s v="Jabari Johnson"/>
        <s v="Nate Lopes"/>
        <s v="kirk hill"/>
        <s v="Andrew Gritsiuk"/>
        <s v="Kush Bhargava"/>
        <s v="Fadi Alchi"/>
        <s v="4WALL ENTERTAINMENT, INC."/>
        <s v="David Ortiz"/>
        <s v="Ralph Abbenante"/>
        <s v="Cristian Baca Perez"/>
        <s v="Jorge Ayala"/>
        <s v="ABDUL MAJID"/>
        <s v="Matthew Butler"/>
        <s v="Chandler Crolley"/>
        <s v="David Hernandez villegas"/>
        <s v="Ken Cleary"/>
        <s v="Adam Pawlick"/>
        <s v="Luis Arcia"/>
        <s v="Matthew Hazelgrove"/>
        <s v="PYROTECNICO"/>
        <s v="Dylan Tafel"/>
        <s v="Sarah Puerini"/>
        <s v="jason hadjoglou"/>
        <s v="Christopher Prasad"/>
        <s v="Ernie Valdez"/>
        <s v="Shelley Heward"/>
        <s v="cleo cortina"/>
        <s v="Andrea Lopez"/>
        <s v="ER Productions"/>
        <s v="AFX Pro / Jackie Johnson"/>
        <s v="Jorge Mejia"/>
        <s v="Austin Bever"/>
        <s v="In Jung"/>
        <s v="Chris Curto"/>
        <s v="Michael Suponitsky"/>
        <s v="Gene Raffel"/>
        <s v="Odalis America Baizano Hernandez"/>
        <s v="Chris Logan"/>
        <s v="Darrick Myers"/>
        <s v="Alexis Melrose"/>
        <s v="Michael Greer"/>
        <s v="Justin Icenroad"/>
        <s v="Michael Bedkowski"/>
        <s v="Kyle Faucett"/>
        <s v="Alex Uzhca"/>
        <s v="Bryan Maldonado"/>
        <s v="Derek Dobbins"/>
        <s v="Special FX Rentals"/>
        <s v="Juan Luna"/>
        <s v="Hakim Muhammad"/>
        <s v="Ken Cellupica"/>
        <s v="Rolando Colmenares"/>
        <s v="Tomas Libich"/>
        <s v="Johannes Kastner"/>
        <s v="Rohit Sodhi"/>
        <s v="Anna Gachovska"/>
        <s v="Jason Elgersma"/>
        <s v="Misty Knievel"/>
        <s v="James Batty"/>
        <s v="MARCO DE VITA"/>
        <s v="Marcus Pierce"/>
        <s v="Jeff Barnhart"/>
        <s v="Joe Arbeely"/>
        <s v="Angel Morales"/>
        <s v="Paul Walker"/>
        <s v="joe sleiman"/>
        <s v="Abhishek Shah"/>
        <s v="Payam Arvin"/>
        <s v="Efrain Martinez"/>
        <s v="Eric Terzyan"/>
        <s v="Shawn McDonough"/>
        <s v="kyle mintz"/>
        <s v="Carol Schlemmer"/>
        <s v="thomas Perniciaro"/>
        <s v="Lee Myers"/>
        <s v="Alex Woolum"/>
        <s v="Marian Aragon"/>
        <s v="Doug Mackie"/>
        <s v="Matthew Winter"/>
        <s v="Jose L Angeles"/>
        <s v="Ralph Bracamonte"/>
        <s v="Amandeep Singh"/>
        <s v="Advanced Entertainment Services"/>
        <s v="David Oriz"/>
        <s v="Oscar Guardado"/>
        <s v="Tim Hanian"/>
        <s v="Nick Sieffert"/>
        <s v="Jacob Kelly"/>
        <s v="Daniel Luczak"/>
        <s v="Daniel Vazquez"/>
        <s v="Angel Delarosa"/>
        <s v="Lance Wieland"/>
        <s v="Micheanggello Rojo"/>
        <s v="Kyle Nadeau"/>
        <s v="Meghan Antoinetti"/>
        <s v="Hinda Phagura"/>
        <s v="Disney Cruise Line"/>
        <s v="Dougarius Harness"/>
        <s v="Brent Coleman"/>
        <s v="Nathan Murray"/>
        <s v="Miguel Valle"/>
        <s v="DJ Encore"/>
        <s v="Dios Vazquez"/>
        <s v="Christopher Allard"/>
        <s v="Pranav Ojha"/>
        <s v="david von blohn"/>
        <s v="Orlando Libreros"/>
        <s v="PHIL VOLLARO"/>
        <s v="Sam Johnson"/>
        <s v="Bryan Rivas"/>
        <s v="Khaled Maarbani"/>
        <s v="Steven Dobo"/>
        <s v="James Jobe"/>
        <s v="erica rangel"/>
        <s v="benjamin hebert"/>
        <s v="Austin Buntz"/>
        <s v="Justin Thomas"/>
        <s v="Joe Bunn"/>
        <s v="Shijiazhuang Topa Trading Co.,Ltd  "/>
        <s v="miguel hernandez"/>
        <s v="Andy Wilkinson"/>
        <s v="Chad Ellis"/>
        <s v="Zarren Nebel"/>
        <s v="Michael Kennedy"/>
        <s v="Jared Mowdy"/>
        <s v="Joseph Gonzalez"/>
        <s v="Simon Mesber"/>
        <s v="William Cummings"/>
        <s v="Jack Pumphrey"/>
        <s v="Antonio Montes"/>
        <s v="Image Engineering"/>
        <s v="David Belogolovsky"/>
        <s v="Hector Liendo"/>
        <s v="Alexis Peterson"/>
        <s v="Max Lauerman"/>
        <s v="walter murphy"/>
        <s v="Michael Garten"/>
        <s v="Scott Terranova"/>
        <s v="Cade Schwartz"/>
        <s v="Andres Pupo"/>
        <s v="Christian Perez"/>
        <s v="George Wainwright"/>
        <s v="Deep South Productions"/>
        <s v="Magic FX"/>
        <s v="Mario Hernandez"/>
        <s v="Hector Perez"/>
        <s v="Ryan McGinnis"/>
        <s v="Brian Cole"/>
        <s v="Vicente Fernandes"/>
      </sharedItems>
    </cacheField>
    <cacheField name="Ordered Date" numFmtId="0">
      <sharedItems containsSemiMixedTypes="0" containsNonDate="0" containsDate="1" containsString="0" minDate="2023-10-01T14:03:18" maxDate="2023-10-31T22:33:53" count="151">
        <d v="2023-10-31T22:33:53"/>
        <d v="2023-10-31T04:35:53"/>
        <d v="2023-10-31T00:00:00"/>
        <d v="2023-10-30T22:24:06"/>
        <d v="2023-10-30T22:12:11"/>
        <d v="2023-10-30T17:41:49"/>
        <d v="2023-10-30T17:29:06"/>
        <d v="2023-10-30T15:45:04"/>
        <d v="2023-10-30T10:08:48"/>
        <d v="2023-10-30T00:14:37"/>
        <d v="2023-10-30T00:00:00"/>
        <d v="2023-10-29T08:34:47"/>
        <d v="2023-10-29T07:53:05"/>
        <d v="2023-10-29T06:30:54"/>
        <d v="2023-10-29T04:05:44"/>
        <d v="2023-10-27T21:02:57"/>
        <d v="2023-10-27T20:01:28"/>
        <d v="2023-10-27T18:50:41"/>
        <d v="2023-10-27T15:24:12"/>
        <d v="2023-10-27T03:29:02"/>
        <d v="2023-10-27T02:37:53"/>
        <d v="2023-10-27T00:00:00"/>
        <d v="2023-10-26T17:56:27"/>
        <d v="2023-10-26T17:42:14"/>
        <d v="2023-10-26T15:33:00"/>
        <d v="2023-10-26T04:17:29"/>
        <d v="2023-10-26T03:23:38"/>
        <d v="2023-10-26T00:57:19"/>
        <d v="2023-10-26T00:19:50"/>
        <d v="2023-10-26T00:00:00"/>
        <d v="2023-10-25T22:48:57"/>
        <d v="2023-10-25T16:32:56"/>
        <d v="2023-10-25T09:13:28"/>
        <d v="2023-10-25T05:15:54"/>
        <d v="2023-10-25T02:33:48"/>
        <d v="2023-10-24T23:39:48"/>
        <d v="2023-10-24T21:58:47"/>
        <d v="2023-10-24T20:00:38"/>
        <d v="2023-10-24T17:36:47"/>
        <d v="2023-10-24T15:24:05"/>
        <d v="2023-10-24T00:06:55"/>
        <d v="2023-10-24T00:00:00"/>
        <d v="2023-10-23T20:47:22"/>
        <d v="2023-10-23T20:09:40"/>
        <d v="2023-10-23T19:56:48"/>
        <d v="2023-10-23T18:45:52"/>
        <d v="2023-10-23T16:55:47"/>
        <d v="2023-10-23T02:28:55"/>
        <d v="2023-10-23T00:00:00"/>
        <d v="2023-10-22T22:40:39"/>
        <d v="2023-10-22T20:18:20"/>
        <d v="2023-10-22T12:06:48"/>
        <d v="2023-10-22T02:46:49"/>
        <d v="2023-10-22T01:40:40"/>
        <d v="2023-10-21T22:14:43"/>
        <d v="2023-10-21T12:09:10"/>
        <d v="2023-10-20T19:12:09"/>
        <d v="2023-10-20T18:11:38"/>
        <d v="2023-10-20T17:19:41"/>
        <d v="2023-10-20T16:43:21"/>
        <d v="2023-10-20T15:22:38"/>
        <d v="2023-10-20T14:40:57"/>
        <d v="2023-10-20T06:17:03"/>
        <d v="2023-10-20T05:18:43"/>
        <d v="2023-10-20T03:20:36"/>
        <d v="2023-10-20T00:51:33"/>
        <d v="2023-10-20T00:00:00"/>
        <d v="2023-10-19T22:59:36"/>
        <d v="2023-10-19T18:34:52"/>
        <d v="2023-10-19T14:38:34"/>
        <d v="2023-10-19T14:10:35"/>
        <d v="2023-10-19T05:16:53"/>
        <d v="2023-10-19T04:50:44"/>
        <d v="2023-10-19T01:13:35"/>
        <d v="2023-10-19T00:00:00"/>
        <d v="2023-10-18T22:54:33"/>
        <d v="2023-10-18T21:00:10"/>
        <d v="2023-10-18T20:12:49"/>
        <d v="2023-10-18T16:00:39"/>
        <d v="2023-10-18T05:29:19"/>
        <d v="2023-10-18T00:00:00"/>
        <d v="2023-10-17T21:59:19"/>
        <d v="2023-10-17T20:37:22"/>
        <d v="2023-10-17T19:26:02"/>
        <d v="2023-10-17T16:01:48"/>
        <d v="2023-10-17T15:18:46"/>
        <d v="2023-10-17T05:25:41"/>
        <d v="2023-10-17T00:00:00"/>
        <d v="2023-10-16T20:25:19"/>
        <d v="2023-10-16T19:16:16"/>
        <d v="2023-10-16T19:02:14"/>
        <d v="2023-10-16T00:00:00"/>
        <d v="2023-10-15T23:28:23"/>
        <d v="2023-10-15T21:58:49"/>
        <d v="2023-10-14T10:40:20"/>
        <d v="2023-10-14T03:10:48"/>
        <d v="2023-10-13T19:33:35"/>
        <d v="2023-10-13T00:00:00"/>
        <d v="2023-10-12T23:30:56"/>
        <d v="2023-10-12T17:13:46"/>
        <d v="2023-10-12T17:01:06"/>
        <d v="2023-10-12T09:11:47"/>
        <d v="2023-10-12T00:00:00"/>
        <d v="2023-10-11T23:49:32"/>
        <d v="2023-10-11T19:56:12"/>
        <d v="2023-10-11T18:13:49"/>
        <d v="2023-10-11T17:24:27"/>
        <d v="2023-10-11T04:22:45"/>
        <d v="2023-10-11T00:00:00"/>
        <d v="2023-10-10T23:58:26"/>
        <d v="2023-10-10T23:10:53"/>
        <d v="2023-10-10T18:03:44"/>
        <d v="2023-10-10T17:30:35"/>
        <d v="2023-10-10T02:02:31"/>
        <d v="2023-10-10T01:54:34"/>
        <d v="2023-10-10T01:41:26"/>
        <d v="2023-10-10T00:00:00"/>
        <d v="2023-10-09T23:45:11"/>
        <d v="2023-10-09T19:14:05"/>
        <d v="2023-10-09T17:40:27"/>
        <d v="2023-10-09T16:02:56"/>
        <d v="2023-10-09T00:00:00"/>
        <d v="2023-10-08T03:49:54"/>
        <d v="2023-10-08T02:42:31"/>
        <d v="2023-10-08T00:00:00"/>
        <d v="2023-10-07T20:46:57"/>
        <d v="2023-10-07T17:47:07"/>
        <d v="2023-10-07T15:12:14"/>
        <d v="2023-10-07T03:58:51"/>
        <d v="2023-10-07T02:52:48"/>
        <d v="2023-10-06T19:20:17"/>
        <d v="2023-10-06T01:57:59"/>
        <d v="2023-10-04T23:15:52"/>
        <d v="2023-10-04T01:20:45"/>
        <d v="2023-10-04T00:00:00"/>
        <d v="2023-10-03T23:49:31"/>
        <d v="2023-10-03T21:49:33"/>
        <d v="2023-10-03T20:24:54"/>
        <d v="2023-10-03T19:23:46"/>
        <d v="2023-10-03T16:04:44"/>
        <d v="2023-10-03T05:16:23"/>
        <d v="2023-10-03T03:28:49"/>
        <d v="2023-10-03T03:27:55"/>
        <d v="2023-10-03T00:09:49"/>
        <d v="2023-10-03T00:00:00"/>
        <d v="2023-10-02T22:14:54"/>
        <d v="2023-10-02T17:49:41"/>
        <d v="2023-10-02T16:16:58"/>
        <d v="2023-10-02T15:37:23"/>
        <d v="2023-10-02T14:58:49"/>
        <d v="2023-10-01T14:03:18"/>
      </sharedItems>
      <fieldGroup base="2">
        <rangePr startDate="2023-10-01T14:03:18" endDate="2023-10-31T22:33:53" groupBy="days"/>
        <groupItems count="368">
          <s v="&lt;10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31/2023"/>
        </groupItems>
      </fieldGroup>
    </cacheField>
    <cacheField name="Line Item Name" numFmtId="0">
      <sharedItems containsNonDate="0" count="105">
        <s v="CC-CH-35-STD"/>
        <s v="CC-MJMKII-5-110"/>
        <s v="CC-AC-PMA"/>
        <s v="CC-NPTC-06-STD"/>
        <s v="CC-AC-OP"/>
        <s v="Repair"/>
        <s v="LED Attachment Sponge"/>
        <s v="CC-AC-CCL"/>
        <s v="CC-WASH-10"/>
        <s v="CC-HCCMKII-08-TC"/>
        <s v="CC-CH-08-DSY"/>
        <s v="CC-CH-15-DSY"/>
        <s v="CC-CTC-50"/>
        <s v="CC-TB-35"/>
        <s v="CC-PROJ-5-110"/>
        <s v="CC-AC-CTAT"/>
        <s v="CC-F-COT"/>
        <s v="CC-CH-15-STD"/>
        <s v="CC-AC-CTS"/>
        <s v="CC-CH-50-STD"/>
        <s v="CC-CH-100-STD"/>
        <s v="CC-CH-25-STD"/>
        <s v="CC-CH-08-STD"/>
        <s v="CC-F-FQCNPTF"/>
        <s v="CC-CTC-20"/>
        <s v="CC-AC-RAA"/>
        <s v="CC-AC-4PM"/>
        <s v="CC-CH-02-MFD"/>
        <s v="CC-CH-03.5-MFD"/>
        <s v="CC-CH-05-MFD"/>
        <s v="CC-F-MFDCGAJIC"/>
        <s v="CC-CH-15-EXT"/>
        <s v="CC-CH-25-EXT"/>
        <s v="CC-CH-35-EXT"/>
        <s v="CC-CH-50-EXT"/>
        <s v="CC-F-HEA"/>
        <s v="CC-F-DCHA"/>
        <s v="CC-AC-SMK"/>
        <s v="CC-HCCMKII-15-NC"/>
        <s v="CC-HCCMKII-08-NC"/>
        <s v="CC-CH-50-DSY"/>
        <s v="CC-NPTC-15-DSY"/>
        <s v="CC-NPTC-25-DSY"/>
        <s v="CC-QJ-5-110"/>
        <s v="MagicFX Replacement Keys"/>
        <s v="Shipping Fees"/>
        <s v="CC-AC-ROR"/>
        <s v="CC-AC-LA2 - 0"/>
        <s v="220v Solenoid Coil"/>
        <s v="1/4&quot; Co2 Valve"/>
        <s v="1/4&quot; NPT Male x 3/8&quot; JIC Male"/>
        <s v="1/4” NPT Male x 3/8” JIC Female"/>
        <s v="Shipping Charges"/>
        <s v="CC-AC-CGANPT-SET"/>
        <s v="1/4&quot; NPT Female x 3/8&quot; JIC Male"/>
        <s v="JIC Elbow - 3/8&quot; JIC male x 3/8&quot; JIC Female "/>
        <s v="JIC Tee 6600-06-06-06"/>
        <s v="CC-CH-05-STD - 01"/>
        <s v="CC-HCCMKII-15-TC"/>
        <s v="CC-F-MQCBSPPF"/>
        <s v="3/8” BSPP Bonding Washer Seal"/>
        <s v="CC-CH-05-STD"/>
        <s v="6-32 x 3/8&quot; - CS, BSS"/>
        <s v="1/4-20 x 3/4” CS screw"/>
        <s v="1/2-13 x 3/4” CS screw"/>
        <s v="3/4 OD X 1/4 ID X 1/8 Thickness Neoprene Rubber Washers"/>
        <s v="3/8&quot; BSPP Male x 3/8&quot; NPT Male Adapter"/>
        <s v="3/8&quot; Male Quick Connect ISO-A x 3/8&quot; Female NPT"/>
        <s v="1/4-20 x 1/2&quot; SEMS Screws / Internal Tooth Washer / PH S Black"/>
        <s v="CO2 Valve Replacement Seal"/>
        <s v="CC-MJMKII-3-110"/>
        <s v="CC-SS-35"/>
        <s v="Discount"/>
        <s v="CC-AC-LA2"/>
        <s v="CC-AC-CLAMP"/>
        <s v="CC-AC-ROR2"/>
        <s v="CC-F-FQCBSPF"/>
        <s v=" CC-AC-CGAJIC-SET"/>
        <s v="Valve Bracket"/>
        <s v="10-32 x 1 1/4&quot; Socket head cap screw (steel / black oxide)"/>
        <s v="Bulk 13A Power Cable"/>
        <s v="Solenoid Din Connector"/>
        <s v="CC-PROJ-5-220-JIC"/>
        <s v="110v Solenoid Coil"/>
        <s v="CC-DIN-06"/>
        <s v="CC-WASH-01"/>
        <s v="CC-AC-TC"/>
        <s v="CC-SM-5"/>
        <s v="CC-CC2-110"/>
        <s v="CC-AC-BM-KIT"/>
        <s v="CGA-320 Nut"/>
        <s v="CGA-320 Male x 1/4&quot; NPT Female adapter / CO-2-1"/>
        <s v="CC-RC-2430"/>
        <s v="CC-RC-2430-TTI"/>
        <s v="CC-RC-2430-PJI"/>
        <s v="CC-QJ-5-110-JIC"/>
        <s v="2FT CO2 Hose - 1/4&quot; ID (JIC #6 x JIC #6)"/>
        <s v="5FT CO2 Hose - 1/4&quot; ID (JIC #6 x JIC #6)"/>
        <s v="CC-CC2-110-JIC"/>
        <s v="CC-RC-2430-LAI"/>
        <s v="15FT CO2 Hose - 3/8&quot; NPT Male Swivel x JIC"/>
        <s v="3/8&quot; NPT Female x 3/8&quot; JIC Female 6506-06-06"/>
        <s v="Flat Button Interior Overlay Machined - 2"/>
        <s v="CC-CH-05-DSY"/>
        <s v="CC-CH-35-DSY"/>
      </sharedItems>
    </cacheField>
    <cacheField name="Line Item Description" numFmtId="0">
      <sharedItems containsNonDate="0" containsBlank="1" count="108">
        <s v="Co2 Hose 35FT Standard Config"/>
        <s v="Micro CO2 Jet MKII"/>
        <s v="1/4&quot; TS Power mode Adapter"/>
        <s v="Neutrik PowerCON True1 Cords - 6FT, Standard"/>
        <s v="CO2 Tank Tool + Washers "/>
        <s v="Warranty Repair of LED Attachments"/>
        <s v="Tubular Sponge"/>
        <s v="Warranty Repair of Key Switch and Replacement of Cover Plate"/>
        <s v="CO2 Cylinder Link"/>
        <s v="CO2 Washers (10 pack)"/>
        <s v="Handheld MKII in travel case with 8ft hose"/>
        <s v="Co2 Hose 08FT Daisy Chain"/>
        <s v="Co2 Hose 15FT Daisy Chain"/>
        <s v="CO2 Tank Covers - 50lb Cover"/>
        <s v="The Button - with both 3 &amp; 5 pin DMX ports"/>
        <s v="Pro Jet"/>
        <s v="Co2 Tank Attachment Tool"/>
        <s v=" CO2 Output Terminator"/>
        <s v="Co2 Hose 15FT Standard Config"/>
        <s v="CO2 Tank Splitter"/>
        <s v="Co2 Hose 50FT Standard Config"/>
        <s v="Co2 Hose 100FT Standard Config"/>
        <s v="Co2 Hose 25FT Standard Config"/>
        <s v="Co2 Hose 08FT Standard Config"/>
        <s v="Female Quick Connect (3/8″ NPT Female)"/>
        <s v="CO2 Tank Covers - 20lb Cover"/>
        <s v="Right Angle Adapter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5FT CO2 Hose (CGA-320 x Female JIC 3/8&quot;) For use with Manifold"/>
        <s v="Adapter for use with Manifold - to attach standard CGA-320 hose configuration"/>
        <s v="Co2 Hose 15FT Extension Config"/>
        <s v="Co2 Hose 25FT Extension Config"/>
        <s v="Co2 Hose 35FT Extension Config"/>
        <s v="Co2 Hose 50FT Extension Config"/>
        <s v="Hose Extension Adapter"/>
        <s v="Daisy Chain Adapter"/>
        <s v="Warranty Repair for Pro Jet DMX Inlet"/>
        <s v="Warranty Repair for Handheld MKII - RMA# 3727"/>
        <s v="Replacement Keys - The Button"/>
        <s v="Handheld CO2 Cannon MKII"/>
        <s v="Co2 Hose 50FT Daisy Chain"/>
        <s v="Neutrik PowerCON True1 Cords - 15FT, Daisy Chain"/>
        <s v="Neutrik PowerCON True1 Cords - 25FT, Daisy Chain"/>
        <s v="Quad Jet 110v with 5 Pin DMX With Barrels"/>
        <s v="ARM Controller key (set of 2)"/>
        <m/>
        <s v="Warranty RMA# 3570 "/>
        <s v="Replacement O-Ring"/>
        <s v="LED Attachment for DMX Jet, DMX Jet MKII, and Pro Jet."/>
        <s v="220v Solenoid Coil"/>
        <s v="1/4&quot; Co2 Valve"/>
        <s v="Adapter for NPT to JIC male 2404-06-04"/>
        <s v="1/4” NPT Male x 3/8” JIC Female"/>
        <s v="CGA-320 to 1/4&quot; NPT adapter with nut."/>
        <s v="Adapter for NPT to JIC male, CGA-320 JIC adapter"/>
        <s v="6500-06-06-06"/>
        <s v="Male x Male x Female "/>
        <s v="Co2 Hose 05FT Standard Config"/>
        <s v="Handheld MKII in travel case with 15ft hose"/>
        <s v="3/8&quot; MQC Quick Connect Fitting BSPP thread"/>
        <s v="3/8” BSPP Bonding Washer Seal"/>
        <s v="Repair of Pro Jets - Replaced Quick Connect Fittings&#10;#0823277&#10;#0823273"/>
        <s v="Countersunk head, black stainless steel"/>
        <s v="1/4-20 x 3/4” CS screw"/>
        <s v="1/2-13 x 3/4” CS screw"/>
        <s v="3/4 OD X 1/4 ID X 1/8 Thickness Neoprene Rubber Washers"/>
        <s v="9007-06-06 Pro Jet CO2-T Adapter with bonding washer"/>
        <s v="3/8&quot; Male Quick Connect ISO-A x 3/8&quot; Female NPT"/>
        <s v="1/4-20 x 1/2&quot; SEMS Screws / Internal Tooth Washer / PH S Black"/>
        <s v="Teflon &amp; Brass seal for 1/4&quot; CO2 Valve"/>
        <s v="ShoStarter DMX Controller with 3 &amp; 5 Pin Connectors in Box"/>
        <s v="Warranty / T&amp;M"/>
        <s v="LED Attachment for DMX Jet, DMX Jet MKII, and Pro Jet - DEMO"/>
        <s v="Truss Clamp"/>
        <s v="Replacement O-Ring - 2023 Quick Connects. EPDM"/>
        <s v="ISO-A Female Quick Connect - BSPP Thread"/>
        <s v="CGA-320 to JIC adapter with nut."/>
        <s v="Bracket used for attaching valve to clamp"/>
        <s v="Cryo Clamp valve fastening screw"/>
        <s v="Bulk 16/3 16AWG 3-Conductor SJTOW Power Cable 13A"/>
        <s v="Solenoid Din Connector"/>
        <s v="Pro Jet - 5 Pin, 220v, JIC in/out"/>
        <s v="110v Solenoid Coil"/>
        <s v="DIN cable with NEMA 5-15, 6FT"/>
        <s v="Single CO2 Washer"/>
        <s v="Travel Case"/>
        <s v="ShoMaster Console"/>
        <s v="LED Attachment for DMX Jet, DMX Jet MKII, and Pro Jet. - RETROFIT 3 PIN CONNECTORS"/>
        <s v="Cryo Clamp II, 110v, Weatherproof CO2 Jet"/>
        <s v="Ball Mount Assembly for Cryo Clamp with 4x 10-32 x 3/8&quot; socket head screws"/>
        <s v="Warranty / T&amp;M - Button Repair"/>
        <s v="CGA-320 Nut"/>
        <s v="Western Enterprises CO-2-1 "/>
        <s v="24x30 Road Case"/>
        <s v="24x30 Road Case Insert - Top Tray Insert"/>
        <s v="24x30 Road Case Insert - Pro Jet"/>
        <s v="Quad Jet 110v with 5 Pin DMX, JIC Connections"/>
        <s v="Special order CO2 Hose"/>
        <s v="Cryo Clamp II, 110v, Weatherproof CO2 Jet with JIC Inlet"/>
        <s v="24x30 Road Case Insert - LED Attachment"/>
        <s v="15FT CO2 Hose - 3/8&quot; NPT Male Swivel x JIC #6 female"/>
        <s v="6506-06-06"/>
        <s v="Attempted to replicate leaking QC fitting without success"/>
        <s v="Plastic overlay with window for display."/>
        <s v="Co2 Hose 05FT Daisy Chain"/>
        <s v="Co2 Hose 35FT Daisy Chain"/>
      </sharedItems>
    </cacheField>
    <cacheField name="Order Quantity" numFmtId="0">
      <sharedItems containsSemiMixedTypes="0" containsNonDate="0" containsString="0" containsNumber="1" containsInteger="1" minValue="1" maxValue="1000" count="21">
        <n v="1"/>
        <n v="2"/>
        <n v="4"/>
        <n v="6"/>
        <n v="9"/>
        <n v="3"/>
        <n v="29"/>
        <n v="10"/>
        <n v="19"/>
        <n v="5"/>
        <n v="8"/>
        <n v="18"/>
        <n v="12"/>
        <n v="32"/>
        <n v="16"/>
        <n v="7"/>
        <n v="24"/>
        <n v="40"/>
        <n v="50"/>
        <n v="1000"/>
        <n v="20"/>
      </sharedItems>
    </cacheField>
    <cacheField name="Unit Price" numFmtId="0">
      <sharedItems containsSemiMixedTypes="0" containsNonDate="0" containsString="0" containsNumber="1" minValue="-419.995" maxValue="2499.99" count="102">
        <n v="249.99"/>
        <n v="869.99"/>
        <n v="100"/>
        <n v="5.99"/>
        <n v="0"/>
        <n v="119.99"/>
        <n v="8.99"/>
        <n v="549.99"/>
        <n v="109.99"/>
        <n v="149.99"/>
        <n v="59.99"/>
        <n v="399.99"/>
        <n v="974.9924999999999"/>
        <n v="112.4925"/>
        <n v="89.99250000000001"/>
        <n v="37.4925"/>
        <n v="224.9925"/>
        <n v="412.4925"/>
        <n v="149.9925"/>
        <n v="82.49250000000001"/>
        <n v="299.9925"/>
        <n v="18.7425"/>
        <n v="44.9925"/>
        <n v="134.9925"/>
        <n v="48.7425"/>
        <n v="52.4925"/>
        <n v="56.2425"/>
        <n v="14.9925"/>
        <n v="7.4925"/>
        <n v="187.4925"/>
        <n v="22.4925"/>
        <n v="7.49"/>
        <n v="49.99"/>
        <n v="9.99"/>
        <n v="19.99"/>
        <n v="349.99"/>
        <n v="299.99"/>
        <n v="199.99"/>
        <n v="64.98999999999999"/>
        <n v="74.98999999999999"/>
        <n v="1575"/>
        <n v="90"/>
        <n v="29.99"/>
        <n v="799.99"/>
        <n v="179.99"/>
        <n v="40.7608695"/>
        <n v="2.771739"/>
        <n v="6.06521775"/>
        <n v="28"/>
        <n v="10"/>
        <n v="2"/>
        <n v="5.625"/>
        <n v="5.25"/>
        <n v="6.7425"/>
        <n v="40"/>
        <n v="99.98999999999999"/>
        <n v="599.99"/>
        <n v="449.9925"/>
        <n v="150"/>
        <n v="1.99"/>
        <n v="24.99"/>
        <n v="18.99"/>
        <n v="2.173913"/>
        <n v="15"/>
        <n v="1299.99"/>
        <n v="50"/>
        <n v="849.99"/>
        <n v="175"/>
        <n v="1199.99"/>
        <n v="899.9924999999999"/>
        <n v="18"/>
        <n v="-419.995"/>
        <n v="900"/>
        <n v="55"/>
        <n v="25"/>
        <n v="17.2425"/>
        <n v="1.63043475"/>
        <n v="300"/>
        <n v="46.875"/>
        <n v="22.5"/>
        <n v="1.131522"/>
        <n v="0.75"/>
        <n v="3.75"/>
        <n v="60"/>
        <n v="599.9924999999999"/>
        <n v="35"/>
        <n v="14.99"/>
        <n v="0.25"/>
        <n v="20"/>
        <n v="219.99"/>
        <n v="2499.99"/>
        <n v="499.99"/>
        <n v="637.4924999999999"/>
        <n v="14.5"/>
        <n v="1625"/>
        <n v="29.625"/>
        <n v="38.625"/>
        <n v="374.9925"/>
        <n v="250"/>
        <n v="85"/>
        <n v="524.99"/>
        <n v="8.49"/>
      </sharedItems>
    </cacheField>
    <cacheField name="Total Line Item $" numFmtId="0">
      <sharedItems containsSemiMixedTypes="0" containsNonDate="0" containsString="0" containsNumber="1" minValue="-419.995" maxValue="11375" count="169">
        <n v="249.99"/>
        <n v="1739.98"/>
        <n v="200"/>
        <n v="11.98"/>
        <n v="0"/>
        <n v="719.9400000000001"/>
        <n v="53.94"/>
        <n v="1079.91"/>
        <n v="80.91"/>
        <n v="549.99"/>
        <n v="329.97"/>
        <n v="149.99"/>
        <n v="119.98"/>
        <n v="399.99"/>
        <n v="5849.955"/>
        <n v="1124.925"/>
        <n v="1709.8575"/>
        <n v="149.97"/>
        <n v="1124.9625"/>
        <n v="3712.4325"/>
        <n v="749.9625"/>
        <n v="659.9400000000001"/>
        <n v="299.9925"/>
        <n v="93.71250000000001"/>
        <n v="674.865"/>
        <n v="359.94"/>
        <n v="187.4625"/>
        <n v="674.9625"/>
        <n v="584.91"/>
        <n v="314.955"/>
        <n v="337.455"/>
        <n v="179.91"/>
        <n v="239.76"/>
        <n v="449.97"/>
        <n v="599.97"/>
        <n v="374.985"/>
        <n v="449.985"/>
        <n v="149.925"/>
        <n v="224.925"/>
        <n v="239.88"/>
        <n v="14.98"/>
        <n v="49.99"/>
        <n v="9.99"/>
        <n v="59.99"/>
        <n v="109.99"/>
        <n v="19.99"/>
        <n v="349.99"/>
        <n v="1199.96"/>
        <n v="299.98"/>
        <n v="399.98"/>
        <n v="479.96"/>
        <n v="39.96"/>
        <n v="454.93"/>
        <n v="74.98999999999999"/>
        <n v="9450"/>
        <n v="539.8200000000001"/>
        <n v="90"/>
        <n v="299.99"/>
        <n v="149.95"/>
        <n v="799.99"/>
        <n v="39.98"/>
        <n v="2879.84"/>
        <n v="40.7608695"/>
        <n v="2.771739"/>
        <n v="6.06521775"/>
        <n v="28"/>
        <n v="400"/>
        <n v="80"/>
        <n v="281.25"/>
        <n v="262.5"/>
        <n v="33.7125"/>
        <n v="40"/>
        <n v="29.97"/>
        <n v="99.95"/>
        <n v="499.95"/>
        <n v="199.99"/>
        <n v="599.99"/>
        <n v="119.99"/>
        <n v="19.98"/>
        <n v="449.9925"/>
        <n v="449.91"/>
        <n v="150"/>
        <n v="7.96"/>
        <n v="24.99"/>
        <n v="18.99"/>
        <n v="2.173913"/>
        <n v="15"/>
        <n v="599.96"/>
        <n v="99.98"/>
        <n v="1299.99"/>
        <n v="50"/>
        <n v="99.98999999999999"/>
        <n v="849.99"/>
        <n v="175"/>
        <n v="1199.99"/>
        <n v="1699.98"/>
        <n v="350"/>
        <n v="899.9924999999999"/>
        <n v="18"/>
        <n v="3399.96"/>
        <n v="-419.995"/>
        <n v="3600"/>
        <n v="55"/>
        <n v="1599.98"/>
        <n v="1199.97"/>
        <n v="25"/>
        <n v="5199.96"/>
        <n v="1199.98"/>
        <n v="2599.98"/>
        <n v="100"/>
        <n v="59.98"/>
        <n v="3.98"/>
        <n v="37.485"/>
        <n v="34.485"/>
        <n v="14.985"/>
        <n v="3.2608695"/>
        <n v="300"/>
        <n v="239.98"/>
        <n v="3199.96"/>
        <n v="180"/>
        <n v="93.75"/>
        <n v="45"/>
        <n v="2.263044"/>
        <n v="3"/>
        <n v="7.5"/>
        <n v="60"/>
        <n v="974.9924999999999"/>
        <n v="599.9924999999999"/>
        <n v="35"/>
        <n v="199.96"/>
        <n v="14.99"/>
        <n v="250"/>
        <n v="20"/>
        <n v="799.98"/>
        <n v="219.99"/>
        <n v="4999.98"/>
        <n v="179.97"/>
        <n v="2399.97"/>
        <n v="219.98"/>
        <n v="79.95999999999999"/>
        <n v="499.99"/>
        <n v="29.99"/>
        <n v="23.96"/>
        <n v="359.97"/>
        <n v="1274.985"/>
        <n v="224.985"/>
        <n v="899.955"/>
        <n v="14.9925"/>
        <n v="14.5"/>
        <n v="11375"/>
        <n v="81.521739"/>
        <n v="29.985"/>
        <n v="59.25"/>
        <n v="772.5"/>
        <n v="749.985"/>
        <n v="44.985"/>
        <n v="2549.97"/>
        <n v="449.9775"/>
        <n v="1349.9325"/>
        <n v="680"/>
        <n v="359.98"/>
        <n v="389.94"/>
        <n v="524.99"/>
        <n v="84.90000000000001"/>
        <n v="199.98"/>
        <n v="999.96"/>
        <n v="959.92"/>
        <n v="71.92"/>
        <n v="59.94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36" createdVersion="7">
  <cacheSource type="worksheet">
    <worksheetSource ref="D2:F438" sheet="October 2023"/>
  </cacheSource>
  <cacheFields count="3">
    <cacheField name="Line Item Name" numFmtId="0">
      <sharedItems containsNonDate="0" count="105">
        <s v="CC-CH-35-STD"/>
        <s v="CC-MJMKII-5-110"/>
        <s v="CC-AC-PMA"/>
        <s v="CC-NPTC-06-STD"/>
        <s v="CC-AC-OP"/>
        <s v="Repair"/>
        <s v="LED Attachment Sponge"/>
        <s v="CC-AC-CCL"/>
        <s v="CC-WASH-10"/>
        <s v="CC-HCCMKII-08-TC"/>
        <s v="CC-CH-08-DSY"/>
        <s v="CC-CH-15-DSY"/>
        <s v="CC-CTC-50"/>
        <s v="CC-TB-35"/>
        <s v="CC-PROJ-5-110"/>
        <s v="CC-AC-CTAT"/>
        <s v="CC-F-COT"/>
        <s v="CC-CH-15-STD"/>
        <s v="CC-AC-CTS"/>
        <s v="CC-CH-50-STD"/>
        <s v="CC-CH-100-STD"/>
        <s v="CC-CH-25-STD"/>
        <s v="CC-CH-08-STD"/>
        <s v="CC-F-FQCNPTF"/>
        <s v="CC-CTC-20"/>
        <s v="CC-AC-RAA"/>
        <s v="CC-AC-4PM"/>
        <s v="CC-CH-02-MFD"/>
        <s v="CC-CH-03.5-MFD"/>
        <s v="CC-CH-05-MFD"/>
        <s v="CC-F-MFDCGAJIC"/>
        <s v="CC-CH-15-EXT"/>
        <s v="CC-CH-25-EXT"/>
        <s v="CC-CH-35-EXT"/>
        <s v="CC-CH-50-EXT"/>
        <s v="CC-F-HEA"/>
        <s v="CC-F-DCHA"/>
        <s v="CC-AC-SMK"/>
        <s v="CC-HCCMKII-15-NC"/>
        <s v="CC-HCCMKII-08-NC"/>
        <s v="CC-CH-50-DSY"/>
        <s v="CC-NPTC-15-DSY"/>
        <s v="CC-NPTC-25-DSY"/>
        <s v="CC-QJ-5-110"/>
        <s v="MagicFX Replacement Keys"/>
        <s v="Shipping Fees"/>
        <s v="CC-AC-ROR"/>
        <s v="CC-AC-LA2 - 0"/>
        <s v="220v Solenoid Coil"/>
        <s v="1/4&quot; Co2 Valve"/>
        <s v="1/4&quot; NPT Male x 3/8&quot; JIC Male"/>
        <s v="1/4” NPT Male x 3/8” JIC Female"/>
        <s v="Shipping Charges"/>
        <s v="CC-AC-CGANPT-SET"/>
        <s v="1/4&quot; NPT Female x 3/8&quot; JIC Male"/>
        <s v="JIC Elbow - 3/8&quot; JIC male x 3/8&quot; JIC Female "/>
        <s v="JIC Tee 6600-06-06-06"/>
        <s v="CC-CH-05-STD - 01"/>
        <s v="CC-HCCMKII-15-TC"/>
        <s v="CC-F-MQCBSPPF"/>
        <s v="3/8” BSPP Bonding Washer Seal"/>
        <s v="CC-CH-05-STD"/>
        <s v="6-32 x 3/8&quot; - CS, BSS"/>
        <s v="1/4-20 x 3/4” CS screw"/>
        <s v="1/2-13 x 3/4” CS screw"/>
        <s v="3/4 OD X 1/4 ID X 1/8 Thickness Neoprene Rubber Washers"/>
        <s v="3/8&quot; BSPP Male x 3/8&quot; NPT Male Adapter"/>
        <s v="3/8&quot; Male Quick Connect ISO-A x 3/8&quot; Female NPT"/>
        <s v="1/4-20 x 1/2&quot; SEMS Screws / Internal Tooth Washer / PH S Black"/>
        <s v="CO2 Valve Replacement Seal"/>
        <s v="CC-MJMKII-3-110"/>
        <s v="CC-SS-35"/>
        <s v="Discount"/>
        <s v="CC-AC-LA2"/>
        <s v="CC-AC-CLAMP"/>
        <s v="CC-AC-ROR2"/>
        <s v="CC-F-FQCBSPF"/>
        <s v=" CC-AC-CGAJIC-SET"/>
        <s v="Valve Bracket"/>
        <s v="10-32 x 1 1/4&quot; Socket head cap screw (steel / black oxide)"/>
        <s v="Bulk 13A Power Cable"/>
        <s v="Solenoid Din Connector"/>
        <s v="CC-PROJ-5-220-JIC"/>
        <s v="110v Solenoid Coil"/>
        <s v="CC-DIN-06"/>
        <s v="CC-WASH-01"/>
        <s v="CC-AC-TC"/>
        <s v="CC-SM-5"/>
        <s v="CC-CC2-110"/>
        <s v="CC-AC-BM-KIT"/>
        <s v="CGA-320 Nut"/>
        <s v="CGA-320 Male x 1/4&quot; NPT Female adapter / CO-2-1"/>
        <s v="CC-RC-2430"/>
        <s v="CC-RC-2430-TTI"/>
        <s v="CC-RC-2430-PJI"/>
        <s v="CC-QJ-5-110-JIC"/>
        <s v="2FT CO2 Hose - 1/4&quot; ID (JIC #6 x JIC #6)"/>
        <s v="5FT CO2 Hose - 1/4&quot; ID (JIC #6 x JIC #6)"/>
        <s v="CC-CC2-110-JIC"/>
        <s v="CC-RC-2430-LAI"/>
        <s v="15FT CO2 Hose - 3/8&quot; NPT Male Swivel x JIC"/>
        <s v="3/8&quot; NPT Female x 3/8&quot; JIC Female 6506-06-06"/>
        <s v="Flat Button Interior Overlay Machined - 2"/>
        <s v="CC-CH-05-DSY"/>
        <s v="CC-CH-35-DSY"/>
      </sharedItems>
    </cacheField>
    <cacheField name="Line Item Description" numFmtId="0">
      <sharedItems containsNonDate="0" containsBlank="1" count="108">
        <s v="Co2 Hose 35FT Standard Config"/>
        <s v="Micro CO2 Jet MKII"/>
        <s v="1/4&quot; TS Power mode Adapter"/>
        <s v="Neutrik PowerCON True1 Cords - 6FT, Standard"/>
        <s v="CO2 Tank Tool + Washers "/>
        <s v="Warranty Repair of LED Attachments"/>
        <s v="Tubular Sponge"/>
        <s v="Warranty Repair of Key Switch and Replacement of Cover Plate"/>
        <s v="CO2 Cylinder Link"/>
        <s v="CO2 Washers (10 pack)"/>
        <s v="Handheld MKII in travel case with 8ft hose"/>
        <s v="Co2 Hose 08FT Daisy Chain"/>
        <s v="Co2 Hose 15FT Daisy Chain"/>
        <s v="CO2 Tank Covers - 50lb Cover"/>
        <s v="The Button - with both 3 &amp; 5 pin DMX ports"/>
        <s v="Pro Jet"/>
        <s v="Co2 Tank Attachment Tool"/>
        <s v=" CO2 Output Terminator"/>
        <s v="Co2 Hose 15FT Standard Config"/>
        <s v="CO2 Tank Splitter"/>
        <s v="Co2 Hose 50FT Standard Config"/>
        <s v="Co2 Hose 100FT Standard Config"/>
        <s v="Co2 Hose 25FT Standard Config"/>
        <s v="Co2 Hose 08FT Standard Config"/>
        <s v="Female Quick Connect (3/8″ NPT Female)"/>
        <s v="CO2 Tank Covers - 20lb Cover"/>
        <s v="Right Angle Adapter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5FT CO2 Hose (CGA-320 x Female JIC 3/8&quot;) For use with Manifold"/>
        <s v="Adapter for use with Manifold - to attach standard CGA-320 hose configuration"/>
        <s v="Co2 Hose 15FT Extension Config"/>
        <s v="Co2 Hose 25FT Extension Config"/>
        <s v="Co2 Hose 35FT Extension Config"/>
        <s v="Co2 Hose 50FT Extension Config"/>
        <s v="Hose Extension Adapter"/>
        <s v="Daisy Chain Adapter"/>
        <s v="Warranty Repair for Pro Jet DMX Inlet"/>
        <s v="Warranty Repair for Handheld MKII - RMA# 3727"/>
        <s v="Replacement Keys - The Button"/>
        <s v="Handheld CO2 Cannon MKII"/>
        <s v="Co2 Hose 50FT Daisy Chain"/>
        <s v="Neutrik PowerCON True1 Cords - 15FT, Daisy Chain"/>
        <s v="Neutrik PowerCON True1 Cords - 25FT, Daisy Chain"/>
        <s v="Quad Jet 110v with 5 Pin DMX With Barrels"/>
        <s v="ARM Controller key (set of 2)"/>
        <m/>
        <s v="Warranty RMA# 3570 "/>
        <s v="Replacement O-Ring"/>
        <s v="LED Attachment for DMX Jet, DMX Jet MKII, and Pro Jet."/>
        <s v="220v Solenoid Coil"/>
        <s v="1/4&quot; Co2 Valve"/>
        <s v="Adapter for NPT to JIC male 2404-06-04"/>
        <s v="1/4” NPT Male x 3/8” JIC Female"/>
        <s v="CGA-320 to 1/4&quot; NPT adapter with nut."/>
        <s v="Adapter for NPT to JIC male, CGA-320 JIC adapter"/>
        <s v="6500-06-06-06"/>
        <s v="Male x Male x Female "/>
        <s v="Co2 Hose 05FT Standard Config"/>
        <s v="Handheld MKII in travel case with 15ft hose"/>
        <s v="3/8&quot; MQC Quick Connect Fitting BSPP thread"/>
        <s v="3/8” BSPP Bonding Washer Seal"/>
        <s v="Repair of Pro Jets - Replaced Quick Connect Fittings&#10;#0823277&#10;#0823273"/>
        <s v="Countersunk head, black stainless steel"/>
        <s v="1/4-20 x 3/4” CS screw"/>
        <s v="1/2-13 x 3/4” CS screw"/>
        <s v="3/4 OD X 1/4 ID X 1/8 Thickness Neoprene Rubber Washers"/>
        <s v="9007-06-06 Pro Jet CO2-T Adapter with bonding washer"/>
        <s v="3/8&quot; Male Quick Connect ISO-A x 3/8&quot; Female NPT"/>
        <s v="1/4-20 x 1/2&quot; SEMS Screws / Internal Tooth Washer / PH S Black"/>
        <s v="Teflon &amp; Brass seal for 1/4&quot; CO2 Valve"/>
        <s v="ShoStarter DMX Controller with 3 &amp; 5 Pin Connectors in Box"/>
        <s v="Warranty / T&amp;M"/>
        <s v="LED Attachment for DMX Jet, DMX Jet MKII, and Pro Jet - DEMO"/>
        <s v="Truss Clamp"/>
        <s v="Replacement O-Ring - 2023 Quick Connects. EPDM"/>
        <s v="ISO-A Female Quick Connect - BSPP Thread"/>
        <s v="CGA-320 to JIC adapter with nut."/>
        <s v="Bracket used for attaching valve to clamp"/>
        <s v="Cryo Clamp valve fastening screw"/>
        <s v="Bulk 16/3 16AWG 3-Conductor SJTOW Power Cable 13A"/>
        <s v="Solenoid Din Connector"/>
        <s v="Pro Jet - 5 Pin, 220v, JIC in/out"/>
        <s v="110v Solenoid Coil"/>
        <s v="DIN cable with NEMA 5-15, 6FT"/>
        <s v="Single CO2 Washer"/>
        <s v="Travel Case"/>
        <s v="ShoMaster Console"/>
        <s v="LED Attachment for DMX Jet, DMX Jet MKII, and Pro Jet. - RETROFIT 3 PIN CONNECTORS"/>
        <s v="Cryo Clamp II, 110v, Weatherproof CO2 Jet"/>
        <s v="Ball Mount Assembly for Cryo Clamp with 4x 10-32 x 3/8&quot; socket head screws"/>
        <s v="Warranty / T&amp;M - Button Repair"/>
        <s v="CGA-320 Nut"/>
        <s v="Western Enterprises CO-2-1 "/>
        <s v="24x30 Road Case"/>
        <s v="24x30 Road Case Insert - Top Tray Insert"/>
        <s v="24x30 Road Case Insert - Pro Jet"/>
        <s v="Quad Jet 110v with 5 Pin DMX, JIC Connections"/>
        <s v="Special order CO2 Hose"/>
        <s v="Cryo Clamp II, 110v, Weatherproof CO2 Jet with JIC Inlet"/>
        <s v="24x30 Road Case Insert - LED Attachment"/>
        <s v="15FT CO2 Hose - 3/8&quot; NPT Male Swivel x JIC #6 female"/>
        <s v="6506-06-06"/>
        <s v="Attempted to replicate leaking QC fitting without success"/>
        <s v="Plastic overlay with window for display."/>
        <s v="Co2 Hose 05FT Daisy Chain"/>
        <s v="Co2 Hose 35FT Daisy Chain"/>
      </sharedItems>
    </cacheField>
    <cacheField name="Order Quantity" numFmtId="0">
      <sharedItems containsSemiMixedTypes="0" containsNonDate="0" containsString="0" containsNumber="1" containsInteger="1" minValue="1" maxValue="1000" count="21">
        <n v="1"/>
        <n v="2"/>
        <n v="4"/>
        <n v="6"/>
        <n v="9"/>
        <n v="3"/>
        <n v="29"/>
        <n v="10"/>
        <n v="19"/>
        <n v="5"/>
        <n v="8"/>
        <n v="18"/>
        <n v="12"/>
        <n v="32"/>
        <n v="16"/>
        <n v="7"/>
        <n v="24"/>
        <n v="40"/>
        <n v="50"/>
        <n v="1000"/>
        <n v="2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36" createdVersion="7">
  <cacheSource type="worksheet">
    <worksheetSource ref="D2:H438" sheet="October 2023"/>
  </cacheSource>
  <cacheFields count="5">
    <cacheField name="Line Item Name" numFmtId="0">
      <sharedItems containsNonDate="0" count="105">
        <s v="CC-CH-35-STD"/>
        <s v="CC-MJMKII-5-110"/>
        <s v="CC-AC-PMA"/>
        <s v="CC-NPTC-06-STD"/>
        <s v="CC-AC-OP"/>
        <s v="Repair"/>
        <s v="LED Attachment Sponge"/>
        <s v="CC-AC-CCL"/>
        <s v="CC-WASH-10"/>
        <s v="CC-HCCMKII-08-TC"/>
        <s v="CC-CH-08-DSY"/>
        <s v="CC-CH-15-DSY"/>
        <s v="CC-CTC-50"/>
        <s v="CC-TB-35"/>
        <s v="CC-PROJ-5-110"/>
        <s v="CC-AC-CTAT"/>
        <s v="CC-F-COT"/>
        <s v="CC-CH-15-STD"/>
        <s v="CC-AC-CTS"/>
        <s v="CC-CH-50-STD"/>
        <s v="CC-CH-100-STD"/>
        <s v="CC-CH-25-STD"/>
        <s v="CC-CH-08-STD"/>
        <s v="CC-F-FQCNPTF"/>
        <s v="CC-CTC-20"/>
        <s v="CC-AC-RAA"/>
        <s v="CC-AC-4PM"/>
        <s v="CC-CH-02-MFD"/>
        <s v="CC-CH-03.5-MFD"/>
        <s v="CC-CH-05-MFD"/>
        <s v="CC-F-MFDCGAJIC"/>
        <s v="CC-CH-15-EXT"/>
        <s v="CC-CH-25-EXT"/>
        <s v="CC-CH-35-EXT"/>
        <s v="CC-CH-50-EXT"/>
        <s v="CC-F-HEA"/>
        <s v="CC-F-DCHA"/>
        <s v="CC-AC-SMK"/>
        <s v="CC-HCCMKII-15-NC"/>
        <s v="CC-HCCMKII-08-NC"/>
        <s v="CC-CH-50-DSY"/>
        <s v="CC-NPTC-15-DSY"/>
        <s v="CC-NPTC-25-DSY"/>
        <s v="CC-QJ-5-110"/>
        <s v="MagicFX Replacement Keys"/>
        <s v="Shipping Fees"/>
        <s v="CC-AC-ROR"/>
        <s v="CC-AC-LA2 - 0"/>
        <s v="220v Solenoid Coil"/>
        <s v="1/4&quot; Co2 Valve"/>
        <s v="1/4&quot; NPT Male x 3/8&quot; JIC Male"/>
        <s v="1/4” NPT Male x 3/8” JIC Female"/>
        <s v="Shipping Charges"/>
        <s v="CC-AC-CGANPT-SET"/>
        <s v="1/4&quot; NPT Female x 3/8&quot; JIC Male"/>
        <s v="JIC Elbow - 3/8&quot; JIC male x 3/8&quot; JIC Female "/>
        <s v="JIC Tee 6600-06-06-06"/>
        <s v="CC-CH-05-STD - 01"/>
        <s v="CC-HCCMKII-15-TC"/>
        <s v="CC-F-MQCBSPPF"/>
        <s v="3/8” BSPP Bonding Washer Seal"/>
        <s v="CC-CH-05-STD"/>
        <s v="6-32 x 3/8&quot; - CS, BSS"/>
        <s v="1/4-20 x 3/4” CS screw"/>
        <s v="1/2-13 x 3/4” CS screw"/>
        <s v="3/4 OD X 1/4 ID X 1/8 Thickness Neoprene Rubber Washers"/>
        <s v="3/8&quot; BSPP Male x 3/8&quot; NPT Male Adapter"/>
        <s v="3/8&quot; Male Quick Connect ISO-A x 3/8&quot; Female NPT"/>
        <s v="1/4-20 x 1/2&quot; SEMS Screws / Internal Tooth Washer / PH S Black"/>
        <s v="CO2 Valve Replacement Seal"/>
        <s v="CC-MJMKII-3-110"/>
        <s v="CC-SS-35"/>
        <s v="Discount"/>
        <s v="CC-AC-LA2"/>
        <s v="CC-AC-CLAMP"/>
        <s v="CC-AC-ROR2"/>
        <s v="CC-F-FQCBSPF"/>
        <s v=" CC-AC-CGAJIC-SET"/>
        <s v="Valve Bracket"/>
        <s v="10-32 x 1 1/4&quot; Socket head cap screw (steel / black oxide)"/>
        <s v="Bulk 13A Power Cable"/>
        <s v="Solenoid Din Connector"/>
        <s v="CC-PROJ-5-220-JIC"/>
        <s v="110v Solenoid Coil"/>
        <s v="CC-DIN-06"/>
        <s v="CC-WASH-01"/>
        <s v="CC-AC-TC"/>
        <s v="CC-SM-5"/>
        <s v="CC-CC2-110"/>
        <s v="CC-AC-BM-KIT"/>
        <s v="CGA-320 Nut"/>
        <s v="CGA-320 Male x 1/4&quot; NPT Female adapter / CO-2-1"/>
        <s v="CC-RC-2430"/>
        <s v="CC-RC-2430-TTI"/>
        <s v="CC-RC-2430-PJI"/>
        <s v="CC-QJ-5-110-JIC"/>
        <s v="2FT CO2 Hose - 1/4&quot; ID (JIC #6 x JIC #6)"/>
        <s v="5FT CO2 Hose - 1/4&quot; ID (JIC #6 x JIC #6)"/>
        <s v="CC-CC2-110-JIC"/>
        <s v="CC-RC-2430-LAI"/>
        <s v="15FT CO2 Hose - 3/8&quot; NPT Male Swivel x JIC"/>
        <s v="3/8&quot; NPT Female x 3/8&quot; JIC Female 6506-06-06"/>
        <s v="Flat Button Interior Overlay Machined - 2"/>
        <s v="CC-CH-05-DSY"/>
        <s v="CC-CH-35-DSY"/>
      </sharedItems>
    </cacheField>
    <cacheField name="Line Item Description" numFmtId="0">
      <sharedItems containsNonDate="0" containsBlank="1" count="108">
        <s v="Co2 Hose 35FT Standard Config"/>
        <s v="Micro CO2 Jet MKII"/>
        <s v="1/4&quot; TS Power mode Adapter"/>
        <s v="Neutrik PowerCON True1 Cords - 6FT, Standard"/>
        <s v="CO2 Tank Tool + Washers "/>
        <s v="Warranty Repair of LED Attachments"/>
        <s v="Tubular Sponge"/>
        <s v="Warranty Repair of Key Switch and Replacement of Cover Plate"/>
        <s v="CO2 Cylinder Link"/>
        <s v="CO2 Washers (10 pack)"/>
        <s v="Handheld MKII in travel case with 8ft hose"/>
        <s v="Co2 Hose 08FT Daisy Chain"/>
        <s v="Co2 Hose 15FT Daisy Chain"/>
        <s v="CO2 Tank Covers - 50lb Cover"/>
        <s v="The Button - with both 3 &amp; 5 pin DMX ports"/>
        <s v="Pro Jet"/>
        <s v="Co2 Tank Attachment Tool"/>
        <s v=" CO2 Output Terminator"/>
        <s v="Co2 Hose 15FT Standard Config"/>
        <s v="CO2 Tank Splitter"/>
        <s v="Co2 Hose 50FT Standard Config"/>
        <s v="Co2 Hose 100FT Standard Config"/>
        <s v="Co2 Hose 25FT Standard Config"/>
        <s v="Co2 Hose 08FT Standard Config"/>
        <s v="Female Quick Connect (3/8″ NPT Female)"/>
        <s v="CO2 Tank Covers - 20lb Cover"/>
        <s v="Right Angle Adapter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5FT CO2 Hose (CGA-320 x Female JIC 3/8&quot;) For use with Manifold"/>
        <s v="Adapter for use with Manifold - to attach standard CGA-320 hose configuration"/>
        <s v="Co2 Hose 15FT Extension Config"/>
        <s v="Co2 Hose 25FT Extension Config"/>
        <s v="Co2 Hose 35FT Extension Config"/>
        <s v="Co2 Hose 50FT Extension Config"/>
        <s v="Hose Extension Adapter"/>
        <s v="Daisy Chain Adapter"/>
        <s v="Warranty Repair for Pro Jet DMX Inlet"/>
        <s v="Warranty Repair for Handheld MKII - RMA# 3727"/>
        <s v="Replacement Keys - The Button"/>
        <s v="Handheld CO2 Cannon MKII"/>
        <s v="Co2 Hose 50FT Daisy Chain"/>
        <s v="Neutrik PowerCON True1 Cords - 15FT, Daisy Chain"/>
        <s v="Neutrik PowerCON True1 Cords - 25FT, Daisy Chain"/>
        <s v="Quad Jet 110v with 5 Pin DMX With Barrels"/>
        <s v="ARM Controller key (set of 2)"/>
        <m/>
        <s v="Warranty RMA# 3570 "/>
        <s v="Replacement O-Ring"/>
        <s v="LED Attachment for DMX Jet, DMX Jet MKII, and Pro Jet."/>
        <s v="220v Solenoid Coil"/>
        <s v="1/4&quot; Co2 Valve"/>
        <s v="Adapter for NPT to JIC male 2404-06-04"/>
        <s v="1/4” NPT Male x 3/8” JIC Female"/>
        <s v="CGA-320 to 1/4&quot; NPT adapter with nut."/>
        <s v="Adapter for NPT to JIC male, CGA-320 JIC adapter"/>
        <s v="6500-06-06-06"/>
        <s v="Male x Male x Female "/>
        <s v="Co2 Hose 05FT Standard Config"/>
        <s v="Handheld MKII in travel case with 15ft hose"/>
        <s v="3/8&quot; MQC Quick Connect Fitting BSPP thread"/>
        <s v="3/8” BSPP Bonding Washer Seal"/>
        <s v="Repair of Pro Jets - Replaced Quick Connect Fittings&#10;#0823277&#10;#0823273"/>
        <s v="Countersunk head, black stainless steel"/>
        <s v="1/4-20 x 3/4” CS screw"/>
        <s v="1/2-13 x 3/4” CS screw"/>
        <s v="3/4 OD X 1/4 ID X 1/8 Thickness Neoprene Rubber Washers"/>
        <s v="9007-06-06 Pro Jet CO2-T Adapter with bonding washer"/>
        <s v="3/8&quot; Male Quick Connect ISO-A x 3/8&quot; Female NPT"/>
        <s v="1/4-20 x 1/2&quot; SEMS Screws / Internal Tooth Washer / PH S Black"/>
        <s v="Teflon &amp; Brass seal for 1/4&quot; CO2 Valve"/>
        <s v="ShoStarter DMX Controller with 3 &amp; 5 Pin Connectors in Box"/>
        <s v="Warranty / T&amp;M"/>
        <s v="LED Attachment for DMX Jet, DMX Jet MKII, and Pro Jet - DEMO"/>
        <s v="Truss Clamp"/>
        <s v="Replacement O-Ring - 2023 Quick Connects. EPDM"/>
        <s v="ISO-A Female Quick Connect - BSPP Thread"/>
        <s v="CGA-320 to JIC adapter with nut."/>
        <s v="Bracket used for attaching valve to clamp"/>
        <s v="Cryo Clamp valve fastening screw"/>
        <s v="Bulk 16/3 16AWG 3-Conductor SJTOW Power Cable 13A"/>
        <s v="Solenoid Din Connector"/>
        <s v="Pro Jet - 5 Pin, 220v, JIC in/out"/>
        <s v="110v Solenoid Coil"/>
        <s v="DIN cable with NEMA 5-15, 6FT"/>
        <s v="Single CO2 Washer"/>
        <s v="Travel Case"/>
        <s v="ShoMaster Console"/>
        <s v="LED Attachment for DMX Jet, DMX Jet MKII, and Pro Jet. - RETROFIT 3 PIN CONNECTORS"/>
        <s v="Cryo Clamp II, 110v, Weatherproof CO2 Jet"/>
        <s v="Ball Mount Assembly for Cryo Clamp with 4x 10-32 x 3/8&quot; socket head screws"/>
        <s v="Warranty / T&amp;M - Button Repair"/>
        <s v="CGA-320 Nut"/>
        <s v="Western Enterprises CO-2-1 "/>
        <s v="24x30 Road Case"/>
        <s v="24x30 Road Case Insert - Top Tray Insert"/>
        <s v="24x30 Road Case Insert - Pro Jet"/>
        <s v="Quad Jet 110v with 5 Pin DMX, JIC Connections"/>
        <s v="Special order CO2 Hose"/>
        <s v="Cryo Clamp II, 110v, Weatherproof CO2 Jet with JIC Inlet"/>
        <s v="24x30 Road Case Insert - LED Attachment"/>
        <s v="15FT CO2 Hose - 3/8&quot; NPT Male Swivel x JIC #6 female"/>
        <s v="6506-06-06"/>
        <s v="Attempted to replicate leaking QC fitting without success"/>
        <s v="Plastic overlay with window for display."/>
        <s v="Co2 Hose 05FT Daisy Chain"/>
        <s v="Co2 Hose 35FT Daisy Chain"/>
      </sharedItems>
    </cacheField>
    <cacheField name="Order Quantity" numFmtId="0">
      <sharedItems containsSemiMixedTypes="0" containsNonDate="0" containsString="0" containsNumber="1" containsInteger="1" minValue="1" maxValue="1000" count="21">
        <n v="1"/>
        <n v="2"/>
        <n v="4"/>
        <n v="6"/>
        <n v="9"/>
        <n v="3"/>
        <n v="29"/>
        <n v="10"/>
        <n v="19"/>
        <n v="5"/>
        <n v="8"/>
        <n v="18"/>
        <n v="12"/>
        <n v="32"/>
        <n v="16"/>
        <n v="7"/>
        <n v="24"/>
        <n v="40"/>
        <n v="50"/>
        <n v="1000"/>
        <n v="20"/>
      </sharedItems>
    </cacheField>
    <cacheField name="Unit Price" numFmtId="0">
      <sharedItems containsSemiMixedTypes="0" containsNonDate="0" containsString="0" containsNumber="1" minValue="-419.995" maxValue="2499.99" count="102">
        <n v="249.99"/>
        <n v="869.99"/>
        <n v="100"/>
        <n v="5.99"/>
        <n v="0"/>
        <n v="119.99"/>
        <n v="8.99"/>
        <n v="549.99"/>
        <n v="109.99"/>
        <n v="149.99"/>
        <n v="59.99"/>
        <n v="399.99"/>
        <n v="974.9924999999999"/>
        <n v="112.4925"/>
        <n v="89.99250000000001"/>
        <n v="37.4925"/>
        <n v="224.9925"/>
        <n v="412.4925"/>
        <n v="149.9925"/>
        <n v="82.49250000000001"/>
        <n v="299.9925"/>
        <n v="18.7425"/>
        <n v="44.9925"/>
        <n v="134.9925"/>
        <n v="48.7425"/>
        <n v="52.4925"/>
        <n v="56.2425"/>
        <n v="14.9925"/>
        <n v="7.4925"/>
        <n v="187.4925"/>
        <n v="22.4925"/>
        <n v="7.49"/>
        <n v="49.99"/>
        <n v="9.99"/>
        <n v="19.99"/>
        <n v="349.99"/>
        <n v="299.99"/>
        <n v="199.99"/>
        <n v="64.98999999999999"/>
        <n v="74.98999999999999"/>
        <n v="1575"/>
        <n v="90"/>
        <n v="29.99"/>
        <n v="799.99"/>
        <n v="179.99"/>
        <n v="40.7608695"/>
        <n v="2.771739"/>
        <n v="6.06521775"/>
        <n v="28"/>
        <n v="10"/>
        <n v="2"/>
        <n v="5.625"/>
        <n v="5.25"/>
        <n v="6.7425"/>
        <n v="40"/>
        <n v="99.98999999999999"/>
        <n v="599.99"/>
        <n v="449.9925"/>
        <n v="150"/>
        <n v="1.99"/>
        <n v="24.99"/>
        <n v="18.99"/>
        <n v="2.173913"/>
        <n v="15"/>
        <n v="1299.99"/>
        <n v="50"/>
        <n v="849.99"/>
        <n v="175"/>
        <n v="1199.99"/>
        <n v="899.9924999999999"/>
        <n v="18"/>
        <n v="-419.995"/>
        <n v="900"/>
        <n v="55"/>
        <n v="25"/>
        <n v="17.2425"/>
        <n v="1.63043475"/>
        <n v="300"/>
        <n v="46.875"/>
        <n v="22.5"/>
        <n v="1.131522"/>
        <n v="0.75"/>
        <n v="3.75"/>
        <n v="60"/>
        <n v="599.9924999999999"/>
        <n v="35"/>
        <n v="14.99"/>
        <n v="0.25"/>
        <n v="20"/>
        <n v="219.99"/>
        <n v="2499.99"/>
        <n v="499.99"/>
        <n v="637.4924999999999"/>
        <n v="14.5"/>
        <n v="1625"/>
        <n v="29.625"/>
        <n v="38.625"/>
        <n v="374.9925"/>
        <n v="250"/>
        <n v="85"/>
        <n v="524.99"/>
        <n v="8.49"/>
      </sharedItems>
    </cacheField>
    <cacheField name="Total Line Item $" numFmtId="0">
      <sharedItems containsSemiMixedTypes="0" containsNonDate="0" containsString="0" containsNumber="1" minValue="-419.995" maxValue="11375" count="169">
        <n v="249.99"/>
        <n v="1739.98"/>
        <n v="200"/>
        <n v="11.98"/>
        <n v="0"/>
        <n v="719.9400000000001"/>
        <n v="53.94"/>
        <n v="1079.91"/>
        <n v="80.91"/>
        <n v="549.99"/>
        <n v="329.97"/>
        <n v="149.99"/>
        <n v="119.98"/>
        <n v="399.99"/>
        <n v="5849.955"/>
        <n v="1124.925"/>
        <n v="1709.8575"/>
        <n v="149.97"/>
        <n v="1124.9625"/>
        <n v="3712.4325"/>
        <n v="749.9625"/>
        <n v="659.9400000000001"/>
        <n v="299.9925"/>
        <n v="93.71250000000001"/>
        <n v="674.865"/>
        <n v="359.94"/>
        <n v="187.4625"/>
        <n v="674.9625"/>
        <n v="584.91"/>
        <n v="314.955"/>
        <n v="337.455"/>
        <n v="179.91"/>
        <n v="239.76"/>
        <n v="449.97"/>
        <n v="599.97"/>
        <n v="374.985"/>
        <n v="449.985"/>
        <n v="149.925"/>
        <n v="224.925"/>
        <n v="239.88"/>
        <n v="14.98"/>
        <n v="49.99"/>
        <n v="9.99"/>
        <n v="59.99"/>
        <n v="109.99"/>
        <n v="19.99"/>
        <n v="349.99"/>
        <n v="1199.96"/>
        <n v="299.98"/>
        <n v="399.98"/>
        <n v="479.96"/>
        <n v="39.96"/>
        <n v="454.93"/>
        <n v="74.98999999999999"/>
        <n v="9450"/>
        <n v="539.8200000000001"/>
        <n v="90"/>
        <n v="299.99"/>
        <n v="149.95"/>
        <n v="799.99"/>
        <n v="39.98"/>
        <n v="2879.84"/>
        <n v="40.7608695"/>
        <n v="2.771739"/>
        <n v="6.06521775"/>
        <n v="28"/>
        <n v="400"/>
        <n v="80"/>
        <n v="281.25"/>
        <n v="262.5"/>
        <n v="33.7125"/>
        <n v="40"/>
        <n v="29.97"/>
        <n v="99.95"/>
        <n v="499.95"/>
        <n v="199.99"/>
        <n v="599.99"/>
        <n v="119.99"/>
        <n v="19.98"/>
        <n v="449.9925"/>
        <n v="449.91"/>
        <n v="150"/>
        <n v="7.96"/>
        <n v="24.99"/>
        <n v="18.99"/>
        <n v="2.173913"/>
        <n v="15"/>
        <n v="599.96"/>
        <n v="99.98"/>
        <n v="1299.99"/>
        <n v="50"/>
        <n v="99.98999999999999"/>
        <n v="849.99"/>
        <n v="175"/>
        <n v="1199.99"/>
        <n v="1699.98"/>
        <n v="350"/>
        <n v="899.9924999999999"/>
        <n v="18"/>
        <n v="3399.96"/>
        <n v="-419.995"/>
        <n v="3600"/>
        <n v="55"/>
        <n v="1599.98"/>
        <n v="1199.97"/>
        <n v="25"/>
        <n v="5199.96"/>
        <n v="1199.98"/>
        <n v="2599.98"/>
        <n v="100"/>
        <n v="59.98"/>
        <n v="3.98"/>
        <n v="37.485"/>
        <n v="34.485"/>
        <n v="14.985"/>
        <n v="3.2608695"/>
        <n v="300"/>
        <n v="239.98"/>
        <n v="3199.96"/>
        <n v="180"/>
        <n v="93.75"/>
        <n v="45"/>
        <n v="2.263044"/>
        <n v="3"/>
        <n v="7.5"/>
        <n v="60"/>
        <n v="974.9924999999999"/>
        <n v="599.9924999999999"/>
        <n v="35"/>
        <n v="199.96"/>
        <n v="14.99"/>
        <n v="250"/>
        <n v="20"/>
        <n v="799.98"/>
        <n v="219.99"/>
        <n v="4999.98"/>
        <n v="179.97"/>
        <n v="2399.97"/>
        <n v="219.98"/>
        <n v="79.95999999999999"/>
        <n v="499.99"/>
        <n v="29.99"/>
        <n v="23.96"/>
        <n v="359.97"/>
        <n v="1274.985"/>
        <n v="224.985"/>
        <n v="899.955"/>
        <n v="14.9925"/>
        <n v="14.5"/>
        <n v="11375"/>
        <n v="81.521739"/>
        <n v="29.985"/>
        <n v="59.25"/>
        <n v="772.5"/>
        <n v="749.985"/>
        <n v="44.985"/>
        <n v="2549.97"/>
        <n v="449.9775"/>
        <n v="1349.9325"/>
        <n v="680"/>
        <n v="359.98"/>
        <n v="389.94"/>
        <n v="524.99"/>
        <n v="84.90000000000001"/>
        <n v="199.98"/>
        <n v="999.96"/>
        <n v="959.92"/>
        <n v="71.92"/>
        <n v="59.94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42" createdVersion="7">
  <cacheSource type="worksheet">
    <worksheetSource ref="A2:H444" sheet="September 2023"/>
  </cacheSource>
  <cacheFields count="8">
    <cacheField name="Sales Order" numFmtId="0">
      <sharedItems containsNonDate="0" count="190">
        <s v="3746"/>
        <s v="3744"/>
        <s v="3738"/>
        <s v="3734"/>
        <s v="3733"/>
        <s v="3732"/>
        <s v="3743"/>
        <s v="3740"/>
        <s v="3741"/>
        <s v="3737"/>
        <s v="3745"/>
        <s v="3735"/>
        <s v="3742"/>
        <s v="3731"/>
        <s v="3728"/>
        <s v="3727"/>
        <s v="3726"/>
        <s v="3729"/>
        <s v="3730"/>
        <s v="3724"/>
        <s v="3722"/>
        <s v="3721"/>
        <s v="3720"/>
        <s v="3719"/>
        <s v="3725"/>
        <s v="3723"/>
        <s v="3718"/>
        <s v="3717"/>
        <s v="3716"/>
        <s v="3713"/>
        <s v="3712"/>
        <s v="3711"/>
        <s v="3710"/>
        <s v="3714"/>
        <s v="3715"/>
        <s v="3708"/>
        <s v="3707"/>
        <s v="3706"/>
        <s v="3704"/>
        <s v="3703"/>
        <s v="3701"/>
        <s v="3699"/>
        <s v="3698"/>
        <s v="3697"/>
        <s v="3700"/>
        <s v="3702"/>
        <s v="3705"/>
        <s v="3709"/>
        <s v="3696"/>
        <s v="3694"/>
        <s v="3693"/>
        <s v="3692"/>
        <s v="3691"/>
        <s v="3695"/>
        <s v="3688"/>
        <s v="3686"/>
        <s v="3685"/>
        <s v="3683"/>
        <s v="3680"/>
        <s v="3682"/>
        <s v="3681"/>
        <s v="3687"/>
        <s v="3689"/>
        <s v="3690"/>
        <s v="3679"/>
        <s v="3678"/>
        <s v="3677"/>
        <s v="3676"/>
        <s v="3674"/>
        <s v="3672"/>
        <s v="3670"/>
        <s v="3675"/>
        <s v="3673"/>
        <s v="3669"/>
        <s v="3667"/>
        <s v="3666"/>
        <s v="3663"/>
        <s v="3662"/>
        <s v="3661"/>
        <s v="3660"/>
        <s v="3665"/>
        <s v="3659"/>
        <s v="3656"/>
        <s v="3653"/>
        <s v="3652"/>
        <s v="3654"/>
        <s v="3655"/>
        <s v="3657"/>
        <s v="3651"/>
        <s v="3650"/>
        <s v="3649"/>
        <s v="3648"/>
        <s v="3647"/>
        <s v="3646"/>
        <s v="3644"/>
        <s v="3643"/>
        <s v="3641"/>
        <s v="3640"/>
        <s v="3638"/>
        <s v="3636"/>
        <s v="3635"/>
        <s v="3642"/>
        <s v="3639"/>
        <s v="3637"/>
        <s v="3645"/>
        <s v="3633"/>
        <s v="3629"/>
        <s v="3624"/>
        <s v="3623"/>
        <s v="3622"/>
        <s v="3621"/>
        <s v="3763"/>
        <s v="3625"/>
        <s v="3631"/>
        <s v="3626"/>
        <s v="3634"/>
        <s v="3630"/>
        <s v="3628"/>
        <s v="3620"/>
        <s v="3618"/>
        <s v="3617"/>
        <s v="3616"/>
        <s v="3615"/>
        <s v="3614"/>
        <s v="3613"/>
        <s v="3612"/>
        <s v="3611"/>
        <s v="3610"/>
        <s v="3609"/>
        <s v="3606"/>
        <s v="3605"/>
        <s v="3608"/>
        <s v="3607"/>
        <s v="3604"/>
        <s v="3603"/>
        <s v="3602"/>
        <s v="3601"/>
        <s v="3600"/>
        <s v="3599"/>
        <s v="3598"/>
        <s v="3597"/>
        <s v="3596"/>
        <s v="3595"/>
        <s v="3594"/>
        <s v="3593"/>
        <s v="3589"/>
        <s v="3588"/>
        <s v="3591"/>
        <s v="3592"/>
        <s v="3590"/>
        <s v="3587"/>
        <s v="3585"/>
        <s v="3584"/>
        <s v="3583"/>
        <s v="3581"/>
        <s v="3578"/>
        <s v="3580"/>
        <s v="3579"/>
        <s v="3582"/>
        <s v="3577"/>
        <s v="3576"/>
        <s v="3574"/>
        <s v="3572"/>
        <s v="3569"/>
        <s v="3567"/>
        <s v="3566"/>
        <s v="3575"/>
        <s v="3573"/>
        <s v="3571"/>
        <s v="3568"/>
        <s v="3570"/>
        <s v="3565"/>
        <s v="3564"/>
        <s v="3563"/>
        <s v="3561"/>
        <s v="3560"/>
        <s v="3559"/>
        <s v="3557"/>
        <s v="3556"/>
        <s v="3562"/>
        <s v="3555"/>
        <s v="3554"/>
        <s v="3553"/>
        <s v="3552"/>
        <s v="3550"/>
        <s v="3549"/>
        <s v="3548"/>
        <s v="3547"/>
        <s v="3546"/>
        <s v="3551"/>
      </sharedItems>
    </cacheField>
    <cacheField name="Customer" numFmtId="0">
      <sharedItems containsNonDate="0" count="147">
        <s v="Marc Nicosia"/>
        <s v="Damian Polan"/>
        <s v="Nathaniel Olson"/>
        <s v="Rowan Voigt"/>
        <s v="Vikram Bhalla"/>
        <s v="Steven Mather"/>
        <s v="Jordan Harper"/>
        <s v="ER Productions"/>
        <s v="Disney Cruise Line"/>
        <s v="Alfredo Hidalgo"/>
        <s v="Levi Ries"/>
        <s v="Sandor Pap"/>
        <s v="Ralph Abbenante"/>
        <s v="Gustavo Montes"/>
        <s v="Cory Moretz"/>
        <s v="MAURICE WALTON"/>
        <s v="Ajay Singh"/>
        <s v="Amar Gill"/>
        <s v="Alec Roeser"/>
        <s v="Image SFX"/>
        <s v="Alexis Rubio"/>
        <s v="Danny Welch"/>
        <s v="Blaine Nabors"/>
        <s v="Marlon Almonte"/>
        <s v="Emmanuel Pimentel"/>
        <s v="Melissa Adrouny"/>
        <s v="4WALL ENTERTAINMENT, INC."/>
        <s v="Webb City Junior High"/>
        <s v="Michael Bedkowski"/>
        <s v="Kevin McCrea"/>
        <s v="Dilan Soriano"/>
        <s v="Max Victory"/>
        <s v="Merlix Ventura"/>
        <s v="Matthew Taylor"/>
        <s v="Daniel Luczak"/>
        <s v="Adam Tetrault"/>
        <s v="Emerson Wellens"/>
        <s v="Special FX Rentals"/>
        <s v="Justin Jenkins"/>
        <s v="Nate Nelson"/>
        <s v="Elyas Kefela"/>
        <s v="Neil Carlberg"/>
        <s v="Wellington Pinheiro"/>
        <s v="Nikolas Hernandez"/>
        <s v="John Kaldis"/>
        <s v="Tim Young"/>
        <s v="Charbel Wakim"/>
        <s v="Darren Van Delden"/>
        <s v="Max Lauerman"/>
        <s v="Wyatt Troyer"/>
        <s v="David Abisalih"/>
        <s v="Pyrotek FX"/>
        <s v="Paul Walker"/>
        <s v="Anthony Baldwin"/>
        <s v="Sara Navis"/>
        <s v="Jordan Mendelson"/>
        <s v="Jabari Johnson"/>
        <s v="Cody Wall"/>
        <s v="Image Engineering"/>
        <s v="Jeff Meuzelaar / Pinnacle Productions"/>
        <s v="Steven Dobo"/>
        <s v="Patrick Cyrana"/>
        <s v="Patrick OBrien"/>
        <s v="RICH RAMIREZ"/>
        <s v="Jonathan Wood"/>
        <s v="Nima Navidi"/>
        <s v="Renier Canabate"/>
        <s v="PYROTECNICO"/>
        <s v="Andy Wilkinson"/>
        <s v="Raymond Mcgrath"/>
        <s v="James Hall"/>
        <s v="Bryan Streeter"/>
        <s v="AFX Pro / Jackie Johnson"/>
        <s v="Advanced Entertainment Services"/>
        <s v="Joseph Davis"/>
        <s v="Chirag Gandhi"/>
        <s v="Glen Myatt"/>
        <s v="Michael Darby"/>
        <s v="Trevor Bluth"/>
        <s v="Kenneth Kucharski"/>
        <s v="Ernie Valdez"/>
        <s v="Lauren Paquet"/>
        <s v="Carmen Lewis"/>
        <s v="Sunny Mann"/>
        <s v="Yury Desiderio"/>
        <s v="Dan Man"/>
        <s v="Rick Olsen"/>
        <s v="David Belogolovsky"/>
        <s v="CineBox Productions"/>
        <s v="Eric Baldwin"/>
        <s v="Mishereen Ellis"/>
        <s v="Charlie Creese"/>
        <s v="miguel hernandez"/>
        <s v="Kevin Flores"/>
        <s v="Jim Meland"/>
        <s v="Russ Powell"/>
        <s v="Jacob Yarmuth"/>
        <s v="Sterling Kragten"/>
        <s v="Charles Khabouth"/>
        <s v="Michael Duncan"/>
        <s v="Richard Gmitro"/>
        <s v="shawn correia"/>
        <s v="Sahaj Shah"/>
        <s v="Cameron Reeve"/>
        <s v="Kevin Knudsen"/>
        <s v="Justin Icenroad"/>
        <s v="Thomas Pitts"/>
        <s v="Steven Bryant"/>
        <s v="duane murphy"/>
        <s v="Jason Weldon"/>
        <s v="Oniel Gomez"/>
        <s v="David Fox"/>
        <s v="Dzien Nguyen"/>
        <s v="Lawrence Walker"/>
        <s v="FERNANDO PEREZ"/>
        <s v="El Camino High School"/>
        <s v="Daniel Nelson"/>
        <s v="Adrian Ramirez"/>
        <s v="Kevin Kairouz"/>
        <s v="Stephen Noseworthy"/>
        <s v="Justin Eleuterio"/>
        <s v="Chris Gorman"/>
        <s v="Javier Carlos"/>
        <s v="estefania urban"/>
        <s v="Jim Mathew"/>
        <s v="Matthew Cobb"/>
        <s v="Patrick Sweeney"/>
        <s v="Joshua Lampkins"/>
        <s v="LUIS SALGADO"/>
        <s v="University of Wyoming"/>
        <s v="Dax Talbert"/>
        <s v="Beau Kramer"/>
        <s v="Petra Davis-Johnson"/>
        <s v="Paul Deryawish"/>
        <s v="Brandon Green"/>
        <s v="Vinny Commisso"/>
        <s v="Hamid Metla"/>
        <s v="Dios Vazquez"/>
        <s v="Adam Parrott"/>
        <s v="Darcy Hunter"/>
        <s v="John Davidson"/>
        <s v="Daniel Shafazand"/>
        <s v="Elizabeth Olguin"/>
        <s v="julia vega"/>
        <s v="Zafir Drain"/>
        <s v="Asaf Vanunu"/>
        <s v="Chris Doroba "/>
      </sharedItems>
    </cacheField>
    <cacheField name="Ordered Date" numFmtId="0">
      <sharedItems containsSemiMixedTypes="0" containsNonDate="0" containsDate="1" containsString="0" minDate="2023-09-01T00:00:00" maxDate="2023-09-30T22:30:52" count="152">
        <d v="2023-09-30T22:30:52"/>
        <d v="2023-09-29T23:01:55"/>
        <d v="2023-09-29T18:49:00"/>
        <d v="2023-09-29T03:49:12"/>
        <d v="2023-09-29T02:24:57"/>
        <d v="2023-09-29T02:20:04"/>
        <d v="2023-09-29T00:00:00"/>
        <d v="2023-09-28T21:47:03"/>
        <d v="2023-09-28T19:05:09"/>
        <d v="2023-09-28T13:08:13"/>
        <d v="2023-09-28T13:03:47"/>
        <d v="2023-09-28T00:00:00"/>
        <d v="2023-09-27T19:48:53"/>
        <d v="2023-09-27T18:23:19"/>
        <d v="2023-09-27T17:08:44"/>
        <d v="2023-09-27T15:58:26"/>
        <d v="2023-09-27T02:34:58"/>
        <d v="2023-09-27T00:00:00"/>
        <d v="2023-09-26T23:48:38"/>
        <d v="2023-09-26T21:17:52"/>
        <d v="2023-09-26T20:59:21"/>
        <d v="2023-09-26T15:38:34"/>
        <d v="2023-09-26T02:38:03"/>
        <d v="2023-09-26T02:18:52"/>
        <d v="2023-09-26T02:04:39"/>
        <d v="2023-09-26T00:00:00"/>
        <d v="2023-09-25T21:50:16"/>
        <d v="2023-09-25T21:06:50"/>
        <d v="2023-09-25T20:00:46"/>
        <d v="2023-09-25T18:02:03"/>
        <d v="2023-09-25T17:01:32"/>
        <d v="2023-09-25T14:57:07"/>
        <d v="2023-09-25T13:42:57"/>
        <d v="2023-09-25T03:33:31"/>
        <d v="2023-09-25T01:29:52"/>
        <d v="2023-09-25T00:00:00"/>
        <d v="2023-09-23T05:14:32"/>
        <d v="2023-09-22T17:28:02"/>
        <d v="2023-09-22T14:39:35"/>
        <d v="2023-09-22T13:10:27"/>
        <d v="2023-09-22T01:26:10"/>
        <d v="2023-09-22T00:00:00"/>
        <d v="2023-09-21T19:53:13"/>
        <d v="2023-09-21T17:32:44"/>
        <d v="2023-09-21T17:29:42"/>
        <d v="2023-09-21T16:20:36"/>
        <d v="2023-09-21T14:22:15"/>
        <d v="2023-09-21T00:00:00"/>
        <d v="2023-09-20T23:44:26"/>
        <d v="2023-09-20T23:34:06"/>
        <d v="2023-09-20T23:21:29"/>
        <d v="2023-09-20T21:26:20"/>
        <d v="2023-09-20T19:14:20"/>
        <d v="2023-09-20T18:44:18"/>
        <d v="2023-09-20T02:59:38"/>
        <d v="2023-09-20T00:00:00"/>
        <d v="2023-09-19T19:41:15"/>
        <d v="2023-09-19T19:25:15"/>
        <d v="2023-09-19T17:17:49"/>
        <d v="2023-09-19T14:09:14"/>
        <d v="2023-09-19T09:43:17"/>
        <d v="2023-09-19T07:25:07"/>
        <d v="2023-09-19T00:00:00"/>
        <d v="2023-09-18T21:49:06"/>
        <d v="2023-09-18T19:21:22"/>
        <d v="2023-09-18T15:46:17"/>
        <d v="2023-09-18T13:29:14"/>
        <d v="2023-09-18T00:00:00"/>
        <d v="2023-09-17T05:00:19"/>
        <d v="2023-09-17T04:06:18"/>
        <d v="2023-09-16T19:03:59"/>
        <d v="2023-09-16T16:52:52"/>
        <d v="2023-09-16T14:43:05"/>
        <d v="2023-09-15T21:48:09"/>
        <d v="2023-09-15T20:02:14"/>
        <d v="2023-09-15T18:32:02"/>
        <d v="2023-09-15T15:56:16"/>
        <d v="2023-09-15T15:28:20"/>
        <d v="2023-09-15T02:50:12"/>
        <d v="2023-09-15T02:29:11"/>
        <d v="2023-09-15T00:58:24"/>
        <d v="2023-09-15T00:00:00"/>
        <d v="2023-09-14T22:43:04"/>
        <d v="2023-09-14T19:48:17"/>
        <d v="2023-09-14T10:45:07"/>
        <d v="2023-09-14T05:58:30"/>
        <d v="2023-09-14T01:42:18"/>
        <d v="2023-09-14T01:21:18"/>
        <d v="2023-09-14T00:00:00"/>
        <d v="2023-09-13T22:41:57"/>
        <d v="2023-09-13T18:04:51"/>
        <d v="2023-09-13T18:04:34"/>
        <d v="2023-09-13T18:01:48"/>
        <d v="2023-09-13T18:01:36"/>
        <d v="2023-09-13T18:00:54"/>
        <d v="2023-09-13T18:00:43"/>
        <d v="2023-09-13T18:00:28"/>
        <d v="2023-09-13T17:59:53"/>
        <d v="2023-09-13T17:59:38"/>
        <d v="2023-09-13T00:00:00"/>
        <d v="2023-09-12T05:19:05"/>
        <d v="2023-09-12T02:10:29"/>
        <d v="2023-09-12T00:00:00"/>
        <d v="2023-09-11T22:27:08"/>
        <d v="2023-09-11T21:57:47"/>
        <d v="2023-09-11T21:33:06"/>
        <d v="2023-09-11T20:37:23"/>
        <d v="2023-09-11T19:34:36"/>
        <d v="2023-09-11T19:09:15"/>
        <d v="2023-09-11T18:44:20"/>
        <d v="2023-09-11T16:50:00"/>
        <d v="2023-09-10T23:03:06"/>
        <d v="2023-09-10T21:57:09"/>
        <d v="2023-09-10T21:14:53"/>
        <d v="2023-09-09T08:46:50"/>
        <d v="2023-09-08T12:37:50"/>
        <d v="2023-09-08T01:59:17"/>
        <d v="2023-09-08T00:00:00"/>
        <d v="2023-09-07T22:26:56"/>
        <d v="2023-09-07T19:56:03"/>
        <d v="2023-09-07T19:28:34"/>
        <d v="2023-09-07T17:49:45"/>
        <d v="2023-09-07T16:11:28"/>
        <d v="2023-09-07T00:33:03"/>
        <d v="2023-09-07T00:00:00"/>
        <d v="2023-09-06T21:36:56"/>
        <d v="2023-09-06T20:47:55"/>
        <d v="2023-09-06T18:14:55"/>
        <d v="2023-09-06T17:35:56"/>
        <d v="2023-09-06T16:41:13"/>
        <d v="2023-09-06T02:37:07"/>
        <d v="2023-09-06T00:36:00"/>
        <d v="2023-09-06T00:00:00"/>
        <d v="2023-09-05T22:58:19"/>
        <d v="2023-09-05T18:52:18"/>
        <d v="2023-09-05T18:50:31"/>
        <d v="2023-09-05T16:33:46"/>
        <d v="2023-09-05T15:32:56"/>
        <d v="2023-09-05T14:45:33"/>
        <d v="2023-09-05T13:55:15"/>
        <d v="2023-09-05T02:04:58"/>
        <d v="2023-09-05T00:00:00"/>
        <d v="2023-09-04T16:41:27"/>
        <d v="2023-09-02T18:51:25"/>
        <d v="2023-09-02T05:19:39"/>
        <d v="2023-09-01T19:59:32"/>
        <d v="2023-09-01T18:54:59"/>
        <d v="2023-09-01T16:13:34"/>
        <d v="2023-09-01T15:26:52"/>
        <d v="2023-09-01T12:55:04"/>
        <d v="2023-09-01T04:06:23"/>
        <d v="2023-09-01T00:00:00"/>
      </sharedItems>
      <fieldGroup base="2">
        <rangePr startDate="2023-09-01T00:00:00" endDate="2023-09-30T22:30:52" groupBy="days"/>
        <groupItems count="368">
          <s v="&lt;09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/30/2023"/>
        </groupItems>
      </fieldGroup>
    </cacheField>
    <cacheField name="Line Item Name" numFmtId="0">
      <sharedItems containsNonDate="0" count="113">
        <s v="CC-CH-35-STD"/>
        <s v="CC-HCCMKII-15-NC"/>
        <s v="CC-HCCMKII-08-NC"/>
        <s v="CC-TB-35"/>
        <s v="CC-CH-05-STD"/>
        <s v="CC-AC-CCL"/>
        <s v="CC-WASH-10"/>
        <s v="CC-CH-15-STD"/>
        <s v="CC-CC2-110-JIC"/>
        <s v="CC-AC-BM-KIT"/>
        <s v="Obsidian RP2 Relay Pack"/>
        <s v="25FT CO2 Hose - 3/8&quot; NPT Male Swivel x JIC"/>
        <s v="5FT CO2 Hose - JIC  x JIC"/>
        <s v="3/8&quot; NPT Female x 3/8&quot; JIC Female 6506-06-06"/>
        <s v="JIC Run Tee 6602-06-06-06"/>
        <s v="JIC Elbow - 3/8&quot; JIC male x 3/8&quot; JIC Female "/>
        <s v="CC-AC-CTAT"/>
        <s v="CC-AC-CGANPT-SET"/>
        <s v="CC-CTC-50"/>
        <s v="Shipping Charges"/>
        <s v="NAC3MX-W-TOP (Male)"/>
        <s v="Solenoid Din Connector"/>
        <s v="Bulk 13A Power Cable"/>
        <s v="1/4&quot; NPT Male x 3/8&quot; JIC Male"/>
        <s v="Micro Jet 110v Valve Assembly"/>
        <s v="MBSPP-FJX-6-6"/>
        <s v="CC-SS-35"/>
        <s v="15FT CO2 Hose - 3/8&quot; NPT Male Swivel x JIC"/>
        <s v="35FT CO2 Hose - 3/8&quot; NPT Male Swivel x JIC"/>
        <s v="CC-F-DCHA"/>
        <s v="CC-AC-LPR"/>
        <s v="CC-AC-HPR"/>
        <s v="CC-S-GLD-M"/>
        <s v="CC-S-SIL-M"/>
        <s v="CC-AC-CTS"/>
        <s v="CC-F-HEA"/>
        <s v="CC-CH-08-EXT"/>
        <s v="CC-AC-OP"/>
        <s v="CC-NPTC-06-STD"/>
        <s v="CC-AC-CLAMP"/>
        <s v="CC-CC2-110"/>
        <s v="CC-CH-25-STD"/>
        <s v="CC-AC-ROR"/>
        <s v="CC-AC-ROR2"/>
        <s v="CC-CH-15-EXT"/>
        <s v="CC-SM-5"/>
        <s v="CC-AC-LA2"/>
        <s v="CC-AC-LA2-OP"/>
        <s v="CC-AC-LGK"/>
        <s v="Large Key Lock Switch Assembly"/>
        <s v="Repair"/>
        <s v="CC-CTC-20"/>
        <s v="1/2-13 x 3/4” CS screw"/>
        <s v="CC-MJMKII-3-110"/>
        <s v="CC-AC-PMA"/>
        <s v="CC-AC-RAA"/>
        <s v="5-pin DMX Passthrough PCB"/>
        <s v="Pro Jet Main PCB - 1"/>
        <s v="CC-CH-50-STD"/>
        <s v="Micro Jet Barrel Assembly"/>
        <s v="1/4&quot; Co2 Valve"/>
        <s v="CC-MJMKII-5-110"/>
        <s v="3.5FT CO2 HOSE - JIC X JIC 3.5FT CO2 HOSE - FEMALE JIC #6 X FEMALE JIC #6"/>
        <s v="CC-F-COT"/>
        <s v="CC-HCCMKII-15-TC"/>
        <s v="CC-CH-08-STD"/>
        <s v="cc-temp-cvr"/>
        <s v="Small Key Switch Nut"/>
        <s v="Small Key Switch"/>
        <s v="CC-AC-SMK"/>
        <s v="Slowfall Confetti Rectangles (Purple)"/>
        <s v="Slowfall Confetti Rectangles (White)"/>
        <s v="CC-QJ-5-110"/>
        <s v="Shipping Fees"/>
        <s v="CC-CH-05-MFD"/>
        <s v="CC-NPTC-06-DSY"/>
        <s v="CC-NPTC-35-DSY"/>
        <s v="CC-PROJ-5-110-JIC"/>
        <s v="CC-RC-2430"/>
        <s v="CC-RC-2430-LAI"/>
        <s v="CC-RC-2430-PJI"/>
        <s v="CC-RC-2430-TTI"/>
        <s v=" CC-AC-CGAJIC-SET"/>
        <s v="CC-CH-50-EXT"/>
        <s v="5-pin DMX Passthrough Assembly"/>
        <s v="TE 3-640426-3"/>
        <s v="TE 640550-3"/>
        <s v="M3 x 15mm CS BSS Screw"/>
        <s v="CC-PROJ-5-110"/>
        <s v="CC-CH-15-DSY"/>
        <s v="CC-AC-4PM"/>
        <s v="CC-CH-03.5-MFD"/>
        <s v="CC-NPTC-15-DSY"/>
        <s v="CC-CH-XX-STD"/>
        <s v="#12 x 1/2&quot; High Low Thread Forming Screws / Phillips / Pan Head / Steel / Black Zinc"/>
        <s v="Compressible-Stem Push-In Bumpers"/>
        <s v="Mocap 1/2” hole cap"/>
        <s v="CC-HCCMKII-08-TC"/>
        <s v="CC-AC-TC"/>
        <s v="CC-PROJ-5-220"/>
        <s v="CC-WASH-01"/>
        <s v="Tax: CA Tax (8.75%)"/>
        <s v="Micro Jet MKII 5-Pin XLR PCB"/>
        <s v="Micro Jet MKII Main PCB"/>
        <s v="8P 4x2 IDC 2.54mm 4&quot; Cable"/>
        <s v="CC-AC-CGA622NPT-SET"/>
        <s v="CC-CH-25-EXT"/>
        <s v="CC-CH-05-DSY"/>
        <s v="FS-QJ-01 - 002"/>
        <s v="CC-F-MQCBSPPF"/>
        <s v="Handheld Handle Assembly"/>
        <s v="6in Barrel Assembly Powdercoated"/>
        <s v="CC-CH-50-DSY"/>
      </sharedItems>
    </cacheField>
    <cacheField name="Line Item Description" numFmtId="0">
      <sharedItems containsNonDate="0" containsBlank="1" count="123">
        <s v="Co2 Hose 35FT Standard Config"/>
        <s v="Handheld CO2 Cannon MKII"/>
        <s v="The Button - with both 3 &amp; 5 pin DMX ports"/>
        <s v="Co2 Hose 05FT Standard Config"/>
        <s v="CO2 Cylinder Link"/>
        <s v="CO2 Washers (10 pack)"/>
        <s v="Co2 Hose 15FT Standard Config"/>
        <s v="Cryo Clamp II, 110v, Weatherproof CO2 Jet with JIC Inlet"/>
        <s v="Ball Mount Assembly for Cryo Clamp with 4x 10-32 x 3/8&quot; socket head screws"/>
        <s v="2 Output DMX Relay with Timer"/>
        <s v="25FT CO2 Hose - 3/8&quot; NPT Male Swivel x JIC #6 female"/>
        <s v="5FT CO2 Hose - JIC  x JIC"/>
        <s v="6506-06-06"/>
        <s v="Used to add an additional input to 4 port manifold"/>
        <s v="6500-06-06-06"/>
        <s v="Co2 Tank Attachment Tool"/>
        <s v="CGA-320 to 1/4&quot; NPT adapter with nut."/>
        <s v="CO2 Tank Covers - 50lb Cover"/>
        <m/>
        <s v="TRUE1 CABLE CONNECTOR (MALE)"/>
        <s v="Solenoid Din Connector"/>
        <s v="Bulk 16/3 16AWG 3-Conductor SJTOW Power Cable 13A"/>
        <s v="Adapter for NPT to JIC male 2404-06-04"/>
        <s v="110v Valve with Solenoid fittings and Wires for Micro Jet MKII"/>
        <s v="Straight Adapter - 3/8 in Female JIC 37° Flare Swivel x 3/8 in Male British Standard Pipe Parallel"/>
        <s v="ShoStarter - with custom firmware for removing voltage detection on 220v Pro Jets"/>
        <s v="15FT CO2 Hose - 3/8&quot; NPT Male Swivel x JIC #6 female"/>
        <s v="35FT CO2 Hose - 3/8&quot; NPT Male Swivel x JIC #6 female"/>
        <s v="#5 - Daisy Chain Adapter"/>
        <s v="20-Way Single Shot Rack, Low"/>
        <s v="20-Way Single Shot, High"/>
        <s v="Streamers - Gold Mylar"/>
        <s v="Streamers - Silver Mylar"/>
        <s v="CO2 Tank Splitter"/>
        <s v="Hose Adapters - #2 – Hose Extension Adapter"/>
        <s v="Co2 Hose 08FT Extension Config"/>
        <s v="CO2 Tank Tool + Washers - Yes - add tool and washers +$15.00"/>
        <s v="Neutrik PowerCON True1 Cords - 6FT, Standard"/>
        <s v="Truss Clamp"/>
        <s v="Cryo Clamp II, 110v, Weatherproof CO2 Jet"/>
        <s v="Co2 Hose 25FT Standard Config"/>
        <s v="Replacement O-Ring"/>
        <s v="Replacement O-Ring - 2023 Quick Connects. EPDM"/>
        <s v="Co2 Hose 15FT Extension Config"/>
        <s v="ShoMaster Console"/>
        <s v="LED Attachment for DMX Jet, DMX Jet MKII, and Pro Jet - DEMO"/>
        <s v="LED Attachment order pack. True1 &amp; DMX Jumper + Eye bolt"/>
        <s v="Replacement Keys - Shomaster &amp; ShoStarter"/>
        <s v="Large 2 Position Key switch with TE connector"/>
        <s v="Repair of Cryo Controller and Big Red Button Key/Lock Mech."/>
        <s v="CO2 Tank Covers - 20lb Cover"/>
        <s v="1/2-13 x 3/4” CS screw"/>
        <s v="Micro CO2 Jet MKII"/>
        <s v="1/4&quot; TS Power mode Adapter"/>
        <s v="Right Angle Adapter"/>
        <s v="5-pin DMX Passthrough PCB"/>
        <s v="Pro Jet Main PCB"/>
        <s v="Co2 Hose 35FT Standard Config (Upgrade fee, No CGA)"/>
        <s v="Co2 Hose 50FT Standard Config (Upgrade fee, No CGA)"/>
        <s v="Micro Jet Barrel with Right Angle"/>
        <s v="1/4&quot; Co2 Valve"/>
        <s v="Micro CO2 Jet MKII (JIC #6 male in and out / No barrel assembly)"/>
        <s v="3.5FT CO2 HOSE - JIC X JIC"/>
        <s v="Hose Adapters - #3 – CO2 Output Terminator"/>
        <s v="Handheld MKII in travel case with 15ft hose"/>
        <s v="Co2 Hose 08FT Standard Config"/>
        <s v="Image Engineering Jet Covers"/>
        <s v="Nut for 12mm D135 Key Switch"/>
        <s v="12mm D135 Key Switch"/>
        <s v="Replacement Keys - The Button"/>
        <s v="MagicFX Confetti - 1KG"/>
        <s v="Quad Jet 110v with 5 Pin DMX With Barrels"/>
        <s v="Neutrik PowerCON True1 Cords - 6FT, Included"/>
        <s v="5FT CO2 Hose (CGA-320 x Female JIC 3/8&quot;) For use with Manifold"/>
        <s v="Neutrik Powercon True1 Cord 06FT Daisy Chain"/>
        <s v="Neutrik Powercon True1 Cord 35FT Daisy Chain"/>
        <s v="Pro Jet - 5 Pin, 110v, JIC in/out (No Hose)"/>
        <s v="24x30 Road Case"/>
        <s v="24x30 Road Case Insert - LED Attachment"/>
        <s v="24x30 Road Case Insert - Pro Jet"/>
        <s v="24x30 Road Case Insert - Top Tray Insert"/>
        <s v="CGA-320 to JIC adapter with nut."/>
        <s v="Co2 Hose 50FT Extension Config"/>
        <s v="5-pin DMX Passthrough Assembly"/>
        <s v="3 Pin 18awg Connector 3.96mm"/>
        <s v="Dust Cap for 3-640440-3 2.54mm"/>
        <s v="Panel Componant Mounting Screw"/>
        <s v="Pro Jet"/>
        <s v="ShoStarter DMX Controller with 3 &amp; 5 Pin Connectors in Box"/>
        <s v="Co2 Hose 15FT Daisy Chain"/>
        <s v="4 Port Co2 Manifold - 4x JIC 3/8&quot; Inlets, 1x JIC 3/8&quot; Outlet with Truss Bracket"/>
        <s v="3 1/2FT CO2 Hose (CGA-320 x Female JIC 3/8&quot;) For use with Manifold"/>
        <s v="Neutrik PowerCON True1 Cords - 15FT, Daisy Chain"/>
        <s v="Co2 Hose 75' Standard"/>
        <s v="Pro Jet - 5 Pin, 110v, JIC in/out"/>
        <s v="LED Attachment for DMX Jet, DMX Jet MKII, and Pro Jet."/>
        <s v="Pro Jet feet screws (thread forming)"/>
        <s v="Compressible-Stem Push-In Bumpers - pro jet foot"/>
        <s v="Mocap 1/2” hole cap - pro jet foot cap"/>
        <s v="LED Attachment for DMX Jet, DMX Jet MKII, and Pro Jet. 3 Pin"/>
        <s v="Warranty / T&amp;M - Button serial #31464. Reworked LED PCB. No charge."/>
        <s v="Handheld MKII in travel case with 8ft hose"/>
        <s v="Travel Case"/>
        <s v="Co2 Hose 50FT Standard Config"/>
        <s v="Pro Jet with 5- pin DMX and 220v Solenoid"/>
        <s v="CO2 Output Terminator"/>
        <s v="Single CO2 Washer"/>
        <s v="MAEG Button Repair"/>
        <s v="DMX Input PCB"/>
        <s v="Micro Jet MKII Main PCB"/>
        <s v="Cable to connect to Main and XLR Board"/>
        <s v="Quad Jet 110v with 5 Pin DMX With Barrels - Demo"/>
        <s v="Button (2) PCB Repair"/>
        <s v="CGA-622 to 1/4in NPT with nut"/>
        <s v="Co2 Hose 25FT Extension Config"/>
        <s v="Co2 Hose 05FT Daisy Chain"/>
        <s v="Repair #3230 Quad Cannon"/>
        <s v="Quad Jet elbow. 1/4&quot; NPT to 3/8 BSPP"/>
        <s v="3/8&quot; MQC Quick Connect Fitting BSPP thread"/>
        <s v="Handheld MKII handle assembly"/>
        <s v="6in Jet Barrel with powdercoating"/>
        <s v="Co2 Hose 50FT Daisy Chain"/>
        <s v="REPAIR #CD893 - Cryo Controller Button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1"/>
        <n v="4"/>
        <n v="5"/>
        <n v="12"/>
        <n v="10"/>
        <n v="20"/>
        <n v="9"/>
        <n v="150"/>
        <n v="100"/>
        <n v="8"/>
        <n v="6"/>
        <n v="3"/>
        <n v="16"/>
        <n v="31"/>
        <n v="42"/>
        <n v="125"/>
        <n v="14"/>
        <n v="1000"/>
        <n v="11"/>
      </sharedItems>
    </cacheField>
    <cacheField name="Unit Price" numFmtId="0">
      <sharedItems containsSemiMixedTypes="0" containsNonDate="0" containsString="0" containsNumber="1" minValue="0" maxValue="2499.99" count="109">
        <n v="249.99"/>
        <n v="399.99"/>
        <n v="349.99"/>
        <n v="99.98999999999999"/>
        <n v="119.99"/>
        <n v="9.99"/>
        <n v="149.99"/>
        <n v="499.99"/>
        <n v="0"/>
        <n v="295"/>
        <n v="174.99"/>
        <n v="74.98999999999999"/>
        <n v="44.9925"/>
        <n v="30"/>
        <n v="23.4"/>
        <n v="1.5"/>
        <n v="2.771739"/>
        <n v="148.7789865"/>
        <n v="899.9924999999999"/>
        <n v="130"/>
        <n v="210"/>
        <n v="29.99"/>
        <n v="576.4"/>
        <n v="589.6"/>
        <n v="200"/>
        <n v="4"/>
        <n v="50"/>
        <n v="49.99"/>
        <n v="324.99"/>
        <n v="19.99"/>
        <n v="109.99"/>
        <n v="15"/>
        <n v="59.99"/>
        <n v="8.49"/>
        <n v="199.99"/>
        <n v="1.99"/>
        <n v="299.9925"/>
        <n v="2499.99"/>
        <n v="120"/>
        <n v="22.99"/>
        <n v="849.99"/>
        <n v="5.99"/>
        <n v="17.2425"/>
        <n v="10"/>
        <n v="100"/>
        <n v="175"/>
        <n v="80"/>
        <n v="180"/>
        <n v="500"/>
        <n v="46.956522"/>
        <n v="45"/>
        <n v="587.49"/>
        <n v="37.49"/>
        <n v="15.99"/>
        <n v="75"/>
        <n v="1575"/>
        <n v="22.4925"/>
        <n v="60"/>
        <n v="54.99"/>
        <n v="84.98999999999999"/>
        <n v="14.9925"/>
        <n v="40"/>
        <n v="900"/>
        <n v="1199.9925"/>
        <n v="250"/>
        <n v="599.99"/>
        <n v="299.99"/>
        <n v="1874.9925"/>
        <n v="28.5"/>
        <n v="652.4924999999999"/>
        <n v="37.5"/>
        <n v="374.9925"/>
        <n v="149.9925"/>
        <n v="974.9924999999999"/>
        <n v="560"/>
        <n v="330"/>
        <n v="1299.99"/>
        <n v="1199.99"/>
        <n v="179.99"/>
        <n v="69.98999999999999"/>
        <n v="64.98999999999999"/>
        <n v="262.5"/>
        <n v="70"/>
        <n v="95"/>
        <n v="599.9924999999999"/>
        <n v="65"/>
        <n v="799.99"/>
        <n v="549.99"/>
        <n v="869.99"/>
        <n v="219.99"/>
        <n v="26"/>
        <n v="7.49"/>
        <n v="105"/>
        <n v="8.99"/>
        <n v="0.25"/>
        <n v="25"/>
        <n v="115"/>
        <n v="52.5"/>
        <n v="7.99"/>
        <n v="50.0025"/>
        <n v="7.4925"/>
        <n v="74.99250000000001"/>
        <n v="37.4925"/>
        <n v="89.99250000000001"/>
        <n v="277.09"/>
        <n v="46.865"/>
        <n v="116.87"/>
        <n v="596.86"/>
        <n v="82.49250000000001"/>
      </sharedItems>
    </cacheField>
    <cacheField name="Total Line Item $" numFmtId="0">
      <sharedItems containsSemiMixedTypes="0" containsNonDate="0" containsString="0" containsNumber="1" minValue="0" maxValue="12600" count="166">
        <n v="499.98"/>
        <n v="399.99"/>
        <n v="349.99"/>
        <n v="99.98999999999999"/>
        <n v="119.99"/>
        <n v="9.99"/>
        <n v="149.99"/>
        <n v="999.98"/>
        <n v="0"/>
        <n v="295"/>
        <n v="174.99"/>
        <n v="74.98999999999999"/>
        <n v="179.97"/>
        <n v="30"/>
        <n v="2499.95"/>
        <n v="93.59999999999999"/>
        <n v="18"/>
        <n v="11.086956"/>
        <n v="595.115946"/>
        <n v="899.9924999999999"/>
        <n v="1300"/>
        <n v="2100"/>
        <n v="29.99"/>
        <n v="5187.6"/>
        <n v="589.6"/>
        <n v="200"/>
        <n v="600"/>
        <n v="400"/>
        <n v="50"/>
        <n v="49.99"/>
        <n v="324.99"/>
        <n v="39.98"/>
        <n v="109.99"/>
        <n v="15"/>
        <n v="119.98"/>
        <n v="359.88"/>
        <n v="119.96"/>
        <n v="84.90000000000001"/>
        <n v="399.96"/>
        <n v="499.99"/>
        <n v="199.99"/>
        <n v="3.98"/>
        <n v="2999.925"/>
        <n v="2499.99"/>
        <n v="120"/>
        <n v="45.98"/>
        <n v="169.8"/>
        <n v="19.98"/>
        <n v="799.98"/>
        <n v="849.99"/>
        <n v="5.99"/>
        <n v="199.96"/>
        <n v="179.94"/>
        <n v="51.7275"/>
        <n v="10"/>
        <n v="1699.98"/>
        <n v="100"/>
        <n v="175"/>
        <n v="160"/>
        <n v="180"/>
        <n v="2000"/>
        <n v="187.826088"/>
        <n v="45"/>
        <n v="59.97"/>
        <n v="19.99"/>
        <n v="587.49"/>
        <n v="37.49"/>
        <n v="99.98"/>
        <n v="1199.94"/>
        <n v="90"/>
        <n v="479.96"/>
        <n v="39.96"/>
        <n v="159.9"/>
        <n v="75"/>
        <n v="219.98"/>
        <n v="1.99"/>
        <n v="6300"/>
        <n v="60"/>
        <n v="299.98"/>
        <n v="54.99"/>
        <n v="84.98999999999999"/>
        <n v="149.925"/>
        <n v="40"/>
        <n v="2700"/>
        <n v="4799.97"/>
        <n v="250"/>
        <n v="399.98"/>
        <n v="239.98"/>
        <n v="22.99"/>
        <n v="599.99"/>
        <n v="1199.96"/>
        <n v="3749.985"/>
        <n v="883.5"/>
        <n v="2609.97"/>
        <n v="150"/>
        <n v="1499.97"/>
        <n v="599.97"/>
        <n v="599.985"/>
        <n v="3899.97"/>
        <n v="74.96250000000001"/>
        <n v="112.4625"/>
        <n v="560"/>
        <n v="330"/>
        <n v="5199.96"/>
        <n v="1199.99"/>
        <n v="599.96"/>
        <n v="359.98"/>
        <n v="559.92"/>
        <n v="259.96"/>
        <n v="539.97"/>
        <n v="1050"/>
        <n v="89.97"/>
        <n v="70"/>
        <n v="7799.94"/>
        <n v="95"/>
        <n v="7199.91"/>
        <n v="4799.94"/>
        <n v="65"/>
        <n v="1599.98"/>
        <n v="549.99"/>
        <n v="1739.98"/>
        <n v="219.99"/>
        <n v="2599.98"/>
        <n v="799.96"/>
        <n v="2399.94"/>
        <n v="134.9775"/>
        <n v="26"/>
        <n v="14.98"/>
        <n v="9000"/>
        <n v="12600"/>
        <n v="105"/>
        <n v="8.99"/>
        <n v="7.49"/>
        <n v="17.98"/>
        <n v="59.98"/>
        <n v="35.96"/>
        <n v="449.97"/>
        <n v="149.97"/>
        <n v="1199.98"/>
        <n v="25"/>
        <n v="115"/>
        <n v="52.5"/>
        <n v="1099.98"/>
        <n v="23.97"/>
        <n v="179.99"/>
        <n v="7.96"/>
        <n v="219.89"/>
        <n v="329.89"/>
        <n v="400.02"/>
        <n v="22.173912"/>
        <n v="74.925"/>
        <n v="749.925"/>
        <n v="224.955"/>
        <n v="719.9400000000001"/>
        <n v="224.925"/>
        <n v="277.09"/>
        <n v="187.46"/>
        <n v="233.74"/>
        <n v="1193.72"/>
        <n v="1299.99"/>
        <n v="225"/>
        <n v="450"/>
        <n v="494.955"/>
        <n v="299.99"/>
        <n v="699.98"/>
        <n v="59.99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42" createdVersion="7">
  <cacheSource type="worksheet">
    <worksheetSource ref="D2:F444" sheet="September 2023"/>
  </cacheSource>
  <cacheFields count="3">
    <cacheField name="Line Item Name" numFmtId="0">
      <sharedItems containsNonDate="0" count="113">
        <s v="CC-CH-35-STD"/>
        <s v="CC-HCCMKII-15-NC"/>
        <s v="CC-HCCMKII-08-NC"/>
        <s v="CC-TB-35"/>
        <s v="CC-CH-05-STD"/>
        <s v="CC-AC-CCL"/>
        <s v="CC-WASH-10"/>
        <s v="CC-CH-15-STD"/>
        <s v="CC-CC2-110-JIC"/>
        <s v="CC-AC-BM-KIT"/>
        <s v="Obsidian RP2 Relay Pack"/>
        <s v="25FT CO2 Hose - 3/8&quot; NPT Male Swivel x JIC"/>
        <s v="5FT CO2 Hose - JIC  x JIC"/>
        <s v="3/8&quot; NPT Female x 3/8&quot; JIC Female 6506-06-06"/>
        <s v="JIC Run Tee 6602-06-06-06"/>
        <s v="JIC Elbow - 3/8&quot; JIC male x 3/8&quot; JIC Female "/>
        <s v="CC-AC-CTAT"/>
        <s v="CC-AC-CGANPT-SET"/>
        <s v="CC-CTC-50"/>
        <s v="Shipping Charges"/>
        <s v="NAC3MX-W-TOP (Male)"/>
        <s v="Solenoid Din Connector"/>
        <s v="Bulk 13A Power Cable"/>
        <s v="1/4&quot; NPT Male x 3/8&quot; JIC Male"/>
        <s v="Micro Jet 110v Valve Assembly"/>
        <s v="MBSPP-FJX-6-6"/>
        <s v="CC-SS-35"/>
        <s v="15FT CO2 Hose - 3/8&quot; NPT Male Swivel x JIC"/>
        <s v="35FT CO2 Hose - 3/8&quot; NPT Male Swivel x JIC"/>
        <s v="CC-F-DCHA"/>
        <s v="CC-AC-LPR"/>
        <s v="CC-AC-HPR"/>
        <s v="CC-S-GLD-M"/>
        <s v="CC-S-SIL-M"/>
        <s v="CC-AC-CTS"/>
        <s v="CC-F-HEA"/>
        <s v="CC-CH-08-EXT"/>
        <s v="CC-AC-OP"/>
        <s v="CC-NPTC-06-STD"/>
        <s v="CC-AC-CLAMP"/>
        <s v="CC-CC2-110"/>
        <s v="CC-CH-25-STD"/>
        <s v="CC-AC-ROR"/>
        <s v="CC-AC-ROR2"/>
        <s v="CC-CH-15-EXT"/>
        <s v="CC-SM-5"/>
        <s v="CC-AC-LA2"/>
        <s v="CC-AC-LA2-OP"/>
        <s v="CC-AC-LGK"/>
        <s v="Large Key Lock Switch Assembly"/>
        <s v="Repair"/>
        <s v="CC-CTC-20"/>
        <s v="1/2-13 x 3/4” CS screw"/>
        <s v="CC-MJMKII-3-110"/>
        <s v="CC-AC-PMA"/>
        <s v="CC-AC-RAA"/>
        <s v="5-pin DMX Passthrough PCB"/>
        <s v="Pro Jet Main PCB - 1"/>
        <s v="CC-CH-50-STD"/>
        <s v="Micro Jet Barrel Assembly"/>
        <s v="1/4&quot; Co2 Valve"/>
        <s v="CC-MJMKII-5-110"/>
        <s v="3.5FT CO2 HOSE - JIC X JIC 3.5FT CO2 HOSE - FEMALE JIC #6 X FEMALE JIC #6"/>
        <s v="CC-F-COT"/>
        <s v="CC-HCCMKII-15-TC"/>
        <s v="CC-CH-08-STD"/>
        <s v="cc-temp-cvr"/>
        <s v="Small Key Switch Nut"/>
        <s v="Small Key Switch"/>
        <s v="CC-AC-SMK"/>
        <s v="Slowfall Confetti Rectangles (Purple)"/>
        <s v="Slowfall Confetti Rectangles (White)"/>
        <s v="CC-QJ-5-110"/>
        <s v="Shipping Fees"/>
        <s v="CC-CH-05-MFD"/>
        <s v="CC-NPTC-06-DSY"/>
        <s v="CC-NPTC-35-DSY"/>
        <s v="CC-PROJ-5-110-JIC"/>
        <s v="CC-RC-2430"/>
        <s v="CC-RC-2430-LAI"/>
        <s v="CC-RC-2430-PJI"/>
        <s v="CC-RC-2430-TTI"/>
        <s v=" CC-AC-CGAJIC-SET"/>
        <s v="CC-CH-50-EXT"/>
        <s v="5-pin DMX Passthrough Assembly"/>
        <s v="TE 3-640426-3"/>
        <s v="TE 640550-3"/>
        <s v="M3 x 15mm CS BSS Screw"/>
        <s v="CC-PROJ-5-110"/>
        <s v="CC-CH-15-DSY"/>
        <s v="CC-AC-4PM"/>
        <s v="CC-CH-03.5-MFD"/>
        <s v="CC-NPTC-15-DSY"/>
        <s v="CC-CH-XX-STD"/>
        <s v="#12 x 1/2&quot; High Low Thread Forming Screws / Phillips / Pan Head / Steel / Black Zinc"/>
        <s v="Compressible-Stem Push-In Bumpers"/>
        <s v="Mocap 1/2” hole cap"/>
        <s v="CC-HCCMKII-08-TC"/>
        <s v="CC-AC-TC"/>
        <s v="CC-PROJ-5-220"/>
        <s v="CC-WASH-01"/>
        <s v="Tax: CA Tax (8.75%)"/>
        <s v="Micro Jet MKII 5-Pin XLR PCB"/>
        <s v="Micro Jet MKII Main PCB"/>
        <s v="8P 4x2 IDC 2.54mm 4&quot; Cable"/>
        <s v="CC-AC-CGA622NPT-SET"/>
        <s v="CC-CH-25-EXT"/>
        <s v="CC-CH-05-DSY"/>
        <s v="FS-QJ-01 - 002"/>
        <s v="CC-F-MQCBSPPF"/>
        <s v="Handheld Handle Assembly"/>
        <s v="6in Barrel Assembly Powdercoated"/>
        <s v="CC-CH-50-DSY"/>
      </sharedItems>
    </cacheField>
    <cacheField name="Line Item Description" numFmtId="0">
      <sharedItems containsNonDate="0" containsBlank="1" count="123">
        <s v="Co2 Hose 35FT Standard Config"/>
        <s v="Handheld CO2 Cannon MKII"/>
        <s v="The Button - with both 3 &amp; 5 pin DMX ports"/>
        <s v="Co2 Hose 05FT Standard Config"/>
        <s v="CO2 Cylinder Link"/>
        <s v="CO2 Washers (10 pack)"/>
        <s v="Co2 Hose 15FT Standard Config"/>
        <s v="Cryo Clamp II, 110v, Weatherproof CO2 Jet with JIC Inlet"/>
        <s v="Ball Mount Assembly for Cryo Clamp with 4x 10-32 x 3/8&quot; socket head screws"/>
        <s v="2 Output DMX Relay with Timer"/>
        <s v="25FT CO2 Hose - 3/8&quot; NPT Male Swivel x JIC #6 female"/>
        <s v="5FT CO2 Hose - JIC  x JIC"/>
        <s v="6506-06-06"/>
        <s v="Used to add an additional input to 4 port manifold"/>
        <s v="6500-06-06-06"/>
        <s v="Co2 Tank Attachment Tool"/>
        <s v="CGA-320 to 1/4&quot; NPT adapter with nut."/>
        <s v="CO2 Tank Covers - 50lb Cover"/>
        <m/>
        <s v="TRUE1 CABLE CONNECTOR (MALE)"/>
        <s v="Solenoid Din Connector"/>
        <s v="Bulk 16/3 16AWG 3-Conductor SJTOW Power Cable 13A"/>
        <s v="Adapter for NPT to JIC male 2404-06-04"/>
        <s v="110v Valve with Solenoid fittings and Wires for Micro Jet MKII"/>
        <s v="Straight Adapter - 3/8 in Female JIC 37° Flare Swivel x 3/8 in Male British Standard Pipe Parallel"/>
        <s v="ShoStarter - with custom firmware for removing voltage detection on 220v Pro Jets"/>
        <s v="15FT CO2 Hose - 3/8&quot; NPT Male Swivel x JIC #6 female"/>
        <s v="35FT CO2 Hose - 3/8&quot; NPT Male Swivel x JIC #6 female"/>
        <s v="#5 - Daisy Chain Adapter"/>
        <s v="20-Way Single Shot Rack, Low"/>
        <s v="20-Way Single Shot, High"/>
        <s v="Streamers - Gold Mylar"/>
        <s v="Streamers - Silver Mylar"/>
        <s v="CO2 Tank Splitter"/>
        <s v="Hose Adapters - #2 – Hose Extension Adapter"/>
        <s v="Co2 Hose 08FT Extension Config"/>
        <s v="CO2 Tank Tool + Washers - Yes - add tool and washers +$15.00"/>
        <s v="Neutrik PowerCON True1 Cords - 6FT, Standard"/>
        <s v="Truss Clamp"/>
        <s v="Cryo Clamp II, 110v, Weatherproof CO2 Jet"/>
        <s v="Co2 Hose 25FT Standard Config"/>
        <s v="Replacement O-Ring"/>
        <s v="Replacement O-Ring - 2023 Quick Connects. EPDM"/>
        <s v="Co2 Hose 15FT Extension Config"/>
        <s v="ShoMaster Console"/>
        <s v="LED Attachment for DMX Jet, DMX Jet MKII, and Pro Jet - DEMO"/>
        <s v="LED Attachment order pack. True1 &amp; DMX Jumper + Eye bolt"/>
        <s v="Replacement Keys - Shomaster &amp; ShoStarter"/>
        <s v="Large 2 Position Key switch with TE connector"/>
        <s v="Repair of Cryo Controller and Big Red Button Key/Lock Mech."/>
        <s v="CO2 Tank Covers - 20lb Cover"/>
        <s v="1/2-13 x 3/4” CS screw"/>
        <s v="Micro CO2 Jet MKII"/>
        <s v="1/4&quot; TS Power mode Adapter"/>
        <s v="Right Angle Adapter"/>
        <s v="5-pin DMX Passthrough PCB"/>
        <s v="Pro Jet Main PCB"/>
        <s v="Co2 Hose 35FT Standard Config (Upgrade fee, No CGA)"/>
        <s v="Co2 Hose 50FT Standard Config (Upgrade fee, No CGA)"/>
        <s v="Micro Jet Barrel with Right Angle"/>
        <s v="1/4&quot; Co2 Valve"/>
        <s v="Micro CO2 Jet MKII (JIC #6 male in and out / No barrel assembly)"/>
        <s v="3.5FT CO2 HOSE - JIC X JIC"/>
        <s v="Hose Adapters - #3 – CO2 Output Terminator"/>
        <s v="Handheld MKII in travel case with 15ft hose"/>
        <s v="Co2 Hose 08FT Standard Config"/>
        <s v="Image Engineering Jet Covers"/>
        <s v="Nut for 12mm D135 Key Switch"/>
        <s v="12mm D135 Key Switch"/>
        <s v="Replacement Keys - The Button"/>
        <s v="MagicFX Confetti - 1KG"/>
        <s v="Quad Jet 110v with 5 Pin DMX With Barrels"/>
        <s v="Neutrik PowerCON True1 Cords - 6FT, Included"/>
        <s v="5FT CO2 Hose (CGA-320 x Female JIC 3/8&quot;) For use with Manifold"/>
        <s v="Neutrik Powercon True1 Cord 06FT Daisy Chain"/>
        <s v="Neutrik Powercon True1 Cord 35FT Daisy Chain"/>
        <s v="Pro Jet - 5 Pin, 110v, JIC in/out (No Hose)"/>
        <s v="24x30 Road Case"/>
        <s v="24x30 Road Case Insert - LED Attachment"/>
        <s v="24x30 Road Case Insert - Pro Jet"/>
        <s v="24x30 Road Case Insert - Top Tray Insert"/>
        <s v="CGA-320 to JIC adapter with nut."/>
        <s v="Co2 Hose 50FT Extension Config"/>
        <s v="5-pin DMX Passthrough Assembly"/>
        <s v="3 Pin 18awg Connector 3.96mm"/>
        <s v="Dust Cap for 3-640440-3 2.54mm"/>
        <s v="Panel Componant Mounting Screw"/>
        <s v="Pro Jet"/>
        <s v="ShoStarter DMX Controller with 3 &amp; 5 Pin Connectors in Box"/>
        <s v="Co2 Hose 15FT Daisy Chain"/>
        <s v="4 Port Co2 Manifold - 4x JIC 3/8&quot; Inlets, 1x JIC 3/8&quot; Outlet with Truss Bracket"/>
        <s v="3 1/2FT CO2 Hose (CGA-320 x Female JIC 3/8&quot;) For use with Manifold"/>
        <s v="Neutrik PowerCON True1 Cords - 15FT, Daisy Chain"/>
        <s v="Co2 Hose 75' Standard"/>
        <s v="Pro Jet - 5 Pin, 110v, JIC in/out"/>
        <s v="LED Attachment for DMX Jet, DMX Jet MKII, and Pro Jet."/>
        <s v="Pro Jet feet screws (thread forming)"/>
        <s v="Compressible-Stem Push-In Bumpers - pro jet foot"/>
        <s v="Mocap 1/2” hole cap - pro jet foot cap"/>
        <s v="LED Attachment for DMX Jet, DMX Jet MKII, and Pro Jet. 3 Pin"/>
        <s v="Warranty / T&amp;M - Button serial #31464. Reworked LED PCB. No charge."/>
        <s v="Handheld MKII in travel case with 8ft hose"/>
        <s v="Travel Case"/>
        <s v="Co2 Hose 50FT Standard Config"/>
        <s v="Pro Jet with 5- pin DMX and 220v Solenoid"/>
        <s v="CO2 Output Terminator"/>
        <s v="Single CO2 Washer"/>
        <s v="MAEG Button Repair"/>
        <s v="DMX Input PCB"/>
        <s v="Micro Jet MKII Main PCB"/>
        <s v="Cable to connect to Main and XLR Board"/>
        <s v="Quad Jet 110v with 5 Pin DMX With Barrels - Demo"/>
        <s v="Button (2) PCB Repair"/>
        <s v="CGA-622 to 1/4in NPT with nut"/>
        <s v="Co2 Hose 25FT Extension Config"/>
        <s v="Co2 Hose 05FT Daisy Chain"/>
        <s v="Repair #3230 Quad Cannon"/>
        <s v="Quad Jet elbow. 1/4&quot; NPT to 3/8 BSPP"/>
        <s v="3/8&quot; MQC Quick Connect Fitting BSPP thread"/>
        <s v="Handheld MKII handle assembly"/>
        <s v="6in Jet Barrel with powdercoating"/>
        <s v="Co2 Hose 50FT Daisy Chain"/>
        <s v="REPAIR #CD893 - Cryo Controller Button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1"/>
        <n v="4"/>
        <n v="5"/>
        <n v="12"/>
        <n v="10"/>
        <n v="20"/>
        <n v="9"/>
        <n v="150"/>
        <n v="100"/>
        <n v="8"/>
        <n v="6"/>
        <n v="3"/>
        <n v="16"/>
        <n v="31"/>
        <n v="42"/>
        <n v="125"/>
        <n v="14"/>
        <n v="1000"/>
        <n v="11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42" createdVersion="7">
  <cacheSource type="worksheet">
    <worksheetSource ref="D2:H444" sheet="September 2023"/>
  </cacheSource>
  <cacheFields count="5">
    <cacheField name="Line Item Name" numFmtId="0">
      <sharedItems containsNonDate="0" count="113">
        <s v="CC-CH-35-STD"/>
        <s v="CC-HCCMKII-15-NC"/>
        <s v="CC-HCCMKII-08-NC"/>
        <s v="CC-TB-35"/>
        <s v="CC-CH-05-STD"/>
        <s v="CC-AC-CCL"/>
        <s v="CC-WASH-10"/>
        <s v="CC-CH-15-STD"/>
        <s v="CC-CC2-110-JIC"/>
        <s v="CC-AC-BM-KIT"/>
        <s v="Obsidian RP2 Relay Pack"/>
        <s v="25FT CO2 Hose - 3/8&quot; NPT Male Swivel x JIC"/>
        <s v="5FT CO2 Hose - JIC  x JIC"/>
        <s v="3/8&quot; NPT Female x 3/8&quot; JIC Female 6506-06-06"/>
        <s v="JIC Run Tee 6602-06-06-06"/>
        <s v="JIC Elbow - 3/8&quot; JIC male x 3/8&quot; JIC Female "/>
        <s v="CC-AC-CTAT"/>
        <s v="CC-AC-CGANPT-SET"/>
        <s v="CC-CTC-50"/>
        <s v="Shipping Charges"/>
        <s v="NAC3MX-W-TOP (Male)"/>
        <s v="Solenoid Din Connector"/>
        <s v="Bulk 13A Power Cable"/>
        <s v="1/4&quot; NPT Male x 3/8&quot; JIC Male"/>
        <s v="Micro Jet 110v Valve Assembly"/>
        <s v="MBSPP-FJX-6-6"/>
        <s v="CC-SS-35"/>
        <s v="15FT CO2 Hose - 3/8&quot; NPT Male Swivel x JIC"/>
        <s v="35FT CO2 Hose - 3/8&quot; NPT Male Swivel x JIC"/>
        <s v="CC-F-DCHA"/>
        <s v="CC-AC-LPR"/>
        <s v="CC-AC-HPR"/>
        <s v="CC-S-GLD-M"/>
        <s v="CC-S-SIL-M"/>
        <s v="CC-AC-CTS"/>
        <s v="CC-F-HEA"/>
        <s v="CC-CH-08-EXT"/>
        <s v="CC-AC-OP"/>
        <s v="CC-NPTC-06-STD"/>
        <s v="CC-AC-CLAMP"/>
        <s v="CC-CC2-110"/>
        <s v="CC-CH-25-STD"/>
        <s v="CC-AC-ROR"/>
        <s v="CC-AC-ROR2"/>
        <s v="CC-CH-15-EXT"/>
        <s v="CC-SM-5"/>
        <s v="CC-AC-LA2"/>
        <s v="CC-AC-LA2-OP"/>
        <s v="CC-AC-LGK"/>
        <s v="Large Key Lock Switch Assembly"/>
        <s v="Repair"/>
        <s v="CC-CTC-20"/>
        <s v="1/2-13 x 3/4” CS screw"/>
        <s v="CC-MJMKII-3-110"/>
        <s v="CC-AC-PMA"/>
        <s v="CC-AC-RAA"/>
        <s v="5-pin DMX Passthrough PCB"/>
        <s v="Pro Jet Main PCB - 1"/>
        <s v="CC-CH-50-STD"/>
        <s v="Micro Jet Barrel Assembly"/>
        <s v="1/4&quot; Co2 Valve"/>
        <s v="CC-MJMKII-5-110"/>
        <s v="3.5FT CO2 HOSE - JIC X JIC 3.5FT CO2 HOSE - FEMALE JIC #6 X FEMALE JIC #6"/>
        <s v="CC-F-COT"/>
        <s v="CC-HCCMKII-15-TC"/>
        <s v="CC-CH-08-STD"/>
        <s v="cc-temp-cvr"/>
        <s v="Small Key Switch Nut"/>
        <s v="Small Key Switch"/>
        <s v="CC-AC-SMK"/>
        <s v="Slowfall Confetti Rectangles (Purple)"/>
        <s v="Slowfall Confetti Rectangles (White)"/>
        <s v="CC-QJ-5-110"/>
        <s v="Shipping Fees"/>
        <s v="CC-CH-05-MFD"/>
        <s v="CC-NPTC-06-DSY"/>
        <s v="CC-NPTC-35-DSY"/>
        <s v="CC-PROJ-5-110-JIC"/>
        <s v="CC-RC-2430"/>
        <s v="CC-RC-2430-LAI"/>
        <s v="CC-RC-2430-PJI"/>
        <s v="CC-RC-2430-TTI"/>
        <s v=" CC-AC-CGAJIC-SET"/>
        <s v="CC-CH-50-EXT"/>
        <s v="5-pin DMX Passthrough Assembly"/>
        <s v="TE 3-640426-3"/>
        <s v="TE 640550-3"/>
        <s v="M3 x 15mm CS BSS Screw"/>
        <s v="CC-PROJ-5-110"/>
        <s v="CC-CH-15-DSY"/>
        <s v="CC-AC-4PM"/>
        <s v="CC-CH-03.5-MFD"/>
        <s v="CC-NPTC-15-DSY"/>
        <s v="CC-CH-XX-STD"/>
        <s v="#12 x 1/2&quot; High Low Thread Forming Screws / Phillips / Pan Head / Steel / Black Zinc"/>
        <s v="Compressible-Stem Push-In Bumpers"/>
        <s v="Mocap 1/2” hole cap"/>
        <s v="CC-HCCMKII-08-TC"/>
        <s v="CC-AC-TC"/>
        <s v="CC-PROJ-5-220"/>
        <s v="CC-WASH-01"/>
        <s v="Tax: CA Tax (8.75%)"/>
        <s v="Micro Jet MKII 5-Pin XLR PCB"/>
        <s v="Micro Jet MKII Main PCB"/>
        <s v="8P 4x2 IDC 2.54mm 4&quot; Cable"/>
        <s v="CC-AC-CGA622NPT-SET"/>
        <s v="CC-CH-25-EXT"/>
        <s v="CC-CH-05-DSY"/>
        <s v="FS-QJ-01 - 002"/>
        <s v="CC-F-MQCBSPPF"/>
        <s v="Handheld Handle Assembly"/>
        <s v="6in Barrel Assembly Powdercoated"/>
        <s v="CC-CH-50-DSY"/>
      </sharedItems>
    </cacheField>
    <cacheField name="Line Item Description" numFmtId="0">
      <sharedItems containsNonDate="0" containsBlank="1" count="123">
        <s v="Co2 Hose 35FT Standard Config"/>
        <s v="Handheld CO2 Cannon MKII"/>
        <s v="The Button - with both 3 &amp; 5 pin DMX ports"/>
        <s v="Co2 Hose 05FT Standard Config"/>
        <s v="CO2 Cylinder Link"/>
        <s v="CO2 Washers (10 pack)"/>
        <s v="Co2 Hose 15FT Standard Config"/>
        <s v="Cryo Clamp II, 110v, Weatherproof CO2 Jet with JIC Inlet"/>
        <s v="Ball Mount Assembly for Cryo Clamp with 4x 10-32 x 3/8&quot; socket head screws"/>
        <s v="2 Output DMX Relay with Timer"/>
        <s v="25FT CO2 Hose - 3/8&quot; NPT Male Swivel x JIC #6 female"/>
        <s v="5FT CO2 Hose - JIC  x JIC"/>
        <s v="6506-06-06"/>
        <s v="Used to add an additional input to 4 port manifold"/>
        <s v="6500-06-06-06"/>
        <s v="Co2 Tank Attachment Tool"/>
        <s v="CGA-320 to 1/4&quot; NPT adapter with nut."/>
        <s v="CO2 Tank Covers - 50lb Cover"/>
        <m/>
        <s v="TRUE1 CABLE CONNECTOR (MALE)"/>
        <s v="Solenoid Din Connector"/>
        <s v="Bulk 16/3 16AWG 3-Conductor SJTOW Power Cable 13A"/>
        <s v="Adapter for NPT to JIC male 2404-06-04"/>
        <s v="110v Valve with Solenoid fittings and Wires for Micro Jet MKII"/>
        <s v="Straight Adapter - 3/8 in Female JIC 37° Flare Swivel x 3/8 in Male British Standard Pipe Parallel"/>
        <s v="ShoStarter - with custom firmware for removing voltage detection on 220v Pro Jets"/>
        <s v="15FT CO2 Hose - 3/8&quot; NPT Male Swivel x JIC #6 female"/>
        <s v="35FT CO2 Hose - 3/8&quot; NPT Male Swivel x JIC #6 female"/>
        <s v="#5 - Daisy Chain Adapter"/>
        <s v="20-Way Single Shot Rack, Low"/>
        <s v="20-Way Single Shot, High"/>
        <s v="Streamers - Gold Mylar"/>
        <s v="Streamers - Silver Mylar"/>
        <s v="CO2 Tank Splitter"/>
        <s v="Hose Adapters - #2 – Hose Extension Adapter"/>
        <s v="Co2 Hose 08FT Extension Config"/>
        <s v="CO2 Tank Tool + Washers - Yes - add tool and washers +$15.00"/>
        <s v="Neutrik PowerCON True1 Cords - 6FT, Standard"/>
        <s v="Truss Clamp"/>
        <s v="Cryo Clamp II, 110v, Weatherproof CO2 Jet"/>
        <s v="Co2 Hose 25FT Standard Config"/>
        <s v="Replacement O-Ring"/>
        <s v="Replacement O-Ring - 2023 Quick Connects. EPDM"/>
        <s v="Co2 Hose 15FT Extension Config"/>
        <s v="ShoMaster Console"/>
        <s v="LED Attachment for DMX Jet, DMX Jet MKII, and Pro Jet - DEMO"/>
        <s v="LED Attachment order pack. True1 &amp; DMX Jumper + Eye bolt"/>
        <s v="Replacement Keys - Shomaster &amp; ShoStarter"/>
        <s v="Large 2 Position Key switch with TE connector"/>
        <s v="Repair of Cryo Controller and Big Red Button Key/Lock Mech."/>
        <s v="CO2 Tank Covers - 20lb Cover"/>
        <s v="1/2-13 x 3/4” CS screw"/>
        <s v="Micro CO2 Jet MKII"/>
        <s v="1/4&quot; TS Power mode Adapter"/>
        <s v="Right Angle Adapter"/>
        <s v="5-pin DMX Passthrough PCB"/>
        <s v="Pro Jet Main PCB"/>
        <s v="Co2 Hose 35FT Standard Config (Upgrade fee, No CGA)"/>
        <s v="Co2 Hose 50FT Standard Config (Upgrade fee, No CGA)"/>
        <s v="Micro Jet Barrel with Right Angle"/>
        <s v="1/4&quot; Co2 Valve"/>
        <s v="Micro CO2 Jet MKII (JIC #6 male in and out / No barrel assembly)"/>
        <s v="3.5FT CO2 HOSE - JIC X JIC"/>
        <s v="Hose Adapters - #3 – CO2 Output Terminator"/>
        <s v="Handheld MKII in travel case with 15ft hose"/>
        <s v="Co2 Hose 08FT Standard Config"/>
        <s v="Image Engineering Jet Covers"/>
        <s v="Nut for 12mm D135 Key Switch"/>
        <s v="12mm D135 Key Switch"/>
        <s v="Replacement Keys - The Button"/>
        <s v="MagicFX Confetti - 1KG"/>
        <s v="Quad Jet 110v with 5 Pin DMX With Barrels"/>
        <s v="Neutrik PowerCON True1 Cords - 6FT, Included"/>
        <s v="5FT CO2 Hose (CGA-320 x Female JIC 3/8&quot;) For use with Manifold"/>
        <s v="Neutrik Powercon True1 Cord 06FT Daisy Chain"/>
        <s v="Neutrik Powercon True1 Cord 35FT Daisy Chain"/>
        <s v="Pro Jet - 5 Pin, 110v, JIC in/out (No Hose)"/>
        <s v="24x30 Road Case"/>
        <s v="24x30 Road Case Insert - LED Attachment"/>
        <s v="24x30 Road Case Insert - Pro Jet"/>
        <s v="24x30 Road Case Insert - Top Tray Insert"/>
        <s v="CGA-320 to JIC adapter with nut."/>
        <s v="Co2 Hose 50FT Extension Config"/>
        <s v="5-pin DMX Passthrough Assembly"/>
        <s v="3 Pin 18awg Connector 3.96mm"/>
        <s v="Dust Cap for 3-640440-3 2.54mm"/>
        <s v="Panel Componant Mounting Screw"/>
        <s v="Pro Jet"/>
        <s v="ShoStarter DMX Controller with 3 &amp; 5 Pin Connectors in Box"/>
        <s v="Co2 Hose 15FT Daisy Chain"/>
        <s v="4 Port Co2 Manifold - 4x JIC 3/8&quot; Inlets, 1x JIC 3/8&quot; Outlet with Truss Bracket"/>
        <s v="3 1/2FT CO2 Hose (CGA-320 x Female JIC 3/8&quot;) For use with Manifold"/>
        <s v="Neutrik PowerCON True1 Cords - 15FT, Daisy Chain"/>
        <s v="Co2 Hose 75' Standard"/>
        <s v="Pro Jet - 5 Pin, 110v, JIC in/out"/>
        <s v="LED Attachment for DMX Jet, DMX Jet MKII, and Pro Jet."/>
        <s v="Pro Jet feet screws (thread forming)"/>
        <s v="Compressible-Stem Push-In Bumpers - pro jet foot"/>
        <s v="Mocap 1/2” hole cap - pro jet foot cap"/>
        <s v="LED Attachment for DMX Jet, DMX Jet MKII, and Pro Jet. 3 Pin"/>
        <s v="Warranty / T&amp;M - Button serial #31464. Reworked LED PCB. No charge."/>
        <s v="Handheld MKII in travel case with 8ft hose"/>
        <s v="Travel Case"/>
        <s v="Co2 Hose 50FT Standard Config"/>
        <s v="Pro Jet with 5- pin DMX and 220v Solenoid"/>
        <s v="CO2 Output Terminator"/>
        <s v="Single CO2 Washer"/>
        <s v="MAEG Button Repair"/>
        <s v="DMX Input PCB"/>
        <s v="Micro Jet MKII Main PCB"/>
        <s v="Cable to connect to Main and XLR Board"/>
        <s v="Quad Jet 110v with 5 Pin DMX With Barrels - Demo"/>
        <s v="Button (2) PCB Repair"/>
        <s v="CGA-622 to 1/4in NPT with nut"/>
        <s v="Co2 Hose 25FT Extension Config"/>
        <s v="Co2 Hose 05FT Daisy Chain"/>
        <s v="Repair #3230 Quad Cannon"/>
        <s v="Quad Jet elbow. 1/4&quot; NPT to 3/8 BSPP"/>
        <s v="3/8&quot; MQC Quick Connect Fitting BSPP thread"/>
        <s v="Handheld MKII handle assembly"/>
        <s v="6in Jet Barrel with powdercoating"/>
        <s v="Co2 Hose 50FT Daisy Chain"/>
        <s v="REPAIR #CD893 - Cryo Controller Button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1"/>
        <n v="4"/>
        <n v="5"/>
        <n v="12"/>
        <n v="10"/>
        <n v="20"/>
        <n v="9"/>
        <n v="150"/>
        <n v="100"/>
        <n v="8"/>
        <n v="6"/>
        <n v="3"/>
        <n v="16"/>
        <n v="31"/>
        <n v="42"/>
        <n v="125"/>
        <n v="14"/>
        <n v="1000"/>
        <n v="11"/>
      </sharedItems>
    </cacheField>
    <cacheField name="Unit Price" numFmtId="0">
      <sharedItems containsSemiMixedTypes="0" containsNonDate="0" containsString="0" containsNumber="1" minValue="0" maxValue="2499.99" count="109">
        <n v="249.99"/>
        <n v="399.99"/>
        <n v="349.99"/>
        <n v="99.98999999999999"/>
        <n v="119.99"/>
        <n v="9.99"/>
        <n v="149.99"/>
        <n v="499.99"/>
        <n v="0"/>
        <n v="295"/>
        <n v="174.99"/>
        <n v="74.98999999999999"/>
        <n v="44.9925"/>
        <n v="30"/>
        <n v="23.4"/>
        <n v="1.5"/>
        <n v="2.771739"/>
        <n v="148.7789865"/>
        <n v="899.9924999999999"/>
        <n v="130"/>
        <n v="210"/>
        <n v="29.99"/>
        <n v="576.4"/>
        <n v="589.6"/>
        <n v="200"/>
        <n v="4"/>
        <n v="50"/>
        <n v="49.99"/>
        <n v="324.99"/>
        <n v="19.99"/>
        <n v="109.99"/>
        <n v="15"/>
        <n v="59.99"/>
        <n v="8.49"/>
        <n v="199.99"/>
        <n v="1.99"/>
        <n v="299.9925"/>
        <n v="2499.99"/>
        <n v="120"/>
        <n v="22.99"/>
        <n v="849.99"/>
        <n v="5.99"/>
        <n v="17.2425"/>
        <n v="10"/>
        <n v="100"/>
        <n v="175"/>
        <n v="80"/>
        <n v="180"/>
        <n v="500"/>
        <n v="46.956522"/>
        <n v="45"/>
        <n v="587.49"/>
        <n v="37.49"/>
        <n v="15.99"/>
        <n v="75"/>
        <n v="1575"/>
        <n v="22.4925"/>
        <n v="60"/>
        <n v="54.99"/>
        <n v="84.98999999999999"/>
        <n v="14.9925"/>
        <n v="40"/>
        <n v="900"/>
        <n v="1199.9925"/>
        <n v="250"/>
        <n v="599.99"/>
        <n v="299.99"/>
        <n v="1874.9925"/>
        <n v="28.5"/>
        <n v="652.4924999999999"/>
        <n v="37.5"/>
        <n v="374.9925"/>
        <n v="149.9925"/>
        <n v="974.9924999999999"/>
        <n v="560"/>
        <n v="330"/>
        <n v="1299.99"/>
        <n v="1199.99"/>
        <n v="179.99"/>
        <n v="69.98999999999999"/>
        <n v="64.98999999999999"/>
        <n v="262.5"/>
        <n v="70"/>
        <n v="95"/>
        <n v="599.9924999999999"/>
        <n v="65"/>
        <n v="799.99"/>
        <n v="549.99"/>
        <n v="869.99"/>
        <n v="219.99"/>
        <n v="26"/>
        <n v="7.49"/>
        <n v="105"/>
        <n v="8.99"/>
        <n v="0.25"/>
        <n v="25"/>
        <n v="115"/>
        <n v="52.5"/>
        <n v="7.99"/>
        <n v="50.0025"/>
        <n v="7.4925"/>
        <n v="74.99250000000001"/>
        <n v="37.4925"/>
        <n v="89.99250000000001"/>
        <n v="277.09"/>
        <n v="46.865"/>
        <n v="116.87"/>
        <n v="596.86"/>
        <n v="82.49250000000001"/>
      </sharedItems>
    </cacheField>
    <cacheField name="Total Line Item $" numFmtId="0">
      <sharedItems containsSemiMixedTypes="0" containsNonDate="0" containsString="0" containsNumber="1" minValue="0" maxValue="12600" count="166">
        <n v="499.98"/>
        <n v="399.99"/>
        <n v="349.99"/>
        <n v="99.98999999999999"/>
        <n v="119.99"/>
        <n v="9.99"/>
        <n v="149.99"/>
        <n v="999.98"/>
        <n v="0"/>
        <n v="295"/>
        <n v="174.99"/>
        <n v="74.98999999999999"/>
        <n v="179.97"/>
        <n v="30"/>
        <n v="2499.95"/>
        <n v="93.59999999999999"/>
        <n v="18"/>
        <n v="11.086956"/>
        <n v="595.115946"/>
        <n v="899.9924999999999"/>
        <n v="1300"/>
        <n v="2100"/>
        <n v="29.99"/>
        <n v="5187.6"/>
        <n v="589.6"/>
        <n v="200"/>
        <n v="600"/>
        <n v="400"/>
        <n v="50"/>
        <n v="49.99"/>
        <n v="324.99"/>
        <n v="39.98"/>
        <n v="109.99"/>
        <n v="15"/>
        <n v="119.98"/>
        <n v="359.88"/>
        <n v="119.96"/>
        <n v="84.90000000000001"/>
        <n v="399.96"/>
        <n v="499.99"/>
        <n v="199.99"/>
        <n v="3.98"/>
        <n v="2999.925"/>
        <n v="2499.99"/>
        <n v="120"/>
        <n v="45.98"/>
        <n v="169.8"/>
        <n v="19.98"/>
        <n v="799.98"/>
        <n v="849.99"/>
        <n v="5.99"/>
        <n v="199.96"/>
        <n v="179.94"/>
        <n v="51.7275"/>
        <n v="10"/>
        <n v="1699.98"/>
        <n v="100"/>
        <n v="175"/>
        <n v="160"/>
        <n v="180"/>
        <n v="2000"/>
        <n v="187.826088"/>
        <n v="45"/>
        <n v="59.97"/>
        <n v="19.99"/>
        <n v="587.49"/>
        <n v="37.49"/>
        <n v="99.98"/>
        <n v="1199.94"/>
        <n v="90"/>
        <n v="479.96"/>
        <n v="39.96"/>
        <n v="159.9"/>
        <n v="75"/>
        <n v="219.98"/>
        <n v="1.99"/>
        <n v="6300"/>
        <n v="60"/>
        <n v="299.98"/>
        <n v="54.99"/>
        <n v="84.98999999999999"/>
        <n v="149.925"/>
        <n v="40"/>
        <n v="2700"/>
        <n v="4799.97"/>
        <n v="250"/>
        <n v="399.98"/>
        <n v="239.98"/>
        <n v="22.99"/>
        <n v="599.99"/>
        <n v="1199.96"/>
        <n v="3749.985"/>
        <n v="883.5"/>
        <n v="2609.97"/>
        <n v="150"/>
        <n v="1499.97"/>
        <n v="599.97"/>
        <n v="599.985"/>
        <n v="3899.97"/>
        <n v="74.96250000000001"/>
        <n v="112.4625"/>
        <n v="560"/>
        <n v="330"/>
        <n v="5199.96"/>
        <n v="1199.99"/>
        <n v="599.96"/>
        <n v="359.98"/>
        <n v="559.92"/>
        <n v="259.96"/>
        <n v="539.97"/>
        <n v="1050"/>
        <n v="89.97"/>
        <n v="70"/>
        <n v="7799.94"/>
        <n v="95"/>
        <n v="7199.91"/>
        <n v="4799.94"/>
        <n v="65"/>
        <n v="1599.98"/>
        <n v="549.99"/>
        <n v="1739.98"/>
        <n v="219.99"/>
        <n v="2599.98"/>
        <n v="799.96"/>
        <n v="2399.94"/>
        <n v="134.9775"/>
        <n v="26"/>
        <n v="14.98"/>
        <n v="9000"/>
        <n v="12600"/>
        <n v="105"/>
        <n v="8.99"/>
        <n v="7.49"/>
        <n v="17.98"/>
        <n v="59.98"/>
        <n v="35.96"/>
        <n v="449.97"/>
        <n v="149.97"/>
        <n v="1199.98"/>
        <n v="25"/>
        <n v="115"/>
        <n v="52.5"/>
        <n v="1099.98"/>
        <n v="23.97"/>
        <n v="179.99"/>
        <n v="7.96"/>
        <n v="219.89"/>
        <n v="329.89"/>
        <n v="400.02"/>
        <n v="22.173912"/>
        <n v="74.925"/>
        <n v="749.925"/>
        <n v="224.955"/>
        <n v="719.9400000000001"/>
        <n v="224.925"/>
        <n v="277.09"/>
        <n v="187.46"/>
        <n v="233.74"/>
        <n v="1193.72"/>
        <n v="1299.99"/>
        <n v="225"/>
        <n v="450"/>
        <n v="494.955"/>
        <n v="299.99"/>
        <n v="699.98"/>
        <n v="59.99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82" createdVersion="7">
  <cacheSource type="worksheet">
    <worksheetSource ref="A2:H484" sheet="August 2023"/>
  </cacheSource>
  <cacheFields count="8">
    <cacheField name="Sales Order" numFmtId="0">
      <sharedItems containsNonDate="0" count="189">
        <s v="3545"/>
        <s v="3544"/>
        <s v="3542"/>
        <s v="3541"/>
        <s v="3540"/>
        <s v="3539"/>
        <s v="3538"/>
        <s v="3537"/>
        <s v="3543"/>
        <s v="3536"/>
        <s v="3535"/>
        <s v="3534"/>
        <s v="3533"/>
        <s v="3532"/>
        <s v="3531"/>
        <s v="3530"/>
        <s v="3529"/>
        <s v="3528"/>
        <s v="3527"/>
        <s v="3524"/>
        <s v="3523"/>
        <s v="3520"/>
        <s v="3526"/>
        <s v="3521"/>
        <s v="3522"/>
        <s v="3525"/>
        <s v="3519"/>
        <s v="3517"/>
        <s v="3516"/>
        <s v="3514"/>
        <s v="3513"/>
        <s v="3512"/>
        <s v="3511"/>
        <s v="3518"/>
        <s v="3509"/>
        <s v="3508"/>
        <s v="3506"/>
        <s v="3505"/>
        <s v="3504"/>
        <s v="3507"/>
        <s v="3502"/>
        <s v="3501"/>
        <s v="3499"/>
        <s v="3498"/>
        <s v="3497"/>
        <s v="3500"/>
        <s v="3496"/>
        <s v="3494"/>
        <s v="3493"/>
        <s v="3491"/>
        <s v="3490"/>
        <s v="3489"/>
        <s v="3488"/>
        <s v="3495"/>
        <s v="3492"/>
        <s v="3627"/>
        <s v="3486"/>
        <s v="3485"/>
        <s v="3484"/>
        <s v="3483"/>
        <s v="3481"/>
        <s v="3480"/>
        <s v="3479"/>
        <s v="3478"/>
        <s v="3487"/>
        <s v="3482"/>
        <s v="3475"/>
        <s v="3474"/>
        <s v="3473"/>
        <s v="3476"/>
        <s v="3472"/>
        <s v="3471"/>
        <s v="3470"/>
        <s v="3469"/>
        <s v="3468"/>
        <s v="3466"/>
        <s v="3465"/>
        <s v="3463"/>
        <s v="3462"/>
        <s v="3464"/>
        <s v="3467"/>
        <s v="3458"/>
        <s v="3457"/>
        <s v="3456"/>
        <s v="3455"/>
        <s v="3454"/>
        <s v="3453"/>
        <s v="3452"/>
        <s v="3459"/>
        <s v="3461"/>
        <s v="3460"/>
        <s v="3448"/>
        <s v="3447"/>
        <s v="3446"/>
        <s v="3445"/>
        <s v="3444"/>
        <s v="3443"/>
        <s v="3442"/>
        <s v="3441"/>
        <s v="3450"/>
        <s v="3451"/>
        <s v="3449"/>
        <s v="3438"/>
        <s v="3437"/>
        <s v="3558"/>
        <s v="3436"/>
        <s v="3435"/>
        <s v="3439"/>
        <s v="3440"/>
        <s v="3431"/>
        <s v="3427"/>
        <s v="3426"/>
        <s v="3425"/>
        <s v="3422"/>
        <s v="3421"/>
        <s v="3420"/>
        <s v="3423"/>
        <s v="3429"/>
        <s v="3428"/>
        <s v="3424"/>
        <s v="3434"/>
        <s v="3432"/>
        <s v="3433"/>
        <s v="3430"/>
        <s v="3664"/>
        <s v="3419"/>
        <s v="3418"/>
        <s v="3417"/>
        <s v="3416"/>
        <s v="3415"/>
        <s v="3414"/>
        <s v="3413"/>
        <s v="3412"/>
        <s v="3411"/>
        <s v="3409"/>
        <s v="3406"/>
        <s v="3404"/>
        <s v="3408"/>
        <s v="3405"/>
        <s v="3407"/>
        <s v="3403"/>
        <s v="3402"/>
        <s v="3401"/>
        <s v="3400"/>
        <s v="3396"/>
        <s v="3395"/>
        <s v="3394"/>
        <s v="3393"/>
        <s v="3398"/>
        <s v="3397"/>
        <s v="3391"/>
        <s v="3388"/>
        <s v="3387"/>
        <s v="3385"/>
        <s v="3383"/>
        <s v="3382"/>
        <s v="3386"/>
        <s v="3392"/>
        <s v="3389"/>
        <s v="3390"/>
        <s v="3381"/>
        <s v="3380"/>
        <s v="3379"/>
        <s v="3378"/>
        <s v="3377"/>
        <s v="3376"/>
        <s v="3374"/>
        <s v="3375"/>
        <s v="3373"/>
        <s v="3372"/>
        <s v="3371"/>
        <s v="3370"/>
        <s v="3368"/>
        <s v="3367"/>
        <s v="3366"/>
        <s v="3361"/>
        <s v="3363"/>
        <s v="3369"/>
        <s v="3362"/>
        <s v="3364"/>
        <s v="3355"/>
        <s v="3353"/>
        <s v="3515"/>
        <s v="3360"/>
        <s v="3359"/>
        <s v="3354"/>
        <s v="3358"/>
        <s v="3357"/>
        <s v="3356"/>
      </sharedItems>
    </cacheField>
    <cacheField name="Customer" numFmtId="0">
      <sharedItems containsNonDate="0" count="163">
        <s v="Pouya Nourizadeh"/>
        <s v="joel aguirre"/>
        <s v="Chris Gorman"/>
        <s v="Cesar Palomino"/>
        <s v="Vicente Fernandes"/>
        <s v="Sam Koppen"/>
        <s v="Santos Berrones"/>
        <s v="Joel Deslauriers"/>
        <s v="AFX Pro / Jackie Johnson"/>
        <s v="Joe Russo"/>
        <s v="douglas klein"/>
        <s v="Steven Mather"/>
        <s v="Elizabeth Olguin"/>
        <s v="Deborah Santoro"/>
        <s v="San Clemente High School Attn Matt Reid"/>
        <s v="Matt Frandsen"/>
        <s v="Justin Jenkins"/>
        <s v="Muhammad Ishtiaq"/>
        <s v="Matt Wimpelberg"/>
        <s v="Daniel DeBruin"/>
        <s v="Sally Piggott"/>
        <s v="Brett Henrichsen"/>
        <s v="Rick Olsen"/>
        <s v="Kevin Pacheco"/>
        <s v="Justin Ashkinazi"/>
        <s v="Henry Patterson"/>
        <s v="Umang Patel"/>
        <s v="Gabriel Fargas"/>
        <s v="Nic Castrucci"/>
        <s v="MATT DIERKES"/>
        <s v="Victor James"/>
        <s v="Dax Talbert"/>
        <s v="Edwin Raymundo"/>
        <s v="Michael Switzer"/>
        <s v="Steven Bryant"/>
        <s v="Malcolm Reddick"/>
        <s v="Aj Prudenciano"/>
        <s v="University of Wyoming"/>
        <s v="David Abisalih"/>
        <s v="Keith Smith"/>
        <s v="Naitik Patel"/>
        <s v="Fernando Serrano"/>
        <s v="Patrick OBrien"/>
        <s v="Image Engineering"/>
        <s v="Samuel Polanco"/>
        <s v="Michael Nelson"/>
        <s v="Jabari Johnson"/>
        <s v="Travis S. Johnson"/>
        <s v="Luis Trevino"/>
        <s v="Tiran Koren"/>
        <s v="Kevin Flores"/>
        <s v="Tim Young"/>
        <s v="Visual Edge"/>
        <s v="Scott Barnhill"/>
        <s v="Cristina Popa"/>
        <s v="niko alvertos"/>
        <s v="Rosice Batsuli"/>
        <s v="Joshua Barse"/>
        <s v="Angel Morales"/>
        <s v="Zachary Mazur"/>
        <s v="Carlos Sanchez"/>
        <s v="Guitar Center Professional"/>
        <s v="Steven Dobo"/>
        <s v="Joseph Gonzalez"/>
        <s v="Benjamin Kirsch"/>
        <s v="Nikolas Hernandez"/>
        <s v="Michael Greer"/>
        <s v="John Katas"/>
        <s v="Rafael Jaimes"/>
        <s v="Marlon Coronado"/>
        <s v="Phillip Singleton"/>
        <s v="Thomas C Murray IV"/>
        <s v="Michael Mastakas"/>
        <s v="Notch Wilson"/>
        <s v="John Chimento"/>
        <s v="4WALL ENTERTAINMENT, INC."/>
        <s v="Patrick Callaghan"/>
        <s v="Elliott Ehrlich"/>
        <s v="David Hicks"/>
        <s v="Alexander Luna"/>
        <s v="alexandru grigorescu"/>
        <s v="Gurpreet Chana"/>
        <s v="Timothy Mellender"/>
        <s v="Image SFX"/>
        <s v="Gonzalo Morales"/>
        <s v="Pyrotek FX"/>
        <s v="Chris Vargas"/>
        <s v="Ahmad Javed"/>
        <s v="Nelson Avalo"/>
        <s v="Bryan Griffin"/>
        <s v="frankie perez"/>
        <s v="Noel Tuttle"/>
        <s v="Matt Merle"/>
        <s v="Alexandru Razvan Grigorescu"/>
        <s v="Rohan Malhotra"/>
        <s v="Antonio Gonzalez"/>
        <s v="Stephen Bland"/>
        <s v="Cris Medina"/>
        <s v="Solotech U.S. Corporation"/>
        <s v="ER Productions"/>
        <s v="Paul Kelly"/>
        <s v="Fernando Garcia"/>
        <s v="Antonio Pouparina"/>
        <s v="Adam Spiegel"/>
        <s v="Peter Smith"/>
        <s v="Marleen Armanious"/>
        <s v="Jerry Woolen"/>
        <s v="Garth Hoffmann"/>
        <s v="Disney Cruise Line"/>
        <s v="ESI Production"/>
        <s v="Neddy Moeinzadeh"/>
        <s v="Emerson Wellens"/>
        <s v="Jeff Stirland"/>
        <s v="Cameron Reeve"/>
        <s v="Joshua Tope"/>
        <s v="Katye Conner"/>
        <s v="Ernie Valdez"/>
        <s v="Carson Parmenter"/>
        <s v="Dennis Calixto"/>
        <s v="PYROTECNICO"/>
        <s v="Hardik Prajapati"/>
        <s v="John Ferrell"/>
        <s v="Michael Bartuccelli"/>
        <s v="Dios Vazquez"/>
        <s v="Ricardo Valdillez"/>
        <s v="Pablo Zapata"/>
        <s v="Ottawa Sports and Entertainment Group"/>
        <s v="DJ Event Gear"/>
        <s v="Angel Santos"/>
        <s v="Tyrone Spencer"/>
        <s v="George Wallace"/>
        <s v="Kelly Smith"/>
        <s v="SFX Solutions"/>
        <s v="LUIS SALGADO"/>
        <s v="Felipe Moreno"/>
        <s v="Devin Henry"/>
        <s v="Abe Zytman"/>
        <s v="Ethan Mercado"/>
        <s v="Logan Steele"/>
        <s v="MTI Sound, Lighting, and Staging"/>
        <s v="Scott Gray"/>
        <s v="Jim Mathew"/>
        <s v="Raymond Mcgrath"/>
        <s v="Christopher Tiscio"/>
        <s v="Michael Duke"/>
        <s v="Capistrano Valley High School"/>
        <s v="Hedgar Sanchez"/>
        <s v="Stephen Hernandez"/>
        <s v="estefania urban"/>
        <s v="Brilliant Stages Ltd T/A TAIT"/>
        <s v="donnie latimer"/>
        <s v="Charles Huscroft"/>
        <s v="Asaf Vanunu"/>
        <s v="Sahil Mehta"/>
        <s v="PROVIDE CO.,LTD."/>
        <s v="Kryogenifex"/>
        <s v="Advanced Entertainment Services"/>
        <s v="David Dimaranan"/>
        <s v="Bes Entertainment / Matt Besemer"/>
        <s v="DMX Productions"/>
        <s v="Industrias Martinicas El Vaquero"/>
        <s v="Icon Event Group"/>
        <s v="Coco Bongo"/>
      </sharedItems>
    </cacheField>
    <cacheField name="Ordered Date" numFmtId="0">
      <sharedItems containsSemiMixedTypes="0" containsNonDate="0" containsDate="1" containsString="0" minDate="2023-08-01T00:00:00" maxDate="2023-08-31T23:51:15" count="150">
        <d v="2023-08-31T23:51:15"/>
        <d v="2023-08-31T19:29:02"/>
        <d v="2023-08-31T16:11:44"/>
        <d v="2023-08-31T15:15:27"/>
        <d v="2023-08-31T15:05:57"/>
        <d v="2023-08-31T14:15:28"/>
        <d v="2023-08-31T04:36:23"/>
        <d v="2023-08-31T01:34:16"/>
        <d v="2023-08-31T00:00:00"/>
        <d v="2023-08-30T19:26:31"/>
        <d v="2023-08-30T17:58:56"/>
        <d v="2023-08-30T17:33:48"/>
        <d v="2023-08-30T17:06:01"/>
        <d v="2023-08-30T03:00:29"/>
        <d v="2023-08-30T01:01:02"/>
        <d v="2023-08-29T22:37:42"/>
        <d v="2023-08-29T21:46:00"/>
        <d v="2023-08-29T20:00:29"/>
        <d v="2023-08-29T19:43:00"/>
        <d v="2023-08-29T18:02:18"/>
        <d v="2023-08-29T17:21:23"/>
        <d v="2023-08-29T12:43:26"/>
        <d v="2023-08-29T00:00:00"/>
        <d v="2023-08-28T23:50:40"/>
        <d v="2023-08-28T22:13:15"/>
        <d v="2023-08-28T20:53:32"/>
        <d v="2023-08-28T18:10:10"/>
        <d v="2023-08-28T18:01:08"/>
        <d v="2023-08-28T16:36:30"/>
        <d v="2023-08-28T15:32:35"/>
        <d v="2023-08-28T00:00:00"/>
        <d v="2023-08-27T15:50:23"/>
        <d v="2023-08-27T08:00:00"/>
        <d v="2023-08-25T17:46:04"/>
        <d v="2023-08-25T05:21:18"/>
        <d v="2023-08-25T02:07:01"/>
        <d v="2023-08-25T00:00:00"/>
        <d v="2023-08-24T19:44:12"/>
        <d v="2023-08-24T19:21:39"/>
        <d v="2023-08-24T16:23:44"/>
        <d v="2023-08-24T14:49:07"/>
        <d v="2023-08-24T13:56:36"/>
        <d v="2023-08-24T00:00:00"/>
        <d v="2023-08-23T23:22:38"/>
        <d v="2023-08-23T21:25:26"/>
        <d v="2023-08-23T20:02:52"/>
        <d v="2023-08-23T15:42:20"/>
        <d v="2023-08-23T06:08:39"/>
        <d v="2023-08-23T04:44:34"/>
        <d v="2023-08-23T01:27:54"/>
        <d v="2023-08-23T00:00:00"/>
        <d v="2023-08-22T20:59:45"/>
        <d v="2023-08-22T19:30:12"/>
        <d v="2023-08-22T19:26:52"/>
        <d v="2023-08-22T18:43:56"/>
        <d v="2023-08-22T16:11:18"/>
        <d v="2023-08-22T02:53:51"/>
        <d v="2023-08-22T01:40:52"/>
        <d v="2023-08-22T01:06:59"/>
        <d v="2023-08-22T00:00:00"/>
        <d v="2023-08-21T16:55:52"/>
        <d v="2023-08-21T15:34:33"/>
        <d v="2023-08-21T12:46:04"/>
        <d v="2023-08-21T00:00:00"/>
        <d v="2023-08-20T22:43:09"/>
        <d v="2023-08-19T23:02:59"/>
        <d v="2023-08-19T17:19:57"/>
        <d v="2023-08-19T05:27:13"/>
        <d v="2023-08-19T03:45:53"/>
        <d v="2023-08-18T20:30:29"/>
        <d v="2023-08-18T20:12:28"/>
        <d v="2023-08-18T02:23:38"/>
        <d v="2023-08-18T01:06:18"/>
        <d v="2023-08-18T00:00:00"/>
        <d v="2023-08-17T18:40:52"/>
        <d v="2023-08-17T17:16:06"/>
        <d v="2023-08-17T16:51:37"/>
        <d v="2023-08-17T15:02:56"/>
        <d v="2023-08-17T14:35:14"/>
        <d v="2023-08-17T06:00:18"/>
        <d v="2023-08-17T03:11:00"/>
        <d v="2023-08-17T00:00:00"/>
        <d v="2023-08-16T17:53:29"/>
        <d v="2023-08-16T15:36:39"/>
        <d v="2023-08-16T14:13:43"/>
        <d v="2023-08-16T12:17:24"/>
        <d v="2023-08-16T06:28:25"/>
        <d v="2023-08-16T05:00:02"/>
        <d v="2023-08-16T03:37:58"/>
        <d v="2023-08-16T03:09:42"/>
        <d v="2023-08-16T00:00:00"/>
        <d v="2023-08-15T19:48:49"/>
        <d v="2023-08-15T19:02:37"/>
        <d v="2023-08-15T16:50:27"/>
        <d v="2023-08-15T00:23:09"/>
        <d v="2023-08-15T00:00:00"/>
        <d v="2023-08-14T20:20:51"/>
        <d v="2023-08-14T18:56:24"/>
        <d v="2023-08-14T17:41:48"/>
        <d v="2023-08-14T16:23:26"/>
        <d v="2023-08-14T12:10:48"/>
        <d v="2023-08-14T01:45:31"/>
        <d v="2023-08-14T00:37:13"/>
        <d v="2023-08-14T00:00:00"/>
        <d v="2023-08-13T18:02:42"/>
        <d v="2023-08-13T00:48:33"/>
        <d v="2023-08-13T00:09:41"/>
        <d v="2023-08-12T21:03:38"/>
        <d v="2023-08-12T17:40:37"/>
        <d v="2023-08-12T16:40:06"/>
        <d v="2023-08-12T10:32:44"/>
        <d v="2023-08-12T07:52:08"/>
        <d v="2023-08-11T00:00:00"/>
        <d v="2023-08-10T23:55:38"/>
        <d v="2023-08-10T17:01:15"/>
        <d v="2023-08-10T02:14:19"/>
        <d v="2023-08-10T00:00:00"/>
        <d v="2023-08-09T22:05:02"/>
        <d v="2023-08-09T00:00:00"/>
        <d v="2023-08-08T13:46:01"/>
        <d v="2023-08-08T06:33:16"/>
        <d v="2023-08-08T03:59:03"/>
        <d v="2023-08-08T00:35:59"/>
        <d v="2023-08-08T00:00:00"/>
        <d v="2023-08-07T20:54:55"/>
        <d v="2023-08-07T19:02:27"/>
        <d v="2023-08-07T18:40:02"/>
        <d v="2023-08-07T17:34:49"/>
        <d v="2023-08-07T14:59:24"/>
        <d v="2023-08-07T14:48:11"/>
        <d v="2023-08-07T00:00:00"/>
        <d v="2023-08-06T23:43:21"/>
        <d v="2023-08-05T21:51:43"/>
        <d v="2023-08-05T18:30:16"/>
        <d v="2023-08-05T17:16:32"/>
        <d v="2023-08-05T04:38:57"/>
        <d v="2023-08-04T18:14:46"/>
        <d v="2023-08-04T04:13:11"/>
        <d v="2023-08-04T00:00:00"/>
        <d v="2023-08-03T21:23:24"/>
        <d v="2023-08-03T19:48:53"/>
        <d v="2023-08-03T00:00:00"/>
        <d v="2023-08-02T21:16:41"/>
        <d v="2023-08-02T19:22:32"/>
        <d v="2023-08-02T18:34:03"/>
        <d v="2023-08-02T03:17:34"/>
        <d v="2023-08-02T00:00:00"/>
        <d v="2023-08-01T14:45:37"/>
        <d v="2023-08-01T00:04:48"/>
        <d v="2023-08-01T00:00:00"/>
      </sharedItems>
      <fieldGroup base="2">
        <rangePr startDate="2023-08-01T00:00:00" endDate="2023-08-31T23:51:15" groupBy="days"/>
        <groupItems count="368">
          <s v="&lt;08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8/31/2023"/>
        </groupItems>
      </fieldGroup>
    </cacheField>
    <cacheField name="Line Item Name" numFmtId="0">
      <sharedItems containsNonDate="0" count="101">
        <s v="CC-CTC-20"/>
        <s v="CC-AC-CTAT"/>
        <s v="CC-TB-35"/>
        <s v="CC-CC2-110"/>
        <s v="CC-AC-BM-KIT"/>
        <s v="CC-CH-15-STD"/>
        <s v="CC-WASH-10"/>
        <s v="CC-AC-CCL"/>
        <s v="CC-HCCMKII-08-NC"/>
        <s v="CC-SS-35"/>
        <s v="CC-PROJ-5-110"/>
        <s v="CC-NPTC-06-STD"/>
        <s v="CC-F-COT"/>
        <s v="CC-AC-OP"/>
        <s v="CC-AC-4PM"/>
        <s v="CC-F-MFDCGAJIC"/>
        <s v="CC-CH-25-EXT"/>
        <s v="CC-CH-35-DSY"/>
        <s v="Shipping Charges"/>
        <s v="CC-AC-CTS"/>
        <s v="CC-AC-ROR"/>
        <s v="CC-CH-05-DSY"/>
        <s v="CC-CH-25-STD"/>
        <s v="CC-CH-08-DSY"/>
        <s v="CC-NPTC-10-DSY"/>
        <s v="CC-AC-CLAMP"/>
        <s v="CC-CH-50-STD"/>
        <s v="CC-AC-ROR2"/>
        <s v="CO2 Valve Replacement Seal"/>
        <s v="CC-CH-05-STD"/>
        <s v="CC-HCCMKII-15-TC"/>
        <s v="CC-HCCMKII-15-NC"/>
        <s v="CC-CH-35-STD"/>
        <s v="CC-CTC-50"/>
        <s v="Tax: CA Tax (8.75%)"/>
        <s v="CC-CH-08-STD"/>
        <s v="CC-CC2-110-JIC"/>
        <s v="CC-HCCMKII-08-TC"/>
        <s v="CC-CH-50-EXT"/>
        <s v="Obsidian RP2 Relay Pack"/>
        <s v="CC-QJ-5-110"/>
        <s v="1/2-13 x 3/4” CS screw"/>
        <s v="LED Attachment Sponge"/>
        <s v="CC-F-HEA"/>
        <s v="CC-AC-CGANPT-SET"/>
        <s v="CC-MJMKII-3-110"/>
        <s v="Fee"/>
        <s v="Shipping Fees"/>
        <s v="Slowfall Confetti Rectangles (White)"/>
        <s v="Slowfall Confetti Rectangles (Multicolor)"/>
        <s v="CC-AC-RAA"/>
        <s v="CC-F-DCHA"/>
        <s v="CC-SM-5"/>
        <s v="CC-PROJ-5-110-JIC"/>
        <s v="CC-F-MQCNPTM"/>
        <s v="True1 Jumper - 15 Inches"/>
        <s v="XLR Jumper - 5 Pin"/>
        <s v="CC-AC-LA2"/>
        <s v="CC-F-FQCNPTF"/>
        <s v="25FT CO2 Hose - 3/8&quot; NPT Male Swivel x JIC"/>
        <s v=" CC-AC-CGAJIC-SET"/>
        <s v="CC-QJ-5-110-JIC"/>
        <s v="CC-CH-05-EXT"/>
        <s v="#12 x 1/2&quot; High Low Thread Forming Screws / Phillips / Pan Head / Steel / Black Zinc"/>
        <s v="Mocap 1/2” hole cap"/>
        <s v="Compressible-Stem Push-In Bumpers"/>
        <s v="Micro Jet MKII Foot Assembly"/>
        <s v="8-32 x 3/8&quot; Binding Screw"/>
        <s v="CC-CH-05-MFD"/>
        <s v="CC-AC-TC"/>
        <s v="CC-AC-TB-KIT"/>
        <s v="CC-F-DCHA-PYROTEK"/>
        <s v="Pro Jet Base Plate"/>
        <s v="CC-HCCMKII-25-NC"/>
        <s v="Club Cannon Device Programmer - IDC"/>
        <s v="CC-F-HEA-F"/>
        <s v="CC-F-CGA-FQC"/>
        <s v="CC-AC-4PM-QC"/>
        <s v="CC-CH-03.5-EXT"/>
        <s v="CC-CH-15-EXT"/>
        <s v="CC-CH-35-EXT"/>
        <s v="CC-CH-XX-EXT"/>
        <s v="TJC Screen 2.4"/>
        <s v="Repair"/>
        <s v="CC-CH-100-STD"/>
        <s v="CC-CC-110"/>
        <s v="CC-MJMKII-5-110"/>
        <s v="CC-WASH-01"/>
        <s v="CC-AC-PMA"/>
        <s v="CO2-T - BSPP"/>
        <s v="CC-F-MQCBSPPF"/>
        <s v="6in Barrel Assembly Powdercoated"/>
        <s v="CC-PROJ-5-220-JIC"/>
        <s v="CC-AC-CJLEDA"/>
        <s v="CC-AC-CGA-INT-SET"/>
        <s v="CC-WASH-INT-01"/>
        <s v="3.5FT CO2 HOSE - JIC X JIC 3.5FT CO2 HOSE - FEMALE JIC #6 X FEMALE JIC #6"/>
        <s v="3/8&quot; NPT Female x #6 JIC Male Adapter"/>
        <s v="The Button Key Assembly - 1"/>
        <s v="Large Key Lock Switch Assembly"/>
        <s v="CC-AC-LGK"/>
      </sharedItems>
    </cacheField>
    <cacheField name="Line Item Description" numFmtId="0">
      <sharedItems containsNonDate="0" containsBlank="1" count="104">
        <s v="CO2 Tank Covers - 20lb Cover"/>
        <s v="Co2 Tank Attachment Tool"/>
        <s v="The Button - with both 3 &amp; 5 pin DMX ports"/>
        <s v="Cryo Clamp II, 110v, Weatherproof CO2 Jet"/>
        <s v="Ball Mount Assembly for Cryo Clamp with 4x 10-32 x 3/8&quot; socket head screws"/>
        <s v="Co2 Hose 15FT Standard Config"/>
        <s v="CO2 Washers (10 pack)"/>
        <s v="CO2 Cylinder Link"/>
        <s v="Handheld CO2 Cannon MKII"/>
        <s v="ShoStarter DMX Controller with 3 &amp; 5 Pin Connectors in Box"/>
        <s v="Pro Jet"/>
        <s v="Neutrik PowerCON True1 Cords - 6FT, Standard"/>
        <s v="Hose Adapters - #3 – CO2 Output Terminator"/>
        <s v="CO2 Tank Tool + Washers - Yes - add tool and washers +$15.00"/>
        <s v="4 Port Co2 Manifold - 4x JIC 3/8&quot; Inlets, 1x JIC 3/8&quot; Outlet with Truss Bracket"/>
        <s v="Adapter for use with Manifold - to attach standard CGA-320 hose configuration"/>
        <s v="Co2 Hose 25FT Extension Config"/>
        <s v="Co2 Hose 35FT Daisy Chain"/>
        <m/>
        <s v="CO2 Tank Splitter"/>
        <s v="Replacement O-Ring"/>
        <s v="Co2 Hose 05FT Daisy Chain"/>
        <s v="Co2 Hose 25FT Standard Config"/>
        <s v="Co2 Hose 08FT Daisy Chain"/>
        <s v="Neutrik PowerCON True1 Cords - 10FT, Daisy Chain"/>
        <s v="Truss Clamp"/>
        <s v="Co2 Hose 50FT Standard Config"/>
        <s v="Replacement O-Ring - 2023 Quick Connects. EPDM"/>
        <s v="Teflon &amp; Brass seal for 1/4&quot; CO2 Valve"/>
        <s v="Co2 Hose 05FT Standard Config"/>
        <s v="Handheld MKII in travel case with 15ft hose"/>
        <s v="Co2 Hose 35FT Standard Config"/>
        <s v="CO2 Tank Covers - 50lb Cover"/>
        <s v="Co2 Hose 08FT Standard Config"/>
        <s v="Cryo Clamp II, 110v, Weatherproof CO2 Jet with JIC Inlet"/>
        <s v="Handheld MKII in travel case with 8ft hose"/>
        <s v="Co2 Hose 50FT Extension Config"/>
        <s v="2 Output DMX Relay with Timer"/>
        <s v="Quad Jet 110v with 5 Pin DMX With Barrels"/>
        <s v="1/2-13 x 3/4” CS screw"/>
        <s v="Tubular Sponge"/>
        <s v="Hose Adapters - #2 – Hose Extension Adapter"/>
        <s v="CGA-320 to 1/4&quot; NPT adapter with nut."/>
        <s v="Micro CO2 Jet MKII"/>
        <s v="CC Processing Fee"/>
        <s v="Owl Vision Confetti - 1KG"/>
        <s v="MagicFX Confetti - 1KG"/>
        <s v="Right Angle Adapter"/>
        <s v="#5 - Daisy Chain Adapter"/>
        <s v="ShoMaster Console"/>
        <s v="Pro Jet - 5 Pin, 110v, JIC in/out"/>
        <s v="Hose Adapters - #1 – Male Quick Connect (3/8″ NPT Male)"/>
        <s v="True1 Male x True1 Female jumper for LED Attachment"/>
        <s v="LED Attachment XLR jumper"/>
        <s v="LED Attachment for DMX Jet, DMX Jet MKII, and Pro Jet."/>
        <s v="Hose Adapters - #4 – Female Quick Connect (3/8″ NPT Female)"/>
        <s v="25FT CO2 Hose - 3/8&quot; NPT Male Swivel x JIC #6 female"/>
        <s v="CGA-320 to JIC adapter with nut."/>
        <s v="Quad Jet 110v with 5 Pin DMX, JIC Connections"/>
        <s v="Owl Vision Confetti - 1KG (2.25LB)"/>
        <s v="Co2 Hose 05FT Extension Config"/>
        <s v="Pro Jet feet screws (thread forming)"/>
        <s v="Mocap 1/2” hole cap"/>
        <s v="Compressible-Stem Push-In Bumpers"/>
        <s v="Micro Jet Foot with Binder Post"/>
        <s v="Micro Jet MKII Foot Screw"/>
        <s v="5FT CO2 Hose (CGA-320 x Female JIC 3/8&quot;) For use with Manifold"/>
        <s v="Travel Case"/>
        <s v="Cryo Clamp wall mount bracket kit with included 1/2-13 x 3/4&quot; stainless pan head screw"/>
        <s v="Pro Jet, 5 Pin, 110v. NO HOSE"/>
        <s v="Daisy Chain Adapter (1/2&quot; JIC)"/>
        <s v="Pro Jet Base Plate"/>
        <s v="Handheld MKII in box with 25ft hose"/>
        <s v="Used for uploading bootloader onto Club Cannon products"/>
        <s v="Male QC x Female JIC"/>
        <s v="CGA-320 Female to Female Quick Connect"/>
        <s v="4 Port Co2 Manifold - 4x MQC Inlets, 1x FQC Outlet with Truss Bracket"/>
        <s v="Co2 Hose 3.5FT Extension Config"/>
        <s v="Co2 Hose 15FT Extension Config"/>
        <s v="Co2 Hose 35FT Extension Config"/>
        <s v="Co2 Hose Custom Length Extension - 20m"/>
        <s v="TJC3224T124_011"/>
        <s v="LED Attachment repair. Replaced wire harness, issue resolved."/>
        <s v="Warranty / T&amp;M - The Button: Serial 31647. Disconnected harness"/>
        <s v="CO2 Hose (100FT, Standard configuration). Upgrading from included 15' hose."/>
        <s v="Cryo Clamp - 110 Volt"/>
        <s v="CO2 Hose"/>
        <s v="CO2 Washers"/>
        <s v="Single CO2 Washer"/>
        <s v="Customer stated Cryo Controller (Serial #0119324) was acting up. Able to verify screen and motherboard out of sync. Reset via touchscreen solved issue. Verified to be performing normally."/>
        <s v="1/4&quot; TS Power mode Adapter"/>
        <s v="Brass Center Pull Co2 passthrough with male BSPP"/>
        <s v="3/8&quot; MQC Quick Connect Fitting BSPP thread"/>
        <s v="Co2 Hose 15FT Standard Config (Included)"/>
        <s v="6in Jet Barrel with powdercoating"/>
        <s v="Pro Jet - 5 Pin, 220v, JIC in/out"/>
        <s v="Co2 Jet LED Attachment"/>
        <s v="International CO2 fitting with JIC adapter (#8 for Pyrotek) - This adapter covers Europe, Africa, Asia &amp; Australian CO2 tanks."/>
        <s v="Single CO2 Washer - International"/>
        <s v="3.5FT CO2 HOSE - JIC X JIC"/>
        <s v="3/8&quot; NPT Female x #6 JIC Male Adapter"/>
        <s v="Key Switch with Wires and JST Connector for The Button"/>
        <s v="Large 2 Position Key switch with TE connector"/>
        <s v="Replacement Keys - Shomaster &amp; ShoStarter"/>
      </sharedItems>
    </cacheField>
    <cacheField name="Order Quantity" numFmtId="0">
      <sharedItems containsSemiMixedTypes="0" containsNonDate="0" containsString="0" containsNumber="1" containsInteger="1" minValue="1" maxValue="300" count="25">
        <n v="1"/>
        <n v="12"/>
        <n v="4"/>
        <n v="2"/>
        <n v="8"/>
        <n v="5"/>
        <n v="6"/>
        <n v="3"/>
        <n v="14"/>
        <n v="40"/>
        <n v="20"/>
        <n v="16"/>
        <n v="10"/>
        <n v="33"/>
        <n v="25"/>
        <n v="13"/>
        <n v="26"/>
        <n v="24"/>
        <n v="55"/>
        <n v="7"/>
        <n v="100"/>
        <n v="80"/>
        <n v="300"/>
        <n v="48"/>
        <n v="120"/>
      </sharedItems>
    </cacheField>
    <cacheField name="Unit Price" numFmtId="0">
      <sharedItems containsSemiMixedTypes="0" containsNonDate="0" containsString="0" containsNumber="1" minValue="0" maxValue="3199.99" count="110">
        <n v="49.99"/>
        <n v="9.99"/>
        <n v="399.99"/>
        <n v="499.99"/>
        <n v="0"/>
        <n v="149.99"/>
        <n v="8.99"/>
        <n v="119.99"/>
        <n v="349.99"/>
        <n v="1199.99"/>
        <n v="1299.99"/>
        <n v="179.99"/>
        <n v="19.99"/>
        <n v="199.99"/>
        <n v="249.99"/>
        <n v="37.4925"/>
        <n v="25"/>
        <n v="1.99"/>
        <n v="99.98999999999999"/>
        <n v="50"/>
        <n v="109.99"/>
        <n v="59.99"/>
        <n v="15"/>
        <n v="22.4925"/>
        <n v="82.49250000000001"/>
        <n v="224.9925"/>
        <n v="190"/>
        <n v="974.9924999999999"/>
        <n v="65"/>
        <n v="599.99"/>
        <n v="449.9925"/>
        <n v="89.99250000000001"/>
        <n v="187.4925"/>
        <n v="44.9925"/>
        <n v="180"/>
        <n v="757.29"/>
        <n v="29.99"/>
        <n v="299.99"/>
        <n v="374.99"/>
        <n v="374.9925"/>
        <n v="210"/>
        <n v="549.99"/>
        <n v="175"/>
        <n v="337.49"/>
        <n v="37.49"/>
        <n v="295"/>
        <n v="2499.99"/>
        <n v="75"/>
        <n v="8.49"/>
        <n v="387.49"/>
        <n v="22.99"/>
        <n v="637.4924999999999"/>
        <n v="299.9925"/>
        <n v="47.2491"/>
        <n v="35"/>
        <n v="15.99"/>
        <n v="120"/>
        <n v="78.68000000000001"/>
        <n v="3199.99"/>
        <n v="330"/>
        <n v="900"/>
        <n v="500"/>
        <n v="14.99"/>
        <n v="375"/>
        <n v="140"/>
        <n v="24.99"/>
        <n v="1625"/>
        <n v="100"/>
        <n v="60"/>
        <n v="74.98999999999999"/>
        <n v="219.99"/>
        <n v="56.87"/>
        <n v="429.99"/>
        <n v="280"/>
        <n v="18.7425"/>
        <n v="48.7425"/>
        <n v="63.7425"/>
        <n v="112.4925"/>
        <n v="281.2425"/>
        <n v="150"/>
        <n v="849.99"/>
        <n v="181.53"/>
        <n v="359.991"/>
        <n v="51.55"/>
        <n v="300"/>
        <n v="40"/>
        <n v="782.991"/>
        <n v="269.991"/>
        <n v="107.991"/>
        <n v="188.23"/>
        <n v="14.9925"/>
        <n v="20"/>
        <n v="227.5"/>
        <n v="5.99"/>
        <n v="899.9924999999999"/>
        <n v="652.4924999999999"/>
        <n v="3152.11"/>
        <n v="80"/>
        <n v="30"/>
        <n v="599.9924999999999"/>
        <n v="1874.9925"/>
        <n v="380"/>
        <n v="33.7425"/>
        <n v="0.375"/>
        <n v="38.57142825"/>
        <n v="3.64285725"/>
        <n v="172.82"/>
        <n v="105"/>
        <n v="149.9925"/>
        <n v="93.73"/>
      </sharedItems>
    </cacheField>
    <cacheField name="Total Line Item $" numFmtId="0">
      <sharedItems containsSemiMixedTypes="0" containsNonDate="0" containsString="0" containsNumber="1" minValue="0" maxValue="29700" count="174">
        <n v="49.99"/>
        <n v="119.88"/>
        <n v="399.99"/>
        <n v="499.99"/>
        <n v="0"/>
        <n v="149.99"/>
        <n v="9.99"/>
        <n v="8.99"/>
        <n v="119.99"/>
        <n v="39.96"/>
        <n v="349.99"/>
        <n v="1199.99"/>
        <n v="5199.96"/>
        <n v="179.99"/>
        <n v="79.95999999999999"/>
        <n v="399.98"/>
        <n v="499.98"/>
        <n v="299.94"/>
        <n v="25"/>
        <n v="99.98"/>
        <n v="17.98"/>
        <n v="1.99"/>
        <n v="44.95"/>
        <n v="1299.99"/>
        <n v="99.98999999999999"/>
        <n v="50"/>
        <n v="109.99"/>
        <n v="59.99"/>
        <n v="299.98"/>
        <n v="30"/>
        <n v="89.97"/>
        <n v="494.955"/>
        <n v="899.97"/>
        <n v="190"/>
        <n v="3899.97"/>
        <n v="65"/>
        <n v="15"/>
        <n v="599.99"/>
        <n v="799.98"/>
        <n v="219.98"/>
        <n v="199.98"/>
        <n v="5849.955"/>
        <n v="134.955"/>
        <n v="449.9925"/>
        <n v="1079.91"/>
        <n v="374.985"/>
        <n v="269.955"/>
        <n v="180"/>
        <n v="757.29"/>
        <n v="699.98"/>
        <n v="59.98"/>
        <n v="299.99"/>
        <n v="374.99"/>
        <n v="199.99"/>
        <n v="239.98"/>
        <n v="5249.895"/>
        <n v="210"/>
        <n v="1099.98"/>
        <n v="1999.95"/>
        <n v="2599.98"/>
        <n v="350"/>
        <n v="337.49"/>
        <n v="37.49"/>
        <n v="3999.92"/>
        <n v="2399.92"/>
        <n v="590"/>
        <n v="2499.99"/>
        <n v="700"/>
        <n v="75"/>
        <n v="1679.86"/>
        <n v="118.86"/>
        <n v="39.98"/>
        <n v="774.98"/>
        <n v="239.88"/>
        <n v="719.9400000000001"/>
        <n v="53.94"/>
        <n v="22.99"/>
        <n v="29.99"/>
        <n v="1274.985"/>
        <n v="299.9925"/>
        <n v="47.2491"/>
        <n v="35"/>
        <n v="639.6"/>
        <n v="319.8"/>
        <n v="120"/>
        <n v="19.98"/>
        <n v="599.88"/>
        <n v="78.68000000000001"/>
        <n v="19.99"/>
        <n v="3199.99"/>
        <n v="499.9"/>
        <n v="84.90000000000001"/>
        <n v="330"/>
        <n v="29700"/>
        <n v="500"/>
        <n v="249.95"/>
        <n v="14.99"/>
        <n v="549.99"/>
        <n v="3750"/>
        <n v="175"/>
        <n v="140"/>
        <n v="24.99"/>
        <n v="479.96"/>
        <n v="35.96"/>
        <n v="3250"/>
        <n v="100"/>
        <n v="60"/>
        <n v="45.98"/>
        <n v="9.949999999999999"/>
        <n v="149.98"/>
        <n v="219.99"/>
        <n v="799.96"/>
        <n v="56.87"/>
        <n v="11700"/>
        <n v="584.8049999999999"/>
        <n v="429.99"/>
        <n v="9999.959999999999"/>
        <n v="280"/>
        <n v="29.97"/>
        <n v="112.4625"/>
        <n v="93.71250000000001"/>
        <n v="2680.8375"/>
        <n v="1312.4475"/>
        <n v="1529.82"/>
        <n v="787.4475"/>
        <n v="749.97"/>
        <n v="224.9925"/>
        <n v="1124.97"/>
        <n v="150"/>
        <n v="3399.96"/>
        <n v="1599.96"/>
        <n v="239.92"/>
        <n v="181.53"/>
        <n v="359.991"/>
        <n v="51.55"/>
        <n v="249.99"/>
        <n v="300"/>
        <n v="40"/>
        <n v="4697.946"/>
        <n v="539.982"/>
        <n v="863.928"/>
        <n v="188.23"/>
        <n v="239.96"/>
        <n v="89.955"/>
        <n v="20"/>
        <n v="359.94"/>
        <n v="49.98"/>
        <n v="119.98"/>
        <n v="227.5"/>
        <n v="23.96"/>
        <n v="1499.9625"/>
        <n v="899.9924999999999"/>
        <n v="4499.925"/>
        <n v="6524.925"/>
        <n v="9749.924999999999"/>
        <n v="1124.925"/>
        <n v="2249.925"/>
        <n v="3152.11"/>
        <n v="1600"/>
        <n v="4874.9625"/>
        <n v="2999.9625"/>
        <n v="80"/>
        <n v="7499.97"/>
        <n v="380"/>
        <n v="599.98"/>
        <n v="3374.25"/>
        <n v="112.5"/>
        <n v="1851.428556"/>
        <n v="437.14287"/>
        <n v="172.82"/>
        <n v="105"/>
        <n v="1199.94"/>
        <n v="93.73"/>
        <n v="799.9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3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82" createdVersion="7">
  <cacheSource type="worksheet">
    <worksheetSource ref="D2:F484" sheet="August 2023"/>
  </cacheSource>
  <cacheFields count="3">
    <cacheField name="Line Item Name" numFmtId="0">
      <sharedItems containsNonDate="0" count="101">
        <s v="CC-CTC-20"/>
        <s v="CC-AC-CTAT"/>
        <s v="CC-TB-35"/>
        <s v="CC-CC2-110"/>
        <s v="CC-AC-BM-KIT"/>
        <s v="CC-CH-15-STD"/>
        <s v="CC-WASH-10"/>
        <s v="CC-AC-CCL"/>
        <s v="CC-HCCMKII-08-NC"/>
        <s v="CC-SS-35"/>
        <s v="CC-PROJ-5-110"/>
        <s v="CC-NPTC-06-STD"/>
        <s v="CC-F-COT"/>
        <s v="CC-AC-OP"/>
        <s v="CC-AC-4PM"/>
        <s v="CC-F-MFDCGAJIC"/>
        <s v="CC-CH-25-EXT"/>
        <s v="CC-CH-35-DSY"/>
        <s v="Shipping Charges"/>
        <s v="CC-AC-CTS"/>
        <s v="CC-AC-ROR"/>
        <s v="CC-CH-05-DSY"/>
        <s v="CC-CH-25-STD"/>
        <s v="CC-CH-08-DSY"/>
        <s v="CC-NPTC-10-DSY"/>
        <s v="CC-AC-CLAMP"/>
        <s v="CC-CH-50-STD"/>
        <s v="CC-AC-ROR2"/>
        <s v="CO2 Valve Replacement Seal"/>
        <s v="CC-CH-05-STD"/>
        <s v="CC-HCCMKII-15-TC"/>
        <s v="CC-HCCMKII-15-NC"/>
        <s v="CC-CH-35-STD"/>
        <s v="CC-CTC-50"/>
        <s v="Tax: CA Tax (8.75%)"/>
        <s v="CC-CH-08-STD"/>
        <s v="CC-CC2-110-JIC"/>
        <s v="CC-HCCMKII-08-TC"/>
        <s v="CC-CH-50-EXT"/>
        <s v="Obsidian RP2 Relay Pack"/>
        <s v="CC-QJ-5-110"/>
        <s v="1/2-13 x 3/4” CS screw"/>
        <s v="LED Attachment Sponge"/>
        <s v="CC-F-HEA"/>
        <s v="CC-AC-CGANPT-SET"/>
        <s v="CC-MJMKII-3-110"/>
        <s v="Fee"/>
        <s v="Shipping Fees"/>
        <s v="Slowfall Confetti Rectangles (White)"/>
        <s v="Slowfall Confetti Rectangles (Multicolor)"/>
        <s v="CC-AC-RAA"/>
        <s v="CC-F-DCHA"/>
        <s v="CC-SM-5"/>
        <s v="CC-PROJ-5-110-JIC"/>
        <s v="CC-F-MQCNPTM"/>
        <s v="True1 Jumper - 15 Inches"/>
        <s v="XLR Jumper - 5 Pin"/>
        <s v="CC-AC-LA2"/>
        <s v="CC-F-FQCNPTF"/>
        <s v="25FT CO2 Hose - 3/8&quot; NPT Male Swivel x JIC"/>
        <s v=" CC-AC-CGAJIC-SET"/>
        <s v="CC-QJ-5-110-JIC"/>
        <s v="CC-CH-05-EXT"/>
        <s v="#12 x 1/2&quot; High Low Thread Forming Screws / Phillips / Pan Head / Steel / Black Zinc"/>
        <s v="Mocap 1/2” hole cap"/>
        <s v="Compressible-Stem Push-In Bumpers"/>
        <s v="Micro Jet MKII Foot Assembly"/>
        <s v="8-32 x 3/8&quot; Binding Screw"/>
        <s v="CC-CH-05-MFD"/>
        <s v="CC-AC-TC"/>
        <s v="CC-AC-TB-KIT"/>
        <s v="CC-F-DCHA-PYROTEK"/>
        <s v="Pro Jet Base Plate"/>
        <s v="CC-HCCMKII-25-NC"/>
        <s v="Club Cannon Device Programmer - IDC"/>
        <s v="CC-F-HEA-F"/>
        <s v="CC-F-CGA-FQC"/>
        <s v="CC-AC-4PM-QC"/>
        <s v="CC-CH-03.5-EXT"/>
        <s v="CC-CH-15-EXT"/>
        <s v="CC-CH-35-EXT"/>
        <s v="CC-CH-XX-EXT"/>
        <s v="TJC Screen 2.4"/>
        <s v="Repair"/>
        <s v="CC-CH-100-STD"/>
        <s v="CC-CC-110"/>
        <s v="CC-MJMKII-5-110"/>
        <s v="CC-WASH-01"/>
        <s v="CC-AC-PMA"/>
        <s v="CO2-T - BSPP"/>
        <s v="CC-F-MQCBSPPF"/>
        <s v="6in Barrel Assembly Powdercoated"/>
        <s v="CC-PROJ-5-220-JIC"/>
        <s v="CC-AC-CJLEDA"/>
        <s v="CC-AC-CGA-INT-SET"/>
        <s v="CC-WASH-INT-01"/>
        <s v="3.5FT CO2 HOSE - JIC X JIC 3.5FT CO2 HOSE - FEMALE JIC #6 X FEMALE JIC #6"/>
        <s v="3/8&quot; NPT Female x #6 JIC Male Adapter"/>
        <s v="The Button Key Assembly - 1"/>
        <s v="Large Key Lock Switch Assembly"/>
        <s v="CC-AC-LGK"/>
      </sharedItems>
    </cacheField>
    <cacheField name="Line Item Description" numFmtId="0">
      <sharedItems containsNonDate="0" containsBlank="1" count="104">
        <s v="CO2 Tank Covers - 20lb Cover"/>
        <s v="Co2 Tank Attachment Tool"/>
        <s v="The Button - with both 3 &amp; 5 pin DMX ports"/>
        <s v="Cryo Clamp II, 110v, Weatherproof CO2 Jet"/>
        <s v="Ball Mount Assembly for Cryo Clamp with 4x 10-32 x 3/8&quot; socket head screws"/>
        <s v="Co2 Hose 15FT Standard Config"/>
        <s v="CO2 Washers (10 pack)"/>
        <s v="CO2 Cylinder Link"/>
        <s v="Handheld CO2 Cannon MKII"/>
        <s v="ShoStarter DMX Controller with 3 &amp; 5 Pin Connectors in Box"/>
        <s v="Pro Jet"/>
        <s v="Neutrik PowerCON True1 Cords - 6FT, Standard"/>
        <s v="Hose Adapters - #3 – CO2 Output Terminator"/>
        <s v="CO2 Tank Tool + Washers - Yes - add tool and washers +$15.00"/>
        <s v="4 Port Co2 Manifold - 4x JIC 3/8&quot; Inlets, 1x JIC 3/8&quot; Outlet with Truss Bracket"/>
        <s v="Adapter for use with Manifold - to attach standard CGA-320 hose configuration"/>
        <s v="Co2 Hose 25FT Extension Config"/>
        <s v="Co2 Hose 35FT Daisy Chain"/>
        <m/>
        <s v="CO2 Tank Splitter"/>
        <s v="Replacement O-Ring"/>
        <s v="Co2 Hose 05FT Daisy Chain"/>
        <s v="Co2 Hose 25FT Standard Config"/>
        <s v="Co2 Hose 08FT Daisy Chain"/>
        <s v="Neutrik PowerCON True1 Cords - 10FT, Daisy Chain"/>
        <s v="Truss Clamp"/>
        <s v="Co2 Hose 50FT Standard Config"/>
        <s v="Replacement O-Ring - 2023 Quick Connects. EPDM"/>
        <s v="Teflon &amp; Brass seal for 1/4&quot; CO2 Valve"/>
        <s v="Co2 Hose 05FT Standard Config"/>
        <s v="Handheld MKII in travel case with 15ft hose"/>
        <s v="Co2 Hose 35FT Standard Config"/>
        <s v="CO2 Tank Covers - 50lb Cover"/>
        <s v="Co2 Hose 08FT Standard Config"/>
        <s v="Cryo Clamp II, 110v, Weatherproof CO2 Jet with JIC Inlet"/>
        <s v="Handheld MKII in travel case with 8ft hose"/>
        <s v="Co2 Hose 50FT Extension Config"/>
        <s v="2 Output DMX Relay with Timer"/>
        <s v="Quad Jet 110v with 5 Pin DMX With Barrels"/>
        <s v="1/2-13 x 3/4” CS screw"/>
        <s v="Tubular Sponge"/>
        <s v="Hose Adapters - #2 – Hose Extension Adapter"/>
        <s v="CGA-320 to 1/4&quot; NPT adapter with nut."/>
        <s v="Micro CO2 Jet MKII"/>
        <s v="CC Processing Fee"/>
        <s v="Owl Vision Confetti - 1KG"/>
        <s v="MagicFX Confetti - 1KG"/>
        <s v="Right Angle Adapter"/>
        <s v="#5 - Daisy Chain Adapter"/>
        <s v="ShoMaster Console"/>
        <s v="Pro Jet - 5 Pin, 110v, JIC in/out"/>
        <s v="Hose Adapters - #1 – Male Quick Connect (3/8″ NPT Male)"/>
        <s v="True1 Male x True1 Female jumper for LED Attachment"/>
        <s v="LED Attachment XLR jumper"/>
        <s v="LED Attachment for DMX Jet, DMX Jet MKII, and Pro Jet."/>
        <s v="Hose Adapters - #4 – Female Quick Connect (3/8″ NPT Female)"/>
        <s v="25FT CO2 Hose - 3/8&quot; NPT Male Swivel x JIC #6 female"/>
        <s v="CGA-320 to JIC adapter with nut."/>
        <s v="Quad Jet 110v with 5 Pin DMX, JIC Connections"/>
        <s v="Owl Vision Confetti - 1KG (2.25LB)"/>
        <s v="Co2 Hose 05FT Extension Config"/>
        <s v="Pro Jet feet screws (thread forming)"/>
        <s v="Mocap 1/2” hole cap"/>
        <s v="Compressible-Stem Push-In Bumpers"/>
        <s v="Micro Jet Foot with Binder Post"/>
        <s v="Micro Jet MKII Foot Screw"/>
        <s v="5FT CO2 Hose (CGA-320 x Female JIC 3/8&quot;) For use with Manifold"/>
        <s v="Travel Case"/>
        <s v="Cryo Clamp wall mount bracket kit with included 1/2-13 x 3/4&quot; stainless pan head screw"/>
        <s v="Pro Jet, 5 Pin, 110v. NO HOSE"/>
        <s v="Daisy Chain Adapter (1/2&quot; JIC)"/>
        <s v="Pro Jet Base Plate"/>
        <s v="Handheld MKII in box with 25ft hose"/>
        <s v="Used for uploading bootloader onto Club Cannon products"/>
        <s v="Male QC x Female JIC"/>
        <s v="CGA-320 Female to Female Quick Connect"/>
        <s v="4 Port Co2 Manifold - 4x MQC Inlets, 1x FQC Outlet with Truss Bracket"/>
        <s v="Co2 Hose 3.5FT Extension Config"/>
        <s v="Co2 Hose 15FT Extension Config"/>
        <s v="Co2 Hose 35FT Extension Config"/>
        <s v="Co2 Hose Custom Length Extension - 20m"/>
        <s v="TJC3224T124_011"/>
        <s v="LED Attachment repair. Replaced wire harness, issue resolved."/>
        <s v="Warranty / T&amp;M - The Button: Serial 31647. Disconnected harness"/>
        <s v="CO2 Hose (100FT, Standard configuration). Upgrading from included 15' hose."/>
        <s v="Cryo Clamp - 110 Volt"/>
        <s v="CO2 Hose"/>
        <s v="CO2 Washers"/>
        <s v="Single CO2 Washer"/>
        <s v="Customer stated Cryo Controller (Serial #0119324) was acting up. Able to verify screen and motherboard out of sync. Reset via touchscreen solved issue. Verified to be performing normally."/>
        <s v="1/4&quot; TS Power mode Adapter"/>
        <s v="Brass Center Pull Co2 passthrough with male BSPP"/>
        <s v="3/8&quot; MQC Quick Connect Fitting BSPP thread"/>
        <s v="Co2 Hose 15FT Standard Config (Included)"/>
        <s v="6in Jet Barrel with powdercoating"/>
        <s v="Pro Jet - 5 Pin, 220v, JIC in/out"/>
        <s v="Co2 Jet LED Attachment"/>
        <s v="International CO2 fitting with JIC adapter (#8 for Pyrotek) - This adapter covers Europe, Africa, Asia &amp; Australian CO2 tanks."/>
        <s v="Single CO2 Washer - International"/>
        <s v="3.5FT CO2 HOSE - JIC X JIC"/>
        <s v="3/8&quot; NPT Female x #6 JIC Male Adapter"/>
        <s v="Key Switch with Wires and JST Connector for The Button"/>
        <s v="Large 2 Position Key switch with TE connector"/>
        <s v="Replacement Keys - Shomaster &amp; ShoStarter"/>
      </sharedItems>
    </cacheField>
    <cacheField name="Order Quantity" numFmtId="0">
      <sharedItems containsSemiMixedTypes="0" containsNonDate="0" containsString="0" containsNumber="1" containsInteger="1" minValue="1" maxValue="300" count="25">
        <n v="1"/>
        <n v="12"/>
        <n v="4"/>
        <n v="2"/>
        <n v="8"/>
        <n v="5"/>
        <n v="6"/>
        <n v="3"/>
        <n v="14"/>
        <n v="40"/>
        <n v="20"/>
        <n v="16"/>
        <n v="10"/>
        <n v="33"/>
        <n v="25"/>
        <n v="13"/>
        <n v="26"/>
        <n v="24"/>
        <n v="55"/>
        <n v="7"/>
        <n v="100"/>
        <n v="80"/>
        <n v="300"/>
        <n v="48"/>
        <n v="12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482" createdVersion="7">
  <cacheSource type="worksheet">
    <worksheetSource ref="D2:H484" sheet="August 2023"/>
  </cacheSource>
  <cacheFields count="5">
    <cacheField name="Line Item Name" numFmtId="0">
      <sharedItems containsNonDate="0" count="101">
        <s v="CC-CTC-20"/>
        <s v="CC-AC-CTAT"/>
        <s v="CC-TB-35"/>
        <s v="CC-CC2-110"/>
        <s v="CC-AC-BM-KIT"/>
        <s v="CC-CH-15-STD"/>
        <s v="CC-WASH-10"/>
        <s v="CC-AC-CCL"/>
        <s v="CC-HCCMKII-08-NC"/>
        <s v="CC-SS-35"/>
        <s v="CC-PROJ-5-110"/>
        <s v="CC-NPTC-06-STD"/>
        <s v="CC-F-COT"/>
        <s v="CC-AC-OP"/>
        <s v="CC-AC-4PM"/>
        <s v="CC-F-MFDCGAJIC"/>
        <s v="CC-CH-25-EXT"/>
        <s v="CC-CH-35-DSY"/>
        <s v="Shipping Charges"/>
        <s v="CC-AC-CTS"/>
        <s v="CC-AC-ROR"/>
        <s v="CC-CH-05-DSY"/>
        <s v="CC-CH-25-STD"/>
        <s v="CC-CH-08-DSY"/>
        <s v="CC-NPTC-10-DSY"/>
        <s v="CC-AC-CLAMP"/>
        <s v="CC-CH-50-STD"/>
        <s v="CC-AC-ROR2"/>
        <s v="CO2 Valve Replacement Seal"/>
        <s v="CC-CH-05-STD"/>
        <s v="CC-HCCMKII-15-TC"/>
        <s v="CC-HCCMKII-15-NC"/>
        <s v="CC-CH-35-STD"/>
        <s v="CC-CTC-50"/>
        <s v="Tax: CA Tax (8.75%)"/>
        <s v="CC-CH-08-STD"/>
        <s v="CC-CC2-110-JIC"/>
        <s v="CC-HCCMKII-08-TC"/>
        <s v="CC-CH-50-EXT"/>
        <s v="Obsidian RP2 Relay Pack"/>
        <s v="CC-QJ-5-110"/>
        <s v="1/2-13 x 3/4” CS screw"/>
        <s v="LED Attachment Sponge"/>
        <s v="CC-F-HEA"/>
        <s v="CC-AC-CGANPT-SET"/>
        <s v="CC-MJMKII-3-110"/>
        <s v="Fee"/>
        <s v="Shipping Fees"/>
        <s v="Slowfall Confetti Rectangles (White)"/>
        <s v="Slowfall Confetti Rectangles (Multicolor)"/>
        <s v="CC-AC-RAA"/>
        <s v="CC-F-DCHA"/>
        <s v="CC-SM-5"/>
        <s v="CC-PROJ-5-110-JIC"/>
        <s v="CC-F-MQCNPTM"/>
        <s v="True1 Jumper - 15 Inches"/>
        <s v="XLR Jumper - 5 Pin"/>
        <s v="CC-AC-LA2"/>
        <s v="CC-F-FQCNPTF"/>
        <s v="25FT CO2 Hose - 3/8&quot; NPT Male Swivel x JIC"/>
        <s v=" CC-AC-CGAJIC-SET"/>
        <s v="CC-QJ-5-110-JIC"/>
        <s v="CC-CH-05-EXT"/>
        <s v="#12 x 1/2&quot; High Low Thread Forming Screws / Phillips / Pan Head / Steel / Black Zinc"/>
        <s v="Mocap 1/2” hole cap"/>
        <s v="Compressible-Stem Push-In Bumpers"/>
        <s v="Micro Jet MKII Foot Assembly"/>
        <s v="8-32 x 3/8&quot; Binding Screw"/>
        <s v="CC-CH-05-MFD"/>
        <s v="CC-AC-TC"/>
        <s v="CC-AC-TB-KIT"/>
        <s v="CC-F-DCHA-PYROTEK"/>
        <s v="Pro Jet Base Plate"/>
        <s v="CC-HCCMKII-25-NC"/>
        <s v="Club Cannon Device Programmer - IDC"/>
        <s v="CC-F-HEA-F"/>
        <s v="CC-F-CGA-FQC"/>
        <s v="CC-AC-4PM-QC"/>
        <s v="CC-CH-03.5-EXT"/>
        <s v="CC-CH-15-EXT"/>
        <s v="CC-CH-35-EXT"/>
        <s v="CC-CH-XX-EXT"/>
        <s v="TJC Screen 2.4"/>
        <s v="Repair"/>
        <s v="CC-CH-100-STD"/>
        <s v="CC-CC-110"/>
        <s v="CC-MJMKII-5-110"/>
        <s v="CC-WASH-01"/>
        <s v="CC-AC-PMA"/>
        <s v="CO2-T - BSPP"/>
        <s v="CC-F-MQCBSPPF"/>
        <s v="6in Barrel Assembly Powdercoated"/>
        <s v="CC-PROJ-5-220-JIC"/>
        <s v="CC-AC-CJLEDA"/>
        <s v="CC-AC-CGA-INT-SET"/>
        <s v="CC-WASH-INT-01"/>
        <s v="3.5FT CO2 HOSE - JIC X JIC 3.5FT CO2 HOSE - FEMALE JIC #6 X FEMALE JIC #6"/>
        <s v="3/8&quot; NPT Female x #6 JIC Male Adapter"/>
        <s v="The Button Key Assembly - 1"/>
        <s v="Large Key Lock Switch Assembly"/>
        <s v="CC-AC-LGK"/>
      </sharedItems>
    </cacheField>
    <cacheField name="Line Item Description" numFmtId="0">
      <sharedItems containsNonDate="0" containsBlank="1" count="104">
        <s v="CO2 Tank Covers - 20lb Cover"/>
        <s v="Co2 Tank Attachment Tool"/>
        <s v="The Button - with both 3 &amp; 5 pin DMX ports"/>
        <s v="Cryo Clamp II, 110v, Weatherproof CO2 Jet"/>
        <s v="Ball Mount Assembly for Cryo Clamp with 4x 10-32 x 3/8&quot; socket head screws"/>
        <s v="Co2 Hose 15FT Standard Config"/>
        <s v="CO2 Washers (10 pack)"/>
        <s v="CO2 Cylinder Link"/>
        <s v="Handheld CO2 Cannon MKII"/>
        <s v="ShoStarter DMX Controller with 3 &amp; 5 Pin Connectors in Box"/>
        <s v="Pro Jet"/>
        <s v="Neutrik PowerCON True1 Cords - 6FT, Standard"/>
        <s v="Hose Adapters - #3 – CO2 Output Terminator"/>
        <s v="CO2 Tank Tool + Washers - Yes - add tool and washers +$15.00"/>
        <s v="4 Port Co2 Manifold - 4x JIC 3/8&quot; Inlets, 1x JIC 3/8&quot; Outlet with Truss Bracket"/>
        <s v="Adapter for use with Manifold - to attach standard CGA-320 hose configuration"/>
        <s v="Co2 Hose 25FT Extension Config"/>
        <s v="Co2 Hose 35FT Daisy Chain"/>
        <m/>
        <s v="CO2 Tank Splitter"/>
        <s v="Replacement O-Ring"/>
        <s v="Co2 Hose 05FT Daisy Chain"/>
        <s v="Co2 Hose 25FT Standard Config"/>
        <s v="Co2 Hose 08FT Daisy Chain"/>
        <s v="Neutrik PowerCON True1 Cords - 10FT, Daisy Chain"/>
        <s v="Truss Clamp"/>
        <s v="Co2 Hose 50FT Standard Config"/>
        <s v="Replacement O-Ring - 2023 Quick Connects. EPDM"/>
        <s v="Teflon &amp; Brass seal for 1/4&quot; CO2 Valve"/>
        <s v="Co2 Hose 05FT Standard Config"/>
        <s v="Handheld MKII in travel case with 15ft hose"/>
        <s v="Co2 Hose 35FT Standard Config"/>
        <s v="CO2 Tank Covers - 50lb Cover"/>
        <s v="Co2 Hose 08FT Standard Config"/>
        <s v="Cryo Clamp II, 110v, Weatherproof CO2 Jet with JIC Inlet"/>
        <s v="Handheld MKII in travel case with 8ft hose"/>
        <s v="Co2 Hose 50FT Extension Config"/>
        <s v="2 Output DMX Relay with Timer"/>
        <s v="Quad Jet 110v with 5 Pin DMX With Barrels"/>
        <s v="1/2-13 x 3/4” CS screw"/>
        <s v="Tubular Sponge"/>
        <s v="Hose Adapters - #2 – Hose Extension Adapter"/>
        <s v="CGA-320 to 1/4&quot; NPT adapter with nut."/>
        <s v="Micro CO2 Jet MKII"/>
        <s v="CC Processing Fee"/>
        <s v="Owl Vision Confetti - 1KG"/>
        <s v="MagicFX Confetti - 1KG"/>
        <s v="Right Angle Adapter"/>
        <s v="#5 - Daisy Chain Adapter"/>
        <s v="ShoMaster Console"/>
        <s v="Pro Jet - 5 Pin, 110v, JIC in/out"/>
        <s v="Hose Adapters - #1 – Male Quick Connect (3/8″ NPT Male)"/>
        <s v="True1 Male x True1 Female jumper for LED Attachment"/>
        <s v="LED Attachment XLR jumper"/>
        <s v="LED Attachment for DMX Jet, DMX Jet MKII, and Pro Jet."/>
        <s v="Hose Adapters - #4 – Female Quick Connect (3/8″ NPT Female)"/>
        <s v="25FT CO2 Hose - 3/8&quot; NPT Male Swivel x JIC #6 female"/>
        <s v="CGA-320 to JIC adapter with nut."/>
        <s v="Quad Jet 110v with 5 Pin DMX, JIC Connections"/>
        <s v="Owl Vision Confetti - 1KG (2.25LB)"/>
        <s v="Co2 Hose 05FT Extension Config"/>
        <s v="Pro Jet feet screws (thread forming)"/>
        <s v="Mocap 1/2” hole cap"/>
        <s v="Compressible-Stem Push-In Bumpers"/>
        <s v="Micro Jet Foot with Binder Post"/>
        <s v="Micro Jet MKII Foot Screw"/>
        <s v="5FT CO2 Hose (CGA-320 x Female JIC 3/8&quot;) For use with Manifold"/>
        <s v="Travel Case"/>
        <s v="Cryo Clamp wall mount bracket kit with included 1/2-13 x 3/4&quot; stainless pan head screw"/>
        <s v="Pro Jet, 5 Pin, 110v. NO HOSE"/>
        <s v="Daisy Chain Adapter (1/2&quot; JIC)"/>
        <s v="Pro Jet Base Plate"/>
        <s v="Handheld MKII in box with 25ft hose"/>
        <s v="Used for uploading bootloader onto Club Cannon products"/>
        <s v="Male QC x Female JIC"/>
        <s v="CGA-320 Female to Female Quick Connect"/>
        <s v="4 Port Co2 Manifold - 4x MQC Inlets, 1x FQC Outlet with Truss Bracket"/>
        <s v="Co2 Hose 3.5FT Extension Config"/>
        <s v="Co2 Hose 15FT Extension Config"/>
        <s v="Co2 Hose 35FT Extension Config"/>
        <s v="Co2 Hose Custom Length Extension - 20m"/>
        <s v="TJC3224T124_011"/>
        <s v="LED Attachment repair. Replaced wire harness, issue resolved."/>
        <s v="Warranty / T&amp;M - The Button: Serial 31647. Disconnected harness"/>
        <s v="CO2 Hose (100FT, Standard configuration). Upgrading from included 15' hose."/>
        <s v="Cryo Clamp - 110 Volt"/>
        <s v="CO2 Hose"/>
        <s v="CO2 Washers"/>
        <s v="Single CO2 Washer"/>
        <s v="Customer stated Cryo Controller (Serial #0119324) was acting up. Able to verify screen and motherboard out of sync. Reset via touchscreen solved issue. Verified to be performing normally."/>
        <s v="1/4&quot; TS Power mode Adapter"/>
        <s v="Brass Center Pull Co2 passthrough with male BSPP"/>
        <s v="3/8&quot; MQC Quick Connect Fitting BSPP thread"/>
        <s v="Co2 Hose 15FT Standard Config (Included)"/>
        <s v="6in Jet Barrel with powdercoating"/>
        <s v="Pro Jet - 5 Pin, 220v, JIC in/out"/>
        <s v="Co2 Jet LED Attachment"/>
        <s v="International CO2 fitting with JIC adapter (#8 for Pyrotek) - This adapter covers Europe, Africa, Asia &amp; Australian CO2 tanks."/>
        <s v="Single CO2 Washer - International"/>
        <s v="3.5FT CO2 HOSE - JIC X JIC"/>
        <s v="3/8&quot; NPT Female x #6 JIC Male Adapter"/>
        <s v="Key Switch with Wires and JST Connector for The Button"/>
        <s v="Large 2 Position Key switch with TE connector"/>
        <s v="Replacement Keys - Shomaster &amp; ShoStarter"/>
      </sharedItems>
    </cacheField>
    <cacheField name="Order Quantity" numFmtId="0">
      <sharedItems containsSemiMixedTypes="0" containsNonDate="0" containsString="0" containsNumber="1" containsInteger="1" minValue="1" maxValue="300" count="25">
        <n v="1"/>
        <n v="12"/>
        <n v="4"/>
        <n v="2"/>
        <n v="8"/>
        <n v="5"/>
        <n v="6"/>
        <n v="3"/>
        <n v="14"/>
        <n v="40"/>
        <n v="20"/>
        <n v="16"/>
        <n v="10"/>
        <n v="33"/>
        <n v="25"/>
        <n v="13"/>
        <n v="26"/>
        <n v="24"/>
        <n v="55"/>
        <n v="7"/>
        <n v="100"/>
        <n v="80"/>
        <n v="300"/>
        <n v="48"/>
        <n v="120"/>
      </sharedItems>
    </cacheField>
    <cacheField name="Unit Price" numFmtId="0">
      <sharedItems containsSemiMixedTypes="0" containsNonDate="0" containsString="0" containsNumber="1" minValue="0" maxValue="3199.99" count="110">
        <n v="49.99"/>
        <n v="9.99"/>
        <n v="399.99"/>
        <n v="499.99"/>
        <n v="0"/>
        <n v="149.99"/>
        <n v="8.99"/>
        <n v="119.99"/>
        <n v="349.99"/>
        <n v="1199.99"/>
        <n v="1299.99"/>
        <n v="179.99"/>
        <n v="19.99"/>
        <n v="199.99"/>
        <n v="249.99"/>
        <n v="37.4925"/>
        <n v="25"/>
        <n v="1.99"/>
        <n v="99.98999999999999"/>
        <n v="50"/>
        <n v="109.99"/>
        <n v="59.99"/>
        <n v="15"/>
        <n v="22.4925"/>
        <n v="82.49250000000001"/>
        <n v="224.9925"/>
        <n v="190"/>
        <n v="974.9924999999999"/>
        <n v="65"/>
        <n v="599.99"/>
        <n v="449.9925"/>
        <n v="89.99250000000001"/>
        <n v="187.4925"/>
        <n v="44.9925"/>
        <n v="180"/>
        <n v="757.29"/>
        <n v="29.99"/>
        <n v="299.99"/>
        <n v="374.99"/>
        <n v="374.9925"/>
        <n v="210"/>
        <n v="549.99"/>
        <n v="175"/>
        <n v="337.49"/>
        <n v="37.49"/>
        <n v="295"/>
        <n v="2499.99"/>
        <n v="75"/>
        <n v="8.49"/>
        <n v="387.49"/>
        <n v="22.99"/>
        <n v="637.4924999999999"/>
        <n v="299.9925"/>
        <n v="47.2491"/>
        <n v="35"/>
        <n v="15.99"/>
        <n v="120"/>
        <n v="78.68000000000001"/>
        <n v="3199.99"/>
        <n v="330"/>
        <n v="900"/>
        <n v="500"/>
        <n v="14.99"/>
        <n v="375"/>
        <n v="140"/>
        <n v="24.99"/>
        <n v="1625"/>
        <n v="100"/>
        <n v="60"/>
        <n v="74.98999999999999"/>
        <n v="219.99"/>
        <n v="56.87"/>
        <n v="429.99"/>
        <n v="280"/>
        <n v="18.7425"/>
        <n v="48.7425"/>
        <n v="63.7425"/>
        <n v="112.4925"/>
        <n v="281.2425"/>
        <n v="150"/>
        <n v="849.99"/>
        <n v="181.53"/>
        <n v="359.991"/>
        <n v="51.55"/>
        <n v="300"/>
        <n v="40"/>
        <n v="782.991"/>
        <n v="269.991"/>
        <n v="107.991"/>
        <n v="188.23"/>
        <n v="14.9925"/>
        <n v="20"/>
        <n v="227.5"/>
        <n v="5.99"/>
        <n v="899.9924999999999"/>
        <n v="652.4924999999999"/>
        <n v="3152.11"/>
        <n v="80"/>
        <n v="30"/>
        <n v="599.9924999999999"/>
        <n v="1874.9925"/>
        <n v="380"/>
        <n v="33.7425"/>
        <n v="0.375"/>
        <n v="38.57142825"/>
        <n v="3.64285725"/>
        <n v="172.82"/>
        <n v="105"/>
        <n v="149.9925"/>
        <n v="93.73"/>
      </sharedItems>
    </cacheField>
    <cacheField name="Total Line Item $" numFmtId="0">
      <sharedItems containsSemiMixedTypes="0" containsNonDate="0" containsString="0" containsNumber="1" minValue="0" maxValue="29700" count="174">
        <n v="49.99"/>
        <n v="119.88"/>
        <n v="399.99"/>
        <n v="499.99"/>
        <n v="0"/>
        <n v="149.99"/>
        <n v="9.99"/>
        <n v="8.99"/>
        <n v="119.99"/>
        <n v="39.96"/>
        <n v="349.99"/>
        <n v="1199.99"/>
        <n v="5199.96"/>
        <n v="179.99"/>
        <n v="79.95999999999999"/>
        <n v="399.98"/>
        <n v="499.98"/>
        <n v="299.94"/>
        <n v="25"/>
        <n v="99.98"/>
        <n v="17.98"/>
        <n v="1.99"/>
        <n v="44.95"/>
        <n v="1299.99"/>
        <n v="99.98999999999999"/>
        <n v="50"/>
        <n v="109.99"/>
        <n v="59.99"/>
        <n v="299.98"/>
        <n v="30"/>
        <n v="89.97"/>
        <n v="494.955"/>
        <n v="899.97"/>
        <n v="190"/>
        <n v="3899.97"/>
        <n v="65"/>
        <n v="15"/>
        <n v="599.99"/>
        <n v="799.98"/>
        <n v="219.98"/>
        <n v="199.98"/>
        <n v="5849.955"/>
        <n v="134.955"/>
        <n v="449.9925"/>
        <n v="1079.91"/>
        <n v="374.985"/>
        <n v="269.955"/>
        <n v="180"/>
        <n v="757.29"/>
        <n v="699.98"/>
        <n v="59.98"/>
        <n v="299.99"/>
        <n v="374.99"/>
        <n v="199.99"/>
        <n v="239.98"/>
        <n v="5249.895"/>
        <n v="210"/>
        <n v="1099.98"/>
        <n v="1999.95"/>
        <n v="2599.98"/>
        <n v="350"/>
        <n v="337.49"/>
        <n v="37.49"/>
        <n v="3999.92"/>
        <n v="2399.92"/>
        <n v="590"/>
        <n v="2499.99"/>
        <n v="700"/>
        <n v="75"/>
        <n v="1679.86"/>
        <n v="118.86"/>
        <n v="39.98"/>
        <n v="774.98"/>
        <n v="239.88"/>
        <n v="719.9400000000001"/>
        <n v="53.94"/>
        <n v="22.99"/>
        <n v="29.99"/>
        <n v="1274.985"/>
        <n v="299.9925"/>
        <n v="47.2491"/>
        <n v="35"/>
        <n v="639.6"/>
        <n v="319.8"/>
        <n v="120"/>
        <n v="19.98"/>
        <n v="599.88"/>
        <n v="78.68000000000001"/>
        <n v="19.99"/>
        <n v="3199.99"/>
        <n v="499.9"/>
        <n v="84.90000000000001"/>
        <n v="330"/>
        <n v="29700"/>
        <n v="500"/>
        <n v="249.95"/>
        <n v="14.99"/>
        <n v="549.99"/>
        <n v="3750"/>
        <n v="175"/>
        <n v="140"/>
        <n v="24.99"/>
        <n v="479.96"/>
        <n v="35.96"/>
        <n v="3250"/>
        <n v="100"/>
        <n v="60"/>
        <n v="45.98"/>
        <n v="9.949999999999999"/>
        <n v="149.98"/>
        <n v="219.99"/>
        <n v="799.96"/>
        <n v="56.87"/>
        <n v="11700"/>
        <n v="584.8049999999999"/>
        <n v="429.99"/>
        <n v="9999.959999999999"/>
        <n v="280"/>
        <n v="29.97"/>
        <n v="112.4625"/>
        <n v="93.71250000000001"/>
        <n v="2680.8375"/>
        <n v="1312.4475"/>
        <n v="1529.82"/>
        <n v="787.4475"/>
        <n v="749.97"/>
        <n v="224.9925"/>
        <n v="1124.97"/>
        <n v="150"/>
        <n v="3399.96"/>
        <n v="1599.96"/>
        <n v="239.92"/>
        <n v="181.53"/>
        <n v="359.991"/>
        <n v="51.55"/>
        <n v="249.99"/>
        <n v="300"/>
        <n v="40"/>
        <n v="4697.946"/>
        <n v="539.982"/>
        <n v="863.928"/>
        <n v="188.23"/>
        <n v="239.96"/>
        <n v="89.955"/>
        <n v="20"/>
        <n v="359.94"/>
        <n v="49.98"/>
        <n v="119.98"/>
        <n v="227.5"/>
        <n v="23.96"/>
        <n v="1499.9625"/>
        <n v="899.9924999999999"/>
        <n v="4499.925"/>
        <n v="6524.925"/>
        <n v="9749.924999999999"/>
        <n v="1124.925"/>
        <n v="2249.925"/>
        <n v="3152.11"/>
        <n v="1600"/>
        <n v="4874.9625"/>
        <n v="2999.9625"/>
        <n v="80"/>
        <n v="7499.97"/>
        <n v="380"/>
        <n v="599.98"/>
        <n v="3374.25"/>
        <n v="112.5"/>
        <n v="1851.428556"/>
        <n v="437.14287"/>
        <n v="172.82"/>
        <n v="105"/>
        <n v="1199.94"/>
        <n v="93.73"/>
        <n v="799.9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26" createdVersion="7">
  <cacheSource type="worksheet">
    <worksheetSource ref="D2:F328" sheet="July 2023"/>
  </cacheSource>
  <cacheFields count="3">
    <cacheField name="Line Item Name" numFmtId="0">
      <sharedItems containsNonDate="0" count="105">
        <s v="CC-CTC-20"/>
        <s v="CC-CTC-50"/>
        <s v="CC-AC-RAA"/>
        <s v="CC-AC-ROR"/>
        <s v="CC-CH-05-EXT"/>
        <s v="CC-CH-08-EXT"/>
        <s v="CC-TB-35"/>
        <s v="CC-F-FQCNPTF"/>
        <s v="Shipping Charges"/>
        <s v="CC-MJMKII-3-110"/>
        <s v="CC-CH-15-STD"/>
        <s v="CC-AC-CLAMP"/>
        <s v="CC-AC-PMA"/>
        <s v="CC-NPTC-06-STD"/>
        <s v="CC-AC-OP"/>
        <s v="CC-CH-25-STD"/>
        <s v="CC-AC-CCL"/>
        <s v="CC-WASH-10"/>
        <s v="CC-CH-25-OB"/>
        <s v="CC-AC-CTS"/>
        <s v="CC-MJMKII-5-110"/>
        <s v="CC-AC-CTAT"/>
        <s v="CC-HCCMKII-15-NC"/>
        <s v="CC-SS-35"/>
        <s v="CC-HCCMKII-15-TC"/>
        <s v="CC-CH-35-DSY"/>
        <s v="CC-CC2-110"/>
        <s v="CC-F-MQCNPTM"/>
        <s v="Compressible-Stem Push-In Bumpers"/>
        <s v="#12 x 1/2&quot; High Low Thread Forming Screws / Phillips / Pan Head / Steel / Black Zinc"/>
        <s v="Mocap 1/2” hole cap"/>
        <s v="CC-QJ-5-110-JIC"/>
        <s v="CC-PROJ-5-110-JIC"/>
        <s v="Obsidian RP2 Relay Pack"/>
        <s v="CC-CC2-220"/>
        <s v="CC-AC-BM-KIT"/>
        <s v="CC-AC-TB-KIT"/>
        <s v="Female ISO-B Quick Connect 3/8&quot; NPT"/>
        <s v="3/8&quot; Male NPT x #6 JIC Male"/>
        <s v="CC-WASH-01"/>
        <s v="CC-CH-35-STD"/>
        <s v="CC-CH-08-DSY"/>
        <s v="CC-CH-25-EXT"/>
        <s v="Repair"/>
        <s v="110v Solenoid Coil"/>
        <s v="Micro Jet MKII 5-Pin XLR PCB"/>
        <s v="Pro Jet Power Harness"/>
        <s v="Pro Jet Acrylic Lens"/>
        <s v="Pro Jet Main PCB"/>
        <s v="Jet Solenoid Harness"/>
        <s v="1/4-20 x 3/4” CS screw"/>
        <s v="CC-PROJ-5-110"/>
        <s v="CC-F-COT"/>
        <s v="CC-CH-15-EXT"/>
        <s v="CC-F-CGA-FQC"/>
        <s v="Shipping Fees"/>
        <s v="CC-F-DCHA"/>
        <s v="CC-F-HEA-F"/>
        <s v="CC-AC-TC"/>
        <s v="CC-HCCMKII-08-NC"/>
        <s v="CC-HCCMKII-08-TC"/>
        <s v="CC-CH-50-STD"/>
        <s v="Micro Jet Barrel Assembly"/>
        <s v="6-32 x 3/8&quot; - CS, BSS"/>
        <s v="CO2 Valve Replacement Seal"/>
        <s v="CC-F-DCHA-PYROTEK"/>
        <s v="CC-F-MFDCGAJIC"/>
        <s v="25FT CO2 Hose - 3/8&quot; NPT Male Swivel x JIC"/>
        <s v="Solenoid Din Connector"/>
        <s v="3/8&quot; NPT Female x 3/8&quot; JIC Female 6506-06-06"/>
        <s v="CC-NPTC-15-DSY"/>
        <s v="Wand Handle"/>
        <s v="CC-F-MQCBSPPF"/>
        <s v="1/4&quot; Co2 Valve"/>
        <s v="220v Solenoid Coil"/>
        <s v="CC-DIN-L620"/>
        <s v="CC-CH-03.5-MFD"/>
        <s v="CC-CH-02-MFD"/>
        <s v=" CC-AC-CGAJIC-SET"/>
        <s v="MagicFX PSYCO2JET"/>
        <s v="CC-NPTC-06-DSY"/>
        <s v="CC-CH-25-DSY"/>
        <s v="CC-F-CGA-MQC"/>
        <s v="Flat Button Interior Housing"/>
        <s v="CC-QJ-5-110"/>
        <s v="CC-CH-05-MFD"/>
        <s v="36&quot; x 2&quot; Velcro Strap"/>
        <s v="JIC Run Tee 6602-06-06-06"/>
        <s v="The Button Main PCB"/>
        <s v="Las Vegas Site Visit"/>
        <s v="1/2-13 x 3/4” CS screw"/>
        <s v="Bulk CO2 Hose 3/8&quot;"/>
        <s v="6FJ-6SB"/>
        <s v="The Button LED PCB"/>
        <s v="The Button Encoder PCB"/>
        <s v="The Button Encoder Knob"/>
        <s v="Controller 3/5 pin XLR PCB Assembly"/>
        <s v="CC-AC-LGK"/>
        <s v="CC-AC-SMK"/>
        <s v="The Button Key Assembly - 1"/>
        <s v="Replacement O-Ring for ISO-B Quick Connect 3/8&quot; NPT"/>
        <s v="Male ISO-B Quick Connect (3/8&quot; NPT)"/>
        <s v="1&quot; x 30' Streamers (Dark Green)"/>
        <s v="CC-CH-08-STD"/>
        <s v="CC-CH-100-STD"/>
      </sharedItems>
    </cacheField>
    <cacheField name="Line Item Description" numFmtId="0">
      <sharedItems containsNonDate="0" containsBlank="1" count="115">
        <s v="CO2 Tank Covers - 20lb Cover"/>
        <s v="CO2 Tank Covers - 50lb Cover"/>
        <s v="Right Angle Adapter"/>
        <s v="Replacement O-Ring"/>
        <s v="Co2 Hose 05FT Extension Config"/>
        <s v="Co2 Hose 08FT Extension Config"/>
        <s v="The Button - with both 3 &amp; 5 pin DMX ports"/>
        <s v="Female Quick Connect (3/8″ NPT Female) - WARRANTY REPLACEMENT"/>
        <s v="The Button - with both 3 &amp; 5 pin DMX ports (Key turns DMX channel 1 on, button triggers DMX channels 2-5.)"/>
        <m/>
        <s v="Micro CO2 Jet MKII"/>
        <s v="CO2 Hose"/>
        <s v="Truss Clamp"/>
        <s v="1/4&quot; TS Power mode Adapter"/>
        <s v="Neutrik PowerCON True1 Cords - 6FT, Standard"/>
        <s v="CO2 Tank Tool + Washers - Yes - add tool and washers +$15.00"/>
        <s v="Product CO2 Hose - 25 foot hose - $50.00"/>
        <s v="CO2 Cylinder Link"/>
        <s v="CO2 Washers"/>
        <s v="CO2 Hose Off-Brand - 25FT CO2 Hose"/>
        <s v="CO2 Tank Splitter"/>
        <s v="Micro CO2 Jet MKII, 5 Pin, 110v. (No hose, no barrel)"/>
        <s v="Co2 Tank Attachment Tool"/>
        <s v="Handheld CO2 Cannon MKII"/>
        <s v="ShoStarter DMX Controller with 3 &amp; 5 Pin Connectors in Box"/>
        <s v="Handheld MKII in travel case with 15ft hose"/>
        <s v="Product Daisy Chain CO2 Hose - 35FT CO2 Hose - $249.99"/>
        <s v="Cryo Clamp II, 110v, Weatherproof CO2 Jet"/>
        <s v="Hose Adapters - #1 – Male Quick Connect (3/8″ NPT Male)"/>
        <s v="Compressible-Stem Push-In Bumpers"/>
        <s v="Pro Jet feet screws (thread forming)"/>
        <s v="Mocap 1/2” hole cap"/>
        <s v="Quad Jet 110v with 5 Pin DMX, JIC Connections (NO HOSES)"/>
        <s v="Pro Jet - 5 Pin, 110v, JIC in/out"/>
        <s v="2 Output DMX Relay with Timer"/>
        <s v="Cryo Clamp II, 220v, Weatherproof CO2 Jet"/>
        <s v="Ball Mount Assembly for Cryo Clamp with 4x 10-32 x 3/8&quot; socket head screws"/>
        <s v="Cryo Clamp wall mount bracket kit with included 1/2-13 x 3/4&quot; stainless pan head screw"/>
        <s v="female quick connector with 3/8&quot; female NPT threads"/>
        <s v="3/8&quot; Male NPT x #6 JIC Male"/>
        <s v="Single CO2 Washer"/>
        <s v="Pro Jet - Serial #03233851&#10;parts replaced&#10;-110 coil&#10;-pro jet harness&#10;-jet solenoid harness&#10;-main PCB &#10;-pro jet acrylic Lens"/>
        <s v="pro jet - serial #03233848&#10;parts replaced&#10;-110 coil"/>
        <s v="pro jet - serial #04233974&#10;replaced parts&#10;-DMX PCB&#10;-1/4-20x3/4&quot; CS screw"/>
        <s v="110v Solenoid Coil"/>
        <s v="DMX Input PCB"/>
        <s v="Pro Jet Power In Harness"/>
        <s v="Pro Jet Acrylic Lens"/>
        <s v="Pro Jet Main PCB"/>
        <s v="Pro Jet / Micro Jet MKII Solenoid Valve Harness - TE to DIN"/>
        <s v="1/4-20 x 3/4” CS screw"/>
        <s v="Pro Jet"/>
        <s v="Hose Adapters - #3 – CO2 Output Terminator"/>
        <s v="CO2 Hose (Male QC x Female QC, Included)"/>
        <s v="CGA-320 Female to Female Quick Connect"/>
        <s v="Single CO2 Washer (bagged in sets of 100)"/>
        <s v="CO2 Hose, 15Ft, Standard configuration"/>
        <s v="CO2 Tank Tool + Washers"/>
        <s v="Female Quick Connect x Male JIC Thread"/>
        <s v="Male QC x Female JIC"/>
        <s v="Travel Case"/>
        <s v="Handheld MKII in travel case with 8ft hose"/>
        <s v="Micro Jet Barrel with Right Angle"/>
        <s v="Quad Jet 110v with 5 Pin DMX, JIC Connections, NO HOSE"/>
        <s v="Warranty / T&amp;M - Customer stated DMX Jet MKII valve was sticking open. Technician verified issue, and found broken filter inside valve body. Removed filter, replaced valve seal, and is now performing as designed."/>
        <s v="Countersunk head, black stainless steel"/>
        <s v="Teflon &amp; Brass seal for 1/4&quot; CO2 Valve"/>
        <s v="Pro Jet, 5 pin, 110v, NO HOSE"/>
        <s v="Daisy Chain Adapter (1/2&quot; JIC)"/>
        <s v="Adapter for use with Manifold - to attach standard CGA-320 hose configuration"/>
        <s v="25FT CO2 Hose - 3/8&quot; NPT Male Swivel x JIC #6 female"/>
        <s v="Solenoid Din Connector"/>
        <s v="Added to 25FT hoses"/>
        <s v="Neutrik PowerCON True1 Cords - 15FT, Daisy Chain"/>
        <s v="Warranty / T&amp;M - Handheld MKII - Serial #4506 from order #48013. Cracked fitting, causing leak. Replaced whole handle assembly. "/>
        <s v="Handheld MKII"/>
        <s v="3/8&quot; MQC Quick Connect Fitting BSPP thread"/>
        <s v="1/4&quot; Co2 Valve"/>
        <s v="220v Solenoid Coil"/>
        <s v="DIN cable with L6-20, 6FT"/>
        <s v="3 1/2FT CO2 Hose (CGA-320 x Female JIC 3/8&quot;) For use with Manifold"/>
        <s v="2FT CO2 Hose (CGA-320 x Female JIC 3/8&quot;) For use with Manifold"/>
        <s v="CGA-320 to JIC adapter with nut."/>
        <s v="CO2 Jet with 180 degree movement"/>
        <s v="Neutrik Powercon True1 Cord 06FT Daisy Chain"/>
        <s v="CGA-320 Female to Male Quick Connect"/>
        <s v="White Internal Housing for PCB Mounting w/ laser cut hole for PCB header"/>
        <s v="Quad Jet 110v with 5 Pin DMX, No Hoses"/>
        <s v="Neutrik PowerCON True1 Cords - 6FT, Included"/>
        <s v="Quad Jet 110v with 5 Pin DMX, JIC Connections"/>
        <s v="5FT CO2 Hose (CGA-320 x Female JIC 3/8&quot;) For use with Manifold"/>
        <s v="Velcro strap for hose manifold"/>
        <s v="Used to add an additional input to 4 port manifold"/>
        <s v="Warranty / T&amp;M - Button Serial# 31478. Main PCB had encoder error. Replaced and is now performing normally."/>
        <s v="The Button Main PCB"/>
        <s v="Club Cannon team members travel to ImageSFX Las Vegas office to assist with water cannon project - completed 7/10/23"/>
        <s v="Quad Jet 110v with 5 Pin DMX, JIC Connections, NO HOSES"/>
        <s v="Cryo Clamp II, 110v, JIC"/>
        <s v="1/2-13 x 3/4” CS screw (Stainless Steel)"/>
        <s v="Bulk CO2 Hose 3/8&quot;"/>
        <s v="#6 JIC Female Hose Crimp Fitting"/>
        <s v="The Button LED Button PCB"/>
        <s v="The Button Encoder PCB"/>
        <s v="Black Anodized Aluminum Encoder Knob"/>
        <s v="Controller XLR used for controllers with both 3 and 5-pin DMX with 8-pin IDD connector"/>
        <s v="Replacement Keys - Shomaster &amp; ShoStarter"/>
        <s v="Replacement Keys - The Button"/>
        <s v="Button Repair - Serial #31419"/>
        <s v="Key Switch with Wires and PCB Connector for The Button"/>
        <s v="ISO-B replacement O-ring"/>
        <s v="Male quick connector with 3/8&quot; female NPT threads"/>
        <s v="MagicFX Streamers"/>
        <s v="Hose Adapters - #4 – Female Quick Connect (3/8″ NPT Female)"/>
        <s v="Quad Jet 110v with 5 Pin DMX With Barrels"/>
        <s v="CO2 Hose, 8FT (Included)"/>
      </sharedItems>
    </cacheField>
    <cacheField name="Order Quantity" numFmtId="0">
      <sharedItems containsSemiMixedTypes="0" containsNonDate="0" containsString="0" containsNumber="1" containsInteger="1" minValue="1" maxValue="3000" count="23">
        <n v="2"/>
        <n v="10"/>
        <n v="1"/>
        <n v="12"/>
        <n v="4"/>
        <n v="6"/>
        <n v="16"/>
        <n v="5"/>
        <n v="3"/>
        <n v="7"/>
        <n v="100"/>
        <n v="3000"/>
        <n v="56"/>
        <n v="24"/>
        <n v="600"/>
        <n v="40"/>
        <n v="8"/>
        <n v="20"/>
        <n v="14"/>
        <n v="63"/>
        <n v="120"/>
        <n v="80"/>
        <n v="5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26" createdVersion="7">
  <cacheSource type="worksheet">
    <worksheetSource ref="D2:H328" sheet="July 2023"/>
  </cacheSource>
  <cacheFields count="5">
    <cacheField name="Line Item Name" numFmtId="0">
      <sharedItems containsNonDate="0" count="105">
        <s v="CC-CTC-20"/>
        <s v="CC-CTC-50"/>
        <s v="CC-AC-RAA"/>
        <s v="CC-AC-ROR"/>
        <s v="CC-CH-05-EXT"/>
        <s v="CC-CH-08-EXT"/>
        <s v="CC-TB-35"/>
        <s v="CC-F-FQCNPTF"/>
        <s v="Shipping Charges"/>
        <s v="CC-MJMKII-3-110"/>
        <s v="CC-CH-15-STD"/>
        <s v="CC-AC-CLAMP"/>
        <s v="CC-AC-PMA"/>
        <s v="CC-NPTC-06-STD"/>
        <s v="CC-AC-OP"/>
        <s v="CC-CH-25-STD"/>
        <s v="CC-AC-CCL"/>
        <s v="CC-WASH-10"/>
        <s v="CC-CH-25-OB"/>
        <s v="CC-AC-CTS"/>
        <s v="CC-MJMKII-5-110"/>
        <s v="CC-AC-CTAT"/>
        <s v="CC-HCCMKII-15-NC"/>
        <s v="CC-SS-35"/>
        <s v="CC-HCCMKII-15-TC"/>
        <s v="CC-CH-35-DSY"/>
        <s v="CC-CC2-110"/>
        <s v="CC-F-MQCNPTM"/>
        <s v="Compressible-Stem Push-In Bumpers"/>
        <s v="#12 x 1/2&quot; High Low Thread Forming Screws / Phillips / Pan Head / Steel / Black Zinc"/>
        <s v="Mocap 1/2” hole cap"/>
        <s v="CC-QJ-5-110-JIC"/>
        <s v="CC-PROJ-5-110-JIC"/>
        <s v="Obsidian RP2 Relay Pack"/>
        <s v="CC-CC2-220"/>
        <s v="CC-AC-BM-KIT"/>
        <s v="CC-AC-TB-KIT"/>
        <s v="Female ISO-B Quick Connect 3/8&quot; NPT"/>
        <s v="3/8&quot; Male NPT x #6 JIC Male"/>
        <s v="CC-WASH-01"/>
        <s v="CC-CH-35-STD"/>
        <s v="CC-CH-08-DSY"/>
        <s v="CC-CH-25-EXT"/>
        <s v="Repair"/>
        <s v="110v Solenoid Coil"/>
        <s v="Micro Jet MKII 5-Pin XLR PCB"/>
        <s v="Pro Jet Power Harness"/>
        <s v="Pro Jet Acrylic Lens"/>
        <s v="Pro Jet Main PCB"/>
        <s v="Jet Solenoid Harness"/>
        <s v="1/4-20 x 3/4” CS screw"/>
        <s v="CC-PROJ-5-110"/>
        <s v="CC-F-COT"/>
        <s v="CC-CH-15-EXT"/>
        <s v="CC-F-CGA-FQC"/>
        <s v="Shipping Fees"/>
        <s v="CC-F-DCHA"/>
        <s v="CC-F-HEA-F"/>
        <s v="CC-AC-TC"/>
        <s v="CC-HCCMKII-08-NC"/>
        <s v="CC-HCCMKII-08-TC"/>
        <s v="CC-CH-50-STD"/>
        <s v="Micro Jet Barrel Assembly"/>
        <s v="6-32 x 3/8&quot; - CS, BSS"/>
        <s v="CO2 Valve Replacement Seal"/>
        <s v="CC-F-DCHA-PYROTEK"/>
        <s v="CC-F-MFDCGAJIC"/>
        <s v="25FT CO2 Hose - 3/8&quot; NPT Male Swivel x JIC"/>
        <s v="Solenoid Din Connector"/>
        <s v="3/8&quot; NPT Female x 3/8&quot; JIC Female 6506-06-06"/>
        <s v="CC-NPTC-15-DSY"/>
        <s v="Wand Handle"/>
        <s v="CC-F-MQCBSPPF"/>
        <s v="1/4&quot; Co2 Valve"/>
        <s v="220v Solenoid Coil"/>
        <s v="CC-DIN-L620"/>
        <s v="CC-CH-03.5-MFD"/>
        <s v="CC-CH-02-MFD"/>
        <s v=" CC-AC-CGAJIC-SET"/>
        <s v="MagicFX PSYCO2JET"/>
        <s v="CC-NPTC-06-DSY"/>
        <s v="CC-CH-25-DSY"/>
        <s v="CC-F-CGA-MQC"/>
        <s v="Flat Button Interior Housing"/>
        <s v="CC-QJ-5-110"/>
        <s v="CC-CH-05-MFD"/>
        <s v="36&quot; x 2&quot; Velcro Strap"/>
        <s v="JIC Run Tee 6602-06-06-06"/>
        <s v="The Button Main PCB"/>
        <s v="Las Vegas Site Visit"/>
        <s v="1/2-13 x 3/4” CS screw"/>
        <s v="Bulk CO2 Hose 3/8&quot;"/>
        <s v="6FJ-6SB"/>
        <s v="The Button LED PCB"/>
        <s v="The Button Encoder PCB"/>
        <s v="The Button Encoder Knob"/>
        <s v="Controller 3/5 pin XLR PCB Assembly"/>
        <s v="CC-AC-LGK"/>
        <s v="CC-AC-SMK"/>
        <s v="The Button Key Assembly - 1"/>
        <s v="Replacement O-Ring for ISO-B Quick Connect 3/8&quot; NPT"/>
        <s v="Male ISO-B Quick Connect (3/8&quot; NPT)"/>
        <s v="1&quot; x 30' Streamers (Dark Green)"/>
        <s v="CC-CH-08-STD"/>
        <s v="CC-CH-100-STD"/>
      </sharedItems>
    </cacheField>
    <cacheField name="Line Item Description" numFmtId="0">
      <sharedItems containsNonDate="0" containsBlank="1" count="115">
        <s v="CO2 Tank Covers - 20lb Cover"/>
        <s v="CO2 Tank Covers - 50lb Cover"/>
        <s v="Right Angle Adapter"/>
        <s v="Replacement O-Ring"/>
        <s v="Co2 Hose 05FT Extension Config"/>
        <s v="Co2 Hose 08FT Extension Config"/>
        <s v="The Button - with both 3 &amp; 5 pin DMX ports"/>
        <s v="Female Quick Connect (3/8″ NPT Female) - WARRANTY REPLACEMENT"/>
        <s v="The Button - with both 3 &amp; 5 pin DMX ports (Key turns DMX channel 1 on, button triggers DMX channels 2-5.)"/>
        <m/>
        <s v="Micro CO2 Jet MKII"/>
        <s v="CO2 Hose"/>
        <s v="Truss Clamp"/>
        <s v="1/4&quot; TS Power mode Adapter"/>
        <s v="Neutrik PowerCON True1 Cords - 6FT, Standard"/>
        <s v="CO2 Tank Tool + Washers - Yes - add tool and washers +$15.00"/>
        <s v="Product CO2 Hose - 25 foot hose - $50.00"/>
        <s v="CO2 Cylinder Link"/>
        <s v="CO2 Washers"/>
        <s v="CO2 Hose Off-Brand - 25FT CO2 Hose"/>
        <s v="CO2 Tank Splitter"/>
        <s v="Micro CO2 Jet MKII, 5 Pin, 110v. (No hose, no barrel)"/>
        <s v="Co2 Tank Attachment Tool"/>
        <s v="Handheld CO2 Cannon MKII"/>
        <s v="ShoStarter DMX Controller with 3 &amp; 5 Pin Connectors in Box"/>
        <s v="Handheld MKII in travel case with 15ft hose"/>
        <s v="Product Daisy Chain CO2 Hose - 35FT CO2 Hose - $249.99"/>
        <s v="Cryo Clamp II, 110v, Weatherproof CO2 Jet"/>
        <s v="Hose Adapters - #1 – Male Quick Connect (3/8″ NPT Male)"/>
        <s v="Compressible-Stem Push-In Bumpers"/>
        <s v="Pro Jet feet screws (thread forming)"/>
        <s v="Mocap 1/2” hole cap"/>
        <s v="Quad Jet 110v with 5 Pin DMX, JIC Connections (NO HOSES)"/>
        <s v="Pro Jet - 5 Pin, 110v, JIC in/out"/>
        <s v="2 Output DMX Relay with Timer"/>
        <s v="Cryo Clamp II, 220v, Weatherproof CO2 Jet"/>
        <s v="Ball Mount Assembly for Cryo Clamp with 4x 10-32 x 3/8&quot; socket head screws"/>
        <s v="Cryo Clamp wall mount bracket kit with included 1/2-13 x 3/4&quot; stainless pan head screw"/>
        <s v="female quick connector with 3/8&quot; female NPT threads"/>
        <s v="3/8&quot; Male NPT x #6 JIC Male"/>
        <s v="Single CO2 Washer"/>
        <s v="Pro Jet - Serial #03233851&#10;parts replaced&#10;-110 coil&#10;-pro jet harness&#10;-jet solenoid harness&#10;-main PCB &#10;-pro jet acrylic Lens"/>
        <s v="pro jet - serial #03233848&#10;parts replaced&#10;-110 coil"/>
        <s v="pro jet - serial #04233974&#10;replaced parts&#10;-DMX PCB&#10;-1/4-20x3/4&quot; CS screw"/>
        <s v="110v Solenoid Coil"/>
        <s v="DMX Input PCB"/>
        <s v="Pro Jet Power In Harness"/>
        <s v="Pro Jet Acrylic Lens"/>
        <s v="Pro Jet Main PCB"/>
        <s v="Pro Jet / Micro Jet MKII Solenoid Valve Harness - TE to DIN"/>
        <s v="1/4-20 x 3/4” CS screw"/>
        <s v="Pro Jet"/>
        <s v="Hose Adapters - #3 – CO2 Output Terminator"/>
        <s v="CO2 Hose (Male QC x Female QC, Included)"/>
        <s v="CGA-320 Female to Female Quick Connect"/>
        <s v="Single CO2 Washer (bagged in sets of 100)"/>
        <s v="CO2 Hose, 15Ft, Standard configuration"/>
        <s v="CO2 Tank Tool + Washers"/>
        <s v="Female Quick Connect x Male JIC Thread"/>
        <s v="Male QC x Female JIC"/>
        <s v="Travel Case"/>
        <s v="Handheld MKII in travel case with 8ft hose"/>
        <s v="Micro Jet Barrel with Right Angle"/>
        <s v="Quad Jet 110v with 5 Pin DMX, JIC Connections, NO HOSE"/>
        <s v="Warranty / T&amp;M - Customer stated DMX Jet MKII valve was sticking open. Technician verified issue, and found broken filter inside valve body. Removed filter, replaced valve seal, and is now performing as designed."/>
        <s v="Countersunk head, black stainless steel"/>
        <s v="Teflon &amp; Brass seal for 1/4&quot; CO2 Valve"/>
        <s v="Pro Jet, 5 pin, 110v, NO HOSE"/>
        <s v="Daisy Chain Adapter (1/2&quot; JIC)"/>
        <s v="Adapter for use with Manifold - to attach standard CGA-320 hose configuration"/>
        <s v="25FT CO2 Hose - 3/8&quot; NPT Male Swivel x JIC #6 female"/>
        <s v="Solenoid Din Connector"/>
        <s v="Added to 25FT hoses"/>
        <s v="Neutrik PowerCON True1 Cords - 15FT, Daisy Chain"/>
        <s v="Warranty / T&amp;M - Handheld MKII - Serial #4506 from order #48013. Cracked fitting, causing leak. Replaced whole handle assembly. "/>
        <s v="Handheld MKII"/>
        <s v="3/8&quot; MQC Quick Connect Fitting BSPP thread"/>
        <s v="1/4&quot; Co2 Valve"/>
        <s v="220v Solenoid Coil"/>
        <s v="DIN cable with L6-20, 6FT"/>
        <s v="3 1/2FT CO2 Hose (CGA-320 x Female JIC 3/8&quot;) For use with Manifold"/>
        <s v="2FT CO2 Hose (CGA-320 x Female JIC 3/8&quot;) For use with Manifold"/>
        <s v="CGA-320 to JIC adapter with nut."/>
        <s v="CO2 Jet with 180 degree movement"/>
        <s v="Neutrik Powercon True1 Cord 06FT Daisy Chain"/>
        <s v="CGA-320 Female to Male Quick Connect"/>
        <s v="White Internal Housing for PCB Mounting w/ laser cut hole for PCB header"/>
        <s v="Quad Jet 110v with 5 Pin DMX, No Hoses"/>
        <s v="Neutrik PowerCON True1 Cords - 6FT, Included"/>
        <s v="Quad Jet 110v with 5 Pin DMX, JIC Connections"/>
        <s v="5FT CO2 Hose (CGA-320 x Female JIC 3/8&quot;) For use with Manifold"/>
        <s v="Velcro strap for hose manifold"/>
        <s v="Used to add an additional input to 4 port manifold"/>
        <s v="Warranty / T&amp;M - Button Serial# 31478. Main PCB had encoder error. Replaced and is now performing normally."/>
        <s v="The Button Main PCB"/>
        <s v="Club Cannon team members travel to ImageSFX Las Vegas office to assist with water cannon project - completed 7/10/23"/>
        <s v="Quad Jet 110v with 5 Pin DMX, JIC Connections, NO HOSES"/>
        <s v="Cryo Clamp II, 110v, JIC"/>
        <s v="1/2-13 x 3/4” CS screw (Stainless Steel)"/>
        <s v="Bulk CO2 Hose 3/8&quot;"/>
        <s v="#6 JIC Female Hose Crimp Fitting"/>
        <s v="The Button LED Button PCB"/>
        <s v="The Button Encoder PCB"/>
        <s v="Black Anodized Aluminum Encoder Knob"/>
        <s v="Controller XLR used for controllers with both 3 and 5-pin DMX with 8-pin IDD connector"/>
        <s v="Replacement Keys - Shomaster &amp; ShoStarter"/>
        <s v="Replacement Keys - The Button"/>
        <s v="Button Repair - Serial #31419"/>
        <s v="Key Switch with Wires and PCB Connector for The Button"/>
        <s v="ISO-B replacement O-ring"/>
        <s v="Male quick connector with 3/8&quot; female NPT threads"/>
        <s v="MagicFX Streamers"/>
        <s v="Hose Adapters - #4 – Female Quick Connect (3/8″ NPT Female)"/>
        <s v="Quad Jet 110v with 5 Pin DMX With Barrels"/>
        <s v="CO2 Hose, 8FT (Included)"/>
      </sharedItems>
    </cacheField>
    <cacheField name="Order Quantity" numFmtId="0">
      <sharedItems containsSemiMixedTypes="0" containsNonDate="0" containsString="0" containsNumber="1" containsInteger="1" minValue="1" maxValue="3000" count="23">
        <n v="2"/>
        <n v="10"/>
        <n v="1"/>
        <n v="12"/>
        <n v="4"/>
        <n v="6"/>
        <n v="16"/>
        <n v="5"/>
        <n v="3"/>
        <n v="7"/>
        <n v="100"/>
        <n v="3000"/>
        <n v="56"/>
        <n v="24"/>
        <n v="600"/>
        <n v="40"/>
        <n v="8"/>
        <n v="20"/>
        <n v="14"/>
        <n v="63"/>
        <n v="120"/>
        <n v="80"/>
        <n v="50"/>
      </sharedItems>
    </cacheField>
    <cacheField name="Unit Price" numFmtId="0">
      <sharedItems containsSemiMixedTypes="0" containsNonDate="0" containsString="0" containsNumber="1" minValue="0" maxValue="3000" count="90">
        <n v="48.42"/>
        <n v="58.42"/>
        <n v="48.43"/>
        <n v="0.43"/>
        <n v="99.98999999999999"/>
        <n v="109.99"/>
        <n v="399.99"/>
        <n v="0"/>
        <n v="299.9925"/>
        <n v="20"/>
        <n v="849.99"/>
        <n v="29.99"/>
        <n v="5.99"/>
        <n v="199.99"/>
        <n v="59.99"/>
        <n v="119.99"/>
        <n v="8.99"/>
        <n v="49.99"/>
        <n v="652.4924999999999"/>
        <n v="30"/>
        <n v="1199.99"/>
        <n v="599.99"/>
        <n v="249.99"/>
        <n v="499.99"/>
        <n v="149.99"/>
        <n v="15"/>
        <n v="14.99"/>
        <n v="9.99"/>
        <n v="1624.99"/>
        <n v="974.9924999999999"/>
        <n v="899.9924999999999"/>
        <n v="350"/>
        <n v="259.99"/>
        <n v="150"/>
        <n v="374.9925"/>
        <n v="22.4925"/>
        <n v="12.09782625"/>
        <n v="2.67391275"/>
        <n v="48.7425"/>
        <n v="415"/>
        <n v="0.1875"/>
        <n v="1299.99"/>
        <n v="18.7425"/>
        <n v="112.4925"/>
        <n v="40"/>
        <n v="164.9925"/>
        <n v="314.991"/>
        <n v="549.99"/>
        <n v="51.66"/>
        <n v="391.65"/>
        <n v="299.99"/>
        <n v="349.99"/>
        <n v="120"/>
        <n v="900"/>
        <n v="211.83"/>
        <n v="19.99"/>
        <n v="111.99999975"/>
        <n v="6.978261"/>
        <n v="37.4925"/>
        <n v="346.64"/>
        <n v="64.98999999999999"/>
        <n v="100"/>
        <n v="52.4925"/>
        <n v="14"/>
        <n v="125"/>
        <n v="1850"/>
        <n v="175"/>
        <n v="54.99"/>
        <n v="324.99"/>
        <n v="1575"/>
        <n v="50"/>
        <n v="75"/>
        <n v="56.2425"/>
        <n v="4.875"/>
        <n v="17.2425"/>
        <n v="6"/>
        <n v="25"/>
        <n v="8.49"/>
        <n v="3000"/>
        <n v="1574.99"/>
        <n v="4.2521742"/>
        <n v="5.625"/>
        <n v="200"/>
        <n v="13"/>
        <n v="12"/>
        <n v="1"/>
        <n v="8.0625"/>
        <n v="4.4925"/>
        <n v="24.99"/>
        <n v="1874.9925"/>
      </sharedItems>
    </cacheField>
    <cacheField name="Total Line Item $" numFmtId="0">
      <sharedItems containsSemiMixedTypes="0" containsNonDate="0" containsString="0" containsNumber="1" minValue="0" maxValue="22050" count="137">
        <n v="96.84"/>
        <n v="116.84"/>
        <n v="96.86"/>
        <n v="4.3"/>
        <n v="199.98"/>
        <n v="109.99"/>
        <n v="399.99"/>
        <n v="0"/>
        <n v="599.985"/>
        <n v="20"/>
        <n v="1699.98"/>
        <n v="119.96"/>
        <n v="11.98"/>
        <n v="199.99"/>
        <n v="359.94"/>
        <n v="239.96"/>
        <n v="239.98"/>
        <n v="17.98"/>
        <n v="799.96"/>
        <n v="99.98"/>
        <n v="1304.985"/>
        <n v="30"/>
        <n v="399.98"/>
        <n v="799.98"/>
        <n v="1199.99"/>
        <n v="119.98"/>
        <n v="599.99"/>
        <n v="249.99"/>
        <n v="999.98"/>
        <n v="59.98"/>
        <n v="119.99"/>
        <n v="8.99"/>
        <n v="149.99"/>
        <n v="15"/>
        <n v="14.99"/>
        <n v="9.99"/>
        <n v="4874.97"/>
        <n v="6824.9475"/>
        <n v="899.9924999999999"/>
        <n v="350"/>
        <n v="519.98"/>
        <n v="150"/>
        <n v="49.99"/>
        <n v="749.985"/>
        <n v="44.985"/>
        <n v="120.9782625"/>
        <n v="26.7391275"/>
        <n v="48.42"/>
        <n v="439.96"/>
        <n v="9749.924999999999"/>
        <n v="487.425"/>
        <n v="415"/>
        <n v="562.5"/>
        <n v="299.9925"/>
        <n v="5199.96"/>
        <n v="112.4625"/>
        <n v="93.71250000000001"/>
        <n v="562.4625"/>
        <n v="1259.58"/>
        <n v="40"/>
        <n v="164.9925"/>
        <n v="629.982"/>
        <n v="549.99"/>
        <n v="103.32"/>
        <n v="391.65"/>
        <n v="299.99"/>
        <n v="349.99"/>
        <n v="59.99"/>
        <n v="6499.96"/>
        <n v="120"/>
        <n v="1299.99"/>
        <n v="10800"/>
        <n v="539.8200000000001"/>
        <n v="112.5"/>
        <n v="211.83"/>
        <n v="849.99"/>
        <n v="479.96"/>
        <n v="35.96"/>
        <n v="19.99"/>
        <n v="29.99"/>
        <n v="4499.91"/>
        <n v="1343.999997"/>
        <n v="83.739132"/>
        <n v="599.88"/>
        <n v="346.64"/>
        <n v="129.98"/>
        <n v="4000"/>
        <n v="1600"/>
        <n v="800"/>
        <n v="100"/>
        <n v="104.985"/>
        <n v="97.485"/>
        <n v="1400"/>
        <n v="125"/>
        <n v="14800"/>
        <n v="175"/>
        <n v="599.98"/>
        <n v="54.99"/>
        <n v="324.99"/>
        <n v="3399.96"/>
        <n v="700"/>
        <n v="239.92"/>
        <n v="23.96"/>
        <n v="974.85"/>
        <n v="22050"/>
        <n v="50"/>
        <n v="5400"/>
        <n v="75"/>
        <n v="3249.98"/>
        <n v="314.955"/>
        <n v="337.455"/>
        <n v="9.75"/>
        <n v="137.94"/>
        <n v="48"/>
        <n v="25"/>
        <n v="1199.9"/>
        <n v="84.90000000000001"/>
        <n v="3000"/>
        <n v="4724.97"/>
        <n v="2999.94"/>
        <n v="179.94"/>
        <n v="267.8869746"/>
        <n v="449.91"/>
        <n v="200"/>
        <n v="1199.97"/>
        <n v="1560"/>
        <n v="1440"/>
        <n v="645"/>
        <n v="4.4925"/>
        <n v="1199.98"/>
        <n v="24.99"/>
        <n v="3749.985"/>
        <n v="149.97"/>
        <n v="1999.96"/>
        <n v="2199.96"/>
        <n v="5.99"/>
        <n v="44.9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5" createdVersion="7">
  <cacheSource type="worksheet">
    <worksheetSource ref="A2:H387" sheet="June 2023"/>
  </cacheSource>
  <cacheFields count="8">
    <cacheField name="Sales Order" numFmtId="0">
      <sharedItems containsNonDate="0" count="133">
        <s v="3219"/>
        <s v="3218"/>
        <s v="3216"/>
        <s v="3217"/>
        <s v="3215"/>
        <s v="3213"/>
        <s v="3212"/>
        <s v="3210"/>
        <s v="3209"/>
        <s v="3207"/>
        <s v="3206"/>
        <s v="3205"/>
        <s v="3204"/>
        <s v="3211"/>
        <s v="3214"/>
        <s v="3202"/>
        <s v="3201"/>
        <s v="3197"/>
        <s v="3196"/>
        <s v="3195"/>
        <s v="3194"/>
        <s v="3193"/>
        <s v="3199"/>
        <s v="3208"/>
        <s v="3198"/>
        <s v="3191"/>
        <s v="3192"/>
        <s v="3190"/>
        <s v="3189"/>
        <s v="3187"/>
        <s v="3186"/>
        <s v="3188"/>
        <s v="3185"/>
        <s v="3184"/>
        <s v="3183"/>
        <s v="3365"/>
        <s v="3182"/>
        <s v="3181"/>
        <s v="3180"/>
        <s v="3179"/>
        <s v="3178"/>
        <s v="3176"/>
        <s v="3174"/>
        <s v="3177"/>
        <s v="3173"/>
        <s v="3256"/>
        <s v="3175"/>
        <s v="3168"/>
        <s v="3165"/>
        <s v="3169"/>
        <s v="3170"/>
        <s v="3167"/>
        <s v="3166"/>
        <s v="3164"/>
        <s v="3163"/>
        <s v="3162"/>
        <s v="3161"/>
        <s v="3160"/>
        <s v="3159"/>
        <s v="3157"/>
        <s v="3156"/>
        <s v="3158"/>
        <s v="3153"/>
        <s v="3152"/>
        <s v="3151"/>
        <s v="3150"/>
        <s v="3149"/>
        <s v="3154"/>
        <s v="3155"/>
        <s v="3148"/>
        <s v="3145"/>
        <s v="3144"/>
        <s v="3141"/>
        <s v="3140"/>
        <s v="3146"/>
        <s v="3142"/>
        <s v="3147"/>
        <s v="3143"/>
        <s v="3139"/>
        <s v="3136"/>
        <s v="3133"/>
        <s v="3132"/>
        <s v="3131"/>
        <s v="3130"/>
        <s v="3137"/>
        <s v="3138"/>
        <s v="3128"/>
        <s v="3129"/>
        <s v="3127"/>
        <s v="3126"/>
        <s v="3124"/>
        <s v="3122"/>
        <s v="3121"/>
        <s v="3120"/>
        <s v="3119"/>
        <s v="3123"/>
        <s v="3118"/>
        <s v="3115"/>
        <s v="3114"/>
        <s v="3117"/>
        <s v="3113"/>
        <s v="3116"/>
        <s v="3112"/>
        <s v="3109"/>
        <s v="3108"/>
        <s v="3107"/>
        <s v="3106"/>
        <s v="3105"/>
        <s v="3111"/>
        <s v="3104"/>
        <s v="3110"/>
        <s v="3103"/>
        <s v="3102"/>
        <s v="3099"/>
        <s v="3098"/>
        <s v="3096"/>
        <s v="3100"/>
        <s v="3101"/>
        <s v="3097"/>
        <s v="3095"/>
        <s v="3093"/>
        <s v="3094"/>
        <s v="3092"/>
        <s v="3091"/>
        <s v="3090"/>
        <s v="3089"/>
        <s v="3088"/>
        <s v="3087"/>
        <s v="3086"/>
        <s v="3085"/>
        <s v="3084"/>
        <s v="3082"/>
        <s v="3083"/>
      </sharedItems>
    </cacheField>
    <cacheField name="Customer" numFmtId="0">
      <sharedItems containsNonDate="0" count="105">
        <s v="genesis moreira"/>
        <s v="Michael Nguyen"/>
        <s v="Chris Grzesiak"/>
        <s v="Light FX Pros"/>
        <s v="Mario De la vega-elis"/>
        <s v="Daniel Nieves"/>
        <s v="michelle aman"/>
        <s v="Josh Byczek"/>
        <s v="Jeff Scott Gould"/>
        <s v="Jasper Hsieh"/>
        <s v="Dilan Soriano"/>
        <s v="Sam Abraham"/>
        <s v="Al Lopez"/>
        <s v="Image SFX"/>
        <s v="Coco Bongo"/>
        <s v="Joseph Benvenisti"/>
        <s v="Joseph Mondello"/>
        <s v="Ashish Desai"/>
        <s v="Craig Oppici"/>
        <s v="Son Nguyen"/>
        <s v="Eric Gussin"/>
        <s v="Alejandro Luna"/>
        <s v="David Belogolovsky"/>
        <s v="Jordan Harper"/>
        <s v="PYROTECNICO"/>
        <s v="Shawn Rae"/>
        <s v="DJ Event Gear"/>
        <s v="Travis Dillahunt"/>
        <s v="Ryan Riley"/>
        <s v="Gino U"/>
        <s v="Dawson High"/>
        <s v="Monkey Wrench Productions"/>
        <s v="Stew Rosenzweig"/>
        <s v="Lee Brown"/>
        <s v="Brilliant Stages Ltd T/A TAIT"/>
        <s v="ER Productions"/>
        <s v="Khaled Maarbani"/>
        <s v="George Hoang"/>
        <s v="Alec Thorne"/>
        <s v="Josh Blount"/>
        <s v="April Munguia"/>
        <s v="Jose Zepeda"/>
        <s v="Steven Dobo"/>
        <s v="Raymond Mcgrath"/>
        <s v="Nicholas Montanez"/>
        <s v="Dios Vazquez"/>
        <s v="Gallo Verde"/>
        <s v="Scott Nankervis"/>
        <s v="Melissa Ellingson"/>
        <s v="Mehdi Qaini"/>
        <s v="Rick Moyer"/>
        <s v="Eric Clemente"/>
        <s v="Ryan Lavende"/>
        <s v="Eric Grosshans"/>
        <s v="Ralph Bracamonte"/>
        <s v="Ariel Castillo / Confetti Fog FX"/>
        <s v="Aaron Villasenor"/>
        <s v="Jordan Waldo"/>
        <s v="Garett Gunin"/>
        <s v="Gerson Uben"/>
        <s v="Brett Henrichsen"/>
        <s v="Ryan Henry"/>
        <s v="Johnny Lydon"/>
        <s v="Tiju Daniel"/>
        <s v="Dan Wyatt"/>
        <s v="Luis Ruiz"/>
        <s v="Surujpaul Harilal"/>
        <s v="Lisa White"/>
        <s v="Joe Cooper"/>
        <s v="Kyle Nadeau"/>
        <s v="julian marquez"/>
        <s v="SFX Solutions"/>
        <s v="Terrance Woodruff"/>
        <s v="Ricardo Rodriguez"/>
        <s v="John Sanafria"/>
        <s v="Brad McCray"/>
        <s v="Joseph Gonzalez"/>
        <s v="MARK LEFSRUD"/>
        <s v="jesus ledezma"/>
        <s v="Brandon Kocis"/>
        <s v="Paul Nieto"/>
        <s v="Mike Miller"/>
        <s v="4WALL ENTERTAINMENT, INC."/>
        <s v="Special FX Rentals"/>
        <s v="Icon Event Group"/>
        <s v="Will Kent"/>
        <s v="Nik Beedle"/>
        <s v="Jared Deschner"/>
        <s v="Yitz Teitelbaum"/>
        <s v="mike liendo"/>
        <s v="martin cruz vargas"/>
        <s v="Steve Rader"/>
        <s v="vincant r akin"/>
        <s v="Michael McDonough"/>
        <s v="Josmar Lopez"/>
        <s v="Michael Callahan"/>
        <s v="Clark Ramsey"/>
        <s v="William Glidden"/>
        <s v="Danny McDonough"/>
        <s v="Kara Graves"/>
        <s v="Travis Johnson"/>
        <s v="Dimitri Laskaris"/>
        <s v="Reid Sessions"/>
        <s v="Emerson Wellens"/>
        <s v="leeor shlomo"/>
      </sharedItems>
    </cacheField>
    <cacheField name="Ordered Date" numFmtId="0">
      <sharedItems containsSemiMixedTypes="0" containsNonDate="0" containsDate="1" containsString="0" minDate="2023-06-01T00:00:00" maxDate="2023-06-30T15:21:02" count="110">
        <d v="2023-06-30T15:21:02"/>
        <d v="2023-06-30T09:22:43"/>
        <d v="2023-06-30T01:57:21"/>
        <d v="2023-06-30T00:00:00"/>
        <d v="2023-06-29T19:25:02"/>
        <d v="2023-06-28T22:01:32"/>
        <d v="2023-06-28T21:58:05"/>
        <d v="2023-06-28T19:31:34"/>
        <d v="2023-06-28T17:16:12"/>
        <d v="2023-06-28T08:27:52"/>
        <d v="2023-06-28T08:01:06"/>
        <d v="2023-06-28T07:47:05"/>
        <d v="2023-06-28T06:37:08"/>
        <d v="2023-06-28T00:00:00"/>
        <d v="2023-06-27T20:44:15"/>
        <d v="2023-06-27T19:43:59"/>
        <d v="2023-06-27T14:11:45"/>
        <d v="2023-06-27T12:51:17"/>
        <d v="2023-06-27T07:01:00"/>
        <d v="2023-06-27T04:27:29"/>
        <d v="2023-06-27T04:16:11"/>
        <d v="2023-06-27T00:00:00"/>
        <d v="2023-06-26T13:57:31"/>
        <d v="2023-06-26T00:00:00"/>
        <d v="2023-06-24T03:54:39"/>
        <d v="2023-06-23T21:12:10"/>
        <d v="2023-06-23T09:59:15"/>
        <d v="2023-06-23T00:17:05"/>
        <d v="2023-06-23T00:00:00"/>
        <d v="2023-06-22T21:48:03"/>
        <d v="2023-06-22T17:32:16"/>
        <d v="2023-06-22T00:00:00"/>
        <d v="2023-06-21T00:00:00"/>
        <d v="2023-06-20T23:52:22"/>
        <d v="2023-06-20T20:20:25"/>
        <d v="2023-06-20T19:29:38"/>
        <d v="2023-06-20T18:41:36"/>
        <d v="2023-06-20T15:56:53"/>
        <d v="2023-06-20T00:00:00"/>
        <d v="2023-06-19T16:09:38"/>
        <d v="2023-06-19T00:31:16"/>
        <d v="2023-06-19T00:00:00"/>
        <d v="2023-06-17T18:08:45"/>
        <d v="2023-06-17T14:50:35"/>
        <d v="2023-06-17T14:27:04"/>
        <d v="2023-06-17T04:13:46"/>
        <d v="2023-06-16T20:30:06"/>
        <d v="2023-06-16T20:18:09"/>
        <d v="2023-06-16T16:23:17"/>
        <d v="2023-06-16T16:00:59"/>
        <d v="2023-06-16T00:00:00"/>
        <d v="2023-06-14T19:24:28"/>
        <d v="2023-06-14T18:25:23"/>
        <d v="2023-06-14T16:22:54"/>
        <d v="2023-06-14T16:05:13"/>
        <d v="2023-06-14T10:46:06"/>
        <d v="2023-06-14T00:00:00"/>
        <d v="2023-06-13T23:28:04"/>
        <d v="2023-06-13T17:01:50"/>
        <d v="2023-06-13T15:02:14"/>
        <d v="2023-06-13T05:25:07"/>
        <d v="2023-06-13T03:17:14"/>
        <d v="2023-06-13T00:00:00"/>
        <d v="2023-06-12T22:22:17"/>
        <d v="2023-06-12T18:13:02"/>
        <d v="2023-06-12T16:50:15"/>
        <d v="2023-06-12T15:13:03"/>
        <d v="2023-06-12T05:57:55"/>
        <d v="2023-06-12T05:50:51"/>
        <d v="2023-06-12T00:00:00"/>
        <d v="2023-06-11T20:18:21"/>
        <d v="2023-06-11T00:00:00"/>
        <d v="2023-06-09T22:48:19"/>
        <d v="2023-06-09T00:00:00"/>
        <d v="2023-06-08T22:10:44"/>
        <d v="2023-06-08T14:56:07"/>
        <d v="2023-06-08T14:33:01"/>
        <d v="2023-06-08T11:12:46"/>
        <d v="2023-06-08T00:30:57"/>
        <d v="2023-06-08T00:00:00"/>
        <d v="2023-06-07T23:09:14"/>
        <d v="2023-06-07T18:25:22"/>
        <d v="2023-06-07T16:31:38"/>
        <d v="2023-06-07T00:00:00"/>
        <d v="2023-06-06T21:28:03"/>
        <d v="2023-06-06T17:58:52"/>
        <d v="2023-06-06T16:57:13"/>
        <d v="2023-06-06T15:35:57"/>
        <d v="2023-06-06T15:11:19"/>
        <d v="2023-06-06T00:00:00"/>
        <d v="2023-06-05T22:41:54"/>
        <d v="2023-06-05T21:40:43"/>
        <d v="2023-06-05T18:34:51"/>
        <d v="2023-06-05T17:49:10"/>
        <d v="2023-06-05T11:10:11"/>
        <d v="2023-06-05T00:00:00"/>
        <d v="2023-06-04T16:49:32"/>
        <d v="2023-06-04T14:41:16"/>
        <d v="2023-06-04T00:00:00"/>
        <d v="2023-06-03T17:25:11"/>
        <d v="2023-06-03T16:28:15"/>
        <d v="2023-06-03T03:43:36"/>
        <d v="2023-06-02T22:38:11"/>
        <d v="2023-06-02T18:14:50"/>
        <d v="2023-06-02T15:27:04"/>
        <d v="2023-06-02T12:43:15"/>
        <d v="2023-06-02T00:00:00"/>
        <d v="2023-06-01T22:53:58"/>
        <d v="2023-06-01T12:33:49"/>
        <d v="2023-06-01T00:00:00"/>
      </sharedItems>
      <fieldGroup base="2">
        <rangePr startDate="2023-06-01T00:00:00" endDate="2023-06-30T15:21:02" groupBy="days"/>
        <groupItems count="368">
          <s v="&lt;06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6/30/2023"/>
        </groupItems>
      </fieldGroup>
    </cacheField>
    <cacheField name="Line Item Name" numFmtId="0">
      <sharedItems containsNonDate="0" count="104">
        <s v="CC-CH-50-STD"/>
        <s v="CC-CH-35-STD"/>
        <s v="CC-CH-08-DSY"/>
        <s v="CC-CTC-50"/>
        <s v="CC-HCCMKII-08-NC"/>
        <s v="MagicFX PSYCO2JET"/>
        <s v="Shipping Charges"/>
        <s v="CC-SM-5"/>
        <s v="CC-MJMKII-3-110"/>
        <s v="CC-CH-25-STD"/>
        <s v="CC-AC-CLAMP"/>
        <s v="CC-AC-PMA"/>
        <s v="CC-NPTC-06-STD"/>
        <s v="CC-AC-OP"/>
        <s v="CC-TB-35"/>
        <s v="CC-CH-08-STD"/>
        <s v="CC-CC2-110"/>
        <s v="CC-AC-BM-KIT"/>
        <s v="CC-HCCMKII-08-TC"/>
        <s v="CC-HCCMKII-15-TC"/>
        <s v="CC-PROJ-3-110"/>
        <s v="CC-F-COT"/>
        <s v="CC-CH-15-DSY"/>
        <s v="CC-AC-CTAT"/>
        <s v="MagicFX Switchpack II"/>
        <s v="XLR Jumper - 5 Pin"/>
        <s v="True1 Jumper - 15 Inches"/>
        <s v="CC-AC-CJLEDA"/>
        <s v="CC-PROJ-5-110"/>
        <s v="CC-CH-15-STD"/>
        <s v="CC-CTC-20"/>
        <s v="CC-WASH-10"/>
        <s v="CC-AC-CTS"/>
        <s v="CC-F-FQCNPTF"/>
        <s v="CC-F-HEA"/>
        <s v="CC-AC-CCL"/>
        <s v="CC-CH-08-EXT"/>
        <s v="MagicFX SFX Safety ARM Controller"/>
        <s v="MagicFX ARM SFX SAFETY TERMINATOR"/>
        <s v="MagicFX Replacement Keys"/>
        <s v="CC-AC-SMK"/>
        <s v="CC-HCCMKII-15-NC"/>
        <s v="CC-AC-RAA"/>
        <s v="CC-AC-ROR"/>
        <s v="CC-CH-05-STD"/>
        <s v="CC-F-MQCNPTM"/>
        <s v="CC-CH-25-DSY"/>
        <s v="CC-CH-50-EXT"/>
        <s v="JIC Tee 6600-06-06-06"/>
        <s v="CC-PROJ-5-220"/>
        <s v="CC-AC-OP-INT"/>
        <s v="CC-AC-4PM"/>
        <s v="MBSPP-FJX-6-6"/>
        <s v="CC-F-FQCBSPF"/>
        <s v="3/8” BSPP Bonding Washer Seal"/>
        <s v="International CO2 Nut"/>
        <s v="Smart Unit Main PCB"/>
        <s v="3A Cylinder fuse (5x20MM)"/>
        <s v="32GB SD Card"/>
        <s v="6-32 x 1/2&quot; CS SS Sealing Screws with O-Ring"/>
        <s v="CR1220 "/>
        <s v="Nextion 10&quot; Screen"/>
        <s v="CC-F-MFDCGAJIC"/>
        <s v="CC-CH-02-MFD"/>
        <s v="CC-CH-03.5-MFD"/>
        <s v="CC-QJ-5-110"/>
        <s v="Discount"/>
        <s v="CC-CH-100-STD"/>
        <s v="JIC Run Tee 6602-06-06-06"/>
        <s v="Tact Switch Caps"/>
        <s v="CC-T1M-515F-08in"/>
        <s v="Controller 3/5 pin XLR PCB Assembly"/>
        <s v="CC-WASH-01"/>
        <s v="3/8&quot; Male NPT x #6 JIC Male"/>
        <s v="3/8&quot; JIC Cap"/>
        <s v="10FT CO2 Hose - JIC  x JIC"/>
        <s v="15FT CO2 Hose - 3/8&quot; NPT Male Swivel x JIC"/>
        <s v="3/8&quot; NPT Female x 3/8&quot; JIC Female 6506-06-06"/>
        <s v="Shipping Fees"/>
        <s v="110v Solenoid Coil"/>
        <s v="1/4&quot; Co2 Valve"/>
        <s v="SF8 Rubber Foot"/>
        <s v="8-32 x 3/8&quot; Binding Screw"/>
        <s v="Micro Jet MKII 5-Pin XLR PCB"/>
        <s v="6-32 x 3/8&quot; - CS, BSS"/>
        <s v="CO2 Valve Replacement Seal"/>
        <s v="3M BUMPON SJ5012"/>
        <s v="1/4” NPT Male x 3/8” JIC Female"/>
        <s v="Repair"/>
        <s v="Repair Labor"/>
        <s v="Emergency Stop Button"/>
        <s v="Obsidian RP2 Relay Pack"/>
        <s v="Credit Card Fee"/>
        <s v="CC-SS-35"/>
        <s v="Mocap 1/2” hole cap"/>
        <s v="Compressible-Stem Push-In Bumpers"/>
        <s v="#12 x 1/2&quot; High Low Thread Forming Screws / Phillips / Pan Head / Steel / Black Zinc"/>
        <s v="1/2-13 x 3/4” CS screw"/>
        <s v="1/4-20 x 3/4” CS screw"/>
        <s v="Shoulder washers"/>
        <s v="3/4 OD X 1/4 ID X 1/8 Thickness Neoprene Rubber Washers"/>
        <s v="CC-F-MQCBSPPF"/>
        <s v="3/8&quot; BSPP Male x 3/8&quot; NPT Male Adapter"/>
        <s v="CC-F-DCHA"/>
      </sharedItems>
    </cacheField>
    <cacheField name="Line Item Description" numFmtId="0">
      <sharedItems containsNonDate="0" containsBlank="1" longText="1" count="106">
        <s v="CO2 Hose"/>
        <s v="CO2 Tank Covers - 50lb Cover"/>
        <s v="Handheld CO2 Cannon MKII"/>
        <s v="CO2 Jet with 180 degree movement"/>
        <m/>
        <s v="ShoMaster Console"/>
        <s v="Micro CO2 Jet MKII"/>
        <s v="Product CO2 Hose - 25 foot hose - $50.00"/>
        <s v="Truss Clamp"/>
        <s v="1/4&quot; TS Power mode Adapter"/>
        <s v="Neutrik PowerCON True1 Cords - 6FT, Standard"/>
        <s v="CO2 Tank Tool + Washers - Yes - add tool and washers +$15.00"/>
        <s v="The Button - with both 3 &amp; 5 pin DMX ports"/>
        <s v="Cryo Clamp II, 110v, Weatherproof CO2 Jet"/>
        <s v="Ball Mount Assembly for Cryo Clamp with 4x 10-32 x 3/8&quot; socket head screws"/>
        <s v="Handheld MKII in travel case with 8ft hose"/>
        <s v="Handheld MKII in travel case with 15ft hose"/>
        <s v="Pro Jet"/>
        <s v="Hose Adapters - #3 – CO2 Output Terminator"/>
        <s v="Co2 Tank Attachment Tool"/>
        <s v="4 Channel True1 DMX Relay - Rainproof"/>
        <s v="LED Attachment XLR jumper"/>
        <s v="True1 Male x True1 Female jumper for LED Attachment"/>
        <s v="Co2 Jet LED Attachment II - DEMO UNITS"/>
        <s v="CO2 Tank Covers - 20lb Cover"/>
        <s v="CO2 Washers"/>
        <s v="CO2 Tank Splitter"/>
        <s v="Co2 Jet LED Attachment II - Demo Units (to be returned)"/>
        <s v="Hose Adapters - #4 – Female Quick Connect (3/8″ NPT Female)"/>
        <s v="Hose Adapters - #2 – Hose Extension Adapter"/>
        <s v="CO2 Cylinder Link"/>
        <s v="Co2 Hose 08FT Extension Config"/>
        <s v="48v Safety Controller (Warranty Replacement)"/>
        <s v="RJ45 Terminator - required for ARM System"/>
        <s v="ARM Controller key set"/>
        <s v="Replacement Keys - The Button"/>
        <s v="Right Angle Adapter"/>
        <s v="Replacement O-Ring"/>
        <s v="Hose Adapters - #1 – Male Quick Connect (3/8″ NPT Male)"/>
        <s v="Male x Male x Female "/>
        <s v="Pro Jet with 5- pin DMX and 220v Solenoid"/>
        <s v="CO2 Hose - 15FT (INTERNATIONAL CO2 FITTINGS)"/>
        <s v="International order pack in bag with CO2 Tool, Quick Start Guide and Pack of washers"/>
        <s v="Co2 Hose 25FT Standard Config"/>
        <s v="4 Port Co2 Manifold - 4x JIC 3/8&quot; Inlets, 1x JIC 3/8&quot; Outlet with Truss Bracket"/>
        <s v="Straight Adapter - 3/8 in Female JIC 37° Flare Swivel x 3/8 in Male British Standard Pipe Parallel"/>
        <s v="ISO-A Female Quick Connect - BSPP Thread"/>
        <s v="3/8” BSPP Bonding Washer Seal"/>
        <s v="Handheld CO2 Cannon MKII - 8FT INTERNATIONAL HOSE"/>
        <s v="Nut for use with international CO2 tanks - DIN 477 #6"/>
        <s v="Custom PCB "/>
        <s v="Smart Unit Main Fuse"/>
        <s v="32GB MICRO SD ULTRA SANDISK MEMORY CARD"/>
        <s v="Sealing screws for watertight enclosures"/>
        <s v="Co2 Jet LED Attachment II - Demo unit, to be returned. "/>
        <s v="Battery used for real time clock on Nextion screens"/>
        <s v="10.1&quot; HMI Display - Install ShoMaster V1.1 prior to shipment"/>
        <s v="Adapter for use with Manifold - to attach standard CGA-320 hose configuration"/>
        <s v="2FT CO2 Hose (CGA-320 x Female JIC 3/8&quot;) For use with Manifold"/>
        <s v="3 1/2FT CO2 Hose (CGA-320 x Female JIC 3/8&quot;) For use with Manifold"/>
        <s v="Quad Jet 110v with 5 Pin DMX With Barrels"/>
        <s v="CO2 Hose, 100FT (To be invoiced or returned)"/>
        <s v="Used to add an additional input to 4 port manifold  (To be invoiced or returned)"/>
        <s v="Soft Tact Switch Cap - INCLUDE 2PCS TACTILE SWITCH (10.5MM)"/>
        <s v="True1 Male to Nema 5-15 Female Output Adapter 8in"/>
        <s v="Controller XLR - CUSTOMIZED WITH 2x 5 PIN CONNECTORS"/>
        <s v="Single CO2 Washer"/>
        <s v="3/8&quot; Male NPT x #6 JIC Male"/>
        <s v="JIC Cap 0304-C-06"/>
        <s v="10FT CO2 Hose - JIC  x JIC"/>
        <s v="15FT CO2 Hose - 3/8&quot; NPT Male Swivel x JIC #6 female"/>
        <s v="6506-06-06"/>
        <s v="110v Solenoid Coil"/>
        <s v="1/4&quot; Co2 Valve"/>
        <s v="Micro Jet MKII Rubber Foot"/>
        <s v="Micro Jet MKII Foot Screw"/>
        <s v="DMX Input PCB"/>
        <s v="Countersunk head, black stainless steel"/>
        <s v="Teflon &amp; Brass seal for 1/4&quot; CO2 Valve"/>
        <s v="Sticky Rubber Foot"/>
        <s v="1/4” NPT Male x 3/8” JIC Female"/>
        <s v="micro jet - serial #0723180 - unit fed 220v, solenoid and valve needed replacement, tested working as designed after repair. in addition jet also needed 1 rubber foot, 1 binding screw."/>
        <s v="Micro jet - serial #04233948 - had broken XLR board, replaced and tested, working fine after repair."/>
        <s v="Micro jet - serial #07231912 - XLR broken, replaced and tested, working after repair."/>
        <s v="Micro jet serial #04233958 - broken XLR board, replaced and tested, working after repair."/>
        <s v="Micro jet - serial #0723179 - dmx connection lost, opened jet double checked connections, retested and fixed connection. in addition jet was missing 2 rubber feet, 2 binding screws, and needed new hardware."/>
        <s v="Micro jet - serial #0723181 - connection to DMX was lost, opened up jet and checked all connections and re-tested, after re-testing connection jet had connection again. in addition jet was missing hardware and then replaced with new hardware."/>
        <s v="Micro jet  - serial #0723190 - jet had lost connection to DMX and had a valve leak, replaced valve seal and checked all connections and was tested. after repair and connections checked jet worked as designed. jet was also missing hardware and was replaced."/>
        <s v="Mirco jet - serial #04233947 - jet had broken fitting, replaced and tested, works as intended after replacement. jet was also missing hardware and was replaced with new hardware."/>
        <s v="Micro jet - serial #0723182 - had broken XLR board, replaced and tested, worked as intended after repair. was also missing hardware and was replaced with new hardware."/>
        <s v="button - serial #31514 - had lost connection to DMX, opened up and checked all connections and tested, connection to DMX came back. also missing 1 foot and replaced."/>
        <s v="22mm emergency stop non- illuminated 3pins metal push button switch with hardness AWG22 406mm cables"/>
        <s v="2 Output DMX Relay with Timer"/>
        <s v="ShoStarter DMX Controller with 3 &amp; 5 Pin Connectors in Box"/>
        <s v="Truss Clamp (Included)"/>
        <s v="CO2 Tank Tool + Washers"/>
        <s v="Mocap 1/2” hole cap"/>
        <s v="Compressible-Stem Push-In Bumpers"/>
        <s v="Pro Jet feet screws (thread forming)"/>
        <s v="1/2-13 x 3/4” CS screw"/>
        <s v="1/4-20 x 3/4” CS screw"/>
        <s v="Shoulder washers"/>
        <s v="3/4 OD X 1/4 ID X 1/8 Thickness Neoprene Rubber Washers"/>
        <s v="3/8&quot; MQC Quick Connect Fitting BSPP thread"/>
        <s v="9007-06-06 Pro Jet CO2-T Adapter with bonding washer"/>
        <s v="#5 - Daisy Chain Adapter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3"/>
        <n v="1"/>
        <n v="10"/>
        <n v="4"/>
        <n v="6"/>
        <n v="5"/>
        <n v="12"/>
        <n v="50"/>
        <n v="11"/>
        <n v="7"/>
        <n v="20"/>
        <n v="8"/>
        <n v="18"/>
        <n v="17"/>
        <n v="24"/>
        <n v="1000"/>
        <n v="84"/>
        <n v="38"/>
        <n v="22"/>
      </sharedItems>
    </cacheField>
    <cacheField name="Unit Price" numFmtId="0">
      <sharedItems containsSemiMixedTypes="0" containsNonDate="0" containsString="0" containsNumber="1" minValue="-1419.48" maxValue="3199.99" count="105">
        <n v="299.99"/>
        <n v="249.99"/>
        <n v="109.99"/>
        <n v="59.99"/>
        <n v="349.99"/>
        <n v="1700"/>
        <n v="300"/>
        <n v="3199.99"/>
        <n v="849.99"/>
        <n v="50"/>
        <n v="29.99"/>
        <n v="5.99"/>
        <n v="0"/>
        <n v="399.99"/>
        <n v="499.99"/>
        <n v="549.99"/>
        <n v="599.99"/>
        <n v="1299.99"/>
        <n v="175"/>
        <n v="149.99"/>
        <n v="9.99"/>
        <n v="15"/>
        <n v="675"/>
        <n v="375"/>
        <n v="30"/>
        <n v="1169.991"/>
        <n v="49.99"/>
        <n v="8.99"/>
        <n v="19.99"/>
        <n v="119.99"/>
        <n v="22.4925"/>
        <n v="18.7425"/>
        <n v="25"/>
        <n v="7.49"/>
        <n v="359.991"/>
        <n v="374.99"/>
        <n v="1.99"/>
        <n v="99.98999999999999"/>
        <n v="14.99"/>
        <n v="199.99"/>
        <n v="299.9925"/>
        <n v="224.9925"/>
        <n v="158.13"/>
        <n v="134.9925"/>
        <n v="7.4925"/>
        <n v="14.9925"/>
        <n v="1.125"/>
        <n v="48"/>
        <n v="262.4925"/>
        <n v="18"/>
        <n v="150"/>
        <n v="574.99"/>
        <n v="24.99"/>
        <n v="40"/>
        <n v="179.99"/>
        <n v="64.98999999999999"/>
        <n v="637.4924999999999"/>
        <n v="37.5"/>
        <n v="412.4925"/>
        <n v="60"/>
        <n v="69.98999999999999"/>
        <n v="2499.99"/>
        <n v="-1419.48"/>
        <n v="822.66"/>
        <n v="89.99250000000001"/>
        <n v="314.991"/>
        <n v="374.9925"/>
        <n v="22.5"/>
        <n v="0.225"/>
        <n v="2.25"/>
        <n v="0.9375"/>
        <n v="48.75"/>
        <n v="73.125"/>
        <n v="5.25"/>
        <n v="225"/>
        <n v="112.5"/>
        <n v="1.875"/>
        <n v="0.75"/>
        <n v="24.375"/>
        <n v="0.1125"/>
        <n v="7.5"/>
        <n v="0.375"/>
        <n v="3.75"/>
        <n v="75"/>
        <n v="100"/>
        <n v="35"/>
        <n v="251.2425"/>
        <n v="95.84999999999999"/>
        <n v="330"/>
        <n v="149.9925"/>
        <n v="87.40000000000001"/>
        <n v="9"/>
        <n v="1199.99"/>
        <n v="112.4925"/>
        <n v="37.4925"/>
        <n v="297.4915"/>
        <n v="11.2425"/>
        <n v="5.6175"/>
        <n v="974.9924999999999"/>
        <n v="187.4925"/>
        <n v="1.4925"/>
        <n v="289.41"/>
        <n v="899.9924999999999"/>
        <n v="275"/>
        <n v="65"/>
      </sharedItems>
    </cacheField>
    <cacheField name="Total Line Item $" numFmtId="0">
      <sharedItems containsSemiMixedTypes="0" containsNonDate="0" containsString="0" containsNumber="1" minValue="-1419.48" maxValue="17000" count="153">
        <n v="599.98"/>
        <n v="499.98"/>
        <n v="329.97"/>
        <n v="59.99"/>
        <n v="349.99"/>
        <n v="17000"/>
        <n v="300"/>
        <n v="3199.99"/>
        <n v="1699.98"/>
        <n v="100"/>
        <n v="119.96"/>
        <n v="11.98"/>
        <n v="0"/>
        <n v="399.99"/>
        <n v="219.98"/>
        <n v="999.98"/>
        <n v="1099.98"/>
        <n v="599.99"/>
        <n v="2599.98"/>
        <n v="350"/>
        <n v="299.98"/>
        <n v="19.98"/>
        <n v="109.99"/>
        <n v="15"/>
        <n v="1350"/>
        <n v="1500"/>
        <n v="30"/>
        <n v="7019.946"/>
        <n v="49.99"/>
        <n v="99.98"/>
        <n v="849.99"/>
        <n v="5.99"/>
        <n v="249.99"/>
        <n v="8.99"/>
        <n v="19.99"/>
        <n v="119.99"/>
        <n v="44.985"/>
        <n v="93.71250000000001"/>
        <n v="25"/>
        <n v="7.49"/>
        <n v="359.991"/>
        <n v="374.99"/>
        <n v="4249.95"/>
        <n v="250"/>
        <n v="599.95"/>
        <n v="44.95"/>
        <n v="249.95"/>
        <n v="39.96"/>
        <n v="9.949999999999999"/>
        <n v="199.98"/>
        <n v="29.98"/>
        <n v="39.98"/>
        <n v="199.99"/>
        <n v="299.9925"/>
        <n v="449.985"/>
        <n v="158.13"/>
        <n v="674.9625"/>
        <n v="37.4625"/>
        <n v="74.96250000000001"/>
        <n v="5.625"/>
        <n v="48"/>
        <n v="3149.91"/>
        <n v="36"/>
        <n v="1299.99"/>
        <n v="699.98"/>
        <n v="150"/>
        <n v="299.99"/>
        <n v="574.99"/>
        <n v="79.95999999999999"/>
        <n v="24.99"/>
        <n v="1799.955"/>
        <n v="40"/>
        <n v="359.98"/>
        <n v="389.94"/>
        <n v="2549.97"/>
        <n v="412.4925"/>
        <n v="60"/>
        <n v="17.98"/>
        <n v="12999.9"/>
        <n v="299.9"/>
        <n v="399.98"/>
        <n v="259.96"/>
        <n v="139.98"/>
        <n v="159.92"/>
        <n v="4999.98"/>
        <n v="1199.92"/>
        <n v="-1419.48"/>
        <n v="824.985"/>
        <n v="822.66"/>
        <n v="119.98"/>
        <n v="1529.8725"/>
        <n v="314.991"/>
        <n v="179.91"/>
        <n v="9.99"/>
        <n v="1499.97"/>
        <n v="22.5"/>
        <n v="359.82"/>
        <n v="225"/>
        <n v="189"/>
        <n v="78.75"/>
        <n v="97.5"/>
        <n v="877.5"/>
        <n v="63"/>
        <n v="112.5"/>
        <n v="18.75"/>
        <n v="7.5"/>
        <n v="73.125"/>
        <n v="4.275"/>
        <n v="0.375"/>
        <n v="3.75"/>
        <n v="600"/>
        <n v="524.985"/>
        <n v="35"/>
        <n v="549.99"/>
        <n v="14.99"/>
        <n v="1507.455"/>
        <n v="95.84999999999999"/>
        <n v="499.99"/>
        <n v="330"/>
        <n v="899.955"/>
        <n v="87.40000000000001"/>
        <n v="9"/>
        <n v="1199.99"/>
        <n v="35.96"/>
        <n v="239.98"/>
        <n v="959.92"/>
        <n v="71.92"/>
        <n v="799.96"/>
        <n v="2249.955"/>
        <n v="134.955"/>
        <n v="674.955"/>
        <n v="175"/>
        <n v="3399.96"/>
        <n v="400"/>
        <n v="143.76"/>
        <n v="824.835"/>
        <n v="49.98"/>
        <n v="29.97"/>
        <n v="594.9829999999999"/>
        <n v="134.91"/>
        <n v="67.41"/>
        <n v="59.98"/>
        <n v="3899.97"/>
        <n v="374.985"/>
        <n v="149.9925"/>
        <n v="719.9400000000001"/>
        <n v="11.94"/>
        <n v="289.41"/>
        <n v="2699.9775"/>
        <n v="7499.97"/>
        <n v="1499.9625"/>
        <n v="275"/>
        <n v="6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5" createdVersion="7">
  <cacheSource type="worksheet">
    <worksheetSource ref="D2:F387" sheet="June 2023"/>
  </cacheSource>
  <cacheFields count="3">
    <cacheField name="Line Item Name" numFmtId="0">
      <sharedItems containsNonDate="0" count="104">
        <s v="CC-CH-50-STD"/>
        <s v="CC-CH-35-STD"/>
        <s v="CC-CH-08-DSY"/>
        <s v="CC-CTC-50"/>
        <s v="CC-HCCMKII-08-NC"/>
        <s v="MagicFX PSYCO2JET"/>
        <s v="Shipping Charges"/>
        <s v="CC-SM-5"/>
        <s v="CC-MJMKII-3-110"/>
        <s v="CC-CH-25-STD"/>
        <s v="CC-AC-CLAMP"/>
        <s v="CC-AC-PMA"/>
        <s v="CC-NPTC-06-STD"/>
        <s v="CC-AC-OP"/>
        <s v="CC-TB-35"/>
        <s v="CC-CH-08-STD"/>
        <s v="CC-CC2-110"/>
        <s v="CC-AC-BM-KIT"/>
        <s v="CC-HCCMKII-08-TC"/>
        <s v="CC-HCCMKII-15-TC"/>
        <s v="CC-PROJ-3-110"/>
        <s v="CC-F-COT"/>
        <s v="CC-CH-15-DSY"/>
        <s v="CC-AC-CTAT"/>
        <s v="MagicFX Switchpack II"/>
        <s v="XLR Jumper - 5 Pin"/>
        <s v="True1 Jumper - 15 Inches"/>
        <s v="CC-AC-CJLEDA"/>
        <s v="CC-PROJ-5-110"/>
        <s v="CC-CH-15-STD"/>
        <s v="CC-CTC-20"/>
        <s v="CC-WASH-10"/>
        <s v="CC-AC-CTS"/>
        <s v="CC-F-FQCNPTF"/>
        <s v="CC-F-HEA"/>
        <s v="CC-AC-CCL"/>
        <s v="CC-CH-08-EXT"/>
        <s v="MagicFX SFX Safety ARM Controller"/>
        <s v="MagicFX ARM SFX SAFETY TERMINATOR"/>
        <s v="MagicFX Replacement Keys"/>
        <s v="CC-AC-SMK"/>
        <s v="CC-HCCMKII-15-NC"/>
        <s v="CC-AC-RAA"/>
        <s v="CC-AC-ROR"/>
        <s v="CC-CH-05-STD"/>
        <s v="CC-F-MQCNPTM"/>
        <s v="CC-CH-25-DSY"/>
        <s v="CC-CH-50-EXT"/>
        <s v="JIC Tee 6600-06-06-06"/>
        <s v="CC-PROJ-5-220"/>
        <s v="CC-AC-OP-INT"/>
        <s v="CC-AC-4PM"/>
        <s v="MBSPP-FJX-6-6"/>
        <s v="CC-F-FQCBSPF"/>
        <s v="3/8” BSPP Bonding Washer Seal"/>
        <s v="International CO2 Nut"/>
        <s v="Smart Unit Main PCB"/>
        <s v="3A Cylinder fuse (5x20MM)"/>
        <s v="32GB SD Card"/>
        <s v="6-32 x 1/2&quot; CS SS Sealing Screws with O-Ring"/>
        <s v="CR1220 "/>
        <s v="Nextion 10&quot; Screen"/>
        <s v="CC-F-MFDCGAJIC"/>
        <s v="CC-CH-02-MFD"/>
        <s v="CC-CH-03.5-MFD"/>
        <s v="CC-QJ-5-110"/>
        <s v="Discount"/>
        <s v="CC-CH-100-STD"/>
        <s v="JIC Run Tee 6602-06-06-06"/>
        <s v="Tact Switch Caps"/>
        <s v="CC-T1M-515F-08in"/>
        <s v="Controller 3/5 pin XLR PCB Assembly"/>
        <s v="CC-WASH-01"/>
        <s v="3/8&quot; Male NPT x #6 JIC Male"/>
        <s v="3/8&quot; JIC Cap"/>
        <s v="10FT CO2 Hose - JIC  x JIC"/>
        <s v="15FT CO2 Hose - 3/8&quot; NPT Male Swivel x JIC"/>
        <s v="3/8&quot; NPT Female x 3/8&quot; JIC Female 6506-06-06"/>
        <s v="Shipping Fees"/>
        <s v="110v Solenoid Coil"/>
        <s v="1/4&quot; Co2 Valve"/>
        <s v="SF8 Rubber Foot"/>
        <s v="8-32 x 3/8&quot; Binding Screw"/>
        <s v="Micro Jet MKII 5-Pin XLR PCB"/>
        <s v="6-32 x 3/8&quot; - CS, BSS"/>
        <s v="CO2 Valve Replacement Seal"/>
        <s v="3M BUMPON SJ5012"/>
        <s v="1/4” NPT Male x 3/8” JIC Female"/>
        <s v="Repair"/>
        <s v="Repair Labor"/>
        <s v="Emergency Stop Button"/>
        <s v="Obsidian RP2 Relay Pack"/>
        <s v="Credit Card Fee"/>
        <s v="CC-SS-35"/>
        <s v="Mocap 1/2” hole cap"/>
        <s v="Compressible-Stem Push-In Bumpers"/>
        <s v="#12 x 1/2&quot; High Low Thread Forming Screws / Phillips / Pan Head / Steel / Black Zinc"/>
        <s v="1/2-13 x 3/4” CS screw"/>
        <s v="1/4-20 x 3/4” CS screw"/>
        <s v="Shoulder washers"/>
        <s v="3/4 OD X 1/4 ID X 1/8 Thickness Neoprene Rubber Washers"/>
        <s v="CC-F-MQCBSPPF"/>
        <s v="3/8&quot; BSPP Male x 3/8&quot; NPT Male Adapter"/>
        <s v="CC-F-DCHA"/>
      </sharedItems>
    </cacheField>
    <cacheField name="Line Item Description" numFmtId="0">
      <sharedItems containsNonDate="0" containsBlank="1" longText="1" count="106">
        <s v="CO2 Hose"/>
        <s v="CO2 Tank Covers - 50lb Cover"/>
        <s v="Handheld CO2 Cannon MKII"/>
        <s v="CO2 Jet with 180 degree movement"/>
        <m/>
        <s v="ShoMaster Console"/>
        <s v="Micro CO2 Jet MKII"/>
        <s v="Product CO2 Hose - 25 foot hose - $50.00"/>
        <s v="Truss Clamp"/>
        <s v="1/4&quot; TS Power mode Adapter"/>
        <s v="Neutrik PowerCON True1 Cords - 6FT, Standard"/>
        <s v="CO2 Tank Tool + Washers - Yes - add tool and washers +$15.00"/>
        <s v="The Button - with both 3 &amp; 5 pin DMX ports"/>
        <s v="Cryo Clamp II, 110v, Weatherproof CO2 Jet"/>
        <s v="Ball Mount Assembly for Cryo Clamp with 4x 10-32 x 3/8&quot; socket head screws"/>
        <s v="Handheld MKII in travel case with 8ft hose"/>
        <s v="Handheld MKII in travel case with 15ft hose"/>
        <s v="Pro Jet"/>
        <s v="Hose Adapters - #3 – CO2 Output Terminator"/>
        <s v="Co2 Tank Attachment Tool"/>
        <s v="4 Channel True1 DMX Relay - Rainproof"/>
        <s v="LED Attachment XLR jumper"/>
        <s v="True1 Male x True1 Female jumper for LED Attachment"/>
        <s v="Co2 Jet LED Attachment II - DEMO UNITS"/>
        <s v="CO2 Tank Covers - 20lb Cover"/>
        <s v="CO2 Washers"/>
        <s v="CO2 Tank Splitter"/>
        <s v="Co2 Jet LED Attachment II - Demo Units (to be returned)"/>
        <s v="Hose Adapters - #4 – Female Quick Connect (3/8″ NPT Female)"/>
        <s v="Hose Adapters - #2 – Hose Extension Adapter"/>
        <s v="CO2 Cylinder Link"/>
        <s v="Co2 Hose 08FT Extension Config"/>
        <s v="48v Safety Controller (Warranty Replacement)"/>
        <s v="RJ45 Terminator - required for ARM System"/>
        <s v="ARM Controller key set"/>
        <s v="Replacement Keys - The Button"/>
        <s v="Right Angle Adapter"/>
        <s v="Replacement O-Ring"/>
        <s v="Hose Adapters - #1 – Male Quick Connect (3/8″ NPT Male)"/>
        <s v="Male x Male x Female "/>
        <s v="Pro Jet with 5- pin DMX and 220v Solenoid"/>
        <s v="CO2 Hose - 15FT (INTERNATIONAL CO2 FITTINGS)"/>
        <s v="International order pack in bag with CO2 Tool, Quick Start Guide and Pack of washers"/>
        <s v="Co2 Hose 25FT Standard Config"/>
        <s v="4 Port Co2 Manifold - 4x JIC 3/8&quot; Inlets, 1x JIC 3/8&quot; Outlet with Truss Bracket"/>
        <s v="Straight Adapter - 3/8 in Female JIC 37° Flare Swivel x 3/8 in Male British Standard Pipe Parallel"/>
        <s v="ISO-A Female Quick Connect - BSPP Thread"/>
        <s v="3/8” BSPP Bonding Washer Seal"/>
        <s v="Handheld CO2 Cannon MKII - 8FT INTERNATIONAL HOSE"/>
        <s v="Nut for use with international CO2 tanks - DIN 477 #6"/>
        <s v="Custom PCB "/>
        <s v="Smart Unit Main Fuse"/>
        <s v="32GB MICRO SD ULTRA SANDISK MEMORY CARD"/>
        <s v="Sealing screws for watertight enclosures"/>
        <s v="Co2 Jet LED Attachment II - Demo unit, to be returned. "/>
        <s v="Battery used for real time clock on Nextion screens"/>
        <s v="10.1&quot; HMI Display - Install ShoMaster V1.1 prior to shipment"/>
        <s v="Adapter for use with Manifold - to attach standard CGA-320 hose configuration"/>
        <s v="2FT CO2 Hose (CGA-320 x Female JIC 3/8&quot;) For use with Manifold"/>
        <s v="3 1/2FT CO2 Hose (CGA-320 x Female JIC 3/8&quot;) For use with Manifold"/>
        <s v="Quad Jet 110v with 5 Pin DMX With Barrels"/>
        <s v="CO2 Hose, 100FT (To be invoiced or returned)"/>
        <s v="Used to add an additional input to 4 port manifold  (To be invoiced or returned)"/>
        <s v="Soft Tact Switch Cap - INCLUDE 2PCS TACTILE SWITCH (10.5MM)"/>
        <s v="True1 Male to Nema 5-15 Female Output Adapter 8in"/>
        <s v="Controller XLR - CUSTOMIZED WITH 2x 5 PIN CONNECTORS"/>
        <s v="Single CO2 Washer"/>
        <s v="3/8&quot; Male NPT x #6 JIC Male"/>
        <s v="JIC Cap 0304-C-06"/>
        <s v="10FT CO2 Hose - JIC  x JIC"/>
        <s v="15FT CO2 Hose - 3/8&quot; NPT Male Swivel x JIC #6 female"/>
        <s v="6506-06-06"/>
        <s v="110v Solenoid Coil"/>
        <s v="1/4&quot; Co2 Valve"/>
        <s v="Micro Jet MKII Rubber Foot"/>
        <s v="Micro Jet MKII Foot Screw"/>
        <s v="DMX Input PCB"/>
        <s v="Countersunk head, black stainless steel"/>
        <s v="Teflon &amp; Brass seal for 1/4&quot; CO2 Valve"/>
        <s v="Sticky Rubber Foot"/>
        <s v="1/4” NPT Male x 3/8” JIC Female"/>
        <s v="micro jet - serial #0723180 - unit fed 220v, solenoid and valve needed replacement, tested working as designed after repair. in addition jet also needed 1 rubber foot, 1 binding screw."/>
        <s v="Micro jet - serial #04233948 - had broken XLR board, replaced and tested, working fine after repair."/>
        <s v="Micro jet - serial #07231912 - XLR broken, replaced and tested, working after repair."/>
        <s v="Micro jet serial #04233958 - broken XLR board, replaced and tested, working after repair."/>
        <s v="Micro jet - serial #0723179 - dmx connection lost, opened jet double checked connections, retested and fixed connection. in addition jet was missing 2 rubber feet, 2 binding screws, and needed new hardware."/>
        <s v="Micro jet - serial #0723181 - connection to DMX was lost, opened up jet and checked all connections and re-tested, after re-testing connection jet had connection again. in addition jet was missing hardware and then replaced with new hardware."/>
        <s v="Micro jet  - serial #0723190 - jet had lost connection to DMX and had a valve leak, replaced valve seal and checked all connections and was tested. after repair and connections checked jet worked as designed. jet was also missing hardware and was replaced."/>
        <s v="Mirco jet - serial #04233947 - jet had broken fitting, replaced and tested, works as intended after replacement. jet was also missing hardware and was replaced with new hardware."/>
        <s v="Micro jet - serial #0723182 - had broken XLR board, replaced and tested, worked as intended after repair. was also missing hardware and was replaced with new hardware."/>
        <s v="button - serial #31514 - had lost connection to DMX, opened up and checked all connections and tested, connection to DMX came back. also missing 1 foot and replaced."/>
        <s v="22mm emergency stop non- illuminated 3pins metal push button switch with hardness AWG22 406mm cables"/>
        <s v="2 Output DMX Relay with Timer"/>
        <s v="ShoStarter DMX Controller with 3 &amp; 5 Pin Connectors in Box"/>
        <s v="Truss Clamp (Included)"/>
        <s v="CO2 Tank Tool + Washers"/>
        <s v="Mocap 1/2” hole cap"/>
        <s v="Compressible-Stem Push-In Bumpers"/>
        <s v="Pro Jet feet screws (thread forming)"/>
        <s v="1/2-13 x 3/4” CS screw"/>
        <s v="1/4-20 x 3/4” CS screw"/>
        <s v="Shoulder washers"/>
        <s v="3/4 OD X 1/4 ID X 1/8 Thickness Neoprene Rubber Washers"/>
        <s v="3/8&quot; MQC Quick Connect Fitting BSPP thread"/>
        <s v="9007-06-06 Pro Jet CO2-T Adapter with bonding washer"/>
        <s v="#5 - Daisy Chain Adapter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3"/>
        <n v="1"/>
        <n v="10"/>
        <n v="4"/>
        <n v="6"/>
        <n v="5"/>
        <n v="12"/>
        <n v="50"/>
        <n v="11"/>
        <n v="7"/>
        <n v="20"/>
        <n v="8"/>
        <n v="18"/>
        <n v="17"/>
        <n v="24"/>
        <n v="1000"/>
        <n v="84"/>
        <n v="38"/>
        <n v="2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5" createdVersion="7">
  <cacheSource type="worksheet">
    <worksheetSource ref="D2:H387" sheet="June 2023"/>
  </cacheSource>
  <cacheFields count="5">
    <cacheField name="Line Item Name" numFmtId="0">
      <sharedItems containsNonDate="0" count="104">
        <s v="CC-CH-50-STD"/>
        <s v="CC-CH-35-STD"/>
        <s v="CC-CH-08-DSY"/>
        <s v="CC-CTC-50"/>
        <s v="CC-HCCMKII-08-NC"/>
        <s v="MagicFX PSYCO2JET"/>
        <s v="Shipping Charges"/>
        <s v="CC-SM-5"/>
        <s v="CC-MJMKII-3-110"/>
        <s v="CC-CH-25-STD"/>
        <s v="CC-AC-CLAMP"/>
        <s v="CC-AC-PMA"/>
        <s v="CC-NPTC-06-STD"/>
        <s v="CC-AC-OP"/>
        <s v="CC-TB-35"/>
        <s v="CC-CH-08-STD"/>
        <s v="CC-CC2-110"/>
        <s v="CC-AC-BM-KIT"/>
        <s v="CC-HCCMKII-08-TC"/>
        <s v="CC-HCCMKII-15-TC"/>
        <s v="CC-PROJ-3-110"/>
        <s v="CC-F-COT"/>
        <s v="CC-CH-15-DSY"/>
        <s v="CC-AC-CTAT"/>
        <s v="MagicFX Switchpack II"/>
        <s v="XLR Jumper - 5 Pin"/>
        <s v="True1 Jumper - 15 Inches"/>
        <s v="CC-AC-CJLEDA"/>
        <s v="CC-PROJ-5-110"/>
        <s v="CC-CH-15-STD"/>
        <s v="CC-CTC-20"/>
        <s v="CC-WASH-10"/>
        <s v="CC-AC-CTS"/>
        <s v="CC-F-FQCNPTF"/>
        <s v="CC-F-HEA"/>
        <s v="CC-AC-CCL"/>
        <s v="CC-CH-08-EXT"/>
        <s v="MagicFX SFX Safety ARM Controller"/>
        <s v="MagicFX ARM SFX SAFETY TERMINATOR"/>
        <s v="MagicFX Replacement Keys"/>
        <s v="CC-AC-SMK"/>
        <s v="CC-HCCMKII-15-NC"/>
        <s v="CC-AC-RAA"/>
        <s v="CC-AC-ROR"/>
        <s v="CC-CH-05-STD"/>
        <s v="CC-F-MQCNPTM"/>
        <s v="CC-CH-25-DSY"/>
        <s v="CC-CH-50-EXT"/>
        <s v="JIC Tee 6600-06-06-06"/>
        <s v="CC-PROJ-5-220"/>
        <s v="CC-AC-OP-INT"/>
        <s v="CC-AC-4PM"/>
        <s v="MBSPP-FJX-6-6"/>
        <s v="CC-F-FQCBSPF"/>
        <s v="3/8” BSPP Bonding Washer Seal"/>
        <s v="International CO2 Nut"/>
        <s v="Smart Unit Main PCB"/>
        <s v="3A Cylinder fuse (5x20MM)"/>
        <s v="32GB SD Card"/>
        <s v="6-32 x 1/2&quot; CS SS Sealing Screws with O-Ring"/>
        <s v="CR1220 "/>
        <s v="Nextion 10&quot; Screen"/>
        <s v="CC-F-MFDCGAJIC"/>
        <s v="CC-CH-02-MFD"/>
        <s v="CC-CH-03.5-MFD"/>
        <s v="CC-QJ-5-110"/>
        <s v="Discount"/>
        <s v="CC-CH-100-STD"/>
        <s v="JIC Run Tee 6602-06-06-06"/>
        <s v="Tact Switch Caps"/>
        <s v="CC-T1M-515F-08in"/>
        <s v="Controller 3/5 pin XLR PCB Assembly"/>
        <s v="CC-WASH-01"/>
        <s v="3/8&quot; Male NPT x #6 JIC Male"/>
        <s v="3/8&quot; JIC Cap"/>
        <s v="10FT CO2 Hose - JIC  x JIC"/>
        <s v="15FT CO2 Hose - 3/8&quot; NPT Male Swivel x JIC"/>
        <s v="3/8&quot; NPT Female x 3/8&quot; JIC Female 6506-06-06"/>
        <s v="Shipping Fees"/>
        <s v="110v Solenoid Coil"/>
        <s v="1/4&quot; Co2 Valve"/>
        <s v="SF8 Rubber Foot"/>
        <s v="8-32 x 3/8&quot; Binding Screw"/>
        <s v="Micro Jet MKII 5-Pin XLR PCB"/>
        <s v="6-32 x 3/8&quot; - CS, BSS"/>
        <s v="CO2 Valve Replacement Seal"/>
        <s v="3M BUMPON SJ5012"/>
        <s v="1/4” NPT Male x 3/8” JIC Female"/>
        <s v="Repair"/>
        <s v="Repair Labor"/>
        <s v="Emergency Stop Button"/>
        <s v="Obsidian RP2 Relay Pack"/>
        <s v="Credit Card Fee"/>
        <s v="CC-SS-35"/>
        <s v="Mocap 1/2” hole cap"/>
        <s v="Compressible-Stem Push-In Bumpers"/>
        <s v="#12 x 1/2&quot; High Low Thread Forming Screws / Phillips / Pan Head / Steel / Black Zinc"/>
        <s v="1/2-13 x 3/4” CS screw"/>
        <s v="1/4-20 x 3/4” CS screw"/>
        <s v="Shoulder washers"/>
        <s v="3/4 OD X 1/4 ID X 1/8 Thickness Neoprene Rubber Washers"/>
        <s v="CC-F-MQCBSPPF"/>
        <s v="3/8&quot; BSPP Male x 3/8&quot; NPT Male Adapter"/>
        <s v="CC-F-DCHA"/>
      </sharedItems>
    </cacheField>
    <cacheField name="Line Item Description" numFmtId="0">
      <sharedItems containsNonDate="0" containsBlank="1" longText="1" count="106">
        <s v="CO2 Hose"/>
        <s v="CO2 Tank Covers - 50lb Cover"/>
        <s v="Handheld CO2 Cannon MKII"/>
        <s v="CO2 Jet with 180 degree movement"/>
        <m/>
        <s v="ShoMaster Console"/>
        <s v="Micro CO2 Jet MKII"/>
        <s v="Product CO2 Hose - 25 foot hose - $50.00"/>
        <s v="Truss Clamp"/>
        <s v="1/4&quot; TS Power mode Adapter"/>
        <s v="Neutrik PowerCON True1 Cords - 6FT, Standard"/>
        <s v="CO2 Tank Tool + Washers - Yes - add tool and washers +$15.00"/>
        <s v="The Button - with both 3 &amp; 5 pin DMX ports"/>
        <s v="Cryo Clamp II, 110v, Weatherproof CO2 Jet"/>
        <s v="Ball Mount Assembly for Cryo Clamp with 4x 10-32 x 3/8&quot; socket head screws"/>
        <s v="Handheld MKII in travel case with 8ft hose"/>
        <s v="Handheld MKII in travel case with 15ft hose"/>
        <s v="Pro Jet"/>
        <s v="Hose Adapters - #3 – CO2 Output Terminator"/>
        <s v="Co2 Tank Attachment Tool"/>
        <s v="4 Channel True1 DMX Relay - Rainproof"/>
        <s v="LED Attachment XLR jumper"/>
        <s v="True1 Male x True1 Female jumper for LED Attachment"/>
        <s v="Co2 Jet LED Attachment II - DEMO UNITS"/>
        <s v="CO2 Tank Covers - 20lb Cover"/>
        <s v="CO2 Washers"/>
        <s v="CO2 Tank Splitter"/>
        <s v="Co2 Jet LED Attachment II - Demo Units (to be returned)"/>
        <s v="Hose Adapters - #4 – Female Quick Connect (3/8″ NPT Female)"/>
        <s v="Hose Adapters - #2 – Hose Extension Adapter"/>
        <s v="CO2 Cylinder Link"/>
        <s v="Co2 Hose 08FT Extension Config"/>
        <s v="48v Safety Controller (Warranty Replacement)"/>
        <s v="RJ45 Terminator - required for ARM System"/>
        <s v="ARM Controller key set"/>
        <s v="Replacement Keys - The Button"/>
        <s v="Right Angle Adapter"/>
        <s v="Replacement O-Ring"/>
        <s v="Hose Adapters - #1 – Male Quick Connect (3/8″ NPT Male)"/>
        <s v="Male x Male x Female "/>
        <s v="Pro Jet with 5- pin DMX and 220v Solenoid"/>
        <s v="CO2 Hose - 15FT (INTERNATIONAL CO2 FITTINGS)"/>
        <s v="International order pack in bag with CO2 Tool, Quick Start Guide and Pack of washers"/>
        <s v="Co2 Hose 25FT Standard Config"/>
        <s v="4 Port Co2 Manifold - 4x JIC 3/8&quot; Inlets, 1x JIC 3/8&quot; Outlet with Truss Bracket"/>
        <s v="Straight Adapter - 3/8 in Female JIC 37° Flare Swivel x 3/8 in Male British Standard Pipe Parallel"/>
        <s v="ISO-A Female Quick Connect - BSPP Thread"/>
        <s v="3/8” BSPP Bonding Washer Seal"/>
        <s v="Handheld CO2 Cannon MKII - 8FT INTERNATIONAL HOSE"/>
        <s v="Nut for use with international CO2 tanks - DIN 477 #6"/>
        <s v="Custom PCB "/>
        <s v="Smart Unit Main Fuse"/>
        <s v="32GB MICRO SD ULTRA SANDISK MEMORY CARD"/>
        <s v="Sealing screws for watertight enclosures"/>
        <s v="Co2 Jet LED Attachment II - Demo unit, to be returned. "/>
        <s v="Battery used for real time clock on Nextion screens"/>
        <s v="10.1&quot; HMI Display - Install ShoMaster V1.1 prior to shipment"/>
        <s v="Adapter for use with Manifold - to attach standard CGA-320 hose configuration"/>
        <s v="2FT CO2 Hose (CGA-320 x Female JIC 3/8&quot;) For use with Manifold"/>
        <s v="3 1/2FT CO2 Hose (CGA-320 x Female JIC 3/8&quot;) For use with Manifold"/>
        <s v="Quad Jet 110v with 5 Pin DMX With Barrels"/>
        <s v="CO2 Hose, 100FT (To be invoiced or returned)"/>
        <s v="Used to add an additional input to 4 port manifold  (To be invoiced or returned)"/>
        <s v="Soft Tact Switch Cap - INCLUDE 2PCS TACTILE SWITCH (10.5MM)"/>
        <s v="True1 Male to Nema 5-15 Female Output Adapter 8in"/>
        <s v="Controller XLR - CUSTOMIZED WITH 2x 5 PIN CONNECTORS"/>
        <s v="Single CO2 Washer"/>
        <s v="3/8&quot; Male NPT x #6 JIC Male"/>
        <s v="JIC Cap 0304-C-06"/>
        <s v="10FT CO2 Hose - JIC  x JIC"/>
        <s v="15FT CO2 Hose - 3/8&quot; NPT Male Swivel x JIC #6 female"/>
        <s v="6506-06-06"/>
        <s v="110v Solenoid Coil"/>
        <s v="1/4&quot; Co2 Valve"/>
        <s v="Micro Jet MKII Rubber Foot"/>
        <s v="Micro Jet MKII Foot Screw"/>
        <s v="DMX Input PCB"/>
        <s v="Countersunk head, black stainless steel"/>
        <s v="Teflon &amp; Brass seal for 1/4&quot; CO2 Valve"/>
        <s v="Sticky Rubber Foot"/>
        <s v="1/4” NPT Male x 3/8” JIC Female"/>
        <s v="micro jet - serial #0723180 - unit fed 220v, solenoid and valve needed replacement, tested working as designed after repair. in addition jet also needed 1 rubber foot, 1 binding screw."/>
        <s v="Micro jet - serial #04233948 - had broken XLR board, replaced and tested, working fine after repair."/>
        <s v="Micro jet - serial #07231912 - XLR broken, replaced and tested, working after repair."/>
        <s v="Micro jet serial #04233958 - broken XLR board, replaced and tested, working after repair."/>
        <s v="Micro jet - serial #0723179 - dmx connection lost, opened jet double checked connections, retested and fixed connection. in addition jet was missing 2 rubber feet, 2 binding screws, and needed new hardware."/>
        <s v="Micro jet - serial #0723181 - connection to DMX was lost, opened up jet and checked all connections and re-tested, after re-testing connection jet had connection again. in addition jet was missing hardware and then replaced with new hardware."/>
        <s v="Micro jet  - serial #0723190 - jet had lost connection to DMX and had a valve leak, replaced valve seal and checked all connections and was tested. after repair and connections checked jet worked as designed. jet was also missing hardware and was replaced."/>
        <s v="Mirco jet - serial #04233947 - jet had broken fitting, replaced and tested, works as intended after replacement. jet was also missing hardware and was replaced with new hardware."/>
        <s v="Micro jet - serial #0723182 - had broken XLR board, replaced and tested, worked as intended after repair. was also missing hardware and was replaced with new hardware."/>
        <s v="button - serial #31514 - had lost connection to DMX, opened up and checked all connections and tested, connection to DMX came back. also missing 1 foot and replaced."/>
        <s v="22mm emergency stop non- illuminated 3pins metal push button switch with hardness AWG22 406mm cables"/>
        <s v="2 Output DMX Relay with Timer"/>
        <s v="ShoStarter DMX Controller with 3 &amp; 5 Pin Connectors in Box"/>
        <s v="Truss Clamp (Included)"/>
        <s v="CO2 Tank Tool + Washers"/>
        <s v="Mocap 1/2” hole cap"/>
        <s v="Compressible-Stem Push-In Bumpers"/>
        <s v="Pro Jet feet screws (thread forming)"/>
        <s v="1/2-13 x 3/4” CS screw"/>
        <s v="1/4-20 x 3/4” CS screw"/>
        <s v="Shoulder washers"/>
        <s v="3/4 OD X 1/4 ID X 1/8 Thickness Neoprene Rubber Washers"/>
        <s v="3/8&quot; MQC Quick Connect Fitting BSPP thread"/>
        <s v="9007-06-06 Pro Jet CO2-T Adapter with bonding washer"/>
        <s v="#5 - Daisy Chain Adapter"/>
      </sharedItems>
    </cacheField>
    <cacheField name="Order Quantity" numFmtId="0">
      <sharedItems containsSemiMixedTypes="0" containsNonDate="0" containsString="0" containsNumber="1" containsInteger="1" minValue="1" maxValue="1000" count="20">
        <n v="2"/>
        <n v="3"/>
        <n v="1"/>
        <n v="10"/>
        <n v="4"/>
        <n v="6"/>
        <n v="5"/>
        <n v="12"/>
        <n v="50"/>
        <n v="11"/>
        <n v="7"/>
        <n v="20"/>
        <n v="8"/>
        <n v="18"/>
        <n v="17"/>
        <n v="24"/>
        <n v="1000"/>
        <n v="84"/>
        <n v="38"/>
        <n v="22"/>
      </sharedItems>
    </cacheField>
    <cacheField name="Unit Price" numFmtId="0">
      <sharedItems containsSemiMixedTypes="0" containsNonDate="0" containsString="0" containsNumber="1" minValue="-1419.48" maxValue="3199.99" count="105">
        <n v="299.99"/>
        <n v="249.99"/>
        <n v="109.99"/>
        <n v="59.99"/>
        <n v="349.99"/>
        <n v="1700"/>
        <n v="300"/>
        <n v="3199.99"/>
        <n v="849.99"/>
        <n v="50"/>
        <n v="29.99"/>
        <n v="5.99"/>
        <n v="0"/>
        <n v="399.99"/>
        <n v="499.99"/>
        <n v="549.99"/>
        <n v="599.99"/>
        <n v="1299.99"/>
        <n v="175"/>
        <n v="149.99"/>
        <n v="9.99"/>
        <n v="15"/>
        <n v="675"/>
        <n v="375"/>
        <n v="30"/>
        <n v="1169.991"/>
        <n v="49.99"/>
        <n v="8.99"/>
        <n v="19.99"/>
        <n v="119.99"/>
        <n v="22.4925"/>
        <n v="18.7425"/>
        <n v="25"/>
        <n v="7.49"/>
        <n v="359.991"/>
        <n v="374.99"/>
        <n v="1.99"/>
        <n v="99.98999999999999"/>
        <n v="14.99"/>
        <n v="199.99"/>
        <n v="299.9925"/>
        <n v="224.9925"/>
        <n v="158.13"/>
        <n v="134.9925"/>
        <n v="7.4925"/>
        <n v="14.9925"/>
        <n v="1.125"/>
        <n v="48"/>
        <n v="262.4925"/>
        <n v="18"/>
        <n v="150"/>
        <n v="574.99"/>
        <n v="24.99"/>
        <n v="40"/>
        <n v="179.99"/>
        <n v="64.98999999999999"/>
        <n v="637.4924999999999"/>
        <n v="37.5"/>
        <n v="412.4925"/>
        <n v="60"/>
        <n v="69.98999999999999"/>
        <n v="2499.99"/>
        <n v="-1419.48"/>
        <n v="822.66"/>
        <n v="89.99250000000001"/>
        <n v="314.991"/>
        <n v="374.9925"/>
        <n v="22.5"/>
        <n v="0.225"/>
        <n v="2.25"/>
        <n v="0.9375"/>
        <n v="48.75"/>
        <n v="73.125"/>
        <n v="5.25"/>
        <n v="225"/>
        <n v="112.5"/>
        <n v="1.875"/>
        <n v="0.75"/>
        <n v="24.375"/>
        <n v="0.1125"/>
        <n v="7.5"/>
        <n v="0.375"/>
        <n v="3.75"/>
        <n v="75"/>
        <n v="100"/>
        <n v="35"/>
        <n v="251.2425"/>
        <n v="95.84999999999999"/>
        <n v="330"/>
        <n v="149.9925"/>
        <n v="87.40000000000001"/>
        <n v="9"/>
        <n v="1199.99"/>
        <n v="112.4925"/>
        <n v="37.4925"/>
        <n v="297.4915"/>
        <n v="11.2425"/>
        <n v="5.6175"/>
        <n v="974.9924999999999"/>
        <n v="187.4925"/>
        <n v="1.4925"/>
        <n v="289.41"/>
        <n v="899.9924999999999"/>
        <n v="275"/>
        <n v="65"/>
      </sharedItems>
    </cacheField>
    <cacheField name="Total Line Item $" numFmtId="0">
      <sharedItems containsSemiMixedTypes="0" containsNonDate="0" containsString="0" containsNumber="1" minValue="-1419.48" maxValue="17000" count="153">
        <n v="599.98"/>
        <n v="499.98"/>
        <n v="329.97"/>
        <n v="59.99"/>
        <n v="349.99"/>
        <n v="17000"/>
        <n v="300"/>
        <n v="3199.99"/>
        <n v="1699.98"/>
        <n v="100"/>
        <n v="119.96"/>
        <n v="11.98"/>
        <n v="0"/>
        <n v="399.99"/>
        <n v="219.98"/>
        <n v="999.98"/>
        <n v="1099.98"/>
        <n v="599.99"/>
        <n v="2599.98"/>
        <n v="350"/>
        <n v="299.98"/>
        <n v="19.98"/>
        <n v="109.99"/>
        <n v="15"/>
        <n v="1350"/>
        <n v="1500"/>
        <n v="30"/>
        <n v="7019.946"/>
        <n v="49.99"/>
        <n v="99.98"/>
        <n v="849.99"/>
        <n v="5.99"/>
        <n v="249.99"/>
        <n v="8.99"/>
        <n v="19.99"/>
        <n v="119.99"/>
        <n v="44.985"/>
        <n v="93.71250000000001"/>
        <n v="25"/>
        <n v="7.49"/>
        <n v="359.991"/>
        <n v="374.99"/>
        <n v="4249.95"/>
        <n v="250"/>
        <n v="599.95"/>
        <n v="44.95"/>
        <n v="249.95"/>
        <n v="39.96"/>
        <n v="9.949999999999999"/>
        <n v="199.98"/>
        <n v="29.98"/>
        <n v="39.98"/>
        <n v="199.99"/>
        <n v="299.9925"/>
        <n v="449.985"/>
        <n v="158.13"/>
        <n v="674.9625"/>
        <n v="37.4625"/>
        <n v="74.96250000000001"/>
        <n v="5.625"/>
        <n v="48"/>
        <n v="3149.91"/>
        <n v="36"/>
        <n v="1299.99"/>
        <n v="699.98"/>
        <n v="150"/>
        <n v="299.99"/>
        <n v="574.99"/>
        <n v="79.95999999999999"/>
        <n v="24.99"/>
        <n v="1799.955"/>
        <n v="40"/>
        <n v="359.98"/>
        <n v="389.94"/>
        <n v="2549.97"/>
        <n v="412.4925"/>
        <n v="60"/>
        <n v="17.98"/>
        <n v="12999.9"/>
        <n v="299.9"/>
        <n v="399.98"/>
        <n v="259.96"/>
        <n v="139.98"/>
        <n v="159.92"/>
        <n v="4999.98"/>
        <n v="1199.92"/>
        <n v="-1419.48"/>
        <n v="824.985"/>
        <n v="822.66"/>
        <n v="119.98"/>
        <n v="1529.8725"/>
        <n v="314.991"/>
        <n v="179.91"/>
        <n v="9.99"/>
        <n v="1499.97"/>
        <n v="22.5"/>
        <n v="359.82"/>
        <n v="225"/>
        <n v="189"/>
        <n v="78.75"/>
        <n v="97.5"/>
        <n v="877.5"/>
        <n v="63"/>
        <n v="112.5"/>
        <n v="18.75"/>
        <n v="7.5"/>
        <n v="73.125"/>
        <n v="4.275"/>
        <n v="0.375"/>
        <n v="3.75"/>
        <n v="600"/>
        <n v="524.985"/>
        <n v="35"/>
        <n v="549.99"/>
        <n v="14.99"/>
        <n v="1507.455"/>
        <n v="95.84999999999999"/>
        <n v="499.99"/>
        <n v="330"/>
        <n v="899.955"/>
        <n v="87.40000000000001"/>
        <n v="9"/>
        <n v="1199.99"/>
        <n v="35.96"/>
        <n v="239.98"/>
        <n v="959.92"/>
        <n v="71.92"/>
        <n v="799.96"/>
        <n v="2249.955"/>
        <n v="134.955"/>
        <n v="674.955"/>
        <n v="175"/>
        <n v="3399.96"/>
        <n v="400"/>
        <n v="143.76"/>
        <n v="824.835"/>
        <n v="49.98"/>
        <n v="29.97"/>
        <n v="594.9829999999999"/>
        <n v="134.91"/>
        <n v="67.41"/>
        <n v="59.98"/>
        <n v="3899.97"/>
        <n v="374.985"/>
        <n v="149.9925"/>
        <n v="719.9400000000001"/>
        <n v="11.94"/>
        <n v="289.41"/>
        <n v="2699.9775"/>
        <n v="7499.97"/>
        <n v="1499.9625"/>
        <n v="275"/>
        <n v="6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71" createdVersion="7">
  <cacheSource type="worksheet">
    <worksheetSource ref="D2:F373" sheet="May 2023"/>
  </cacheSource>
  <cacheFields count="3">
    <cacheField name="Line Item Name" numFmtId="0">
      <sharedItems containsNonDate="0" count="92">
        <s v="CC-HCCMKII-08-NC"/>
        <s v="CC-HCCMKII-15-TC"/>
        <s v="CC-MJMKII-3-110"/>
        <s v="CC-CH-25-STD"/>
        <s v="CC-NPTC-06-STD"/>
        <s v="CC-AC-OP"/>
        <s v="CC-SS-35"/>
        <s v="Magic FX Switchpack "/>
        <s v="CC-WASH-01"/>
        <s v="Shipping Charges"/>
        <s v="6in Barrel Assembly Powdercoated"/>
        <s v="CC-AC-CTAT"/>
        <s v="CC-TB-35"/>
        <s v="CC-CTC-50"/>
        <s v="CC-HCCMKII-15-NC"/>
        <s v="CC-PROJ-5-110"/>
        <s v="CC-F-COT"/>
        <s v="CC-AC-CLAMP"/>
        <s v="CC-CH-15-STD"/>
        <s v="CC-CC2-110"/>
        <s v="CC-AC-CCL"/>
        <s v="CC-CH-50-STD"/>
        <s v="CC-WASH-10"/>
        <s v="CC-AC-BM-KIT"/>
        <s v="Shipping Fees"/>
        <s v="CC-CTC-20"/>
        <s v="Micro Jet 110v Valve Assembly"/>
        <s v="CC-CH-XX-STD"/>
        <s v="CC-CH-08-STD"/>
        <s v="CC-AC-CTS"/>
        <s v="Micro Jet MKII Main PCB"/>
        <s v="CO2 Valve Replacement Seal"/>
        <s v="Micro Jet Barrel Assembly"/>
        <s v="1/2-13 x 3/4” CS screw"/>
        <s v="1/4-20 x 3/4” CS screw"/>
        <s v="CC-SM-5"/>
        <s v="CC-AC-SMK"/>
        <s v="CC-AC-LGK"/>
        <s v="Handheld MKII"/>
        <s v="CC-AC-TC"/>
        <s v="CC-CC2-220"/>
        <s v="The Button Encoder Knob"/>
        <s v="50FT CO2 Hose - 3/8&quot; NPT Male Swivel x JIC"/>
        <s v="3/8&quot; NPT Female x 3/8&quot; JIC Female 6506-06-06"/>
        <s v="CC-HCCMKII-08-TC"/>
        <s v="CC-PROJ-5-220"/>
        <s v="CC-CH-35-STD"/>
        <s v="CC-CH-05-DSY"/>
        <s v="CC-CH-08-DSY"/>
        <s v="Tax: CA Tax (8.75%)"/>
        <s v="25FT CO2 Hose - 1/4&quot; ID (JIC #6 x JIC #6)"/>
        <s v="50FT CO2 Hose - 1/4&quot; ID (JIC #6 x JIC #6)"/>
        <s v="10FT CO2 Hose - 1/4&quot; ID (JIC #6 x JIC #6)"/>
        <s v="CC-CH-08-EXT"/>
        <s v="CC-CH-25-EXT"/>
        <s v="CC-WCSU-5"/>
        <s v="150PSI Pressure Sensor - 1/8&quot; NPT"/>
        <s v="M8 Axial Connection Cable"/>
        <s v="Water Sensor"/>
        <s v="M8 Axial Field Wireable Connector"/>
        <s v="Sensor Assembly"/>
        <s v="Credit"/>
        <s v="5FT CO2 Hose - 1/4&quot; ID (JIC #6 x JIC #6)"/>
        <s v="Truss Clamps"/>
        <s v="4 channel Relay Pack"/>
        <s v="DMX Cables"/>
        <s v="CC-F-DCHA-PYROTEK"/>
        <s v="CC-AC-ROR"/>
        <s v="Repair"/>
        <s v="Micro Jet MKII Foot Assembly"/>
        <s v="CC-F-MQCNPTM"/>
        <s v="CC-F-FQCNPTF"/>
        <s v="CC-AC-4PM"/>
        <s v="CC-CH-02-MFD"/>
        <s v="CC-CH-03.5-MFD"/>
        <s v="CC-MJMKII-5-110"/>
        <s v="Credit Card Fee"/>
        <s v="Club Cannon Device Programmer - IDC"/>
        <s v="The Button Encoder Assembly"/>
        <s v="The Button LED PCB"/>
        <s v="The Button Main Harness"/>
        <s v="CC-F-MFDCGAJIC"/>
        <s v="3/4 OD X 1/4 ID X 1/8 Thickness Neoprene Rubber Washers"/>
        <s v="Shoulder washers"/>
        <s v="Insulating Barrel Washer"/>
        <s v="1/4-20 x 1/2&quot; SEMS Screws / Internal Tooth Washer / PH S Black"/>
        <s v="1/4” NPTS Pipe Nipple (1 1/4&quot;)"/>
        <s v="Discount"/>
        <s v="1&quot; x 30' Streamers (White)"/>
        <s v="2&quot; x 60' Streamers (Rainbow)"/>
        <s v="Small Key Lock Tool"/>
        <s v="The Button Key Assembly - 1"/>
      </sharedItems>
    </cacheField>
    <cacheField name="Line Item Description" numFmtId="0">
      <sharedItems containsNonDate="0" containsBlank="1" count="104">
        <s v="Handheld CO2 Cannon MKII"/>
        <s v="Handheld MKII in travel case with 15ft hose"/>
        <s v="Micro CO2 Jet MKII"/>
        <s v="Product CO2 Hose - 25 foot hose - $50.00"/>
        <s v="Neutrik PowerCON True1 Cords - 6FT, Standard"/>
        <s v="CO2 Tank Tool + Washers - Yes - add tool and washers +$15.00"/>
        <s v="ShoStarter DMX Controller with 3 &amp; 5 Pin Connectors in Box"/>
        <s v="4 channel DMX relay pack"/>
        <s v="Single CO2 Washer"/>
        <m/>
        <s v="6in Jet Barrel with powdercoating"/>
        <s v="Co2 Tank Attachment Tool"/>
        <s v="The Button - with both 3 &amp; 5 pin DMX ports"/>
        <s v="CO2 Tank Covers - 50lb Cover"/>
        <s v="Pro Jet"/>
        <s v="Hose Adapters - #3 – CO2 Output Terminator"/>
        <s v="Truss Clamp"/>
        <s v="CO2 Hose (15FT, included)"/>
        <s v="Cryo Clamp II, 110v, Weatherproof CO2 Jet"/>
        <s v="CO2 Cylinder Link"/>
        <s v="CO2 Hose (50FT, upgrade fee)"/>
        <s v="CO2 Hose (50FT, additional)"/>
        <s v="CO2 Washers"/>
        <s v="Ball Mount Assembly for Cryo Clamp with 4x 10-32 x 3/8&quot; socket head screws"/>
        <s v="CO2 Hose"/>
        <s v="CO2 Tank Covers - 20lb Cover"/>
        <s v="110v Valve with Solenoid fittings and Wires for Micro Jet MKII"/>
        <s v="Co2 Hose Custom Length Standard (60FT)"/>
        <s v="CO2 Hose Upgrade fee, 50FT (Customized - CGA-320 to JIC Tee)"/>
        <s v="CO2 Hose Upgrade Fee, 25FT (Customized - CGA-320 to JIC Tee)"/>
        <s v="CO2 Hose, 8FT (Customized - JIC Female to Female QC)"/>
        <s v="CO2 Tank Splitter"/>
        <s v="Micro Jet MKII Main PCB"/>
        <s v="Teflon &amp; Brass seal for 1/4&quot; CO2 Valve"/>
        <s v="Micro Jet Barrel with Right Angle"/>
        <s v="1/2-13 x 3/4” CS screw (Stainless Steel / Black Oxide)"/>
        <s v="1/4-20 x 3/4” CS screw (Stainless Steel / Black Oxide)"/>
        <s v="ShoMaster Console"/>
        <s v="Replacement Keys - The Button"/>
        <s v="Replacement Keys - Shomaster &amp; ShoStarter"/>
        <s v="Handheld Co2 Cannon"/>
        <s v="Travel Case"/>
        <s v="Cryo Clamp II, 220v, Weatherproof CO2 Jet"/>
        <s v="Black Anodized Aluminum Encoder Knob"/>
        <s v="50FT CO2 Hose - 3/8&quot; NPT Male Swivel x JIC #6 female"/>
        <s v="6506-06-06"/>
        <s v="Handheld MKII in travel case with 8ft hose"/>
        <s v="Pro Jet with 5- pin DMX and 220v Solenoid"/>
        <s v="CO2 Output Terminator (included)"/>
        <s v="CO2 Hose, 35FT (European CO2 Connectors)"/>
        <s v="Ball Mount Assembly for Cryo Clamp (Included)"/>
        <s v="Ball Mount Assembly for Cryo Clamp (Additional)"/>
        <s v="Neutrik PowerCON True1 Cords - 6FT (European Plug)"/>
        <s v="Special order CO2 Hose"/>
        <s v="Co2 Hose 08FT Extension Config"/>
        <s v="Water Cannon Smart Unit - FIRST ARTICLE SAMPLE (For Approval)"/>
        <s v="Includes Wire Harness"/>
        <s v="Sensor cable "/>
        <s v="Digital Liquid Level Sensor"/>
        <s v="M8 barrel 3-pin male axial connection"/>
        <s v="ShoStarter DMX Controller - Update to Water Cannon firmware prior to shipment"/>
        <s v="Assembly of sensor harnesses"/>
        <s v="Payment received 5/9/23"/>
        <s v="Cryo Clamp II, 110v, Weatherproof CO2 Jet (JIC)"/>
        <s v="3 pin cable to connect controller to relay pack"/>
        <s v="Pro Jet, 5 pin, 110v (No Hose)"/>
        <s v="Neutrik PowerCON True1 Cords - 6FT (Included)"/>
        <s v="Daisy Chain Adapter (1/2&quot; JIC)"/>
        <s v="Pro Jet, 5 pin, 110v, JIC (No Hose)"/>
        <s v="3 and 5 pin needed, also a 3 to 5 adapter for use on Pro Jets. "/>
        <s v="Replacement O-Ring"/>
        <s v="25 foot hose (Upgrade Fee)"/>
        <s v="35 foot hose (Upgrade Fee)"/>
        <s v="Neutrik PowerCON True1 Cords - 6FT, Standard (Included)"/>
        <s v="Co2 Tank Attachment Tool  (Included)"/>
        <s v="CO2 Washers, 10 Pack (Included)"/>
        <s v="Product CO2 Hose - 25 foot hose (Spare)"/>
        <s v="Update firmware, check for leaks, function test. Courtesy repair. Serial #0921848"/>
        <s v="Update firmware, check for leaks, function test. Courtesy repair. Serial #0921828"/>
        <s v="Micro Jet Foot with Binder Post"/>
        <s v="Hose Adapters - #1 – Male Quick Connect (3/8″ NPT Male)"/>
        <s v="Hose Adapters - #4 – Female Quick Connect (3/8″ NPT Female)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CO2 Hose, 15FT (Included)"/>
        <s v="Pro Jet, 5 pin DMX, JIC in/out, NO HOSE"/>
        <s v="Used for uploading bootloader onto Club Cannon products"/>
        <s v="PCB with encoder attached"/>
        <s v="The Button LED Button PCB"/>
        <s v="Button, Encoder, and LED Harness"/>
        <s v="Adapter for use with Manifold - to attach standard CGA-320 hose configuration"/>
        <s v="The Button - Replaced Encoder PCB &amp; Knob"/>
        <s v="Pro Jet - Replace valve seal &amp; upper valve plunger assembly "/>
        <s v="3/4 OD X 1/4 ID X 1/8 Thickness Neoprene Rubber Washers"/>
        <s v="Shoulder washers"/>
        <s v="N70 Series Neoprene Rubber Washers 2 1/4&quot; OD X 9/16&quot; ID X 1/8&quot; Thickness - 70 Duro Shore A"/>
        <s v="1/4-20 x 1/2&quot; SEMS Screws / Internal Tooth Washer / PH S Black"/>
        <s v="Quad Jet - Maintenance ticket stated &quot;unit did not power on&quot;, unable to replicate. Barrel was broken off, technician replaced, tested, verified performing normally."/>
        <s v="1 1/4” NPTS Pipe Nipple"/>
        <s v="Misc Hoses - Replace O-rings, pressure test, verified leak free operation."/>
        <s v="Stadium Streamers"/>
        <s v="Used for installing / removing small key switch"/>
        <s v="Key Switch with Wires and JST Connector for The Button"/>
      </sharedItems>
    </cacheField>
    <cacheField name="Order Quantity" numFmtId="0">
      <sharedItems containsSemiMixedTypes="0" containsNonDate="0" containsString="0" containsNumber="1" containsInteger="1" minValue="1" maxValue="125" count="19">
        <n v="1"/>
        <n v="2"/>
        <n v="10"/>
        <n v="4"/>
        <n v="9"/>
        <n v="30"/>
        <n v="8"/>
        <n v="6"/>
        <n v="5"/>
        <n v="12"/>
        <n v="18"/>
        <n v="16"/>
        <n v="3"/>
        <n v="100"/>
        <n v="15"/>
        <n v="7"/>
        <n v="125"/>
        <n v="14"/>
        <n v="2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71" createdVersion="7">
  <cacheSource type="worksheet">
    <worksheetSource ref="D2:H373" sheet="May 2023"/>
  </cacheSource>
  <cacheFields count="5">
    <cacheField name="Line Item Name" numFmtId="0">
      <sharedItems containsNonDate="0" count="92">
        <s v="CC-HCCMKII-08-NC"/>
        <s v="CC-HCCMKII-15-TC"/>
        <s v="CC-MJMKII-3-110"/>
        <s v="CC-CH-25-STD"/>
        <s v="CC-NPTC-06-STD"/>
        <s v="CC-AC-OP"/>
        <s v="CC-SS-35"/>
        <s v="Magic FX Switchpack "/>
        <s v="CC-WASH-01"/>
        <s v="Shipping Charges"/>
        <s v="6in Barrel Assembly Powdercoated"/>
        <s v="CC-AC-CTAT"/>
        <s v="CC-TB-35"/>
        <s v="CC-CTC-50"/>
        <s v="CC-HCCMKII-15-NC"/>
        <s v="CC-PROJ-5-110"/>
        <s v="CC-F-COT"/>
        <s v="CC-AC-CLAMP"/>
        <s v="CC-CH-15-STD"/>
        <s v="CC-CC2-110"/>
        <s v="CC-AC-CCL"/>
        <s v="CC-CH-50-STD"/>
        <s v="CC-WASH-10"/>
        <s v="CC-AC-BM-KIT"/>
        <s v="Shipping Fees"/>
        <s v="CC-CTC-20"/>
        <s v="Micro Jet 110v Valve Assembly"/>
        <s v="CC-CH-XX-STD"/>
        <s v="CC-CH-08-STD"/>
        <s v="CC-AC-CTS"/>
        <s v="Micro Jet MKII Main PCB"/>
        <s v="CO2 Valve Replacement Seal"/>
        <s v="Micro Jet Barrel Assembly"/>
        <s v="1/2-13 x 3/4” CS screw"/>
        <s v="1/4-20 x 3/4” CS screw"/>
        <s v="CC-SM-5"/>
        <s v="CC-AC-SMK"/>
        <s v="CC-AC-LGK"/>
        <s v="Handheld MKII"/>
        <s v="CC-AC-TC"/>
        <s v="CC-CC2-220"/>
        <s v="The Button Encoder Knob"/>
        <s v="50FT CO2 Hose - 3/8&quot; NPT Male Swivel x JIC"/>
        <s v="3/8&quot; NPT Female x 3/8&quot; JIC Female 6506-06-06"/>
        <s v="CC-HCCMKII-08-TC"/>
        <s v="CC-PROJ-5-220"/>
        <s v="CC-CH-35-STD"/>
        <s v="CC-CH-05-DSY"/>
        <s v="CC-CH-08-DSY"/>
        <s v="Tax: CA Tax (8.75%)"/>
        <s v="25FT CO2 Hose - 1/4&quot; ID (JIC #6 x JIC #6)"/>
        <s v="50FT CO2 Hose - 1/4&quot; ID (JIC #6 x JIC #6)"/>
        <s v="10FT CO2 Hose - 1/4&quot; ID (JIC #6 x JIC #6)"/>
        <s v="CC-CH-08-EXT"/>
        <s v="CC-CH-25-EXT"/>
        <s v="CC-WCSU-5"/>
        <s v="150PSI Pressure Sensor - 1/8&quot; NPT"/>
        <s v="M8 Axial Connection Cable"/>
        <s v="Water Sensor"/>
        <s v="M8 Axial Field Wireable Connector"/>
        <s v="Sensor Assembly"/>
        <s v="Credit"/>
        <s v="5FT CO2 Hose - 1/4&quot; ID (JIC #6 x JIC #6)"/>
        <s v="Truss Clamps"/>
        <s v="4 channel Relay Pack"/>
        <s v="DMX Cables"/>
        <s v="CC-F-DCHA-PYROTEK"/>
        <s v="CC-AC-ROR"/>
        <s v="Repair"/>
        <s v="Micro Jet MKII Foot Assembly"/>
        <s v="CC-F-MQCNPTM"/>
        <s v="CC-F-FQCNPTF"/>
        <s v="CC-AC-4PM"/>
        <s v="CC-CH-02-MFD"/>
        <s v="CC-CH-03.5-MFD"/>
        <s v="CC-MJMKII-5-110"/>
        <s v="Credit Card Fee"/>
        <s v="Club Cannon Device Programmer - IDC"/>
        <s v="The Button Encoder Assembly"/>
        <s v="The Button LED PCB"/>
        <s v="The Button Main Harness"/>
        <s v="CC-F-MFDCGAJIC"/>
        <s v="3/4 OD X 1/4 ID X 1/8 Thickness Neoprene Rubber Washers"/>
        <s v="Shoulder washers"/>
        <s v="Insulating Barrel Washer"/>
        <s v="1/4-20 x 1/2&quot; SEMS Screws / Internal Tooth Washer / PH S Black"/>
        <s v="1/4” NPTS Pipe Nipple (1 1/4&quot;)"/>
        <s v="Discount"/>
        <s v="1&quot; x 30' Streamers (White)"/>
        <s v="2&quot; x 60' Streamers (Rainbow)"/>
        <s v="Small Key Lock Tool"/>
        <s v="The Button Key Assembly - 1"/>
      </sharedItems>
    </cacheField>
    <cacheField name="Line Item Description" numFmtId="0">
      <sharedItems containsNonDate="0" containsBlank="1" count="104">
        <s v="Handheld CO2 Cannon MKII"/>
        <s v="Handheld MKII in travel case with 15ft hose"/>
        <s v="Micro CO2 Jet MKII"/>
        <s v="Product CO2 Hose - 25 foot hose - $50.00"/>
        <s v="Neutrik PowerCON True1 Cords - 6FT, Standard"/>
        <s v="CO2 Tank Tool + Washers - Yes - add tool and washers +$15.00"/>
        <s v="ShoStarter DMX Controller with 3 &amp; 5 Pin Connectors in Box"/>
        <s v="4 channel DMX relay pack"/>
        <s v="Single CO2 Washer"/>
        <m/>
        <s v="6in Jet Barrel with powdercoating"/>
        <s v="Co2 Tank Attachment Tool"/>
        <s v="The Button - with both 3 &amp; 5 pin DMX ports"/>
        <s v="CO2 Tank Covers - 50lb Cover"/>
        <s v="Pro Jet"/>
        <s v="Hose Adapters - #3 – CO2 Output Terminator"/>
        <s v="Truss Clamp"/>
        <s v="CO2 Hose (15FT, included)"/>
        <s v="Cryo Clamp II, 110v, Weatherproof CO2 Jet"/>
        <s v="CO2 Cylinder Link"/>
        <s v="CO2 Hose (50FT, upgrade fee)"/>
        <s v="CO2 Hose (50FT, additional)"/>
        <s v="CO2 Washers"/>
        <s v="Ball Mount Assembly for Cryo Clamp with 4x 10-32 x 3/8&quot; socket head screws"/>
        <s v="CO2 Hose"/>
        <s v="CO2 Tank Covers - 20lb Cover"/>
        <s v="110v Valve with Solenoid fittings and Wires for Micro Jet MKII"/>
        <s v="Co2 Hose Custom Length Standard (60FT)"/>
        <s v="CO2 Hose Upgrade fee, 50FT (Customized - CGA-320 to JIC Tee)"/>
        <s v="CO2 Hose Upgrade Fee, 25FT (Customized - CGA-320 to JIC Tee)"/>
        <s v="CO2 Hose, 8FT (Customized - JIC Female to Female QC)"/>
        <s v="CO2 Tank Splitter"/>
        <s v="Micro Jet MKII Main PCB"/>
        <s v="Teflon &amp; Brass seal for 1/4&quot; CO2 Valve"/>
        <s v="Micro Jet Barrel with Right Angle"/>
        <s v="1/2-13 x 3/4” CS screw (Stainless Steel / Black Oxide)"/>
        <s v="1/4-20 x 3/4” CS screw (Stainless Steel / Black Oxide)"/>
        <s v="ShoMaster Console"/>
        <s v="Replacement Keys - The Button"/>
        <s v="Replacement Keys - Shomaster &amp; ShoStarter"/>
        <s v="Handheld Co2 Cannon"/>
        <s v="Travel Case"/>
        <s v="Cryo Clamp II, 220v, Weatherproof CO2 Jet"/>
        <s v="Black Anodized Aluminum Encoder Knob"/>
        <s v="50FT CO2 Hose - 3/8&quot; NPT Male Swivel x JIC #6 female"/>
        <s v="6506-06-06"/>
        <s v="Handheld MKII in travel case with 8ft hose"/>
        <s v="Pro Jet with 5- pin DMX and 220v Solenoid"/>
        <s v="CO2 Output Terminator (included)"/>
        <s v="CO2 Hose, 35FT (European CO2 Connectors)"/>
        <s v="Ball Mount Assembly for Cryo Clamp (Included)"/>
        <s v="Ball Mount Assembly for Cryo Clamp (Additional)"/>
        <s v="Neutrik PowerCON True1 Cords - 6FT (European Plug)"/>
        <s v="Special order CO2 Hose"/>
        <s v="Co2 Hose 08FT Extension Config"/>
        <s v="Water Cannon Smart Unit - FIRST ARTICLE SAMPLE (For Approval)"/>
        <s v="Includes Wire Harness"/>
        <s v="Sensor cable "/>
        <s v="Digital Liquid Level Sensor"/>
        <s v="M8 barrel 3-pin male axial connection"/>
        <s v="ShoStarter DMX Controller - Update to Water Cannon firmware prior to shipment"/>
        <s v="Assembly of sensor harnesses"/>
        <s v="Payment received 5/9/23"/>
        <s v="Cryo Clamp II, 110v, Weatherproof CO2 Jet (JIC)"/>
        <s v="3 pin cable to connect controller to relay pack"/>
        <s v="Pro Jet, 5 pin, 110v (No Hose)"/>
        <s v="Neutrik PowerCON True1 Cords - 6FT (Included)"/>
        <s v="Daisy Chain Adapter (1/2&quot; JIC)"/>
        <s v="Pro Jet, 5 pin, 110v, JIC (No Hose)"/>
        <s v="3 and 5 pin needed, also a 3 to 5 adapter for use on Pro Jets. "/>
        <s v="Replacement O-Ring"/>
        <s v="25 foot hose (Upgrade Fee)"/>
        <s v="35 foot hose (Upgrade Fee)"/>
        <s v="Neutrik PowerCON True1 Cords - 6FT, Standard (Included)"/>
        <s v="Co2 Tank Attachment Tool  (Included)"/>
        <s v="CO2 Washers, 10 Pack (Included)"/>
        <s v="Product CO2 Hose - 25 foot hose (Spare)"/>
        <s v="Update firmware, check for leaks, function test. Courtesy repair. Serial #0921848"/>
        <s v="Update firmware, check for leaks, function test. Courtesy repair. Serial #0921828"/>
        <s v="Micro Jet Foot with Binder Post"/>
        <s v="Hose Adapters - #1 – Male Quick Connect (3/8″ NPT Male)"/>
        <s v="Hose Adapters - #4 – Female Quick Connect (3/8″ NPT Female)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CO2 Hose, 15FT (Included)"/>
        <s v="Pro Jet, 5 pin DMX, JIC in/out, NO HOSE"/>
        <s v="Used for uploading bootloader onto Club Cannon products"/>
        <s v="PCB with encoder attached"/>
        <s v="The Button LED Button PCB"/>
        <s v="Button, Encoder, and LED Harness"/>
        <s v="Adapter for use with Manifold - to attach standard CGA-320 hose configuration"/>
        <s v="The Button - Replaced Encoder PCB &amp; Knob"/>
        <s v="Pro Jet - Replace valve seal &amp; upper valve plunger assembly "/>
        <s v="3/4 OD X 1/4 ID X 1/8 Thickness Neoprene Rubber Washers"/>
        <s v="Shoulder washers"/>
        <s v="N70 Series Neoprene Rubber Washers 2 1/4&quot; OD X 9/16&quot; ID X 1/8&quot; Thickness - 70 Duro Shore A"/>
        <s v="1/4-20 x 1/2&quot; SEMS Screws / Internal Tooth Washer / PH S Black"/>
        <s v="Quad Jet - Maintenance ticket stated &quot;unit did not power on&quot;, unable to replicate. Barrel was broken off, technician replaced, tested, verified performing normally."/>
        <s v="1 1/4” NPTS Pipe Nipple"/>
        <s v="Misc Hoses - Replace O-rings, pressure test, verified leak free operation."/>
        <s v="Stadium Streamers"/>
        <s v="Used for installing / removing small key switch"/>
        <s v="Key Switch with Wires and JST Connector for The Button"/>
      </sharedItems>
    </cacheField>
    <cacheField name="Order Quantity" numFmtId="0">
      <sharedItems containsSemiMixedTypes="0" containsNonDate="0" containsString="0" containsNumber="1" containsInteger="1" minValue="1" maxValue="125" count="19">
        <n v="1"/>
        <n v="2"/>
        <n v="10"/>
        <n v="4"/>
        <n v="9"/>
        <n v="30"/>
        <n v="8"/>
        <n v="6"/>
        <n v="5"/>
        <n v="12"/>
        <n v="18"/>
        <n v="16"/>
        <n v="3"/>
        <n v="100"/>
        <n v="15"/>
        <n v="7"/>
        <n v="125"/>
        <n v="14"/>
        <n v="20"/>
      </sharedItems>
    </cacheField>
    <cacheField name="Unit Price" numFmtId="0">
      <sharedItems containsSemiMixedTypes="0" containsNonDate="0" containsString="0" containsNumber="1" minValue="-6000" maxValue="2399.9925" count="97">
        <n v="349.99"/>
        <n v="599.99"/>
        <n v="574.99"/>
        <n v="849.99"/>
        <n v="50"/>
        <n v="0"/>
        <n v="1199.99"/>
        <n v="675"/>
        <n v="1521.56"/>
        <n v="80"/>
        <n v="68.17"/>
        <n v="9.99"/>
        <n v="199.99"/>
        <n v="399.99"/>
        <n v="59.99"/>
        <n v="1299.99"/>
        <n v="29.99"/>
        <n v="255.91"/>
        <n v="374.9925"/>
        <n v="974.9924999999999"/>
        <n v="89.99250000000001"/>
        <n v="131.25"/>
        <n v="224.9925"/>
        <n v="285"/>
        <n v="149.99"/>
        <n v="119.99"/>
        <n v="8.99"/>
        <n v="49.99"/>
        <n v="175"/>
        <n v="109.99"/>
        <n v="45"/>
        <n v="90"/>
        <n v="2399.9925"/>
        <n v="899.9924999999999"/>
        <n v="5.6175"/>
        <n v="9.7425"/>
        <n v="164.9925"/>
        <n v="37.4925"/>
        <n v="44.9925"/>
        <n v="299.99"/>
        <n v="549.99"/>
        <n v="15"/>
        <n v="499.99"/>
        <n v="100"/>
        <n v="99.98999999999999"/>
        <n v="775"/>
        <n v="82.49250000000001"/>
        <n v="22.4925"/>
        <n v="299.9925"/>
        <n v="85"/>
        <n v="619.49"/>
        <n v="111.375"/>
        <n v="203.8125"/>
        <n v="56.625"/>
        <n v="180.6"/>
        <n v="359.991"/>
        <n v="800"/>
        <n v="24"/>
        <n v="20"/>
        <n v="30"/>
        <n v="300"/>
        <n v="-6000"/>
        <n v="120"/>
        <n v="40"/>
        <n v="38.625"/>
        <n v="22.5"/>
        <n v="150"/>
        <n v="900"/>
        <n v="236.42"/>
        <n v="105"/>
        <n v="1.99"/>
        <n v="149.9925"/>
        <n v="374.99"/>
        <n v="14.99"/>
        <n v="24.99"/>
        <n v="179.99"/>
        <n v="64.98999999999999"/>
        <n v="69.98999999999999"/>
        <n v="69.11"/>
        <n v="652.4924999999999"/>
        <n v="49.95"/>
        <n v="75"/>
        <n v="249.99"/>
        <n v="449.9925"/>
        <n v="134.9925"/>
        <n v="48.7425"/>
        <n v="52.4925"/>
        <n v="14.9925"/>
        <n v="207.05"/>
        <n v="219.99"/>
        <n v="112.4925"/>
        <n v="-309.9575"/>
        <n v="5"/>
        <n v="30.75"/>
        <n v="36.65"/>
        <n v="25"/>
        <n v="494.991"/>
      </sharedItems>
    </cacheField>
    <cacheField name="Total Line Item $" numFmtId="0">
      <sharedItems containsSemiMixedTypes="0" containsNonDate="0" containsString="0" containsNumber="1" minValue="-6000" maxValue="8774.932500000001" count="154">
        <n v="349.99"/>
        <n v="599.99"/>
        <n v="574.99"/>
        <n v="1699.98"/>
        <n v="100"/>
        <n v="0"/>
        <n v="1199.99"/>
        <n v="1350"/>
        <n v="1521.56"/>
        <n v="800"/>
        <n v="68.17"/>
        <n v="9.99"/>
        <n v="399.98"/>
        <n v="399.99"/>
        <n v="119.98"/>
        <n v="2599.98"/>
        <n v="59.98"/>
        <n v="255.91"/>
        <n v="1499.97"/>
        <n v="8774.932500000001"/>
        <n v="899.925"/>
        <n v="1181.25"/>
        <n v="224.9925"/>
        <n v="285"/>
        <n v="149.99"/>
        <n v="119.99"/>
        <n v="8.99"/>
        <n v="49.99"/>
        <n v="239.96"/>
        <n v="239.98"/>
        <n v="17.98"/>
        <n v="699.98"/>
        <n v="3399.96"/>
        <n v="175"/>
        <n v="50"/>
        <n v="439.96"/>
        <n v="99.98"/>
        <n v="45"/>
        <n v="180"/>
        <n v="4799.985"/>
        <n v="1799.985"/>
        <n v="22.47"/>
        <n v="38.97"/>
        <n v="1319.94"/>
        <n v="299.94"/>
        <n v="359.94"/>
        <n v="1349.955"/>
        <n v="49.95"/>
        <n v="599.98"/>
        <n v="549.99"/>
        <n v="15"/>
        <n v="19.98"/>
        <n v="999.98"/>
        <n v="7799.94"/>
        <n v="600"/>
        <n v="599.9400000000001"/>
        <n v="179.94"/>
        <n v="1999.96"/>
        <n v="119.96"/>
        <n v="775"/>
        <n v="5849.955"/>
        <n v="494.955"/>
        <n v="134.955"/>
        <n v="599.985"/>
        <n v="85"/>
        <n v="619.49"/>
        <n v="445.5"/>
        <n v="1222.875"/>
        <n v="566.25"/>
        <n v="180.6"/>
        <n v="59.99"/>
        <n v="700"/>
        <n v="719.88"/>
        <n v="299.98"/>
        <n v="1599.96"/>
        <n v="109.99"/>
        <n v="359.991"/>
        <n v="7200"/>
        <n v="216"/>
        <n v="360"/>
        <n v="270"/>
        <n v="300"/>
        <n v="-6000"/>
        <n v="120"/>
        <n v="24"/>
        <n v="40"/>
        <n v="30"/>
        <n v="386.25"/>
        <n v="90"/>
        <n v="899.9924999999999"/>
        <n v="89.97"/>
        <n v="226.5"/>
        <n v="150"/>
        <n v="359.88"/>
        <n v="80"/>
        <n v="1800"/>
        <n v="236.42"/>
        <n v="1799.94"/>
        <n v="105"/>
        <n v="29.97"/>
        <n v="9.949999999999999"/>
        <n v="44.95"/>
        <n v="2999.94"/>
        <n v="5099.94"/>
        <n v="200"/>
        <n v="719.9400000000001"/>
        <n v="149.9925"/>
        <n v="374.99"/>
        <n v="14.99"/>
        <n v="24.99"/>
        <n v="199.99"/>
        <n v="224.85"/>
        <n v="179.99"/>
        <n v="649.9"/>
        <n v="139.98"/>
        <n v="69.11"/>
        <n v="1304.985"/>
        <n v="359.97"/>
        <n v="900"/>
        <n v="75"/>
        <n v="799.98"/>
        <n v="499.98"/>
        <n v="479.96"/>
        <n v="35.96"/>
        <n v="249.99"/>
        <n v="79.92"/>
        <n v="449.9925"/>
        <n v="299.9925"/>
        <n v="269.985"/>
        <n v="194.97"/>
        <n v="209.97"/>
        <n v="29.985"/>
        <n v="449.985"/>
        <n v="207.05"/>
        <n v="219.99"/>
        <n v="2399.98"/>
        <n v="449.9775"/>
        <n v="269.9775"/>
        <n v="1949.985"/>
        <n v="112.4925"/>
        <n v="519.92"/>
        <n v="699.9299999999999"/>
        <n v="-309.9575"/>
        <n v="625"/>
        <n v="30.75"/>
        <n v="29.99"/>
        <n v="67.47750000000001"/>
        <n v="36.65"/>
        <n v="1539.86"/>
        <n v="199.96"/>
        <n v="1799.955"/>
        <n v="112.35"/>
        <n v="25"/>
        <n v="494.991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7" createdVersion="7">
  <cacheSource type="worksheet">
    <worksheetSource ref="A2:H309" sheet="April 2023"/>
  </cacheSource>
  <cacheFields count="8">
    <cacheField name="Sales Order" numFmtId="0">
      <sharedItems containsNonDate="0" count="137">
        <s v="2934"/>
        <s v="2933"/>
        <s v="2932"/>
        <s v="2931"/>
        <s v="2930"/>
        <s v="2929"/>
        <s v="2928"/>
        <s v="2926"/>
        <s v="2927"/>
        <s v="2925"/>
        <s v="2924"/>
        <s v="2923"/>
        <s v="2922"/>
        <s v="2921"/>
        <s v="2919"/>
        <s v="2918"/>
        <s v="2920"/>
        <s v="2917"/>
        <s v="2914"/>
        <s v="2916"/>
        <s v="2913"/>
        <s v="2911"/>
        <s v="2910"/>
        <s v="2909"/>
        <s v="2908"/>
        <s v="2912"/>
        <s v="2907"/>
        <s v="2906"/>
        <s v="2905"/>
        <s v="2904"/>
        <s v="2903"/>
        <s v="2902"/>
        <s v="2901"/>
        <s v="2900"/>
        <s v="2899"/>
        <s v="2898"/>
        <s v="2897"/>
        <s v="2896"/>
        <s v="2895"/>
        <s v="2894"/>
        <s v="2982"/>
        <s v="2893"/>
        <s v="2891"/>
        <s v="2890"/>
        <s v="2889"/>
        <s v="2888"/>
        <s v="2887"/>
        <s v="2886"/>
        <s v="2892"/>
        <s v="2883"/>
        <s v="2881"/>
        <s v="2885"/>
        <s v="2882"/>
        <s v="2884"/>
        <s v="2880"/>
        <s v="2879"/>
        <s v="2869"/>
        <s v="2868"/>
        <s v="2867"/>
        <s v="2866"/>
        <s v="2876"/>
        <s v="2870"/>
        <s v="2872"/>
        <s v="2871"/>
        <s v="2878"/>
        <s v="2873"/>
        <s v="2874"/>
        <s v="2875"/>
        <s v="2865"/>
        <s v="2864"/>
        <s v="2863"/>
        <s v="2862"/>
        <s v="2861"/>
        <s v="2860"/>
        <s v="2859"/>
        <s v="2857"/>
        <s v="2858"/>
        <s v="2856"/>
        <s v="2851"/>
        <s v="2850"/>
        <s v="2849"/>
        <s v="2853"/>
        <s v="2877"/>
        <s v="2855"/>
        <s v="2854"/>
        <s v="2847"/>
        <s v="2846"/>
        <s v="2845"/>
        <s v="2843"/>
        <s v="2842"/>
        <s v="2841"/>
        <s v="2848"/>
        <s v="2840"/>
        <s v="2844"/>
        <s v="2839"/>
        <s v="2837"/>
        <s v="2836"/>
        <s v="2835"/>
        <s v="2833"/>
        <s v="2832"/>
        <s v="2834"/>
        <s v="2838"/>
        <s v="2831"/>
        <s v="2829"/>
        <s v="2828"/>
        <s v="2827"/>
        <s v="2826"/>
        <s v="2825"/>
        <s v="2824"/>
        <s v="2822"/>
        <s v="2821"/>
        <s v="2820"/>
        <s v="2823"/>
        <s v="2819"/>
        <s v="2818"/>
        <s v="2817"/>
        <s v="2816"/>
        <s v="2815"/>
        <s v="2814"/>
        <s v="2813"/>
        <s v="2812"/>
        <s v="2811"/>
        <s v="2810"/>
        <s v="2809"/>
        <s v="2807"/>
        <s v="2806"/>
        <s v="2805"/>
        <s v="2804"/>
        <s v="2808"/>
        <s v="2803"/>
        <s v="2802"/>
        <s v="2800"/>
        <s v="2798"/>
        <s v="2797"/>
        <s v="2796"/>
        <s v="2795"/>
        <s v="2794"/>
      </sharedItems>
    </cacheField>
    <cacheField name="Customer" numFmtId="0">
      <sharedItems containsNonDate="0" count="119">
        <s v="Jorge Perez"/>
        <s v="Vinnie Hoffman"/>
        <s v="Rich Schroepfer"/>
        <s v="charlie keiper"/>
        <s v="Antonio Gonzalez"/>
        <s v="Austin Port"/>
        <s v="Reno Rosser / Flying U Rodeo"/>
        <s v="Joe Bunn"/>
        <s v="ER Productions"/>
        <s v="Jose Hernandez"/>
        <s v="Jessica Derrick"/>
        <s v="Luis Garcia"/>
        <s v="Peter Naumenko"/>
        <s v="Michael Landrigan"/>
        <s v="Michael Brammer"/>
        <s v="Zack Mann"/>
        <s v="DJ Event Gear"/>
        <s v="Jeremy Kight"/>
        <s v="PYROTECNICO"/>
        <s v="Dios Vazquez"/>
        <s v="Jose Bonora"/>
        <s v="douglas klein"/>
        <s v="Rebecca Del Rae"/>
        <s v="Kevin Kairouz"/>
        <s v="Roberto Vazquez"/>
        <s v="Showco AV"/>
        <s v="Colleen Flaherty"/>
        <s v="john lominsky"/>
        <s v="Brittany Ellis"/>
        <s v="Eduardo Alves"/>
        <s v="Elias Conde"/>
        <s v="Misty Smith"/>
        <s v="Daniel Ridgeway"/>
        <s v="oscar robledo"/>
        <s v="Al Okyne"/>
        <s v="spaceagetimmy@gmail.com"/>
        <s v="Santiago Naranjo"/>
        <s v="Rudy Thatcher"/>
        <s v="Bret Rideout"/>
        <s v="Gabriel Mcgann"/>
        <s v="Rob Kodadek"/>
        <s v="Tina Pinheiro"/>
        <s v="Michael Roche"/>
        <s v="Gilbert Torres"/>
        <s v="David Roman"/>
        <s v="Jason young"/>
        <s v="Michael Bartuccelli"/>
        <s v="Sound &amp; Lighting Solutions Inc."/>
        <s v="AFX Pro / Jackie Johnson"/>
        <s v="Image SFX"/>
        <s v="Nick Schnagl"/>
        <s v="Micheanggello Rojo"/>
        <s v="Christian Blais"/>
        <s v="Javier Carlos"/>
        <s v="Sean McGroarty"/>
        <s v="Monkey Wrench Productions"/>
        <s v="Hector Padilla-Camacho"/>
        <s v="Andrew Cunningham"/>
        <s v="JOSEPH KAUFMAN"/>
        <s v="ATLAS STAGEWORKS LIGHTING"/>
        <s v="Farralane Pro Lighting, Audio, &amp; Video"/>
        <s v="Tyson Greiner"/>
        <s v="Jose Jacome"/>
        <s v="Anthony Devlin"/>
        <s v="Tom Sweitzer"/>
        <s v="Andrew Graham-Hussey"/>
        <s v="Tim Young"/>
        <s v="Eric Gussin"/>
        <s v="Advanced Entertainment Services"/>
        <s v="Esther Altepeter"/>
        <s v="Bryan Galeano"/>
        <s v="Erin Templeton"/>
        <s v="Jason Cox"/>
        <s v="Noto Nightclub"/>
        <s v="Johnny Junatanov"/>
        <s v="Lee Brown"/>
        <s v="Aaron Abramson"/>
        <s v="David Hays"/>
        <s v="Michael Potrzeba"/>
        <s v="Special FX Rentals"/>
        <s v="Ariel Castillo / Confetti Fog FX"/>
        <s v="Nick Shakin"/>
        <s v="Meet Patel"/>
        <s v="Scott Wagner"/>
        <s v="Mike Chiappinelli"/>
        <s v="Idean Fooladi"/>
        <s v="Midway SF"/>
        <s v="Tony Mahmood"/>
        <s v="Alicia Espinoza"/>
        <s v="Michael Russo"/>
        <s v="Michael Majerowicz"/>
        <s v="Jay Carreon"/>
        <s v="Christopher August"/>
        <s v="Enmanuel Torres"/>
        <s v="James Leshinski"/>
        <s v="Shadow Mountain Productions"/>
        <s v="Nicolas Rouen"/>
        <s v="SUNIL RAMBHAROSE"/>
        <s v="Kaivan Bazleh"/>
        <s v="Naresh Kumar"/>
        <s v="John Patterson"/>
        <s v="Jake Schneider"/>
        <s v="Carlos Mateo"/>
        <s v="Kimberly Feliberti"/>
        <s v="Eric Landman"/>
        <s v="Andy Serrano"/>
        <s v="Humberto Roman"/>
        <s v="Matthew Hazelgrove"/>
        <s v="Korben Feldstein"/>
        <s v="Raymond Kraft"/>
        <s v="JUDY BRADLEY"/>
        <s v="Joseph Pudlick"/>
        <s v="Evelyn Brown"/>
        <s v="Ryan Becker"/>
        <s v="matt gossman"/>
        <s v="Emerson Wellens"/>
        <s v="Sam Abraham"/>
        <s v="Tim McLean"/>
        <s v="Alyssa Gomez"/>
      </sharedItems>
    </cacheField>
    <cacheField name="Ordered Date" numFmtId="0">
      <sharedItems containsSemiMixedTypes="0" containsNonDate="0" containsDate="1" containsString="0" minDate="2023-04-01T05:51:20" maxDate="2023-04-30T21:58:10" count="116">
        <d v="2023-04-30T21:58:10"/>
        <d v="2023-04-29T13:00:14"/>
        <d v="2023-04-29T04:52:34"/>
        <d v="2023-04-29T00:35:53"/>
        <d v="2023-04-28T21:51:04"/>
        <d v="2023-04-28T21:21:48"/>
        <d v="2023-04-28T00:00:00"/>
        <d v="2023-04-27T21:22:10"/>
        <d v="2023-04-27T17:50:57"/>
        <d v="2023-04-27T16:52:13"/>
        <d v="2023-04-27T03:03:02"/>
        <d v="2023-04-26T20:28:48"/>
        <d v="2023-04-26T17:54:20"/>
        <d v="2023-04-26T04:46:39"/>
        <d v="2023-04-26T00:00:00"/>
        <d v="2023-04-25T23:49:24"/>
        <d v="2023-04-25T00:00:00"/>
        <d v="2023-04-24T21:30:14"/>
        <d v="2023-04-24T20:03:15"/>
        <d v="2023-04-24T18:01:46"/>
        <d v="2023-04-24T15:44:00"/>
        <d v="2023-04-24T07:27:22"/>
        <d v="2023-04-24T00:00:00"/>
        <d v="2023-04-23T16:13:07"/>
        <d v="2023-04-23T04:52:40"/>
        <d v="2023-04-22T19:15:38"/>
        <d v="2023-04-22T18:01:23"/>
        <d v="2023-04-22T13:51:10"/>
        <d v="2023-04-21T20:53:26"/>
        <d v="2023-04-21T18:54:37"/>
        <d v="2023-04-21T18:33:24"/>
        <d v="2023-04-21T18:20:29"/>
        <d v="2023-04-21T16:18:31"/>
        <d v="2023-04-21T06:16:00"/>
        <d v="2023-04-21T00:39:14"/>
        <d v="2023-04-20T20:49:58"/>
        <d v="2023-04-20T01:27:01"/>
        <d v="2023-04-19T22:22:01"/>
        <d v="2023-04-19T19:57:09"/>
        <d v="2023-04-19T19:46:15"/>
        <d v="2023-04-19T17:37:03"/>
        <d v="2023-04-19T14:56:56"/>
        <d v="2023-04-19T02:11:11"/>
        <d v="2023-04-19T00:57:03"/>
        <d v="2023-04-19T00:00:00"/>
        <d v="2023-04-18T18:16:27"/>
        <d v="2023-04-18T08:56:59"/>
        <d v="2023-04-18T00:00:00"/>
        <d v="2023-04-17T22:31:46"/>
        <d v="2023-04-17T21:52:52"/>
        <d v="2023-04-17T15:31:31"/>
        <d v="2023-04-17T14:24:55"/>
        <d v="2023-04-17T02:33:18"/>
        <d v="2023-04-17T01:27:11"/>
        <d v="2023-04-17T00:00:00"/>
        <d v="2023-04-16T13:15:20"/>
        <d v="2023-04-15T22:14:36"/>
        <d v="2023-04-15T21:32:52"/>
        <d v="2023-04-15T01:14:13"/>
        <d v="2023-04-14T20:36:11"/>
        <d v="2023-04-14T17:57:23"/>
        <d v="2023-04-14T15:50:19"/>
        <d v="2023-04-14T00:00:00"/>
        <d v="2023-04-13T21:31:02"/>
        <d v="2023-04-13T16:54:13"/>
        <d v="2023-04-13T13:44:08"/>
        <d v="2023-04-13T00:31:14"/>
        <d v="2023-04-13T00:00:00"/>
        <d v="2023-04-12T18:32:00"/>
        <d v="2023-04-12T18:26:28"/>
        <d v="2023-04-12T18:04:12"/>
        <d v="2023-04-12T17:28:24"/>
        <d v="2023-04-12T14:36:07"/>
        <d v="2023-04-12T04:31:24"/>
        <d v="2023-04-12T00:00:00"/>
        <d v="2023-04-11T22:28:11"/>
        <d v="2023-04-11T20:27:06"/>
        <d v="2023-04-11T19:03:29"/>
        <d v="2023-04-11T17:48:11"/>
        <d v="2023-04-11T11:06:59"/>
        <d v="2023-04-11T03:55:55"/>
        <d v="2023-04-11T00:00:00"/>
        <d v="2023-04-10T23:10:25"/>
        <d v="2023-04-10T17:40:56"/>
        <d v="2023-04-10T17:23:23"/>
        <d v="2023-04-10T01:39:57"/>
        <d v="2023-04-09T06:25:52"/>
        <d v="2023-04-08T04:45:20"/>
        <d v="2023-04-08T04:09:05"/>
        <d v="2023-04-07T15:28:03"/>
        <d v="2023-04-07T14:35:56"/>
        <d v="2023-04-07T00:00:00"/>
        <d v="2023-04-06T21:26:51"/>
        <d v="2023-04-06T19:26:44"/>
        <d v="2023-04-05T22:40:45"/>
        <d v="2023-04-05T22:27:34"/>
        <d v="2023-04-05T18:05:18"/>
        <d v="2023-04-05T16:21:00"/>
        <d v="2023-04-05T15:51:20"/>
        <d v="2023-04-05T15:00:18"/>
        <d v="2023-04-05T13:52:08"/>
        <d v="2023-04-05T13:49:20"/>
        <d v="2023-04-05T00:32:59"/>
        <d v="2023-04-04T19:00:21"/>
        <d v="2023-04-04T16:06:56"/>
        <d v="2023-04-04T15:23:57"/>
        <d v="2023-04-04T15:13:12"/>
        <d v="2023-04-04T00:00:00"/>
        <d v="2023-04-03T23:25:59"/>
        <d v="2023-04-03T21:17:20"/>
        <d v="2023-04-03T19:07:04"/>
        <d v="2023-04-03T15:49:25"/>
        <d v="2023-04-03T00:00:00"/>
        <d v="2023-04-02T17:39:00"/>
        <d v="2023-04-02T00:02:15"/>
        <d v="2023-04-01T05:51:20"/>
      </sharedItems>
      <fieldGroup base="2">
        <rangePr startDate="2023-04-01T05:51:20" endDate="2023-04-30T21:58:10" groupBy="days"/>
        <groupItems count="368">
          <s v="&lt;04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4/30/2023"/>
        </groupItems>
      </fieldGroup>
    </cacheField>
    <cacheField name="Line Item Name" numFmtId="0">
      <sharedItems containsNonDate="0" count="66">
        <s v="CC-MJMKII-3-110"/>
        <s v="CC-CH-50-STD"/>
        <s v="CC-AC-CLAMP"/>
        <s v="CC-NPTC-06-STD"/>
        <s v="CC-AC-OP"/>
        <s v="CC-CTC-50"/>
        <s v="CC-CTC-20"/>
        <s v="CC-AC-CTAT"/>
        <s v="CC-AC-SMK"/>
        <s v="CC-AC-ROR"/>
        <s v="CC-WASH-10"/>
        <s v="CC-HCCMKII-15-NC"/>
        <s v="CC-HCCMKII-08-TC"/>
        <s v="Discount"/>
        <s v="CC-AC-CTS"/>
        <s v="CC-AC-CCL"/>
        <s v="CC-CH-25-STD"/>
        <s v="CC-HCCMKII-08-NC"/>
        <s v="CC-MJMKII-5-110"/>
        <s v="CC-SS-35"/>
        <s v="CC-TB-35"/>
        <s v="CC-F-DCHA"/>
        <s v="CC-F-HEA"/>
        <s v="Shipping Fees"/>
        <s v="CC-CC2-110"/>
        <s v="CC-AC-BM-KIT"/>
        <s v="Shipping Charges"/>
        <s v="CC-F-COT"/>
        <s v="CC-HCCMKII-15-TC"/>
        <s v="CC-CH-35-STD"/>
        <s v="10FT CO2 Hose - 1/4&quot; ID (JIC #6 x JIC #6)"/>
        <s v="25FT CO2 Hose - 1/4&quot; ID (JIC #6 x JIC #6)"/>
        <s v="50FT CO2 Hose - 1/4&quot; ID (JIC #6 x JIC #6)"/>
        <s v="CC-AC-RAA"/>
        <s v="CC-PROJ-5-110"/>
        <s v="CC-CH-25-DSY"/>
        <s v="1&quot; x 30' Streamers (White)"/>
        <s v="2&quot; x 30' Streamers (White)"/>
        <s v="CC-CH-15-STD"/>
        <s v="Handheld MKII"/>
        <s v="Handheld MKII Packaging"/>
        <s v="CC-AC-4PM"/>
        <s v="CC-CH-02-MFD"/>
        <s v="CC-CH-03.5-MFD"/>
        <s v="CC-F-MFDCGAJIC"/>
        <s v="CC-F-FQCNPTF"/>
        <s v="CC-F-MQCNPTM"/>
        <s v="3/8&quot; Male Quick Connect ISO-A x 3/8&quot; Female NPT"/>
        <s v="CC-AC-CGANPT-SET"/>
        <s v="CC-HCCMKII-05-NC"/>
        <s v="CC-CH-08-DSY"/>
        <s v="CC-CH-100-STD"/>
        <s v="CC-SM-5"/>
        <s v="25FT CO2 Hose - 3/8&quot; NPT Male Swivel x JIC"/>
        <s v="CC-CH-05-MFD"/>
        <s v="DMX Jet MKII Repair"/>
        <s v="The Button Encoder Assembly"/>
        <s v="CC-CH-08-STD"/>
        <s v="CC-CH-05-STD"/>
        <s v="Flat Button Interior Housing"/>
        <s v="CC-CH-15-EXT"/>
        <s v=" CC-AC-CGAJIC-SET"/>
        <s v="2FT CO2 Hose - JIC x JIC"/>
        <s v="The Button Key Assembly - 1"/>
        <s v="Large Key Lock Switch Assembly"/>
        <s v="Small Key Lock Tool"/>
      </sharedItems>
    </cacheField>
    <cacheField name="Line Item Description" numFmtId="0">
      <sharedItems containsNonDate="0" containsBlank="1" count="64">
        <s v="Micro CO2 Jet MKII"/>
        <s v="CO2 Hose"/>
        <s v="Truss Clamp"/>
        <s v="Neutrik PowerCON True1 Cords - 6FT, Standard"/>
        <s v="CO2 Tank Tool + Washers - Yes - add tool and washers +$15.00"/>
        <s v="CO2 Tank Covers - 50lb Cover"/>
        <s v="CO2 Tank Covers - 20lb Cover"/>
        <s v="Co2 Tank Attachment Tool"/>
        <s v="Replacement Keys - The Button"/>
        <s v="Replacement O-Ring"/>
        <s v="CO2 Washers"/>
        <s v="Handheld CO2 Cannon MKII"/>
        <s v="Handheld MKII in travel case with 8ft hose"/>
        <m/>
        <s v="CO2 Tank Splitter"/>
        <s v="CO2 Cylinder Link"/>
        <s v="Product CO2 Hose - 25 foot hose - $50.00"/>
        <s v="ShoStarter DMX Controller with 3 &amp; 5 Pin Connectors in Box"/>
        <s v="The Button - with both 3 &amp; 5 pin DMX ports"/>
        <s v="Female Quick Connect x Male JIC Thread"/>
        <s v="Male Quick Connect x Female JIC Thread"/>
        <s v="Cryo Clamp II, 110v, Weatherproof CO2 Jet (JIC INPUT)"/>
        <s v="Ball Mount Assembly for Cryo Clamp with 4x 10-32 x 3/8&quot; socket head screws"/>
        <s v="#5 - Daisy Chain Adapter"/>
        <s v="Hose Adapters - #3 – CO2 Output Terminator"/>
        <s v="Handheld MKII in travel case with 15ft hose"/>
        <s v="Handheld CO2 Cannon MKII (Replacement, original shipment lost by FedEx)"/>
        <s v="Special order CO2 Hose"/>
        <s v="Right Angle Adapter"/>
        <s v="Pro Jet"/>
        <s v="CO2 Hose (50FT, standard - Upgrade Fee)"/>
        <s v="CO2 Hose (25FT, daisy chain - Upgrade Fee)"/>
        <s v="CO2 Hose (25FT, daisy chain - Additional)"/>
        <s v="CO2 Washers (10 Pack, Included)"/>
        <s v="Stadium Streamers"/>
        <s v="CO2 Hose - 15FT (CGA-320 x Female JIC)"/>
        <s v="Handheld Co2 Cannon"/>
        <s v="Packaging for Handheld MKII"/>
        <s v="Pro Jet, 5 Pin, 110v, JIC in/out, NO HOSE"/>
        <s v="Cryo Clamp II, 110v, Weatherproof CO2 Jet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Adapter for use with Manifold - to attach standard CGA-320 hose configuration"/>
        <s v="Hose Adapters - #4 – Female Quick Connect (3/8″ NPT Female)"/>
        <s v="Hose Adapters - #1 – Male Quick Connect (3/8″ NPT Male)"/>
        <s v="3/8&quot; Male Quick Connect ISO-A x 3/8&quot; Female NPT"/>
        <s v="CGA-320 to 1/4&quot; NPT adapter with nut."/>
        <s v="Handheld MKII in box with 5ft hose"/>
        <s v="CO2 Hose (8FT, daisy chain) (Included)"/>
        <s v="CO2 Hose (50FT Upgrade Fee)"/>
        <s v="CO2 Hose (100FT Upgrade Fee)"/>
        <s v="ShoMaster Console"/>
        <s v="25FT CO2 Hose - 3/8&quot; NPT Male Swivel x JIC #6 female (install Female JIC adapter on NPT end)"/>
        <s v="5FT CO2 Hose (CGA-320 x Female JIC 3/8&quot;) For use with Manifold"/>
        <s v="Customer stated jet was leaking. Verified contamination in valve, replaced valve seal. Tested after repair, functioning properly."/>
        <s v="PCB with encoder attached"/>
        <s v="White Internal Housing for PCB Mounting w/ laser cut hole for PCB header"/>
        <s v="CGA-320 to JIC adapter with nut."/>
        <s v="2FT CO2 Hose - Female JIC #6 x Female JIC #6"/>
        <s v="Hose Adapters - #2 – Hose Extension Adapter"/>
        <s v="Key Switch with Wires and JST Connector for The Button"/>
        <s v="Large 2 Position Key switch with TE connector"/>
        <s v="Used for installing / removing small key switch"/>
      </sharedItems>
    </cacheField>
    <cacheField name="Order Quantity" numFmtId="0">
      <sharedItems containsSemiMixedTypes="0" containsNonDate="0" containsString="0" containsNumber="1" containsInteger="1" minValue="1" maxValue="27" count="15">
        <n v="1"/>
        <n v="2"/>
        <n v="6"/>
        <n v="10"/>
        <n v="25"/>
        <n v="4"/>
        <n v="12"/>
        <n v="16"/>
        <n v="3"/>
        <n v="5"/>
        <n v="18"/>
        <n v="8"/>
        <n v="7"/>
        <n v="20"/>
        <n v="27"/>
      </sharedItems>
    </cacheField>
    <cacheField name="Unit Price" numFmtId="0">
      <sharedItems containsSemiMixedTypes="0" containsNonDate="0" containsString="0" containsNumber="1" minValue="-119.996" maxValue="3199.99" count="78">
        <n v="849.99"/>
        <n v="175"/>
        <n v="29.99"/>
        <n v="0"/>
        <n v="59.99"/>
        <n v="49.99"/>
        <n v="9.99"/>
        <n v="7.49"/>
        <n v="1.99"/>
        <n v="8.49"/>
        <n v="399.99"/>
        <n v="549.99"/>
        <n v="-119.996"/>
        <n v="8.99"/>
        <n v="119.99"/>
        <n v="199.99"/>
        <n v="349.99"/>
        <n v="869.99"/>
        <n v="50"/>
        <n v="1199.99"/>
        <n v="359.991"/>
        <n v="22.4925"/>
        <n v="18.7425"/>
        <n v="15"/>
        <n v="374.9925"/>
        <n v="19.4935"/>
        <n v="899.9924999999999"/>
        <n v="40"/>
        <n v="324.99"/>
        <n v="19.99"/>
        <n v="25"/>
        <n v="599.99"/>
        <n v="89.99250000000001"/>
        <n v="6.7425"/>
        <n v="5.6175"/>
        <n v="249.99"/>
        <n v="56.625"/>
        <n v="111.375"/>
        <n v="203.8125"/>
        <n v="299.92"/>
        <n v="974.9924999999999"/>
        <n v="131.25"/>
        <n v="37.5"/>
        <n v="149.9925"/>
        <n v="100"/>
        <n v="112.4925"/>
        <n v="39.25"/>
        <n v="1149.99"/>
        <n v="17"/>
        <n v="900"/>
        <n v="291.15"/>
        <n v="499.99"/>
        <n v="149.99"/>
        <n v="179.99"/>
        <n v="64.98999999999999"/>
        <n v="69.98999999999999"/>
        <n v="262.4925"/>
        <n v="20"/>
        <n v="187.4925"/>
        <n v="82.49250000000001"/>
        <n v="909.99"/>
        <n v="425"/>
        <n v="48.02"/>
        <n v="3199.99"/>
        <n v="44.9925"/>
        <n v="75"/>
        <n v="37.4925"/>
        <n v="125"/>
        <n v="89.98999999999999"/>
        <n v="74.98999999999999"/>
        <n v="22.99"/>
        <n v="8.5"/>
        <n v="1299.99"/>
        <n v="109.99"/>
        <n v="99.98999999999999"/>
        <n v="14.99"/>
        <n v="299.9925"/>
        <n v="115"/>
      </sharedItems>
    </cacheField>
    <cacheField name="Total Line Item $" numFmtId="0">
      <sharedItems containsSemiMixedTypes="0" containsNonDate="0" containsString="0" containsNumber="1" minValue="-119.996" maxValue="16200" count="112">
        <n v="849.99"/>
        <n v="175"/>
        <n v="59.98"/>
        <n v="0"/>
        <n v="59.99"/>
        <n v="49.99"/>
        <n v="19.98"/>
        <n v="7.49"/>
        <n v="11.94"/>
        <n v="9.99"/>
        <n v="84.90000000000001"/>
        <n v="799.98"/>
        <n v="549.99"/>
        <n v="-119.996"/>
        <n v="8.99"/>
        <n v="479.96"/>
        <n v="35.96"/>
        <n v="199.99"/>
        <n v="119.99"/>
        <n v="349.99"/>
        <n v="10439.88"/>
        <n v="600"/>
        <n v="1199.99"/>
        <n v="399.99"/>
        <n v="359.991"/>
        <n v="359.88"/>
        <n v="299.88"/>
        <n v="15"/>
        <n v="1499.97"/>
        <n v="77.974"/>
        <n v="899.9924999999999"/>
        <n v="40"/>
        <n v="119.96"/>
        <n v="324.99"/>
        <n v="39.98"/>
        <n v="25"/>
        <n v="29.99"/>
        <n v="99.98"/>
        <n v="1199.98"/>
        <n v="1099.98"/>
        <n v="599.99"/>
        <n v="3.98"/>
        <n v="539.955"/>
        <n v="40.455"/>
        <n v="5.6175"/>
        <n v="20.2275"/>
        <n v="249.99"/>
        <n v="119.98"/>
        <n v="17.98"/>
        <n v="566.25"/>
        <n v="1113.75"/>
        <n v="1019.0625"/>
        <n v="299.92"/>
        <n v="3899.97"/>
        <n v="262.5"/>
        <n v="75"/>
        <n v="149.9925"/>
        <n v="100"/>
        <n v="449.97"/>
        <n v="39.25"/>
        <n v="699.98"/>
        <n v="2299.98"/>
        <n v="17"/>
        <n v="16200"/>
        <n v="291.15"/>
        <n v="14.98"/>
        <n v="399.98"/>
        <n v="999.98"/>
        <n v="149.99"/>
        <n v="179.99"/>
        <n v="129.98"/>
        <n v="139.98"/>
        <n v="19.99"/>
        <n v="39.96"/>
        <n v="262.4925"/>
        <n v="20"/>
        <n v="6824.9475"/>
        <n v="749.97"/>
        <n v="1799.85"/>
        <n v="82.49250000000001"/>
        <n v="909.99"/>
        <n v="5099.94"/>
        <n v="700"/>
        <n v="850"/>
        <n v="48.02"/>
        <n v="3199.99"/>
        <n v="2399.98"/>
        <n v="599.9"/>
        <n v="499.99"/>
        <n v="194.97"/>
        <n v="5400"/>
        <n v="269.955"/>
        <n v="149.97"/>
        <n v="750"/>
        <n v="539.9400000000001"/>
        <n v="359.98"/>
        <n v="279.96"/>
        <n v="299.96"/>
        <n v="1739.98"/>
        <n v="91.95999999999999"/>
        <n v="25.5"/>
        <n v="1299.99"/>
        <n v="109.99"/>
        <n v="259.96"/>
        <n v="99.98999999999999"/>
        <n v="869.99"/>
        <n v="14.99"/>
        <n v="959.84"/>
        <n v="10399.92"/>
        <n v="1499.9625"/>
        <n v="187.4625"/>
        <n v="11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49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7" createdVersion="7">
  <cacheSource type="worksheet">
    <worksheetSource ref="D2:F309" sheet="April 2023"/>
  </cacheSource>
  <cacheFields count="3">
    <cacheField name="Line Item Name" numFmtId="0">
      <sharedItems containsNonDate="0" count="66">
        <s v="CC-MJMKII-3-110"/>
        <s v="CC-CH-50-STD"/>
        <s v="CC-AC-CLAMP"/>
        <s v="CC-NPTC-06-STD"/>
        <s v="CC-AC-OP"/>
        <s v="CC-CTC-50"/>
        <s v="CC-CTC-20"/>
        <s v="CC-AC-CTAT"/>
        <s v="CC-AC-SMK"/>
        <s v="CC-AC-ROR"/>
        <s v="CC-WASH-10"/>
        <s v="CC-HCCMKII-15-NC"/>
        <s v="CC-HCCMKII-08-TC"/>
        <s v="Discount"/>
        <s v="CC-AC-CTS"/>
        <s v="CC-AC-CCL"/>
        <s v="CC-CH-25-STD"/>
        <s v="CC-HCCMKII-08-NC"/>
        <s v="CC-MJMKII-5-110"/>
        <s v="CC-SS-35"/>
        <s v="CC-TB-35"/>
        <s v="CC-F-DCHA"/>
        <s v="CC-F-HEA"/>
        <s v="Shipping Fees"/>
        <s v="CC-CC2-110"/>
        <s v="CC-AC-BM-KIT"/>
        <s v="Shipping Charges"/>
        <s v="CC-F-COT"/>
        <s v="CC-HCCMKII-15-TC"/>
        <s v="CC-CH-35-STD"/>
        <s v="10FT CO2 Hose - 1/4&quot; ID (JIC #6 x JIC #6)"/>
        <s v="25FT CO2 Hose - 1/4&quot; ID (JIC #6 x JIC #6)"/>
        <s v="50FT CO2 Hose - 1/4&quot; ID (JIC #6 x JIC #6)"/>
        <s v="CC-AC-RAA"/>
        <s v="CC-PROJ-5-110"/>
        <s v="CC-CH-25-DSY"/>
        <s v="1&quot; x 30' Streamers (White)"/>
        <s v="2&quot; x 30' Streamers (White)"/>
        <s v="CC-CH-15-STD"/>
        <s v="Handheld MKII"/>
        <s v="Handheld MKII Packaging"/>
        <s v="CC-AC-4PM"/>
        <s v="CC-CH-02-MFD"/>
        <s v="CC-CH-03.5-MFD"/>
        <s v="CC-F-MFDCGAJIC"/>
        <s v="CC-F-FQCNPTF"/>
        <s v="CC-F-MQCNPTM"/>
        <s v="3/8&quot; Male Quick Connect ISO-A x 3/8&quot; Female NPT"/>
        <s v="CC-AC-CGANPT-SET"/>
        <s v="CC-HCCMKII-05-NC"/>
        <s v="CC-CH-08-DSY"/>
        <s v="CC-CH-100-STD"/>
        <s v="CC-SM-5"/>
        <s v="25FT CO2 Hose - 3/8&quot; NPT Male Swivel x JIC"/>
        <s v="CC-CH-05-MFD"/>
        <s v="DMX Jet MKII Repair"/>
        <s v="The Button Encoder Assembly"/>
        <s v="CC-CH-08-STD"/>
        <s v="CC-CH-05-STD"/>
        <s v="Flat Button Interior Housing"/>
        <s v="CC-CH-15-EXT"/>
        <s v=" CC-AC-CGAJIC-SET"/>
        <s v="2FT CO2 Hose - JIC x JIC"/>
        <s v="The Button Key Assembly - 1"/>
        <s v="Large Key Lock Switch Assembly"/>
        <s v="Small Key Lock Tool"/>
      </sharedItems>
    </cacheField>
    <cacheField name="Line Item Description" numFmtId="0">
      <sharedItems containsNonDate="0" containsBlank="1" count="64">
        <s v="Micro CO2 Jet MKII"/>
        <s v="CO2 Hose"/>
        <s v="Truss Clamp"/>
        <s v="Neutrik PowerCON True1 Cords - 6FT, Standard"/>
        <s v="CO2 Tank Tool + Washers - Yes - add tool and washers +$15.00"/>
        <s v="CO2 Tank Covers - 50lb Cover"/>
        <s v="CO2 Tank Covers - 20lb Cover"/>
        <s v="Co2 Tank Attachment Tool"/>
        <s v="Replacement Keys - The Button"/>
        <s v="Replacement O-Ring"/>
        <s v="CO2 Washers"/>
        <s v="Handheld CO2 Cannon MKII"/>
        <s v="Handheld MKII in travel case with 8ft hose"/>
        <m/>
        <s v="CO2 Tank Splitter"/>
        <s v="CO2 Cylinder Link"/>
        <s v="Product CO2 Hose - 25 foot hose - $50.00"/>
        <s v="ShoStarter DMX Controller with 3 &amp; 5 Pin Connectors in Box"/>
        <s v="The Button - with both 3 &amp; 5 pin DMX ports"/>
        <s v="Female Quick Connect x Male JIC Thread"/>
        <s v="Male Quick Connect x Female JIC Thread"/>
        <s v="Cryo Clamp II, 110v, Weatherproof CO2 Jet (JIC INPUT)"/>
        <s v="Ball Mount Assembly for Cryo Clamp with 4x 10-32 x 3/8&quot; socket head screws"/>
        <s v="#5 - Daisy Chain Adapter"/>
        <s v="Hose Adapters - #3 – CO2 Output Terminator"/>
        <s v="Handheld MKII in travel case with 15ft hose"/>
        <s v="Handheld CO2 Cannon MKII (Replacement, original shipment lost by FedEx)"/>
        <s v="Special order CO2 Hose"/>
        <s v="Right Angle Adapter"/>
        <s v="Pro Jet"/>
        <s v="CO2 Hose (50FT, standard - Upgrade Fee)"/>
        <s v="CO2 Hose (25FT, daisy chain - Upgrade Fee)"/>
        <s v="CO2 Hose (25FT, daisy chain - Additional)"/>
        <s v="CO2 Washers (10 Pack, Included)"/>
        <s v="Stadium Streamers"/>
        <s v="CO2 Hose - 15FT (CGA-320 x Female JIC)"/>
        <s v="Handheld Co2 Cannon"/>
        <s v="Packaging for Handheld MKII"/>
        <s v="Pro Jet, 5 Pin, 110v, JIC in/out, NO HOSE"/>
        <s v="Cryo Clamp II, 110v, Weatherproof CO2 Jet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Adapter for use with Manifold - to attach standard CGA-320 hose configuration"/>
        <s v="Hose Adapters - #4 – Female Quick Connect (3/8″ NPT Female)"/>
        <s v="Hose Adapters - #1 – Male Quick Connect (3/8″ NPT Male)"/>
        <s v="3/8&quot; Male Quick Connect ISO-A x 3/8&quot; Female NPT"/>
        <s v="CGA-320 to 1/4&quot; NPT adapter with nut."/>
        <s v="Handheld MKII in box with 5ft hose"/>
        <s v="CO2 Hose (8FT, daisy chain) (Included)"/>
        <s v="CO2 Hose (50FT Upgrade Fee)"/>
        <s v="CO2 Hose (100FT Upgrade Fee)"/>
        <s v="ShoMaster Console"/>
        <s v="25FT CO2 Hose - 3/8&quot; NPT Male Swivel x JIC #6 female (install Female JIC adapter on NPT end)"/>
        <s v="5FT CO2 Hose (CGA-320 x Female JIC 3/8&quot;) For use with Manifold"/>
        <s v="Customer stated jet was leaking. Verified contamination in valve, replaced valve seal. Tested after repair, functioning properly."/>
        <s v="PCB with encoder attached"/>
        <s v="White Internal Housing for PCB Mounting w/ laser cut hole for PCB header"/>
        <s v="CGA-320 to JIC adapter with nut."/>
        <s v="2FT CO2 Hose - Female JIC #6 x Female JIC #6"/>
        <s v="Hose Adapters - #2 – Hose Extension Adapter"/>
        <s v="Key Switch with Wires and JST Connector for The Button"/>
        <s v="Large 2 Position Key switch with TE connector"/>
        <s v="Used for installing / removing small key switch"/>
      </sharedItems>
    </cacheField>
    <cacheField name="Order Quantity" numFmtId="0">
      <sharedItems containsSemiMixedTypes="0" containsNonDate="0" containsString="0" containsNumber="1" containsInteger="1" minValue="1" maxValue="27" count="15">
        <n v="1"/>
        <n v="2"/>
        <n v="6"/>
        <n v="10"/>
        <n v="25"/>
        <n v="4"/>
        <n v="12"/>
        <n v="16"/>
        <n v="3"/>
        <n v="5"/>
        <n v="18"/>
        <n v="8"/>
        <n v="7"/>
        <n v="20"/>
        <n v="27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0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07" createdVersion="7">
  <cacheSource type="worksheet">
    <worksheetSource ref="D2:H309" sheet="April 2023"/>
  </cacheSource>
  <cacheFields count="5">
    <cacheField name="Line Item Name" numFmtId="0">
      <sharedItems containsNonDate="0" count="66">
        <s v="CC-MJMKII-3-110"/>
        <s v="CC-CH-50-STD"/>
        <s v="CC-AC-CLAMP"/>
        <s v="CC-NPTC-06-STD"/>
        <s v="CC-AC-OP"/>
        <s v="CC-CTC-50"/>
        <s v="CC-CTC-20"/>
        <s v="CC-AC-CTAT"/>
        <s v="CC-AC-SMK"/>
        <s v="CC-AC-ROR"/>
        <s v="CC-WASH-10"/>
        <s v="CC-HCCMKII-15-NC"/>
        <s v="CC-HCCMKII-08-TC"/>
        <s v="Discount"/>
        <s v="CC-AC-CTS"/>
        <s v="CC-AC-CCL"/>
        <s v="CC-CH-25-STD"/>
        <s v="CC-HCCMKII-08-NC"/>
        <s v="CC-MJMKII-5-110"/>
        <s v="CC-SS-35"/>
        <s v="CC-TB-35"/>
        <s v="CC-F-DCHA"/>
        <s v="CC-F-HEA"/>
        <s v="Shipping Fees"/>
        <s v="CC-CC2-110"/>
        <s v="CC-AC-BM-KIT"/>
        <s v="Shipping Charges"/>
        <s v="CC-F-COT"/>
        <s v="CC-HCCMKII-15-TC"/>
        <s v="CC-CH-35-STD"/>
        <s v="10FT CO2 Hose - 1/4&quot; ID (JIC #6 x JIC #6)"/>
        <s v="25FT CO2 Hose - 1/4&quot; ID (JIC #6 x JIC #6)"/>
        <s v="50FT CO2 Hose - 1/4&quot; ID (JIC #6 x JIC #6)"/>
        <s v="CC-AC-RAA"/>
        <s v="CC-PROJ-5-110"/>
        <s v="CC-CH-25-DSY"/>
        <s v="1&quot; x 30' Streamers (White)"/>
        <s v="2&quot; x 30' Streamers (White)"/>
        <s v="CC-CH-15-STD"/>
        <s v="Handheld MKII"/>
        <s v="Handheld MKII Packaging"/>
        <s v="CC-AC-4PM"/>
        <s v="CC-CH-02-MFD"/>
        <s v="CC-CH-03.5-MFD"/>
        <s v="CC-F-MFDCGAJIC"/>
        <s v="CC-F-FQCNPTF"/>
        <s v="CC-F-MQCNPTM"/>
        <s v="3/8&quot; Male Quick Connect ISO-A x 3/8&quot; Female NPT"/>
        <s v="CC-AC-CGANPT-SET"/>
        <s v="CC-HCCMKII-05-NC"/>
        <s v="CC-CH-08-DSY"/>
        <s v="CC-CH-100-STD"/>
        <s v="CC-SM-5"/>
        <s v="25FT CO2 Hose - 3/8&quot; NPT Male Swivel x JIC"/>
        <s v="CC-CH-05-MFD"/>
        <s v="DMX Jet MKII Repair"/>
        <s v="The Button Encoder Assembly"/>
        <s v="CC-CH-08-STD"/>
        <s v="CC-CH-05-STD"/>
        <s v="Flat Button Interior Housing"/>
        <s v="CC-CH-15-EXT"/>
        <s v=" CC-AC-CGAJIC-SET"/>
        <s v="2FT CO2 Hose - JIC x JIC"/>
        <s v="The Button Key Assembly - 1"/>
        <s v="Large Key Lock Switch Assembly"/>
        <s v="Small Key Lock Tool"/>
      </sharedItems>
    </cacheField>
    <cacheField name="Line Item Description" numFmtId="0">
      <sharedItems containsNonDate="0" containsBlank="1" count="64">
        <s v="Micro CO2 Jet MKII"/>
        <s v="CO2 Hose"/>
        <s v="Truss Clamp"/>
        <s v="Neutrik PowerCON True1 Cords - 6FT, Standard"/>
        <s v="CO2 Tank Tool + Washers - Yes - add tool and washers +$15.00"/>
        <s v="CO2 Tank Covers - 50lb Cover"/>
        <s v="CO2 Tank Covers - 20lb Cover"/>
        <s v="Co2 Tank Attachment Tool"/>
        <s v="Replacement Keys - The Button"/>
        <s v="Replacement O-Ring"/>
        <s v="CO2 Washers"/>
        <s v="Handheld CO2 Cannon MKII"/>
        <s v="Handheld MKII in travel case with 8ft hose"/>
        <m/>
        <s v="CO2 Tank Splitter"/>
        <s v="CO2 Cylinder Link"/>
        <s v="Product CO2 Hose - 25 foot hose - $50.00"/>
        <s v="ShoStarter DMX Controller with 3 &amp; 5 Pin Connectors in Box"/>
        <s v="The Button - with both 3 &amp; 5 pin DMX ports"/>
        <s v="Female Quick Connect x Male JIC Thread"/>
        <s v="Male Quick Connect x Female JIC Thread"/>
        <s v="Cryo Clamp II, 110v, Weatherproof CO2 Jet (JIC INPUT)"/>
        <s v="Ball Mount Assembly for Cryo Clamp with 4x 10-32 x 3/8&quot; socket head screws"/>
        <s v="#5 - Daisy Chain Adapter"/>
        <s v="Hose Adapters - #3 – CO2 Output Terminator"/>
        <s v="Handheld MKII in travel case with 15ft hose"/>
        <s v="Handheld CO2 Cannon MKII (Replacement, original shipment lost by FedEx)"/>
        <s v="Special order CO2 Hose"/>
        <s v="Right Angle Adapter"/>
        <s v="Pro Jet"/>
        <s v="CO2 Hose (50FT, standard - Upgrade Fee)"/>
        <s v="CO2 Hose (25FT, daisy chain - Upgrade Fee)"/>
        <s v="CO2 Hose (25FT, daisy chain - Additional)"/>
        <s v="CO2 Washers (10 Pack, Included)"/>
        <s v="Stadium Streamers"/>
        <s v="CO2 Hose - 15FT (CGA-320 x Female JIC)"/>
        <s v="Handheld Co2 Cannon"/>
        <s v="Packaging for Handheld MKII"/>
        <s v="Pro Jet, 5 Pin, 110v, JIC in/out, NO HOSE"/>
        <s v="Cryo Clamp II, 110v, Weatherproof CO2 Jet"/>
        <s v="4 Port Co2 Manifold - 4x JIC 3/8&quot; Inlets, 1x JIC 3/8&quot; Outlet with Truss Bracket"/>
        <s v="2FT CO2 Hose (CGA-320 x Female JIC 3/8&quot;) For use with Manifold"/>
        <s v="3 1/2FT CO2 Hose (CGA-320 x Female JIC 3/8&quot;) For use with Manifold"/>
        <s v="Adapter for use with Manifold - to attach standard CGA-320 hose configuration"/>
        <s v="Hose Adapters - #4 – Female Quick Connect (3/8″ NPT Female)"/>
        <s v="Hose Adapters - #1 – Male Quick Connect (3/8″ NPT Male)"/>
        <s v="3/8&quot; Male Quick Connect ISO-A x 3/8&quot; Female NPT"/>
        <s v="CGA-320 to 1/4&quot; NPT adapter with nut."/>
        <s v="Handheld MKII in box with 5ft hose"/>
        <s v="CO2 Hose (8FT, daisy chain) (Included)"/>
        <s v="CO2 Hose (50FT Upgrade Fee)"/>
        <s v="CO2 Hose (100FT Upgrade Fee)"/>
        <s v="ShoMaster Console"/>
        <s v="25FT CO2 Hose - 3/8&quot; NPT Male Swivel x JIC #6 female (install Female JIC adapter on NPT end)"/>
        <s v="5FT CO2 Hose (CGA-320 x Female JIC 3/8&quot;) For use with Manifold"/>
        <s v="Customer stated jet was leaking. Verified contamination in valve, replaced valve seal. Tested after repair, functioning properly."/>
        <s v="PCB with encoder attached"/>
        <s v="White Internal Housing for PCB Mounting w/ laser cut hole for PCB header"/>
        <s v="CGA-320 to JIC adapter with nut."/>
        <s v="2FT CO2 Hose - Female JIC #6 x Female JIC #6"/>
        <s v="Hose Adapters - #2 – Hose Extension Adapter"/>
        <s v="Key Switch with Wires and JST Connector for The Button"/>
        <s v="Large 2 Position Key switch with TE connector"/>
        <s v="Used for installing / removing small key switch"/>
      </sharedItems>
    </cacheField>
    <cacheField name="Order Quantity" numFmtId="0">
      <sharedItems containsSemiMixedTypes="0" containsNonDate="0" containsString="0" containsNumber="1" containsInteger="1" minValue="1" maxValue="27" count="15">
        <n v="1"/>
        <n v="2"/>
        <n v="6"/>
        <n v="10"/>
        <n v="25"/>
        <n v="4"/>
        <n v="12"/>
        <n v="16"/>
        <n v="3"/>
        <n v="5"/>
        <n v="18"/>
        <n v="8"/>
        <n v="7"/>
        <n v="20"/>
        <n v="27"/>
      </sharedItems>
    </cacheField>
    <cacheField name="Unit Price" numFmtId="0">
      <sharedItems containsSemiMixedTypes="0" containsNonDate="0" containsString="0" containsNumber="1" minValue="-119.996" maxValue="3199.99" count="78">
        <n v="849.99"/>
        <n v="175"/>
        <n v="29.99"/>
        <n v="0"/>
        <n v="59.99"/>
        <n v="49.99"/>
        <n v="9.99"/>
        <n v="7.49"/>
        <n v="1.99"/>
        <n v="8.49"/>
        <n v="399.99"/>
        <n v="549.99"/>
        <n v="-119.996"/>
        <n v="8.99"/>
        <n v="119.99"/>
        <n v="199.99"/>
        <n v="349.99"/>
        <n v="869.99"/>
        <n v="50"/>
        <n v="1199.99"/>
        <n v="359.991"/>
        <n v="22.4925"/>
        <n v="18.7425"/>
        <n v="15"/>
        <n v="374.9925"/>
        <n v="19.4935"/>
        <n v="899.9924999999999"/>
        <n v="40"/>
        <n v="324.99"/>
        <n v="19.99"/>
        <n v="25"/>
        <n v="599.99"/>
        <n v="89.99250000000001"/>
        <n v="6.7425"/>
        <n v="5.6175"/>
        <n v="249.99"/>
        <n v="56.625"/>
        <n v="111.375"/>
        <n v="203.8125"/>
        <n v="299.92"/>
        <n v="974.9924999999999"/>
        <n v="131.25"/>
        <n v="37.5"/>
        <n v="149.9925"/>
        <n v="100"/>
        <n v="112.4925"/>
        <n v="39.25"/>
        <n v="1149.99"/>
        <n v="17"/>
        <n v="900"/>
        <n v="291.15"/>
        <n v="499.99"/>
        <n v="149.99"/>
        <n v="179.99"/>
        <n v="64.98999999999999"/>
        <n v="69.98999999999999"/>
        <n v="262.4925"/>
        <n v="20"/>
        <n v="187.4925"/>
        <n v="82.49250000000001"/>
        <n v="909.99"/>
        <n v="425"/>
        <n v="48.02"/>
        <n v="3199.99"/>
        <n v="44.9925"/>
        <n v="75"/>
        <n v="37.4925"/>
        <n v="125"/>
        <n v="89.98999999999999"/>
        <n v="74.98999999999999"/>
        <n v="22.99"/>
        <n v="8.5"/>
        <n v="1299.99"/>
        <n v="109.99"/>
        <n v="99.98999999999999"/>
        <n v="14.99"/>
        <n v="299.9925"/>
        <n v="115"/>
      </sharedItems>
    </cacheField>
    <cacheField name="Total Line Item $" numFmtId="0">
      <sharedItems containsSemiMixedTypes="0" containsNonDate="0" containsString="0" containsNumber="1" minValue="-119.996" maxValue="16200" count="112">
        <n v="849.99"/>
        <n v="175"/>
        <n v="59.98"/>
        <n v="0"/>
        <n v="59.99"/>
        <n v="49.99"/>
        <n v="19.98"/>
        <n v="7.49"/>
        <n v="11.94"/>
        <n v="9.99"/>
        <n v="84.90000000000001"/>
        <n v="799.98"/>
        <n v="549.99"/>
        <n v="-119.996"/>
        <n v="8.99"/>
        <n v="479.96"/>
        <n v="35.96"/>
        <n v="199.99"/>
        <n v="119.99"/>
        <n v="349.99"/>
        <n v="10439.88"/>
        <n v="600"/>
        <n v="1199.99"/>
        <n v="399.99"/>
        <n v="359.991"/>
        <n v="359.88"/>
        <n v="299.88"/>
        <n v="15"/>
        <n v="1499.97"/>
        <n v="77.974"/>
        <n v="899.9924999999999"/>
        <n v="40"/>
        <n v="119.96"/>
        <n v="324.99"/>
        <n v="39.98"/>
        <n v="25"/>
        <n v="29.99"/>
        <n v="99.98"/>
        <n v="1199.98"/>
        <n v="1099.98"/>
        <n v="599.99"/>
        <n v="3.98"/>
        <n v="539.955"/>
        <n v="40.455"/>
        <n v="5.6175"/>
        <n v="20.2275"/>
        <n v="249.99"/>
        <n v="119.98"/>
        <n v="17.98"/>
        <n v="566.25"/>
        <n v="1113.75"/>
        <n v="1019.0625"/>
        <n v="299.92"/>
        <n v="3899.97"/>
        <n v="262.5"/>
        <n v="75"/>
        <n v="149.9925"/>
        <n v="100"/>
        <n v="449.97"/>
        <n v="39.25"/>
        <n v="699.98"/>
        <n v="2299.98"/>
        <n v="17"/>
        <n v="16200"/>
        <n v="291.15"/>
        <n v="14.98"/>
        <n v="399.98"/>
        <n v="999.98"/>
        <n v="149.99"/>
        <n v="179.99"/>
        <n v="129.98"/>
        <n v="139.98"/>
        <n v="19.99"/>
        <n v="39.96"/>
        <n v="262.4925"/>
        <n v="20"/>
        <n v="6824.9475"/>
        <n v="749.97"/>
        <n v="1799.85"/>
        <n v="82.49250000000001"/>
        <n v="909.99"/>
        <n v="5099.94"/>
        <n v="700"/>
        <n v="850"/>
        <n v="48.02"/>
        <n v="3199.99"/>
        <n v="2399.98"/>
        <n v="599.9"/>
        <n v="499.99"/>
        <n v="194.97"/>
        <n v="5400"/>
        <n v="269.955"/>
        <n v="149.97"/>
        <n v="750"/>
        <n v="539.9400000000001"/>
        <n v="359.98"/>
        <n v="279.96"/>
        <n v="299.96"/>
        <n v="1739.98"/>
        <n v="91.95999999999999"/>
        <n v="25.5"/>
        <n v="1299.99"/>
        <n v="109.99"/>
        <n v="259.96"/>
        <n v="99.98999999999999"/>
        <n v="869.99"/>
        <n v="14.99"/>
        <n v="959.84"/>
        <n v="10399.92"/>
        <n v="1499.9625"/>
        <n v="187.4625"/>
        <n v="11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1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90" createdVersion="7">
  <cacheSource type="worksheet">
    <worksheetSource ref="D2:F392" sheet="March 2023"/>
  </cacheSource>
  <cacheFields count="3">
    <cacheField name="Line Item Name" numFmtId="0">
      <sharedItems containsNonDate="0" count="74">
        <s v="CC-TB-35"/>
        <s v="CC-PROJ-5-110"/>
        <s v="CC-NPTC-06-STD"/>
        <s v="CC-F-COT"/>
        <s v="CC-AC-OP"/>
        <s v="CC-CH-25-STD"/>
        <s v="CC-AC-CLAMP"/>
        <s v="CC-SS-35"/>
        <s v="CC-WASH-10"/>
        <s v="CC-HCCMKII-15-TC"/>
        <s v="CC-AC-ROR"/>
        <s v="CC-CTC-20"/>
        <s v="CC-AC-CTAT-INT"/>
        <s v="CC-HCCMKII-08-TC"/>
        <s v="CC-HCCMKII-08-NC"/>
        <s v="CC-CH-35-STD"/>
        <s v="CC-CC2-110"/>
        <s v="10FT CO2 Hose - 1/4&quot; ID (JIC #6 x JIC #6)"/>
        <s v=" CC-AC-CGAJIC-SET"/>
        <s v="DMX Jet MKII Main PCB"/>
        <s v="CC-HCCMKII-15-NC"/>
        <s v="CC-AC-CCL"/>
        <s v="CC-CH-50-STD"/>
        <s v="CC-AC-RAA"/>
        <s v="CC-CH-08-DSY"/>
        <s v="CC-AC-4PM"/>
        <s v="CC-CH-02-MFD"/>
        <s v="CC-CH-15-EXT"/>
        <s v="Shipping Charges"/>
        <s v="CC-CH-03.5-MFD"/>
        <s v="CC-F-MFDCGAJIC"/>
        <s v="Repair"/>
        <s v="CC-CTC-50"/>
        <s v="CC-MJMKII-5-110"/>
        <s v="CC-CH-05-MFD"/>
        <s v="CC-CH-25-EXT"/>
        <s v="CC-WASH-01"/>
        <s v="CC-AC-SMK"/>
        <s v="CC-AC-CTAT"/>
        <s v="Shipping Fees"/>
        <s v="Custom 4 Channel Flame Relay"/>
        <s v="CC-AC-LGK"/>
        <s v="CC-F-MQCBSPPF"/>
        <s v="CC-AC-CTS"/>
        <s v="Club Cannon Device Programmer - IDC"/>
        <s v="CC-F-DCHA"/>
        <s v="CC-MJMKII-3-110"/>
        <s v="CC-CH-15-STD"/>
        <s v="CC-AC-PMA"/>
        <s v="CC-AC-ROR2"/>
        <s v="CC-QJ-5-110"/>
        <s v="CC-AC-OP-INT"/>
        <s v="CC-CH-05-DSY"/>
        <s v="CC-F-HEA"/>
        <s v="CC-CH-50-EXT"/>
        <s v="Load Handle 90mm"/>
        <s v="Warranty Service"/>
        <s v="CC-AC-BM-KIT"/>
        <s v="CC-AC-CGANPT-SET"/>
        <s v="CC-SM-5"/>
        <s v="REFUND CC-SM-5"/>
        <s v="CC-F-FQCNPTF"/>
        <s v="The Button Key Assembly - 1"/>
        <s v="Small Key Lock Tool"/>
        <s v="CC-CC2-220"/>
        <s v="10FT CO2 Hose - JIC  x JIC"/>
        <s v="50FT CO2 Hose - 3/8&quot; NPT Male Swivel x JIC"/>
        <s v="5FT CO2 Hose - JIC  x JIC"/>
        <s v="Tax: CA Tax (8.75%)"/>
        <s v="CC-F-MQCNPTM"/>
        <s v="CC-CH-05-STD"/>
        <s v="CC-CH-XX-STD"/>
        <s v="CC-CH-08-STD"/>
        <s v="CC-CC-110"/>
      </sharedItems>
    </cacheField>
    <cacheField name="Line Item Description" numFmtId="0">
      <sharedItems containsNonDate="0" containsBlank="1" count="83">
        <s v="The Button - with both 3 &amp; 5 pin DMX ports"/>
        <s v="Pro Jet"/>
        <s v="Neutrik PowerCON True1 Cords - 6FT, Standard"/>
        <s v="Hose Adapters - #3 – CO2 Output Terminator"/>
        <s v="CO2 Tank Tool + Washers - Yes - add tool and washers +$15.00"/>
        <s v="Product CO2 Hose - 25 foot hose - $50.00"/>
        <s v="Truss Clamp"/>
        <s v="ShoStarter DMX Controller with 3 &amp; 5 Pin Connectors in Box"/>
        <s v="CO2 Washers"/>
        <s v="Handheld MKII in travel case with 15ft hose"/>
        <s v="Replacement O-Ring"/>
        <s v="CO2 Tank Covers - 20lb Cover"/>
        <s v="CO2 Wrench International"/>
        <s v="Handheld MKII in travel case with 8ft hose"/>
        <s v="Handheld CO2 Cannon MKII"/>
        <s v="CO2 Hose"/>
        <s v="CO2 Hose - WARRANTY REPLACEMENT"/>
        <s v="Cryo Clamp II, Weatherproof CO2 Jet (Custom convert to 12v, JIC input, leave wire as pigtail)"/>
        <s v="Liquid CO2 Hose"/>
        <s v="CGA-320 to JIC adapter with nut."/>
        <s v="CO2 Tank Tool + Washers"/>
        <s v="Also used for DMX Confetti Blower"/>
        <s v="CO2 Cylinder Link"/>
        <s v="Right Angle Adapter"/>
        <s v="4 Port Co2 Manifold - 4x JIC 3/8&quot; Inlets, 1x JIC 3/8&quot; Outlet with Truss Bracket"/>
        <s v="2FT CO2 Hose (CGA-320 x Female JIC 3/8&quot;) For use with Manifold"/>
        <m/>
        <s v="3 1/2FT CO2 Hose (CGA-320 x Female JIC 3/8&quot;) For use with Manifold"/>
        <s v="Adapter for use with Manifold - to attach standard CGA-320 hose configuration"/>
        <s v="Customer stated valve was stuck open. Technician verified a broken filter inside valve. Replace &amp; test, functioning normally after repair."/>
        <s v="CO2 Tank Covers - 50lb Cover"/>
        <s v="Micro CO2 Jet MKII"/>
        <s v="5FT CO2 Hose (CGA-320 x Female JIC 3/8&quot;) For use with Manifold"/>
        <s v="Single CO2 Washer"/>
        <s v="Replacement Keys - The Button"/>
        <s v="Co2 Tank Attachment Tool"/>
        <s v="E-Stop, Manual Button, True1 in/out, 4x True1 outputs, 5 pin DMX in/out, laser engraving, wiring &amp; assembly."/>
        <s v="Replacement Keys - Shomaster"/>
        <s v="3/8&quot; MQC Quick Connect Fitting"/>
        <s v="CO2 Tank Splitter"/>
        <s v="Used for uploading bootloader onto Club Cannon products"/>
        <s v="#5 - Daisy Chain Adapter"/>
        <s v="CO2 Hose, 15FT (Included)"/>
        <s v="Co2 Tank Attachment Tool (Included)"/>
        <s v="CO2 Washers (10 pack, included)"/>
        <s v="1/4&quot; TS Power mode Adapter"/>
        <s v="Replacement O-Ring - 2023 Quick Connects. EPDM"/>
        <s v="Quad Jet 110v with 5 Pin DMX (B-STOCK)"/>
        <s v="International order pack in bag with CO2 Tool, Quick Start Guide and Pack of washers"/>
        <s v="Hose Adapters - #2 – Hose Extension Adapter"/>
        <s v="Club Cannon Lift Handle"/>
        <s v="DMX cable came disconnected from main PCB. Replace &amp; verify functioning as designed. Unit performs as expected. Load handle broken during transport, replaced as courtesy. "/>
        <s v="Cryo Clamp II, 110v, Weatherproof CO2 Jet (JIC Inputs)"/>
        <s v="Ball Mount Assembly for Cryo Clamp with 4x 10-32 x 3/8&quot; socket head screws"/>
        <s v="Pro Jet, 5 Pin, 110v"/>
        <s v="ShoMaster Console"/>
        <s v="CO2 Hose, 15FT (Standard Configuration, Included)"/>
        <s v="CO2 Hose, 50FT (Standard Configuration, Upgrade fee)"/>
        <s v="Hose Adapters - #3 – CO2 Output Terminator (Included)"/>
        <s v="Neutrik PowerCON True1 Cords - 6FT, Standard (Included)"/>
        <s v="CO2 Hose 8FT (daisy chain configuration)"/>
        <s v="ShoMaster Console "/>
        <s v="ShoMaster Console - Warranty Replacement"/>
        <s v="Hose Adapters - #4 – Female Quick Connect (3/8″ NPT Female)"/>
        <s v="Key Switch with Wires and JST Connector for The Button"/>
        <s v="Used for installing / removing small key switch"/>
        <s v="Cryo Clamp II, 220v, Weatherproof CO2 Jet"/>
        <s v="CO2 Hose (15FT, standard configuration)(Included with Micro Jets)"/>
        <s v="Used for uploading bootloader onto ShoStarter (from 1st order)"/>
        <s v="CO2 Hose, 15FT (tank to product) (Included)"/>
        <s v="CO2 Hose, 25FT (tank to product)"/>
        <s v="10FT CO2 Hose - JIC  x JIC"/>
        <s v="50FT CO2 Hose - Install JIC adaptor on NPT threads so both ends are JIC #6 female"/>
        <s v="5FT CO2 Hose - JIC  x JIC"/>
        <s v="CO2 Washers (10 pack)"/>
        <s v="Hose Adapters - #1 – Male Quick Connect (3/8″ NPT Male)"/>
        <s v="Co2 Hose Custom Length Standard (100FT, upgrade from included 15' hoses)"/>
        <s v="Cryo Clamp II, 110v - Weatherproof CO2 Jet"/>
        <s v="Truss Clamp (Included)"/>
        <s v="Co2 Tank Attachment Tool (Complimentary)"/>
        <s v="Cryo Clamp II, 110v, Weatherproof CO2 Jet"/>
        <s v="Cryo Clamp - 110 Volt (Male JIC Inlet, Female JIC Outlet. Barrel with right angle fitting, No Hose)"/>
        <s v="25 foot hose, CGA-320 x Female JIC"/>
      </sharedItems>
    </cacheField>
    <cacheField name="Order Quantity" numFmtId="0">
      <sharedItems containsSemiMixedTypes="0" containsNonDate="0" containsString="0" containsNumber="1" containsInteger="1" minValue="1" maxValue="300" count="16">
        <n v="1"/>
        <n v="4"/>
        <n v="10"/>
        <n v="3"/>
        <n v="2"/>
        <n v="6"/>
        <n v="5"/>
        <n v="12"/>
        <n v="150"/>
        <n v="20"/>
        <n v="8"/>
        <n v="18"/>
        <n v="300"/>
        <n v="37"/>
        <n v="7"/>
        <n v="3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2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90" createdVersion="7">
  <cacheSource type="worksheet">
    <worksheetSource ref="D2:H392" sheet="March 2023"/>
  </cacheSource>
  <cacheFields count="5">
    <cacheField name="Line Item Name" numFmtId="0">
      <sharedItems containsNonDate="0" count="74">
        <s v="CC-TB-35"/>
        <s v="CC-PROJ-5-110"/>
        <s v="CC-NPTC-06-STD"/>
        <s v="CC-F-COT"/>
        <s v="CC-AC-OP"/>
        <s v="CC-CH-25-STD"/>
        <s v="CC-AC-CLAMP"/>
        <s v="CC-SS-35"/>
        <s v="CC-WASH-10"/>
        <s v="CC-HCCMKII-15-TC"/>
        <s v="CC-AC-ROR"/>
        <s v="CC-CTC-20"/>
        <s v="CC-AC-CTAT-INT"/>
        <s v="CC-HCCMKII-08-TC"/>
        <s v="CC-HCCMKII-08-NC"/>
        <s v="CC-CH-35-STD"/>
        <s v="CC-CC2-110"/>
        <s v="10FT CO2 Hose - 1/4&quot; ID (JIC #6 x JIC #6)"/>
        <s v=" CC-AC-CGAJIC-SET"/>
        <s v="DMX Jet MKII Main PCB"/>
        <s v="CC-HCCMKII-15-NC"/>
        <s v="CC-AC-CCL"/>
        <s v="CC-CH-50-STD"/>
        <s v="CC-AC-RAA"/>
        <s v="CC-CH-08-DSY"/>
        <s v="CC-AC-4PM"/>
        <s v="CC-CH-02-MFD"/>
        <s v="CC-CH-15-EXT"/>
        <s v="Shipping Charges"/>
        <s v="CC-CH-03.5-MFD"/>
        <s v="CC-F-MFDCGAJIC"/>
        <s v="Repair"/>
        <s v="CC-CTC-50"/>
        <s v="CC-MJMKII-5-110"/>
        <s v="CC-CH-05-MFD"/>
        <s v="CC-CH-25-EXT"/>
        <s v="CC-WASH-01"/>
        <s v="CC-AC-SMK"/>
        <s v="CC-AC-CTAT"/>
        <s v="Shipping Fees"/>
        <s v="Custom 4 Channel Flame Relay"/>
        <s v="CC-AC-LGK"/>
        <s v="CC-F-MQCBSPPF"/>
        <s v="CC-AC-CTS"/>
        <s v="Club Cannon Device Programmer - IDC"/>
        <s v="CC-F-DCHA"/>
        <s v="CC-MJMKII-3-110"/>
        <s v="CC-CH-15-STD"/>
        <s v="CC-AC-PMA"/>
        <s v="CC-AC-ROR2"/>
        <s v="CC-QJ-5-110"/>
        <s v="CC-AC-OP-INT"/>
        <s v="CC-CH-05-DSY"/>
        <s v="CC-F-HEA"/>
        <s v="CC-CH-50-EXT"/>
        <s v="Load Handle 90mm"/>
        <s v="Warranty Service"/>
        <s v="CC-AC-BM-KIT"/>
        <s v="CC-AC-CGANPT-SET"/>
        <s v="CC-SM-5"/>
        <s v="REFUND CC-SM-5"/>
        <s v="CC-F-FQCNPTF"/>
        <s v="The Button Key Assembly - 1"/>
        <s v="Small Key Lock Tool"/>
        <s v="CC-CC2-220"/>
        <s v="10FT CO2 Hose - JIC  x JIC"/>
        <s v="50FT CO2 Hose - 3/8&quot; NPT Male Swivel x JIC"/>
        <s v="5FT CO2 Hose - JIC  x JIC"/>
        <s v="Tax: CA Tax (8.75%)"/>
        <s v="CC-F-MQCNPTM"/>
        <s v="CC-CH-05-STD"/>
        <s v="CC-CH-XX-STD"/>
        <s v="CC-CH-08-STD"/>
        <s v="CC-CC-110"/>
      </sharedItems>
    </cacheField>
    <cacheField name="Line Item Description" numFmtId="0">
      <sharedItems containsNonDate="0" containsBlank="1" count="83">
        <s v="The Button - with both 3 &amp; 5 pin DMX ports"/>
        <s v="Pro Jet"/>
        <s v="Neutrik PowerCON True1 Cords - 6FT, Standard"/>
        <s v="Hose Adapters - #3 – CO2 Output Terminator"/>
        <s v="CO2 Tank Tool + Washers - Yes - add tool and washers +$15.00"/>
        <s v="Product CO2 Hose - 25 foot hose - $50.00"/>
        <s v="Truss Clamp"/>
        <s v="ShoStarter DMX Controller with 3 &amp; 5 Pin Connectors in Box"/>
        <s v="CO2 Washers"/>
        <s v="Handheld MKII in travel case with 15ft hose"/>
        <s v="Replacement O-Ring"/>
        <s v="CO2 Tank Covers - 20lb Cover"/>
        <s v="CO2 Wrench International"/>
        <s v="Handheld MKII in travel case with 8ft hose"/>
        <s v="Handheld CO2 Cannon MKII"/>
        <s v="CO2 Hose"/>
        <s v="CO2 Hose - WARRANTY REPLACEMENT"/>
        <s v="Cryo Clamp II, Weatherproof CO2 Jet (Custom convert to 12v, JIC input, leave wire as pigtail)"/>
        <s v="Liquid CO2 Hose"/>
        <s v="CGA-320 to JIC adapter with nut."/>
        <s v="CO2 Tank Tool + Washers"/>
        <s v="Also used for DMX Confetti Blower"/>
        <s v="CO2 Cylinder Link"/>
        <s v="Right Angle Adapter"/>
        <s v="4 Port Co2 Manifold - 4x JIC 3/8&quot; Inlets, 1x JIC 3/8&quot; Outlet with Truss Bracket"/>
        <s v="2FT CO2 Hose (CGA-320 x Female JIC 3/8&quot;) For use with Manifold"/>
        <m/>
        <s v="3 1/2FT CO2 Hose (CGA-320 x Female JIC 3/8&quot;) For use with Manifold"/>
        <s v="Adapter for use with Manifold - to attach standard CGA-320 hose configuration"/>
        <s v="Customer stated valve was stuck open. Technician verified a broken filter inside valve. Replace &amp; test, functioning normally after repair."/>
        <s v="CO2 Tank Covers - 50lb Cover"/>
        <s v="Micro CO2 Jet MKII"/>
        <s v="5FT CO2 Hose (CGA-320 x Female JIC 3/8&quot;) For use with Manifold"/>
        <s v="Single CO2 Washer"/>
        <s v="Replacement Keys - The Button"/>
        <s v="Co2 Tank Attachment Tool"/>
        <s v="E-Stop, Manual Button, True1 in/out, 4x True1 outputs, 5 pin DMX in/out, laser engraving, wiring &amp; assembly."/>
        <s v="Replacement Keys - Shomaster"/>
        <s v="3/8&quot; MQC Quick Connect Fitting"/>
        <s v="CO2 Tank Splitter"/>
        <s v="Used for uploading bootloader onto Club Cannon products"/>
        <s v="#5 - Daisy Chain Adapter"/>
        <s v="CO2 Hose, 15FT (Included)"/>
        <s v="Co2 Tank Attachment Tool (Included)"/>
        <s v="CO2 Washers (10 pack, included)"/>
        <s v="1/4&quot; TS Power mode Adapter"/>
        <s v="Replacement O-Ring - 2023 Quick Connects. EPDM"/>
        <s v="Quad Jet 110v with 5 Pin DMX (B-STOCK)"/>
        <s v="International order pack in bag with CO2 Tool, Quick Start Guide and Pack of washers"/>
        <s v="Hose Adapters - #2 – Hose Extension Adapter"/>
        <s v="Club Cannon Lift Handle"/>
        <s v="DMX cable came disconnected from main PCB. Replace &amp; verify functioning as designed. Unit performs as expected. Load handle broken during transport, replaced as courtesy. "/>
        <s v="Cryo Clamp II, 110v, Weatherproof CO2 Jet (JIC Inputs)"/>
        <s v="Ball Mount Assembly for Cryo Clamp with 4x 10-32 x 3/8&quot; socket head screws"/>
        <s v="Pro Jet, 5 Pin, 110v"/>
        <s v="ShoMaster Console"/>
        <s v="CO2 Hose, 15FT (Standard Configuration, Included)"/>
        <s v="CO2 Hose, 50FT (Standard Configuration, Upgrade fee)"/>
        <s v="Hose Adapters - #3 – CO2 Output Terminator (Included)"/>
        <s v="Neutrik PowerCON True1 Cords - 6FT, Standard (Included)"/>
        <s v="CO2 Hose 8FT (daisy chain configuration)"/>
        <s v="ShoMaster Console "/>
        <s v="ShoMaster Console - Warranty Replacement"/>
        <s v="Hose Adapters - #4 – Female Quick Connect (3/8″ NPT Female)"/>
        <s v="Key Switch with Wires and JST Connector for The Button"/>
        <s v="Used for installing / removing small key switch"/>
        <s v="Cryo Clamp II, 220v, Weatherproof CO2 Jet"/>
        <s v="CO2 Hose (15FT, standard configuration)(Included with Micro Jets)"/>
        <s v="Used for uploading bootloader onto ShoStarter (from 1st order)"/>
        <s v="CO2 Hose, 15FT (tank to product) (Included)"/>
        <s v="CO2 Hose, 25FT (tank to product)"/>
        <s v="10FT CO2 Hose - JIC  x JIC"/>
        <s v="50FT CO2 Hose - Install JIC adaptor on NPT threads so both ends are JIC #6 female"/>
        <s v="5FT CO2 Hose - JIC  x JIC"/>
        <s v="CO2 Washers (10 pack)"/>
        <s v="Hose Adapters - #1 – Male Quick Connect (3/8″ NPT Male)"/>
        <s v="Co2 Hose Custom Length Standard (100FT, upgrade from included 15' hoses)"/>
        <s v="Cryo Clamp II, 110v - Weatherproof CO2 Jet"/>
        <s v="Truss Clamp (Included)"/>
        <s v="Co2 Tank Attachment Tool (Complimentary)"/>
        <s v="Cryo Clamp II, 110v, Weatherproof CO2 Jet"/>
        <s v="Cryo Clamp - 110 Volt (Male JIC Inlet, Female JIC Outlet. Barrel with right angle fitting, No Hose)"/>
        <s v="25 foot hose, CGA-320 x Female JIC"/>
      </sharedItems>
    </cacheField>
    <cacheField name="Order Quantity" numFmtId="0">
      <sharedItems containsSemiMixedTypes="0" containsNonDate="0" containsString="0" containsNumber="1" containsInteger="1" minValue="1" maxValue="300" count="16">
        <n v="1"/>
        <n v="4"/>
        <n v="10"/>
        <n v="3"/>
        <n v="2"/>
        <n v="6"/>
        <n v="5"/>
        <n v="12"/>
        <n v="150"/>
        <n v="20"/>
        <n v="8"/>
        <n v="18"/>
        <n v="300"/>
        <n v="37"/>
        <n v="7"/>
        <n v="30"/>
      </sharedItems>
    </cacheField>
    <cacheField name="Unit Price" numFmtId="0">
      <sharedItems containsSemiMixedTypes="0" containsNonDate="0" containsString="0" containsNumber="1" minValue="0" maxValue="3199.99" count="85">
        <n v="399.99"/>
        <n v="1299.99"/>
        <n v="0"/>
        <n v="50"/>
        <n v="29.99"/>
        <n v="1199.99"/>
        <n v="9.99"/>
        <n v="599.99"/>
        <n v="1.99"/>
        <n v="49.99"/>
        <n v="524.99"/>
        <n v="349.99"/>
        <n v="249.99"/>
        <n v="499.99"/>
        <n v="99.98999999999999"/>
        <n v="324.99"/>
        <n v="1279.99"/>
        <n v="119.99"/>
        <n v="299.99"/>
        <n v="8.99"/>
        <n v="149.99"/>
        <n v="179.99"/>
        <n v="64.98999999999999"/>
        <n v="22.4925"/>
        <n v="28.78"/>
        <n v="69.98999999999999"/>
        <n v="19.99"/>
        <n v="549.99"/>
        <n v="89.99250000000001"/>
        <n v="69.70999999999999"/>
        <n v="20"/>
        <n v="59.99"/>
        <n v="652.4924999999999"/>
        <n v="299.9925"/>
        <n v="134.9925"/>
        <n v="56.2425"/>
        <n v="224.9925"/>
        <n v="149.9925"/>
        <n v="5.6175"/>
        <n v="7.4925"/>
        <n v="200"/>
        <n v="917"/>
        <n v="25"/>
        <n v="74.98999999999999"/>
        <n v="359.991"/>
        <n v="38.11"/>
        <n v="68.5"/>
        <n v="8.49"/>
        <n v="7.49"/>
        <n v="574.99"/>
        <n v="849.99"/>
        <n v="142.86"/>
        <n v="123.9"/>
        <n v="974.99"/>
        <n v="1874.9925"/>
        <n v="199.99"/>
        <n v="22.99"/>
        <n v="100"/>
        <n v="15"/>
        <n v="374.9925"/>
        <n v="314.991"/>
        <n v="175"/>
        <n v="3199.99"/>
        <n v="109.99"/>
        <n v="24.99"/>
        <n v="2499.99"/>
        <n v="637.4924999999999"/>
        <n v="17.2425"/>
        <n v="37.4925"/>
        <n v="1.4925"/>
        <n v="449.9925"/>
        <n v="125"/>
        <n v="412.4925"/>
        <n v="45"/>
        <n v="974.9924999999999"/>
        <n v="6.3675"/>
        <n v="187.4925"/>
        <n v="56.25"/>
        <n v="74.99250000000001"/>
        <n v="150"/>
        <n v="94.98999999999999"/>
        <n v="163.18"/>
        <n v="14.99"/>
        <n v="425"/>
        <n v="329.994"/>
      </sharedItems>
    </cacheField>
    <cacheField name="Total Line Item $" numFmtId="0">
      <sharedItems containsSemiMixedTypes="0" containsNonDate="0" containsString="0" containsNumber="1" minValue="0" maxValue="7829.91" count="138">
        <n v="399.99"/>
        <n v="5199.96"/>
        <n v="0"/>
        <n v="200"/>
        <n v="119.96"/>
        <n v="1199.99"/>
        <n v="9.99"/>
        <n v="599.99"/>
        <n v="19.9"/>
        <n v="29.97"/>
        <n v="99.98"/>
        <n v="59.94"/>
        <n v="49.99"/>
        <n v="524.99"/>
        <n v="349.99"/>
        <n v="249.99"/>
        <n v="999.98"/>
        <n v="199.98"/>
        <n v="799.98"/>
        <n v="324.99"/>
        <n v="7679.94"/>
        <n v="599.95"/>
        <n v="1199.96"/>
        <n v="199.96"/>
        <n v="53.94"/>
        <n v="299.98"/>
        <n v="2599.98"/>
        <n v="100"/>
        <n v="59.98"/>
        <n v="179.99"/>
        <n v="64.98999999999999"/>
        <n v="239.98"/>
        <n v="19.98"/>
        <n v="479.96"/>
        <n v="39.96"/>
        <n v="22.4925"/>
        <n v="28.78"/>
        <n v="359.98"/>
        <n v="279.96"/>
        <n v="79.95999999999999"/>
        <n v="549.99"/>
        <n v="899.925"/>
        <n v="69.70999999999999"/>
        <n v="120"/>
        <n v="1649.97"/>
        <n v="359.94"/>
        <n v="7829.91"/>
        <n v="899.9775"/>
        <n v="809.955"/>
        <n v="674.91"/>
        <n v="2699.91"/>
        <n v="899.955"/>
        <n v="16.8525"/>
        <n v="89.91"/>
        <n v="1834"/>
        <n v="25"/>
        <n v="299.96"/>
        <n v="359.991"/>
        <n v="38.11"/>
        <n v="599.985"/>
        <n v="68.5"/>
        <n v="299.94"/>
        <n v="9.949999999999999"/>
        <n v="29.99"/>
        <n v="39.8"/>
        <n v="84.90000000000001"/>
        <n v="59.99"/>
        <n v="7.49"/>
        <n v="119.98"/>
        <n v="574.99"/>
        <n v="3399.96"/>
        <n v="142.86"/>
        <n v="123.9"/>
        <n v="2924.97"/>
        <n v="1874.9925"/>
        <n v="199.99"/>
        <n v="275.88"/>
        <n v="699.98"/>
        <n v="149.99"/>
        <n v="599.98"/>
        <n v="30"/>
        <n v="199.9"/>
        <n v="1499.97"/>
        <n v="119.99"/>
        <n v="22.99"/>
        <n v="314.991"/>
        <n v="849.99"/>
        <n v="175"/>
        <n v="3199.99"/>
        <n v="350"/>
        <n v="329.97"/>
        <n v="39.98"/>
        <n v="1199.9"/>
        <n v="24.99"/>
        <n v="44.95"/>
        <n v="149.97"/>
        <n v="1999.96"/>
        <n v="2499.99"/>
        <n v="2549.97"/>
        <n v="539.97"/>
        <n v="719.9400000000001"/>
        <n v="206.91"/>
        <n v="674.865"/>
        <n v="447.75"/>
        <n v="899.985"/>
        <n v="134.955"/>
        <n v="449.91"/>
        <n v="125"/>
        <n v="824.985"/>
        <n v="45"/>
        <n v="1199.98"/>
        <n v="3899.97"/>
        <n v="359.97"/>
        <n v="599.97"/>
        <n v="63.675"/>
        <n v="1949.985"/>
        <n v="44.985"/>
        <n v="374.985"/>
        <n v="89.97"/>
        <n v="112.5"/>
        <n v="149.985"/>
        <n v="150"/>
        <n v="664.9299999999999"/>
        <n v="163.18"/>
        <n v="89.94"/>
        <n v="49.98"/>
        <n v="1699.98"/>
        <n v="99.98999999999999"/>
        <n v="850"/>
        <n v="15.92"/>
        <n v="2999.94"/>
        <n v="1199.94"/>
        <n v="1799.94"/>
        <n v="119.94"/>
        <n v="109.99"/>
        <n v="15"/>
        <n v="659.9880000000001"/>
        <n v="3750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3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6" createdVersion="7">
  <cacheSource type="worksheet">
    <worksheetSource ref="A2:H388" sheet="February 2023"/>
  </cacheSource>
  <cacheFields count="8">
    <cacheField name="Sales Order" numFmtId="0">
      <sharedItems containsNonDate="0" count="154">
        <s v="2624"/>
        <s v="2623"/>
        <s v="2622"/>
        <s v="2620"/>
        <s v="2619"/>
        <s v="2618"/>
        <s v="2625"/>
        <s v="2617"/>
        <s v="2616"/>
        <s v="2615"/>
        <s v="2614"/>
        <s v="2612"/>
        <s v="2611"/>
        <s v="2610"/>
        <s v="2609"/>
        <s v="2608"/>
        <s v="2607"/>
        <s v="2605"/>
        <s v="2606"/>
        <s v="2604"/>
        <s v="2603"/>
        <s v="2602"/>
        <s v="2601"/>
        <s v="2600"/>
        <s v="2599"/>
        <s v="2598"/>
        <s v="2596"/>
        <s v="2594"/>
        <s v="2592"/>
        <s v="2595"/>
        <s v="2593"/>
        <s v="2597"/>
        <s v="2589"/>
        <s v="2588"/>
        <s v="2587"/>
        <s v="2591"/>
        <s v="2590"/>
        <s v="2586"/>
        <s v="2585"/>
        <s v="2584"/>
        <s v="2583"/>
        <s v="2582"/>
        <s v="2581"/>
        <s v="2580"/>
        <s v="2579"/>
        <s v="2577"/>
        <s v="2576"/>
        <s v="2575"/>
        <s v="2574"/>
        <s v="2578"/>
        <s v="2573"/>
        <s v="2572"/>
        <s v="2571"/>
        <s v="2570"/>
        <s v="2569"/>
        <s v="2568"/>
        <s v="2567"/>
        <s v="2566"/>
        <s v="2565"/>
        <s v="2564"/>
        <s v="2563"/>
        <s v="2562"/>
        <s v="2561"/>
        <s v="2560"/>
        <s v="2559"/>
        <s v="2557"/>
        <s v="2556"/>
        <s v="2555"/>
        <s v="2554"/>
        <s v="2558"/>
        <s v="2552"/>
        <s v="2551"/>
        <s v="2553"/>
        <s v="2550"/>
        <s v="2549"/>
        <s v="2548"/>
        <s v="2547"/>
        <s v="2546"/>
        <s v="2545"/>
        <s v="2544"/>
        <s v="2543"/>
        <s v="2541"/>
        <s v="2537"/>
        <s v="2538"/>
        <s v="2539"/>
        <s v="2542"/>
        <s v="2540"/>
        <s v="2535"/>
        <s v="2534"/>
        <s v="2533"/>
        <s v="2532"/>
        <s v="2536"/>
        <s v="2530"/>
        <s v="2529"/>
        <s v="2528"/>
        <s v="2526"/>
        <s v="2525"/>
        <s v="2523"/>
        <s v="2522"/>
        <s v="2521"/>
        <s v="2531"/>
        <s v="2527"/>
        <s v="2524"/>
        <s v="2520"/>
        <s v="2519"/>
        <s v="2518"/>
        <s v="2517"/>
        <s v="2516"/>
        <s v="2505"/>
        <s v="2504"/>
        <s v="2503"/>
        <s v="2502"/>
        <s v="2510"/>
        <s v="2511"/>
        <s v="2514"/>
        <s v="2515"/>
        <s v="2513"/>
        <s v="2512"/>
        <s v="2501"/>
        <s v="2500"/>
        <s v="2499"/>
        <s v="2498"/>
        <s v="2497"/>
        <s v="2496"/>
        <s v="2495"/>
        <s v="2494"/>
        <s v="2493"/>
        <s v="2492"/>
        <s v="2491"/>
        <s v="2489"/>
        <s v="2488"/>
        <s v="2487"/>
        <s v="2486"/>
        <s v="2485"/>
        <s v="2484"/>
        <s v="2490"/>
        <s v="2482"/>
        <s v="2481"/>
        <s v="2480"/>
        <s v="2478"/>
        <s v="2477"/>
        <s v="2483"/>
        <s v="2475"/>
        <s v="2476"/>
        <s v="2471"/>
        <s v="2479"/>
        <s v="2474"/>
        <s v="2473"/>
        <s v="2472"/>
        <s v="2468"/>
        <s v="2467"/>
        <s v="2466"/>
        <s v="2469"/>
        <s v="2465"/>
      </sharedItems>
    </cacheField>
    <cacheField name="Customer" numFmtId="0">
      <sharedItems containsNonDate="0" count="127">
        <s v="Andrew Trego"/>
        <s v="Frank Costa"/>
        <s v="Fernando Luis Ramos"/>
        <s v="John Adam Morreale"/>
        <s v="Steve Allen"/>
        <s v="Braden Pettigrew"/>
        <s v="Icon Event Group"/>
        <s v="Pyro Spectaculars Industries, Inc. "/>
        <s v="James Sales"/>
        <s v="Jeff Jones"/>
        <s v="Michael Greer"/>
        <s v="Brett Henrichsen"/>
        <s v="Melissa Lopez"/>
        <s v="Emerson Wellens"/>
        <s v="Daniel Scott"/>
        <s v="don-michael BALSAMO"/>
        <s v="DJ Event Gear"/>
        <s v="Dios Vazquez"/>
        <s v="michael egan"/>
        <s v="jose ramos"/>
        <s v="Jason Garfinkel"/>
        <s v="Heather Fox"/>
        <s v="David Fox"/>
        <s v="donny balsamo"/>
        <s v="Roberto Vazquez"/>
        <s v="Jesus Javier Nuñez Piña"/>
        <s v="Zuleyka T"/>
        <s v="Gallo Verde"/>
        <s v="Image Engineering"/>
        <s v="Peter Diaz"/>
        <s v="Ronnie Shuman"/>
        <s v="Calvin Richardson"/>
        <s v="ER Productions"/>
        <s v="Jason Rutkowski"/>
        <s v="Joe Cooper"/>
        <s v="Taz Sellers"/>
        <s v="Shivam Patel"/>
        <s v="Jordan Lillis"/>
        <s v="CIXI CHONGSHOU YONLON E-COMMERCE FIRM"/>
        <s v="John Longoria"/>
        <s v="Travis Dillahunt"/>
        <s v="JORGE EDUARDO LACHIRA PEREZ"/>
        <s v="Aaron Afanador"/>
        <s v="Special FX Rentals"/>
        <s v="jean casas"/>
        <s v="Mario Allen"/>
        <s v="Ravinder singh"/>
        <s v="Laine Roland"/>
        <s v="Samuel Perez"/>
        <s v="Stefan Cuneo"/>
        <s v="Matt Spencer / SDCM"/>
        <s v="Alex Wang"/>
        <s v="James Tovar"/>
        <s v="Justin Adams-Pallais"/>
        <s v="Fady Shenouda"/>
        <s v="Pedro Alejos"/>
        <s v="Jose Luis Ayala"/>
        <s v="Matthew Hazelgrove"/>
        <s v="Laura Higgins"/>
        <s v="Mitch Fortune"/>
        <s v="Andy Jimenez"/>
        <s v="Al Lopez"/>
        <s v="JOSE ANTONIO MAR HERNANDEZ"/>
        <s v="Brown Note Productions"/>
        <s v="travis hellewell"/>
        <s v="Kimberly Feliberti"/>
        <s v="DLP Audio Designs, INC"/>
        <s v="Johnny Valdez / Adept Events"/>
        <s v="Juan Hernandez"/>
        <s v="Amy Shindorf"/>
        <s v="COREY YOUNG"/>
        <s v="michael Ruger"/>
        <s v="Jerod Arreguini"/>
        <s v="Humberto Tito"/>
        <s v="FFP FX"/>
        <s v="Joe Johnson"/>
        <s v="Shaun Joseph"/>
        <s v="MARCO DE VITA"/>
        <s v="Eric Terzyan"/>
        <s v="Andres De Casas"/>
        <s v="Christian Dill"/>
        <s v="Timothy DeSimone"/>
        <s v="Michael Gregorio"/>
        <s v="Scott Graham"/>
        <s v="Dipesh Patel"/>
        <s v="Mark Watts"/>
        <s v="V2 Productions"/>
        <s v="Elite Audio + Visual Elements"/>
        <s v="Todd Barras"/>
        <s v="Raymond Garlow"/>
        <s v="miguel hernandez"/>
        <s v="Gary Bauer"/>
        <s v="Jannica Valenzuela"/>
        <s v="RYAN ANTHONY"/>
        <s v="Will Kent"/>
        <s v="Juan Sanchez Sanchez"/>
        <s v="Image SFX"/>
        <s v="Steven Dobo"/>
        <s v="Pyrotek FX"/>
        <s v="Pyrofetti Efectos Especiales SA de CV"/>
        <s v="Chris Siddens / Event Special Effects"/>
        <s v="Eric Landman"/>
        <s v="Levon Hakobyan"/>
        <s v="Robert Brunet"/>
        <s v="Jose m ortiz"/>
        <s v="Corey Kruggel"/>
        <s v="Lee Brown"/>
        <s v="Dylan Verhoff"/>
        <s v="Erkan Ustabas"/>
        <s v="Corey Hansen"/>
        <s v="Trevor Worden"/>
        <s v="William Hodgson"/>
        <s v="Richard Chapman"/>
        <s v="Tyler Hoffman"/>
        <s v="David Belogolovsky"/>
        <s v="Alex Brown"/>
        <s v="Justin Jenkins"/>
        <s v="Jorge Ayala"/>
        <s v="Wonder Pham"/>
        <s v="Magic FX"/>
        <s v="David Bolter-Staub"/>
        <s v="The Tribe Utah"/>
        <s v="Wellington Pinheiro"/>
        <s v="Diana Perdue"/>
        <s v="Roger Hayes"/>
        <s v="Joe Chang"/>
        <s v="John Chimento"/>
      </sharedItems>
    </cacheField>
    <cacheField name="Ordered Date" numFmtId="0">
      <sharedItems containsSemiMixedTypes="0" containsNonDate="0" containsDate="1" containsString="0" minDate="2023-02-01T00:00:00" maxDate="2023-02-28T23:09:43" count="133">
        <d v="2023-02-28T23:09:43"/>
        <d v="2023-02-28T21:15:41"/>
        <d v="2023-02-28T21:06:49"/>
        <d v="2023-02-28T19:55:55"/>
        <d v="2023-02-28T18:43:22"/>
        <d v="2023-02-28T14:36:23"/>
        <d v="2023-02-28T00:00:00"/>
        <d v="2023-02-27T21:45:28"/>
        <d v="2023-02-27T20:58:01"/>
        <d v="2023-02-27T19:50:40"/>
        <d v="2023-02-27T18:38:03"/>
        <d v="2023-02-27T00:00:00"/>
        <d v="2023-02-26T06:48:41"/>
        <d v="2023-02-25T19:04:12"/>
        <d v="2023-02-25T03:38:37"/>
        <d v="2023-02-25T00:00:00"/>
        <d v="2023-02-24T21:18:36"/>
        <d v="2023-02-24T17:21:58"/>
        <d v="2023-02-24T09:48:02"/>
        <d v="2023-02-24T02:51:03"/>
        <d v="2023-02-23T21:35:16"/>
        <d v="2023-02-23T21:33:47"/>
        <d v="2023-02-23T21:13:42"/>
        <d v="2023-02-23T16:32:47"/>
        <d v="2023-02-23T15:57:48"/>
        <d v="2023-02-23T00:28:33"/>
        <d v="2023-02-23T00:00:00"/>
        <d v="2023-02-22T14:38:35"/>
        <d v="2023-02-22T05:58:01"/>
        <d v="2023-02-22T01:26:57"/>
        <d v="2023-02-22T00:00:00"/>
        <d v="2023-02-21T23:56:43"/>
        <d v="2023-02-21T22:53:18"/>
        <d v="2023-02-21T21:55:39"/>
        <d v="2023-02-21T18:58:23"/>
        <d v="2023-02-21T17:21:33"/>
        <d v="2023-02-21T16:21:55"/>
        <d v="2023-02-21T00:00:00"/>
        <d v="2023-02-20T19:34:09"/>
        <d v="2023-02-20T18:25:59"/>
        <d v="2023-02-20T18:09:28"/>
        <d v="2023-02-20T05:10:24"/>
        <d v="2023-02-20T00:14:24"/>
        <d v="2023-02-20T00:00:00"/>
        <d v="2023-02-19T23:02:29"/>
        <d v="2023-02-19T19:04:09"/>
        <d v="2023-02-18T22:13:30"/>
        <d v="2023-02-18T18:41:56"/>
        <d v="2023-02-18T02:41:10"/>
        <d v="2023-02-17T21:38:25"/>
        <d v="2023-02-17T21:26:54"/>
        <d v="2023-02-17T16:02:37"/>
        <d v="2023-02-17T15:47:10"/>
        <d v="2023-02-16T22:19:15"/>
        <d v="2023-02-16T15:50:57"/>
        <d v="2023-02-16T03:51:19"/>
        <d v="2023-02-15T23:50:48"/>
        <d v="2023-02-15T21:37:54"/>
        <d v="2023-02-15T20:35:59"/>
        <d v="2023-02-15T15:13:08"/>
        <d v="2023-02-15T14:40:16"/>
        <d v="2023-02-15T06:49:13"/>
        <d v="2023-02-15T00:22:46"/>
        <d v="2023-02-15T00:00:00"/>
        <d v="2023-02-14T23:03:38"/>
        <d v="2023-02-14T20:44:58"/>
        <d v="2023-02-14T00:00:00"/>
        <d v="2023-02-13T23:29:46"/>
        <d v="2023-02-13T19:56:48"/>
        <d v="2023-02-13T16:42:16"/>
        <d v="2023-02-13T03:56:50"/>
        <d v="2023-02-12T13:31:18"/>
        <d v="2023-02-12T00:14:27"/>
        <d v="2023-02-10T16:17:50"/>
        <d v="2023-02-10T05:29:00"/>
        <d v="2023-02-10T02:56:22"/>
        <d v="2023-02-10T00:00:00"/>
        <d v="2023-02-09T23:06:47"/>
        <d v="2023-02-09T21:33:58"/>
        <d v="2023-02-09T17:50:28"/>
        <d v="2023-02-09T00:00:00"/>
        <d v="2023-02-08T20:50:53"/>
        <d v="2023-02-08T18:22:13"/>
        <d v="2023-02-08T18:14:46"/>
        <d v="2023-02-08T18:01:29"/>
        <d v="2023-02-08T17:48:46"/>
        <d v="2023-02-08T15:05:06"/>
        <d v="2023-02-08T14:14:00"/>
        <d v="2023-02-08T06:21:05"/>
        <d v="2023-02-08T00:00:00"/>
        <d v="2023-02-07T21:44:31"/>
        <d v="2023-02-07T20:01:38"/>
        <d v="2023-02-07T19:47:00"/>
        <d v="2023-02-07T18:14:05"/>
        <d v="2023-02-07T17:13:37"/>
        <d v="2023-02-07T15:00:12"/>
        <d v="2023-02-07T02:38:22"/>
        <d v="2023-02-07T02:30:45"/>
        <d v="2023-02-07T02:29:47"/>
        <d v="2023-02-07T00:00:00"/>
        <d v="2023-02-06T23:54:03"/>
        <d v="2023-02-06T19:15:47"/>
        <d v="2023-02-06T16:21:22"/>
        <d v="2023-02-05T22:41:49"/>
        <d v="2023-02-05T22:19:55"/>
        <d v="2023-02-05T15:14:09"/>
        <d v="2023-02-05T00:00:00"/>
        <d v="2023-02-04T20:35:00"/>
        <d v="2023-02-04T20:10:41"/>
        <d v="2023-02-04T16:57:45"/>
        <d v="2023-02-04T01:27:08"/>
        <d v="2023-02-03T22:05:42"/>
        <d v="2023-02-03T21:45:48"/>
        <d v="2023-02-03T19:44:34"/>
        <d v="2023-02-03T19:25:39"/>
        <d v="2023-02-03T18:28:26"/>
        <d v="2023-02-03T17:36:51"/>
        <d v="2023-02-03T00:00:00"/>
        <d v="2023-02-02T15:45:33"/>
        <d v="2023-02-02T13:16:11"/>
        <d v="2023-02-02T10:13:16"/>
        <d v="2023-02-02T10:04:34"/>
        <d v="2023-02-02T07:51:11"/>
        <d v="2023-02-02T07:05:21"/>
        <d v="2023-02-02T00:00:00"/>
        <d v="2023-02-01T23:10:22"/>
        <d v="2023-02-01T21:57:22"/>
        <d v="2023-02-01T19:31:38"/>
        <d v="2023-02-01T12:59:08"/>
        <d v="2023-02-01T12:02:07"/>
        <d v="2023-02-01T12:01:20"/>
        <d v="2023-02-01T11:45:58"/>
        <d v="2023-02-01T00:00:00"/>
      </sharedItems>
      <fieldGroup base="2">
        <rangePr startDate="2023-02-01T00:00:00" endDate="2023-02-28T23:09:43" groupBy="days"/>
        <groupItems count="368">
          <s v="&lt;02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/28/2023"/>
        </groupItems>
      </fieldGroup>
    </cacheField>
    <cacheField name="Line Item Name" numFmtId="0">
      <sharedItems containsNonDate="0" count="83">
        <s v="CC-HCCMKII-08-TC"/>
        <s v="CC-HCCMKII-08-NC"/>
        <s v="CC-F-HEA"/>
        <s v="CC-F-MQCNPTM"/>
        <s v="CC-AC-ROR"/>
        <s v="CC-CTC-50"/>
        <s v="CC-AC-CCL"/>
        <s v="CC-WASH-10"/>
        <s v="CC-CH-35-STD"/>
        <s v="CC-F-FQCNPTF"/>
        <s v="CC-QJ-5-110"/>
        <s v="CC-MJMKII-5-110"/>
        <s v="CC-SM-5"/>
        <s v="CC-CH-15-STD"/>
        <s v="CC-CH-05-STD"/>
        <s v="CC-AC-CTAT"/>
        <s v="CC-NPTC-06-STD"/>
        <s v="Credit Card Fee"/>
        <s v="Shipping Charges"/>
        <s v="CC-AC-CTS"/>
        <s v="Shipping Fees"/>
        <s v="Tax: CA Tax (8.75%)"/>
        <s v="1/4&quot; TS Power mode Adapter"/>
        <s v="CC-F-COT"/>
        <s v="CC-CH-08-EXT"/>
        <s v="CC-TB-35"/>
        <s v="CC-HCCMKII-15-NC"/>
        <s v="CC-HCCMKII-15-TC"/>
        <s v="Club Cannon Device Programmer - IDC"/>
        <s v="CC-CH-08-STD"/>
        <s v="CC-AC-OP"/>
        <s v="CC-AC-SMK"/>
        <s v="CC-AC-4PM"/>
        <s v="CC-F-MFDCGAJIC"/>
        <s v="CC-CTC-20"/>
        <s v="CC-CH-03.5-MFD"/>
        <s v="CC-MJMKII-3-110"/>
        <s v="CC-PROJ-5-110"/>
        <s v="CC-CH-05-MFD"/>
        <s v="3/8&quot; JIC Cap"/>
        <s v="CC-AC-CLAMP"/>
        <s v="CC-CH-25-DSY"/>
        <s v="CC-F-FQCSAEF"/>
        <s v="CC-F-MQCSAEF"/>
        <s v="CC-SS-35"/>
        <s v="3/8” Male Quick Connect ISO-A x 3/8” BSPP Female"/>
        <s v="3/8&quot; BSPP Male x 3/8&quot; NPT Male Adapter"/>
        <s v="Warranty Repair"/>
        <s v="CC-CH-50-EXT"/>
        <s v="CC-CH-25-STD"/>
        <s v=" CC-AC-CGAJIC-SET"/>
        <s v="CC-AC-RAA"/>
        <s v="CC-CH-15-DSY"/>
        <s v="CC-CH-35-OB"/>
        <s v="CC-CH-50-STD"/>
        <s v="CC-AC-CGANPT-SET"/>
        <s v="CC-QJ-5-220"/>
        <s v="Controller EEProm 512kB"/>
        <s v="Labor"/>
        <s v="CC-AC-TC"/>
        <s v="CC-CH-XX-STD"/>
        <s v="CC-AC-LGK"/>
        <s v="CC-CH-25-EXT"/>
        <s v="CC-CH-15-EXT"/>
        <s v="Handheld MKII"/>
        <s v="#12 x 1/2&quot; High Low Thread Forming Screws / Phillips / Pan Head / Steel / Black Zinc"/>
        <s v="Compressible-Stem Push-In Bumpers"/>
        <s v="5-pin DMX Passthrough Assembly"/>
        <s v="3/4 OD X 1/4 ID X 1/8 Thickness Neoprene Rubber Washers"/>
        <s v="Mocap 1/2” hole cap"/>
        <s v="CC-F-DCHA"/>
        <s v="1&quot; x 30' Streamers (White)"/>
        <s v="2&quot; x 30' Streamers (White)"/>
        <s v="CC-CH-02-MFD"/>
        <s v="CC-NPTC-15-DSY"/>
        <s v="CC-CH-XX-DSY"/>
        <s v="JIC Run Tee 6602-06-06-06"/>
        <s v="Micro Jet MKII Main PCB"/>
        <s v="CC-SS-35-ARM"/>
        <s v="CC-F-FQCBSPF"/>
        <s v="6in Barrel Assembly Powdercoated"/>
        <s v="1/4” NPT Male x 3/8” BSPP Male"/>
        <s v="3/8&quot; NPT Female x #6 JIC Male Adapter"/>
      </sharedItems>
    </cacheField>
    <cacheField name="Line Item Description" numFmtId="0">
      <sharedItems containsNonDate="0" containsBlank="1" count="90">
        <s v="Handheld MKII in travel case with 8ft hose"/>
        <s v="Handheld CO2 Cannon MKII"/>
        <s v="Hose Adapters - #2 – Hose Extension Adapter"/>
        <s v="Hose Adapters - #1 – Male Quick Connect (3/8″ NPT Male)"/>
        <s v="Replacement O-Ring"/>
        <s v="CO2 Tank Covers - 50lb Cover"/>
        <s v="CO2 Cylinder Link"/>
        <s v="CO2 Washers"/>
        <s v="CO2 Hose"/>
        <s v="Hose Adapters - #4 – Female Quick Connect (3/8″ NPT Female)"/>
        <s v="Quad Jet 110, 5 Pin (B-Stock)"/>
        <s v="Micro CO2 Jet MKII 110, 5 Pin"/>
        <s v="ShoMaster Console"/>
        <s v="CO2 Hose, 15FT (Standard configuration, included with Quad Jets)"/>
        <s v="CO2 Hose, 5FT (Standard configuration, included with Micro Jets)"/>
        <s v="Co2 Tank Attachment Tool (Included)"/>
        <s v="CO2 Washers, 10 Pack (Included)"/>
        <s v="Neutrik PowerCON True1 Cords - 6FT, Standard"/>
        <m/>
        <s v="Quad Jet 110v with 5 Pin DMX, JIC Inputs instead of QC (New)"/>
        <s v="Quad Jet 110v with 5 Pin DMX, JIC Inputs instead of QC  (B-Stock)"/>
        <s v="CO2 Tank Splitter"/>
        <s v="CO2 Hose (15FT, CGA to 3/8&quot; JIC - included)"/>
        <s v="Co2 Tank Attachment Tool"/>
        <s v="Micro Jet Power Mode Adapter"/>
        <s v="Hose Adapters - #3 – CO2 Output Terminator"/>
        <s v="Co2 Hose 08FT Extension Config"/>
        <s v="The Button - with both 3 &amp; 5 pin DMX ports"/>
        <s v="Handheld MKII in travel case with 15ft hose"/>
        <s v="Used for uploading bootloader onto Club Cannon products"/>
        <s v="CO2 Tank Tool + Washers - Yes - add tool and washers +$15.00"/>
        <s v="Replacement Keys - The Button"/>
        <s v="4 Port Co2 Manifold - 4x JIC 3/8&quot; Inlets, 1x JIC 3/8&quot; Outlet with Truss Bracket"/>
        <s v="Adapter for use with Manifold - to attach standard CGA-320 hose configuration"/>
        <s v="CO2 Tank Covers - 20lb Cover"/>
        <s v="3 1/2FT CO2 Hose (CGA-320 x Female JIC 3/8&quot;) For use with Manifold"/>
        <s v="Micro CO2 Jet MKII"/>
        <s v="CO2 Hose (15FT, Included)"/>
        <s v="CO2 Washers (10 pack, included)"/>
        <s v="Pro Jet, 5 Pin, 110v. JIC instead of QC"/>
        <s v="5FT CO2 Hose (CGA-320 x Female JIC 3/8&quot;) INCLUDED"/>
        <s v="JIC Cap for unused input/output - INCLUDED"/>
        <s v="Neutrik PowerCON True1 Cords - 6FT, Standard - INCLUDED"/>
        <s v="Truss Clamp"/>
        <s v="Pro Jet"/>
        <s v="ISO-A Female Quick Connect - SAE Thread"/>
        <s v="ISO-A Quick Connect Male - Female 3/8&quot; SAE Thread"/>
        <s v="ShoStarter DMX Controller with 3 &amp; 5 Pin Connectors in Box"/>
        <s v="3/8&quot; MQC Quick Connect Fitting"/>
        <s v="9007-06-06 Pro Jet CO2-T Adapter with bonding washer"/>
        <s v="Install updated MQC plumbing on pro jet. No charge"/>
        <s v="Product CO2 Hose - 25 foot hose - $50.00"/>
        <s v="CGA-320 to JIC adapter with nut."/>
        <s v="Right Angle Adapter"/>
        <s v="CO2 Hose - 15FT, Standard (Included)"/>
        <s v="25 foot hose - Upgrade"/>
        <s v="CO2 Output Terminator (Included)"/>
        <s v="Neutrik PowerCON True1 Cords - 6FT (Included)"/>
        <s v="CO2 Tank Tool + Washers (Included)"/>
        <s v="CO2 Hose Off-Brand - 35FT CO2 Hose"/>
        <s v="Quad Jet 220v with 5 Pin DMX With Barrels"/>
        <s v="CO2 Hose, 15FT (Included)"/>
        <s v="CO2 Hose 25FT (Upgrade fee)"/>
        <s v="ShoMaster Repair - Replaced EEPROM chip"/>
        <s v="Travel Case"/>
        <s v="Co2 Hose Custom Length (120' long, #6 JIC female on both ends)"/>
        <s v="Replacement Keys - Shomaster"/>
        <s v="Handheld Co2 Cannon"/>
        <s v="Pro Jet feet screws (thread forming)"/>
        <s v="Compressible-Stem Push-In Bumpers"/>
        <s v="5-pin DMX Passthrough Assembly"/>
        <s v="3/4 OD X 1/4 ID X 1/8 Thickness Neoprene Rubber Washers"/>
        <s v="Mocap 1/2” hole cap"/>
        <s v="Testing &amp; Evaluation, replace missing parts, re-form damaged sheet metal, replace filters. "/>
        <s v="#5 - Daisy Chain Adapter"/>
        <s v="Stadium Streamers"/>
        <s v="2FT CO2 Hose (CGA-320 x Female JIC 3/8&quot;) For use with Manifold"/>
        <s v="Neutrik PowerCON True1 Cords - 15FT, Daisy Chain"/>
        <s v="Co2 Hose Custom Length Daisy Chain"/>
        <s v="Used to add an additional input to 4 port manifold"/>
        <s v="Micro Jet MKII Main PCB"/>
        <s v="ShoStarter DMX Controller with ARM In &amp; Out"/>
        <s v="ISO-A Female Quick Connect - BSPP Thread"/>
        <s v="3/8&quot; Quick Connect Fitting"/>
        <s v="6in Jet Barrel with powdercoating"/>
        <s v="1/4” NPT Male x 3/8” BSPP Male"/>
        <s v="Handheld CO2 Cannon MKII, 15FT Hose (European Tank fitting, tools &amp; washers)"/>
        <s v="Quad Jet, 110v, 5 Pin, JIC instead of QC (No Hoses)"/>
        <s v="Neutrik PowerCON True1 Cords - 6FT, Standard (Included)"/>
        <s v="3/8&quot; NPT Female x #6 JIC Male Adapter"/>
      </sharedItems>
    </cacheField>
    <cacheField name="Order Quantity" numFmtId="0">
      <sharedItems containsSemiMixedTypes="0" containsNonDate="0" containsString="0" containsNumber="1" containsInteger="1" minValue="1" maxValue="729" count="18">
        <n v="2"/>
        <n v="1"/>
        <n v="10"/>
        <n v="8"/>
        <n v="6"/>
        <n v="14"/>
        <n v="18"/>
        <n v="3"/>
        <n v="16"/>
        <n v="4"/>
        <n v="20"/>
        <n v="28"/>
        <n v="36"/>
        <n v="676"/>
        <n v="729"/>
        <n v="32"/>
        <n v="5"/>
        <n v="12"/>
      </sharedItems>
    </cacheField>
    <cacheField name="Unit Price" numFmtId="0">
      <sharedItems containsSemiMixedTypes="0" containsNonDate="0" containsString="0" containsNumber="1" minValue="0" maxValue="3199.99" count="91">
        <n v="549.99"/>
        <n v="349.99"/>
        <n v="19.99"/>
        <n v="14.99"/>
        <n v="1.99"/>
        <n v="59.99"/>
        <n v="119.99"/>
        <n v="8.99"/>
        <n v="249.99"/>
        <n v="24.99"/>
        <n v="1749.993"/>
        <n v="652.4924999999999"/>
        <n v="2499.99"/>
        <n v="0"/>
        <n v="44.9925"/>
        <n v="22.4925"/>
        <n v="313.35"/>
        <n v="260"/>
        <n v="1874.9925"/>
        <n v="37.4925"/>
        <n v="175"/>
        <n v="890.3"/>
        <n v="9.99"/>
        <n v="49.99"/>
        <n v="109.99"/>
        <n v="399.99"/>
        <n v="299.9925"/>
        <n v="449.9925"/>
        <n v="178.55"/>
        <n v="359.991"/>
        <n v="15"/>
        <n v="584.98"/>
        <n v="149.99"/>
        <n v="7.49"/>
        <n v="179.99"/>
        <n v="3199.99"/>
        <n v="134.9925"/>
        <n v="52.4925"/>
        <n v="89.99250000000001"/>
        <n v="637.4924999999999"/>
        <n v="396.4"/>
        <n v="27.5"/>
        <n v="14.9925"/>
        <n v="974.9924999999999"/>
        <n v="60"/>
        <n v="599.99"/>
        <n v="869.99"/>
        <n v="29.99"/>
        <n v="1299.99"/>
        <n v="199.99"/>
        <n v="1.225"/>
        <n v="0.525"/>
        <n v="387.49"/>
        <n v="37.49"/>
        <n v="1199.99"/>
        <n v="849.99"/>
        <n v="299.99"/>
        <n v="22.99"/>
        <n v="899.9924999999999"/>
        <n v="37.5"/>
        <n v="112.4925"/>
        <n v="275"/>
        <n v="187.4925"/>
        <n v="400"/>
        <n v="98.91"/>
        <n v="25"/>
        <n v="219.99"/>
        <n v="7.4925"/>
        <n v="475"/>
        <n v="472.5"/>
        <n v="202.48"/>
        <n v="12.99"/>
        <n v="206.25"/>
        <n v="149.9925"/>
        <n v="150"/>
        <n v="48"/>
        <n v="137"/>
        <n v="64.98999999999999"/>
        <n v="574.99"/>
        <n v="9.7425"/>
        <n v="324.99"/>
        <n v="99.98999999999999"/>
        <n v="100"/>
        <n v="50"/>
        <n v="69.98999999999999"/>
        <n v="20"/>
        <n v="2399.9925"/>
        <n v="136.42"/>
        <n v="97.33"/>
        <n v="1625"/>
        <n v="200"/>
      </sharedItems>
    </cacheField>
    <cacheField name="Total Line Item $" numFmtId="0">
      <sharedItems containsSemiMixedTypes="0" containsNonDate="0" containsString="0" containsNumber="1" minValue="0" maxValue="17849.79" count="143">
        <n v="1099.98"/>
        <n v="349.99"/>
        <n v="19.99"/>
        <n v="14.99"/>
        <n v="19.9"/>
        <n v="59.99"/>
        <n v="959.92"/>
        <n v="71.92"/>
        <n v="499.98"/>
        <n v="49.98"/>
        <n v="3499.986"/>
        <n v="3914.955"/>
        <n v="2499.99"/>
        <n v="0"/>
        <n v="269.955"/>
        <n v="404.865"/>
        <n v="313.35"/>
        <n v="260"/>
        <n v="5624.9775"/>
        <n v="1749.993"/>
        <n v="299.94"/>
        <n v="175"/>
        <n v="890.3"/>
        <n v="19.98"/>
        <n v="9.99"/>
        <n v="119.94"/>
        <n v="49.99"/>
        <n v="219.98"/>
        <n v="239.98"/>
        <n v="99.98"/>
        <n v="799.98"/>
        <n v="599.985"/>
        <n v="449.9925"/>
        <n v="178.55"/>
        <n v="399.99"/>
        <n v="359.991"/>
        <n v="109.99"/>
        <n v="15"/>
        <n v="584.98"/>
        <n v="149.99"/>
        <n v="29.98"/>
        <n v="549.99"/>
        <n v="14.98"/>
        <n v="179.99"/>
        <n v="39.98"/>
        <n v="39.8"/>
        <n v="3199.99"/>
        <n v="1349.925"/>
        <n v="839.88"/>
        <n v="719.9400000000001"/>
        <n v="17849.79"/>
        <n v="396.4"/>
        <n v="299.9925"/>
        <n v="27.5"/>
        <n v="89.955"/>
        <n v="479.96"/>
        <n v="39.96"/>
        <n v="3899.97"/>
        <n v="60"/>
        <n v="599.99"/>
        <n v="1739.98"/>
        <n v="119.96"/>
        <n v="2599.98"/>
        <n v="399.98"/>
        <n v="199.96"/>
        <n v="828.1"/>
        <n v="382.725"/>
        <n v="387.49"/>
        <n v="37.49"/>
        <n v="1199.99"/>
        <n v="1699.98"/>
        <n v="1199.97"/>
        <n v="299.99"/>
        <n v="599.98"/>
        <n v="199.99"/>
        <n v="45.98"/>
        <n v="59.97"/>
        <n v="119.99"/>
        <n v="112.4775"/>
        <n v="134.9775"/>
        <n v="899.9775"/>
        <n v="2549.97"/>
        <n v="899.9924999999999"/>
        <n v="150"/>
        <n v="224.985"/>
        <n v="275"/>
        <n v="187.4925"/>
        <n v="350"/>
        <n v="79.95999999999999"/>
        <n v="10399.92"/>
        <n v="22.99"/>
        <n v="119.98"/>
        <n v="14999.94"/>
        <n v="600"/>
        <n v="1199.76"/>
        <n v="400"/>
        <n v="98.91"/>
        <n v="25"/>
        <n v="219.99"/>
        <n v="1799.97"/>
        <n v="1799.985"/>
        <n v="4999.98"/>
        <n v="2399.94"/>
        <n v="224.955"/>
        <n v="539.97"/>
        <n v="74.925"/>
        <n v="475"/>
        <n v="3780"/>
        <n v="202.48"/>
        <n v="25.98"/>
        <n v="7.96"/>
        <n v="29.97"/>
        <n v="59.98"/>
        <n v="299.98"/>
        <n v="825"/>
        <n v="299.985"/>
        <n v="374.985"/>
        <n v="449.97"/>
        <n v="37.4925"/>
        <n v="24.99"/>
        <n v="48"/>
        <n v="29.99"/>
        <n v="137"/>
        <n v="259.96"/>
        <n v="574.99"/>
        <n v="19.485"/>
        <n v="324.99"/>
        <n v="299.97"/>
        <n v="200"/>
        <n v="5199.96"/>
        <n v="139.98"/>
        <n v="779.88"/>
        <n v="439.96"/>
        <n v="40"/>
        <n v="129.98"/>
        <n v="719.96"/>
        <n v="2399.9925"/>
        <n v="100"/>
        <n v="68.97"/>
        <n v="136.42"/>
        <n v="97.33"/>
        <n v="2399.98"/>
        <n v="812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4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6" createdVersion="7">
  <cacheSource type="worksheet">
    <worksheetSource ref="D2:F388" sheet="February 2023"/>
  </cacheSource>
  <cacheFields count="3">
    <cacheField name="Line Item Name" numFmtId="0">
      <sharedItems containsNonDate="0" count="83">
        <s v="CC-HCCMKII-08-TC"/>
        <s v="CC-HCCMKII-08-NC"/>
        <s v="CC-F-HEA"/>
        <s v="CC-F-MQCNPTM"/>
        <s v="CC-AC-ROR"/>
        <s v="CC-CTC-50"/>
        <s v="CC-AC-CCL"/>
        <s v="CC-WASH-10"/>
        <s v="CC-CH-35-STD"/>
        <s v="CC-F-FQCNPTF"/>
        <s v="CC-QJ-5-110"/>
        <s v="CC-MJMKII-5-110"/>
        <s v="CC-SM-5"/>
        <s v="CC-CH-15-STD"/>
        <s v="CC-CH-05-STD"/>
        <s v="CC-AC-CTAT"/>
        <s v="CC-NPTC-06-STD"/>
        <s v="Credit Card Fee"/>
        <s v="Shipping Charges"/>
        <s v="CC-AC-CTS"/>
        <s v="Shipping Fees"/>
        <s v="Tax: CA Tax (8.75%)"/>
        <s v="1/4&quot; TS Power mode Adapter"/>
        <s v="CC-F-COT"/>
        <s v="CC-CH-08-EXT"/>
        <s v="CC-TB-35"/>
        <s v="CC-HCCMKII-15-NC"/>
        <s v="CC-HCCMKII-15-TC"/>
        <s v="Club Cannon Device Programmer - IDC"/>
        <s v="CC-CH-08-STD"/>
        <s v="CC-AC-OP"/>
        <s v="CC-AC-SMK"/>
        <s v="CC-AC-4PM"/>
        <s v="CC-F-MFDCGAJIC"/>
        <s v="CC-CTC-20"/>
        <s v="CC-CH-03.5-MFD"/>
        <s v="CC-MJMKII-3-110"/>
        <s v="CC-PROJ-5-110"/>
        <s v="CC-CH-05-MFD"/>
        <s v="3/8&quot; JIC Cap"/>
        <s v="CC-AC-CLAMP"/>
        <s v="CC-CH-25-DSY"/>
        <s v="CC-F-FQCSAEF"/>
        <s v="CC-F-MQCSAEF"/>
        <s v="CC-SS-35"/>
        <s v="3/8” Male Quick Connect ISO-A x 3/8” BSPP Female"/>
        <s v="3/8&quot; BSPP Male x 3/8&quot; NPT Male Adapter"/>
        <s v="Warranty Repair"/>
        <s v="CC-CH-50-EXT"/>
        <s v="CC-CH-25-STD"/>
        <s v=" CC-AC-CGAJIC-SET"/>
        <s v="CC-AC-RAA"/>
        <s v="CC-CH-15-DSY"/>
        <s v="CC-CH-35-OB"/>
        <s v="CC-CH-50-STD"/>
        <s v="CC-AC-CGANPT-SET"/>
        <s v="CC-QJ-5-220"/>
        <s v="Controller EEProm 512kB"/>
        <s v="Labor"/>
        <s v="CC-AC-TC"/>
        <s v="CC-CH-XX-STD"/>
        <s v="CC-AC-LGK"/>
        <s v="CC-CH-25-EXT"/>
        <s v="CC-CH-15-EXT"/>
        <s v="Handheld MKII"/>
        <s v="#12 x 1/2&quot; High Low Thread Forming Screws / Phillips / Pan Head / Steel / Black Zinc"/>
        <s v="Compressible-Stem Push-In Bumpers"/>
        <s v="5-pin DMX Passthrough Assembly"/>
        <s v="3/4 OD X 1/4 ID X 1/8 Thickness Neoprene Rubber Washers"/>
        <s v="Mocap 1/2” hole cap"/>
        <s v="CC-F-DCHA"/>
        <s v="1&quot; x 30' Streamers (White)"/>
        <s v="2&quot; x 30' Streamers (White)"/>
        <s v="CC-CH-02-MFD"/>
        <s v="CC-NPTC-15-DSY"/>
        <s v="CC-CH-XX-DSY"/>
        <s v="JIC Run Tee 6602-06-06-06"/>
        <s v="Micro Jet MKII Main PCB"/>
        <s v="CC-SS-35-ARM"/>
        <s v="CC-F-FQCBSPF"/>
        <s v="6in Barrel Assembly Powdercoated"/>
        <s v="1/4” NPT Male x 3/8” BSPP Male"/>
        <s v="3/8&quot; NPT Female x #6 JIC Male Adapter"/>
      </sharedItems>
    </cacheField>
    <cacheField name="Line Item Description" numFmtId="0">
      <sharedItems containsNonDate="0" containsBlank="1" count="90">
        <s v="Handheld MKII in travel case with 8ft hose"/>
        <s v="Handheld CO2 Cannon MKII"/>
        <s v="Hose Adapters - #2 – Hose Extension Adapter"/>
        <s v="Hose Adapters - #1 – Male Quick Connect (3/8″ NPT Male)"/>
        <s v="Replacement O-Ring"/>
        <s v="CO2 Tank Covers - 50lb Cover"/>
        <s v="CO2 Cylinder Link"/>
        <s v="CO2 Washers"/>
        <s v="CO2 Hose"/>
        <s v="Hose Adapters - #4 – Female Quick Connect (3/8″ NPT Female)"/>
        <s v="Quad Jet 110, 5 Pin (B-Stock)"/>
        <s v="Micro CO2 Jet MKII 110, 5 Pin"/>
        <s v="ShoMaster Console"/>
        <s v="CO2 Hose, 15FT (Standard configuration, included with Quad Jets)"/>
        <s v="CO2 Hose, 5FT (Standard configuration, included with Micro Jets)"/>
        <s v="Co2 Tank Attachment Tool (Included)"/>
        <s v="CO2 Washers, 10 Pack (Included)"/>
        <s v="Neutrik PowerCON True1 Cords - 6FT, Standard"/>
        <m/>
        <s v="Quad Jet 110v with 5 Pin DMX, JIC Inputs instead of QC (New)"/>
        <s v="Quad Jet 110v with 5 Pin DMX, JIC Inputs instead of QC  (B-Stock)"/>
        <s v="CO2 Tank Splitter"/>
        <s v="CO2 Hose (15FT, CGA to 3/8&quot; JIC - included)"/>
        <s v="Co2 Tank Attachment Tool"/>
        <s v="Micro Jet Power Mode Adapter"/>
        <s v="Hose Adapters - #3 – CO2 Output Terminator"/>
        <s v="Co2 Hose 08FT Extension Config"/>
        <s v="The Button - with both 3 &amp; 5 pin DMX ports"/>
        <s v="Handheld MKII in travel case with 15ft hose"/>
        <s v="Used for uploading bootloader onto Club Cannon products"/>
        <s v="CO2 Tank Tool + Washers - Yes - add tool and washers +$15.00"/>
        <s v="Replacement Keys - The Button"/>
        <s v="4 Port Co2 Manifold - 4x JIC 3/8&quot; Inlets, 1x JIC 3/8&quot; Outlet with Truss Bracket"/>
        <s v="Adapter for use with Manifold - to attach standard CGA-320 hose configuration"/>
        <s v="CO2 Tank Covers - 20lb Cover"/>
        <s v="3 1/2FT CO2 Hose (CGA-320 x Female JIC 3/8&quot;) For use with Manifold"/>
        <s v="Micro CO2 Jet MKII"/>
        <s v="CO2 Hose (15FT, Included)"/>
        <s v="CO2 Washers (10 pack, included)"/>
        <s v="Pro Jet, 5 Pin, 110v. JIC instead of QC"/>
        <s v="5FT CO2 Hose (CGA-320 x Female JIC 3/8&quot;) INCLUDED"/>
        <s v="JIC Cap for unused input/output - INCLUDED"/>
        <s v="Neutrik PowerCON True1 Cords - 6FT, Standard - INCLUDED"/>
        <s v="Truss Clamp"/>
        <s v="Pro Jet"/>
        <s v="ISO-A Female Quick Connect - SAE Thread"/>
        <s v="ISO-A Quick Connect Male - Female 3/8&quot; SAE Thread"/>
        <s v="ShoStarter DMX Controller with 3 &amp; 5 Pin Connectors in Box"/>
        <s v="3/8&quot; MQC Quick Connect Fitting"/>
        <s v="9007-06-06 Pro Jet CO2-T Adapter with bonding washer"/>
        <s v="Install updated MQC plumbing on pro jet. No charge"/>
        <s v="Product CO2 Hose - 25 foot hose - $50.00"/>
        <s v="CGA-320 to JIC adapter with nut."/>
        <s v="Right Angle Adapter"/>
        <s v="CO2 Hose - 15FT, Standard (Included)"/>
        <s v="25 foot hose - Upgrade"/>
        <s v="CO2 Output Terminator (Included)"/>
        <s v="Neutrik PowerCON True1 Cords - 6FT (Included)"/>
        <s v="CO2 Tank Tool + Washers (Included)"/>
        <s v="CO2 Hose Off-Brand - 35FT CO2 Hose"/>
        <s v="Quad Jet 220v with 5 Pin DMX With Barrels"/>
        <s v="CO2 Hose, 15FT (Included)"/>
        <s v="CO2 Hose 25FT (Upgrade fee)"/>
        <s v="ShoMaster Repair - Replaced EEPROM chip"/>
        <s v="Travel Case"/>
        <s v="Co2 Hose Custom Length (120' long, #6 JIC female on both ends)"/>
        <s v="Replacement Keys - Shomaster"/>
        <s v="Handheld Co2 Cannon"/>
        <s v="Pro Jet feet screws (thread forming)"/>
        <s v="Compressible-Stem Push-In Bumpers"/>
        <s v="5-pin DMX Passthrough Assembly"/>
        <s v="3/4 OD X 1/4 ID X 1/8 Thickness Neoprene Rubber Washers"/>
        <s v="Mocap 1/2” hole cap"/>
        <s v="Testing &amp; Evaluation, replace missing parts, re-form damaged sheet metal, replace filters. "/>
        <s v="#5 - Daisy Chain Adapter"/>
        <s v="Stadium Streamers"/>
        <s v="2FT CO2 Hose (CGA-320 x Female JIC 3/8&quot;) For use with Manifold"/>
        <s v="Neutrik PowerCON True1 Cords - 15FT, Daisy Chain"/>
        <s v="Co2 Hose Custom Length Daisy Chain"/>
        <s v="Used to add an additional input to 4 port manifold"/>
        <s v="Micro Jet MKII Main PCB"/>
        <s v="ShoStarter DMX Controller with ARM In &amp; Out"/>
        <s v="ISO-A Female Quick Connect - BSPP Thread"/>
        <s v="3/8&quot; Quick Connect Fitting"/>
        <s v="6in Jet Barrel with powdercoating"/>
        <s v="1/4” NPT Male x 3/8” BSPP Male"/>
        <s v="Handheld CO2 Cannon MKII, 15FT Hose (European Tank fitting, tools &amp; washers)"/>
        <s v="Quad Jet, 110v, 5 Pin, JIC instead of QC (No Hoses)"/>
        <s v="Neutrik PowerCON True1 Cords - 6FT, Standard (Included)"/>
        <s v="3/8&quot; NPT Female x #6 JIC Male Adapter"/>
      </sharedItems>
    </cacheField>
    <cacheField name="Order Quantity" numFmtId="0">
      <sharedItems containsSemiMixedTypes="0" containsNonDate="0" containsString="0" containsNumber="1" containsInteger="1" minValue="1" maxValue="729" count="18">
        <n v="2"/>
        <n v="1"/>
        <n v="10"/>
        <n v="8"/>
        <n v="6"/>
        <n v="14"/>
        <n v="18"/>
        <n v="3"/>
        <n v="16"/>
        <n v="4"/>
        <n v="20"/>
        <n v="28"/>
        <n v="36"/>
        <n v="676"/>
        <n v="729"/>
        <n v="32"/>
        <n v="5"/>
        <n v="12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5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386" createdVersion="7">
  <cacheSource type="worksheet">
    <worksheetSource ref="D2:H388" sheet="February 2023"/>
  </cacheSource>
  <cacheFields count="5">
    <cacheField name="Line Item Name" numFmtId="0">
      <sharedItems containsNonDate="0" count="83">
        <s v="CC-HCCMKII-08-TC"/>
        <s v="CC-HCCMKII-08-NC"/>
        <s v="CC-F-HEA"/>
        <s v="CC-F-MQCNPTM"/>
        <s v="CC-AC-ROR"/>
        <s v="CC-CTC-50"/>
        <s v="CC-AC-CCL"/>
        <s v="CC-WASH-10"/>
        <s v="CC-CH-35-STD"/>
        <s v="CC-F-FQCNPTF"/>
        <s v="CC-QJ-5-110"/>
        <s v="CC-MJMKII-5-110"/>
        <s v="CC-SM-5"/>
        <s v="CC-CH-15-STD"/>
        <s v="CC-CH-05-STD"/>
        <s v="CC-AC-CTAT"/>
        <s v="CC-NPTC-06-STD"/>
        <s v="Credit Card Fee"/>
        <s v="Shipping Charges"/>
        <s v="CC-AC-CTS"/>
        <s v="Shipping Fees"/>
        <s v="Tax: CA Tax (8.75%)"/>
        <s v="1/4&quot; TS Power mode Adapter"/>
        <s v="CC-F-COT"/>
        <s v="CC-CH-08-EXT"/>
        <s v="CC-TB-35"/>
        <s v="CC-HCCMKII-15-NC"/>
        <s v="CC-HCCMKII-15-TC"/>
        <s v="Club Cannon Device Programmer - IDC"/>
        <s v="CC-CH-08-STD"/>
        <s v="CC-AC-OP"/>
        <s v="CC-AC-SMK"/>
        <s v="CC-AC-4PM"/>
        <s v="CC-F-MFDCGAJIC"/>
        <s v="CC-CTC-20"/>
        <s v="CC-CH-03.5-MFD"/>
        <s v="CC-MJMKII-3-110"/>
        <s v="CC-PROJ-5-110"/>
        <s v="CC-CH-05-MFD"/>
        <s v="3/8&quot; JIC Cap"/>
        <s v="CC-AC-CLAMP"/>
        <s v="CC-CH-25-DSY"/>
        <s v="CC-F-FQCSAEF"/>
        <s v="CC-F-MQCSAEF"/>
        <s v="CC-SS-35"/>
        <s v="3/8” Male Quick Connect ISO-A x 3/8” BSPP Female"/>
        <s v="3/8&quot; BSPP Male x 3/8&quot; NPT Male Adapter"/>
        <s v="Warranty Repair"/>
        <s v="CC-CH-50-EXT"/>
        <s v="CC-CH-25-STD"/>
        <s v=" CC-AC-CGAJIC-SET"/>
        <s v="CC-AC-RAA"/>
        <s v="CC-CH-15-DSY"/>
        <s v="CC-CH-35-OB"/>
        <s v="CC-CH-50-STD"/>
        <s v="CC-AC-CGANPT-SET"/>
        <s v="CC-QJ-5-220"/>
        <s v="Controller EEProm 512kB"/>
        <s v="Labor"/>
        <s v="CC-AC-TC"/>
        <s v="CC-CH-XX-STD"/>
        <s v="CC-AC-LGK"/>
        <s v="CC-CH-25-EXT"/>
        <s v="CC-CH-15-EXT"/>
        <s v="Handheld MKII"/>
        <s v="#12 x 1/2&quot; High Low Thread Forming Screws / Phillips / Pan Head / Steel / Black Zinc"/>
        <s v="Compressible-Stem Push-In Bumpers"/>
        <s v="5-pin DMX Passthrough Assembly"/>
        <s v="3/4 OD X 1/4 ID X 1/8 Thickness Neoprene Rubber Washers"/>
        <s v="Mocap 1/2” hole cap"/>
        <s v="CC-F-DCHA"/>
        <s v="1&quot; x 30' Streamers (White)"/>
        <s v="2&quot; x 30' Streamers (White)"/>
        <s v="CC-CH-02-MFD"/>
        <s v="CC-NPTC-15-DSY"/>
        <s v="CC-CH-XX-DSY"/>
        <s v="JIC Run Tee 6602-06-06-06"/>
        <s v="Micro Jet MKII Main PCB"/>
        <s v="CC-SS-35-ARM"/>
        <s v="CC-F-FQCBSPF"/>
        <s v="6in Barrel Assembly Powdercoated"/>
        <s v="1/4” NPT Male x 3/8” BSPP Male"/>
        <s v="3/8&quot; NPT Female x #6 JIC Male Adapter"/>
      </sharedItems>
    </cacheField>
    <cacheField name="Line Item Description" numFmtId="0">
      <sharedItems containsNonDate="0" containsBlank="1" count="90">
        <s v="Handheld MKII in travel case with 8ft hose"/>
        <s v="Handheld CO2 Cannon MKII"/>
        <s v="Hose Adapters - #2 – Hose Extension Adapter"/>
        <s v="Hose Adapters - #1 – Male Quick Connect (3/8″ NPT Male)"/>
        <s v="Replacement O-Ring"/>
        <s v="CO2 Tank Covers - 50lb Cover"/>
        <s v="CO2 Cylinder Link"/>
        <s v="CO2 Washers"/>
        <s v="CO2 Hose"/>
        <s v="Hose Adapters - #4 – Female Quick Connect (3/8″ NPT Female)"/>
        <s v="Quad Jet 110, 5 Pin (B-Stock)"/>
        <s v="Micro CO2 Jet MKII 110, 5 Pin"/>
        <s v="ShoMaster Console"/>
        <s v="CO2 Hose, 15FT (Standard configuration, included with Quad Jets)"/>
        <s v="CO2 Hose, 5FT (Standard configuration, included with Micro Jets)"/>
        <s v="Co2 Tank Attachment Tool (Included)"/>
        <s v="CO2 Washers, 10 Pack (Included)"/>
        <s v="Neutrik PowerCON True1 Cords - 6FT, Standard"/>
        <m/>
        <s v="Quad Jet 110v with 5 Pin DMX, JIC Inputs instead of QC (New)"/>
        <s v="Quad Jet 110v with 5 Pin DMX, JIC Inputs instead of QC  (B-Stock)"/>
        <s v="CO2 Tank Splitter"/>
        <s v="CO2 Hose (15FT, CGA to 3/8&quot; JIC - included)"/>
        <s v="Co2 Tank Attachment Tool"/>
        <s v="Micro Jet Power Mode Adapter"/>
        <s v="Hose Adapters - #3 – CO2 Output Terminator"/>
        <s v="Co2 Hose 08FT Extension Config"/>
        <s v="The Button - with both 3 &amp; 5 pin DMX ports"/>
        <s v="Handheld MKII in travel case with 15ft hose"/>
        <s v="Used for uploading bootloader onto Club Cannon products"/>
        <s v="CO2 Tank Tool + Washers - Yes - add tool and washers +$15.00"/>
        <s v="Replacement Keys - The Button"/>
        <s v="4 Port Co2 Manifold - 4x JIC 3/8&quot; Inlets, 1x JIC 3/8&quot; Outlet with Truss Bracket"/>
        <s v="Adapter for use with Manifold - to attach standard CGA-320 hose configuration"/>
        <s v="CO2 Tank Covers - 20lb Cover"/>
        <s v="3 1/2FT CO2 Hose (CGA-320 x Female JIC 3/8&quot;) For use with Manifold"/>
        <s v="Micro CO2 Jet MKII"/>
        <s v="CO2 Hose (15FT, Included)"/>
        <s v="CO2 Washers (10 pack, included)"/>
        <s v="Pro Jet, 5 Pin, 110v. JIC instead of QC"/>
        <s v="5FT CO2 Hose (CGA-320 x Female JIC 3/8&quot;) INCLUDED"/>
        <s v="JIC Cap for unused input/output - INCLUDED"/>
        <s v="Neutrik PowerCON True1 Cords - 6FT, Standard - INCLUDED"/>
        <s v="Truss Clamp"/>
        <s v="Pro Jet"/>
        <s v="ISO-A Female Quick Connect - SAE Thread"/>
        <s v="ISO-A Quick Connect Male - Female 3/8&quot; SAE Thread"/>
        <s v="ShoStarter DMX Controller with 3 &amp; 5 Pin Connectors in Box"/>
        <s v="3/8&quot; MQC Quick Connect Fitting"/>
        <s v="9007-06-06 Pro Jet CO2-T Adapter with bonding washer"/>
        <s v="Install updated MQC plumbing on pro jet. No charge"/>
        <s v="Product CO2 Hose - 25 foot hose - $50.00"/>
        <s v="CGA-320 to JIC adapter with nut."/>
        <s v="Right Angle Adapter"/>
        <s v="CO2 Hose - 15FT, Standard (Included)"/>
        <s v="25 foot hose - Upgrade"/>
        <s v="CO2 Output Terminator (Included)"/>
        <s v="Neutrik PowerCON True1 Cords - 6FT (Included)"/>
        <s v="CO2 Tank Tool + Washers (Included)"/>
        <s v="CO2 Hose Off-Brand - 35FT CO2 Hose"/>
        <s v="Quad Jet 220v with 5 Pin DMX With Barrels"/>
        <s v="CO2 Hose, 15FT (Included)"/>
        <s v="CO2 Hose 25FT (Upgrade fee)"/>
        <s v="ShoMaster Repair - Replaced EEPROM chip"/>
        <s v="Travel Case"/>
        <s v="Co2 Hose Custom Length (120' long, #6 JIC female on both ends)"/>
        <s v="Replacement Keys - Shomaster"/>
        <s v="Handheld Co2 Cannon"/>
        <s v="Pro Jet feet screws (thread forming)"/>
        <s v="Compressible-Stem Push-In Bumpers"/>
        <s v="5-pin DMX Passthrough Assembly"/>
        <s v="3/4 OD X 1/4 ID X 1/8 Thickness Neoprene Rubber Washers"/>
        <s v="Mocap 1/2” hole cap"/>
        <s v="Testing &amp; Evaluation, replace missing parts, re-form damaged sheet metal, replace filters. "/>
        <s v="#5 - Daisy Chain Adapter"/>
        <s v="Stadium Streamers"/>
        <s v="2FT CO2 Hose (CGA-320 x Female JIC 3/8&quot;) For use with Manifold"/>
        <s v="Neutrik PowerCON True1 Cords - 15FT, Daisy Chain"/>
        <s v="Co2 Hose Custom Length Daisy Chain"/>
        <s v="Used to add an additional input to 4 port manifold"/>
        <s v="Micro Jet MKII Main PCB"/>
        <s v="ShoStarter DMX Controller with ARM In &amp; Out"/>
        <s v="ISO-A Female Quick Connect - BSPP Thread"/>
        <s v="3/8&quot; Quick Connect Fitting"/>
        <s v="6in Jet Barrel with powdercoating"/>
        <s v="1/4” NPT Male x 3/8” BSPP Male"/>
        <s v="Handheld CO2 Cannon MKII, 15FT Hose (European Tank fitting, tools &amp; washers)"/>
        <s v="Quad Jet, 110v, 5 Pin, JIC instead of QC (No Hoses)"/>
        <s v="Neutrik PowerCON True1 Cords - 6FT, Standard (Included)"/>
        <s v="3/8&quot; NPT Female x #6 JIC Male Adapter"/>
      </sharedItems>
    </cacheField>
    <cacheField name="Order Quantity" numFmtId="0">
      <sharedItems containsSemiMixedTypes="0" containsNonDate="0" containsString="0" containsNumber="1" containsInteger="1" minValue="1" maxValue="729" count="18">
        <n v="2"/>
        <n v="1"/>
        <n v="10"/>
        <n v="8"/>
        <n v="6"/>
        <n v="14"/>
        <n v="18"/>
        <n v="3"/>
        <n v="16"/>
        <n v="4"/>
        <n v="20"/>
        <n v="28"/>
        <n v="36"/>
        <n v="676"/>
        <n v="729"/>
        <n v="32"/>
        <n v="5"/>
        <n v="12"/>
      </sharedItems>
    </cacheField>
    <cacheField name="Unit Price" numFmtId="0">
      <sharedItems containsSemiMixedTypes="0" containsNonDate="0" containsString="0" containsNumber="1" minValue="0" maxValue="3199.99" count="91">
        <n v="549.99"/>
        <n v="349.99"/>
        <n v="19.99"/>
        <n v="14.99"/>
        <n v="1.99"/>
        <n v="59.99"/>
        <n v="119.99"/>
        <n v="8.99"/>
        <n v="249.99"/>
        <n v="24.99"/>
        <n v="1749.993"/>
        <n v="652.4924999999999"/>
        <n v="2499.99"/>
        <n v="0"/>
        <n v="44.9925"/>
        <n v="22.4925"/>
        <n v="313.35"/>
        <n v="260"/>
        <n v="1874.9925"/>
        <n v="37.4925"/>
        <n v="175"/>
        <n v="890.3"/>
        <n v="9.99"/>
        <n v="49.99"/>
        <n v="109.99"/>
        <n v="399.99"/>
        <n v="299.9925"/>
        <n v="449.9925"/>
        <n v="178.55"/>
        <n v="359.991"/>
        <n v="15"/>
        <n v="584.98"/>
        <n v="149.99"/>
        <n v="7.49"/>
        <n v="179.99"/>
        <n v="3199.99"/>
        <n v="134.9925"/>
        <n v="52.4925"/>
        <n v="89.99250000000001"/>
        <n v="637.4924999999999"/>
        <n v="396.4"/>
        <n v="27.5"/>
        <n v="14.9925"/>
        <n v="974.9924999999999"/>
        <n v="60"/>
        <n v="599.99"/>
        <n v="869.99"/>
        <n v="29.99"/>
        <n v="1299.99"/>
        <n v="199.99"/>
        <n v="1.225"/>
        <n v="0.525"/>
        <n v="387.49"/>
        <n v="37.49"/>
        <n v="1199.99"/>
        <n v="849.99"/>
        <n v="299.99"/>
        <n v="22.99"/>
        <n v="899.9924999999999"/>
        <n v="37.5"/>
        <n v="112.4925"/>
        <n v="275"/>
        <n v="187.4925"/>
        <n v="400"/>
        <n v="98.91"/>
        <n v="25"/>
        <n v="219.99"/>
        <n v="7.4925"/>
        <n v="475"/>
        <n v="472.5"/>
        <n v="202.48"/>
        <n v="12.99"/>
        <n v="206.25"/>
        <n v="149.9925"/>
        <n v="150"/>
        <n v="48"/>
        <n v="137"/>
        <n v="64.98999999999999"/>
        <n v="574.99"/>
        <n v="9.7425"/>
        <n v="324.99"/>
        <n v="99.98999999999999"/>
        <n v="100"/>
        <n v="50"/>
        <n v="69.98999999999999"/>
        <n v="20"/>
        <n v="2399.9925"/>
        <n v="136.42"/>
        <n v="97.33"/>
        <n v="1625"/>
        <n v="200"/>
      </sharedItems>
    </cacheField>
    <cacheField name="Total Line Item $" numFmtId="0">
      <sharedItems containsSemiMixedTypes="0" containsNonDate="0" containsString="0" containsNumber="1" minValue="0" maxValue="17849.79" count="143">
        <n v="1099.98"/>
        <n v="349.99"/>
        <n v="19.99"/>
        <n v="14.99"/>
        <n v="19.9"/>
        <n v="59.99"/>
        <n v="959.92"/>
        <n v="71.92"/>
        <n v="499.98"/>
        <n v="49.98"/>
        <n v="3499.986"/>
        <n v="3914.955"/>
        <n v="2499.99"/>
        <n v="0"/>
        <n v="269.955"/>
        <n v="404.865"/>
        <n v="313.35"/>
        <n v="260"/>
        <n v="5624.9775"/>
        <n v="1749.993"/>
        <n v="299.94"/>
        <n v="175"/>
        <n v="890.3"/>
        <n v="19.98"/>
        <n v="9.99"/>
        <n v="119.94"/>
        <n v="49.99"/>
        <n v="219.98"/>
        <n v="239.98"/>
        <n v="99.98"/>
        <n v="799.98"/>
        <n v="599.985"/>
        <n v="449.9925"/>
        <n v="178.55"/>
        <n v="399.99"/>
        <n v="359.991"/>
        <n v="109.99"/>
        <n v="15"/>
        <n v="584.98"/>
        <n v="149.99"/>
        <n v="29.98"/>
        <n v="549.99"/>
        <n v="14.98"/>
        <n v="179.99"/>
        <n v="39.98"/>
        <n v="39.8"/>
        <n v="3199.99"/>
        <n v="1349.925"/>
        <n v="839.88"/>
        <n v="719.9400000000001"/>
        <n v="17849.79"/>
        <n v="396.4"/>
        <n v="299.9925"/>
        <n v="27.5"/>
        <n v="89.955"/>
        <n v="479.96"/>
        <n v="39.96"/>
        <n v="3899.97"/>
        <n v="60"/>
        <n v="599.99"/>
        <n v="1739.98"/>
        <n v="119.96"/>
        <n v="2599.98"/>
        <n v="399.98"/>
        <n v="199.96"/>
        <n v="828.1"/>
        <n v="382.725"/>
        <n v="387.49"/>
        <n v="37.49"/>
        <n v="1199.99"/>
        <n v="1699.98"/>
        <n v="1199.97"/>
        <n v="299.99"/>
        <n v="599.98"/>
        <n v="199.99"/>
        <n v="45.98"/>
        <n v="59.97"/>
        <n v="119.99"/>
        <n v="112.4775"/>
        <n v="134.9775"/>
        <n v="899.9775"/>
        <n v="2549.97"/>
        <n v="899.9924999999999"/>
        <n v="150"/>
        <n v="224.985"/>
        <n v="275"/>
        <n v="187.4925"/>
        <n v="350"/>
        <n v="79.95999999999999"/>
        <n v="10399.92"/>
        <n v="22.99"/>
        <n v="119.98"/>
        <n v="14999.94"/>
        <n v="600"/>
        <n v="1199.76"/>
        <n v="400"/>
        <n v="98.91"/>
        <n v="25"/>
        <n v="219.99"/>
        <n v="1799.97"/>
        <n v="1799.985"/>
        <n v="4999.98"/>
        <n v="2399.94"/>
        <n v="224.955"/>
        <n v="539.97"/>
        <n v="74.925"/>
        <n v="475"/>
        <n v="3780"/>
        <n v="202.48"/>
        <n v="25.98"/>
        <n v="7.96"/>
        <n v="29.97"/>
        <n v="59.98"/>
        <n v="299.98"/>
        <n v="825"/>
        <n v="299.985"/>
        <n v="374.985"/>
        <n v="449.97"/>
        <n v="37.4925"/>
        <n v="24.99"/>
        <n v="48"/>
        <n v="29.99"/>
        <n v="137"/>
        <n v="259.96"/>
        <n v="574.99"/>
        <n v="19.485"/>
        <n v="324.99"/>
        <n v="299.97"/>
        <n v="200"/>
        <n v="5199.96"/>
        <n v="139.98"/>
        <n v="779.88"/>
        <n v="439.96"/>
        <n v="40"/>
        <n v="129.98"/>
        <n v="719.96"/>
        <n v="2399.9925"/>
        <n v="100"/>
        <n v="68.97"/>
        <n v="136.42"/>
        <n v="97.33"/>
        <n v="2399.98"/>
        <n v="8125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6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80" createdVersion="7">
  <cacheSource type="worksheet">
    <worksheetSource ref="A2:H282" sheet="January 2023"/>
  </cacheSource>
  <cacheFields count="8">
    <cacheField name="Sales Order" numFmtId="0">
      <sharedItems containsNonDate="0" count="123">
        <s v="2470"/>
        <s v="2464"/>
        <s v="2463"/>
        <s v="2461"/>
        <s v="2460"/>
        <s v="2459"/>
        <s v="2462"/>
        <s v="2458"/>
        <s v="2457"/>
        <s v="2456"/>
        <s v="2455"/>
        <s v="2454"/>
        <s v="2453"/>
        <s v="2452"/>
        <s v="2451"/>
        <s v="2450"/>
        <s v="2449"/>
        <s v="2448"/>
        <s v="2446"/>
        <s v="2445"/>
        <s v="2447"/>
        <s v="2444"/>
        <s v="2443"/>
        <s v="2442"/>
        <s v="2441"/>
        <s v="2440"/>
        <s v="2439"/>
        <s v="2438"/>
        <s v="2437"/>
        <s v="2436"/>
        <s v="2435"/>
        <s v="2432"/>
        <s v="2431"/>
        <s v="2430"/>
        <s v="2429"/>
        <s v="2428"/>
        <s v="2427"/>
        <s v="2425"/>
        <s v="2433"/>
        <s v="2434"/>
        <s v="2426"/>
        <s v="2424"/>
        <s v="2423"/>
        <s v="2422"/>
        <s v="2421"/>
        <s v="2420"/>
        <s v="2419"/>
        <s v="2418"/>
        <s v="2417"/>
        <s v="2416"/>
        <s v="2415"/>
        <s v="2414"/>
        <s v="2413"/>
        <s v="2411"/>
        <s v="2412"/>
        <s v="2410"/>
        <s v="2409"/>
        <s v="2404"/>
        <s v="2403"/>
        <s v="2408"/>
        <s v="2401"/>
        <s v="2400"/>
        <s v="2402"/>
        <s v="2405"/>
        <s v="2407"/>
        <s v="2406"/>
        <s v="2399"/>
        <s v="2398"/>
        <s v="2397"/>
        <s v="2396"/>
        <s v="2395"/>
        <s v="2394"/>
        <s v="2393"/>
        <s v="2392"/>
        <s v="2391"/>
        <s v="2390"/>
        <s v="2387"/>
        <s v="2386"/>
        <s v="2389"/>
        <s v="2388"/>
        <s v="2382"/>
        <s v="2385"/>
        <s v="2384"/>
        <s v="2383"/>
        <s v="2381"/>
        <s v="2379"/>
        <s v="2378"/>
        <s v="2380"/>
        <s v="2377"/>
        <s v="2376"/>
        <s v="2653"/>
        <s v="2374"/>
        <s v="2375"/>
        <s v="2373"/>
        <s v="2372"/>
        <s v="2371"/>
        <s v="2370"/>
        <s v="2369"/>
        <s v="2368"/>
        <s v="2367"/>
        <s v="2365"/>
        <s v="2364"/>
        <s v="2363"/>
        <s v="2361"/>
        <s v="2360"/>
        <s v="2359"/>
        <s v="2358"/>
        <s v="2357"/>
        <s v="2356"/>
        <s v="2355"/>
        <s v="2354"/>
        <s v="2352"/>
        <s v="2353"/>
        <s v="2351"/>
        <s v="2348"/>
        <s v="2347"/>
        <s v="2346"/>
        <s v="2349"/>
        <s v="2350"/>
        <s v="2345"/>
        <s v="2344"/>
        <s v="2343"/>
        <s v="2342"/>
      </sharedItems>
    </cacheField>
    <cacheField name="Customer" numFmtId="0">
      <sharedItems containsNonDate="0" count="100">
        <s v="Hector Mendez Jr"/>
        <s v="Michael Ferruzza"/>
        <s v="Orlando Torres"/>
        <s v="MJ Navara"/>
        <s v="Diego De La Rosa"/>
        <s v="Promedsa"/>
        <s v="Dios Vazquez"/>
        <s v="Patrick Fenderson"/>
        <s v="Lavelle VanHorn"/>
        <s v="John Chimento"/>
        <s v="Dan Lovenheim"/>
        <s v="armando monroy"/>
        <s v="The Tribe Utah"/>
        <s v="Cedric Buford"/>
        <s v="Mason Johnston"/>
        <s v="Jose Hernandez"/>
        <s v="Edis Loja"/>
        <s v="Chris Abell"/>
        <s v="Fady Shenouda"/>
        <s v="DJ Event Gear"/>
        <s v="Jirair Chivitchian"/>
        <s v="ER Productions"/>
        <s v="Ruben Oajaca"/>
        <s v="Greg Lomangino"/>
        <s v="Aislinn Grenny"/>
        <s v="Jeremy Burge"/>
        <s v="Sal Cortez"/>
        <s v="Joseph Weinman"/>
        <s v="Eric Landman"/>
        <s v="Cheng Lin"/>
        <s v="James Tupper"/>
        <s v="Derek Dobbins"/>
        <s v="Jason Garfinkel"/>
        <s v="Michael Bowman"/>
        <s v="Marie Rodriguez"/>
        <s v="Tabitha Oneilll"/>
        <s v="Brown Note Productions"/>
        <s v="Charles Smith"/>
        <s v="Vincent Cassidy"/>
        <s v="Jermaine Johnson"/>
        <s v="James Ausmus"/>
        <s v="Ranjit Chand"/>
        <s v="Joshua Odmark"/>
        <s v="Patrick-Jordan Barnes"/>
        <s v="Jordan Cox"/>
        <s v="Corbin Alvae"/>
        <s v="Prince Chishty"/>
        <s v="LUIS APONTE"/>
        <s v="SFX Solutions"/>
        <s v="Hendrick Lee"/>
        <s v="Eric Terzyan"/>
        <s v="lino aponte"/>
        <s v="Steven Retas"/>
        <s v="Casey Rusch"/>
        <s v="Gilbert Salazar / Pyrotec S.A."/>
        <s v="Steven Dobo"/>
        <s v="Emerson Wellens"/>
        <s v="David Belogolovsky"/>
        <s v="Mark Watts"/>
        <s v="Monu Singh"/>
        <s v="Vikram Bhalla"/>
        <s v="Parker Weiss"/>
        <s v="Brandon Green"/>
        <s v="warren monnich"/>
        <s v="Daniel Reyes"/>
        <s v="Pasquale Lamarra"/>
        <s v="Light FX Pros"/>
        <s v="Pyrotek FX"/>
        <s v="Flow Productions / Jared Jared Van Earle"/>
        <s v="Image SFX"/>
        <s v="Moises Tarifa"/>
        <s v="Mario Bautista"/>
        <s v="Justin James"/>
        <s v="Tyler Strickland"/>
        <s v="Disney Cruise Line"/>
        <s v="silky sullivan"/>
        <s v="MTI Sound, Lighting, and Staging"/>
        <s v="Alexander Thompson"/>
        <s v="Gabriel Borrego"/>
        <s v="Khalil Charif"/>
        <s v="Anthony Brown"/>
        <s v="Marco Mejia"/>
        <s v="Isaiah Bradshaw"/>
        <s v="Lee Brown"/>
        <s v="Kirk Duncombe"/>
        <s v="Awakening Events Inc"/>
        <s v="Dominic Caminiti"/>
        <s v="Mike Garrasi"/>
        <s v="Jemika Moorman"/>
        <s v="Rob Aitken"/>
        <s v="Justin Jenkins"/>
        <s v="Aaron Ingersoll"/>
        <s v="Joseluis Morales"/>
        <s v="Walter Constanza"/>
        <s v="Renton Reese"/>
        <s v="Jake Tosti"/>
        <s v="Scott Gray"/>
        <s v="Kyle Jonas"/>
        <s v="Rory McElroy "/>
        <s v="Sean Halstead"/>
      </sharedItems>
    </cacheField>
    <cacheField name="Ordered Date" numFmtId="0">
      <sharedItems containsSemiMixedTypes="0" containsNonDate="0" containsDate="1" containsString="0" minDate="2023-01-01T10:09:48" maxDate="2023-01-31T15:00:36" count="109">
        <d v="2023-01-31T15:00:36"/>
        <d v="2023-01-31T13:08:56"/>
        <d v="2023-01-31T12:13:58"/>
        <d v="2023-01-31T11:35:35"/>
        <d v="2023-01-31T10:05:12"/>
        <d v="2023-01-31T00:00:00"/>
        <d v="2023-01-30T21:05:27"/>
        <d v="2023-01-30T21:00:49"/>
        <d v="2023-01-30T17:07:54"/>
        <d v="2023-01-30T16:35:54"/>
        <d v="2023-01-30T13:05:03"/>
        <d v="2023-01-30T00:00:00"/>
        <d v="2023-01-29T12:46:19"/>
        <d v="2023-01-29T12:27:55"/>
        <d v="2023-01-28T18:48:09"/>
        <d v="2023-01-28T11:37:28"/>
        <d v="2023-01-27T16:11:01"/>
        <d v="2023-01-27T08:37:53"/>
        <d v="2023-01-27T08:16:30"/>
        <d v="2023-01-27T00:00:00"/>
        <d v="2023-01-26T16:57:56"/>
        <d v="2023-01-26T00:00:00"/>
        <d v="2023-01-25T20:24:03"/>
        <d v="2023-01-25T13:35:46"/>
        <d v="2023-01-25T11:22:37"/>
        <d v="2023-01-25T00:00:00"/>
        <d v="2023-01-24T18:20:01"/>
        <d v="2023-01-24T16:26:44"/>
        <d v="2023-01-23T17:35:35"/>
        <d v="2023-01-23T16:14:06"/>
        <d v="2023-01-23T14:57:33"/>
        <d v="2023-01-23T12:19:30"/>
        <d v="2023-01-23T12:01:54"/>
        <d v="2023-01-23T11:17:51"/>
        <d v="2023-01-23T09:26:37"/>
        <d v="2023-01-23T07:14:03"/>
        <d v="2023-01-23T06:17:31"/>
        <d v="2023-01-23T00:00:00"/>
        <d v="2023-01-21T14:20:32"/>
        <d v="2023-01-20T11:35:03"/>
        <d v="2023-01-20T09:54:23"/>
        <d v="2023-01-20T07:15:13"/>
        <d v="2023-01-20T07:15:06"/>
        <d v="2023-01-19T14:44:27"/>
        <d v="2023-01-19T14:30:58"/>
        <d v="2023-01-19T11:57:22"/>
        <d v="2023-01-19T00:00:00"/>
        <d v="2023-01-18T16:55:01"/>
        <d v="2023-01-18T12:56:50"/>
        <d v="2023-01-18T12:16:13"/>
        <d v="2023-01-18T09:59:58"/>
        <d v="2023-01-18T00:00:00"/>
        <d v="2023-01-17T17:02:08"/>
        <d v="2023-01-17T12:45:10"/>
        <d v="2023-01-17T11:58:54"/>
        <d v="2023-01-17T11:45:11"/>
        <d v="2023-01-17T08:15:51"/>
        <d v="2023-01-17T06:37:24"/>
        <d v="2023-01-17T00:00:00"/>
        <d v="2023-01-16T20:48:50"/>
        <d v="2023-01-16T18:21:26"/>
        <d v="2023-01-16T09:45:59"/>
        <d v="2023-01-16T08:53:45"/>
        <d v="2023-01-16T00:00:00"/>
        <d v="2023-01-15T19:23:27"/>
        <d v="2023-01-15T08:38:17"/>
        <d v="2023-01-14T20:41:58"/>
        <d v="2023-01-14T12:16:00"/>
        <d v="2023-01-14T02:09:56"/>
        <d v="2023-01-14T00:00:00"/>
        <d v="2023-01-13T19:19:18"/>
        <d v="2023-01-13T16:57:34"/>
        <d v="2023-01-13T00:00:00"/>
        <d v="2023-01-12T20:52:22"/>
        <d v="2023-01-12T20:47:48"/>
        <d v="2023-01-12T15:16:15"/>
        <d v="2023-01-12T08:48:11"/>
        <d v="2023-01-12T08:11:08"/>
        <d v="2023-01-12T00:00:00"/>
        <d v="2023-01-11T18:07:44"/>
        <d v="2023-01-11T17:24:09"/>
        <d v="2023-01-11T00:00:00"/>
        <d v="2023-01-10T22:19:43"/>
        <d v="2023-01-10T10:05:15"/>
        <d v="2023-01-10T00:00:00"/>
        <d v="2023-01-09T16:31:34"/>
        <d v="2023-01-09T14:24:31"/>
        <d v="2023-01-09T00:00:00"/>
        <d v="2023-01-08T18:15:55"/>
        <d v="2023-01-08T09:34:32"/>
        <d v="2023-01-07T11:39:32"/>
        <d v="2023-01-07T05:54:11"/>
        <d v="2023-01-06T00:00:00"/>
        <d v="2023-01-05T18:32:59"/>
        <d v="2023-01-05T18:08:19"/>
        <d v="2023-01-05T16:55:23"/>
        <d v="2023-01-05T14:18:08"/>
        <d v="2023-01-05T13:31:59"/>
        <d v="2023-01-05T11:52:38"/>
        <d v="2023-01-05T10:11:41"/>
        <d v="2023-01-05T00:00:00"/>
        <d v="2023-01-04T16:41:32"/>
        <d v="2023-01-04T13:04:22"/>
        <d v="2023-01-04T11:35:25"/>
        <d v="2023-01-04T11:12:14"/>
        <d v="2023-01-04T00:00:00"/>
        <d v="2023-01-02T13:08:25"/>
        <d v="2023-01-02T00:00:00"/>
        <d v="2023-01-01T10:09:48"/>
      </sharedItems>
      <fieldGroup base="2">
        <rangePr startDate="2023-01-01T10:09:48" endDate="2023-01-31T15:00:36" groupBy="days"/>
        <groupItems count="368">
          <s v="&lt;01/01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31/2023"/>
        </groupItems>
      </fieldGroup>
    </cacheField>
    <cacheField name="Line Item Name" numFmtId="0">
      <sharedItems containsNonDate="0" count="67">
        <s v="CC-HCCMKII-15-NC"/>
        <s v="CC-AC-LGK"/>
        <s v="CC-AC-CTAT"/>
        <s v="CC-AC-ROR"/>
        <s v="CC-CH-25-STD"/>
        <s v="CC-AC-CCL"/>
        <s v="CC-WASH-10"/>
        <s v="CC-SM-5"/>
        <s v="3 pin to 5 pin Adapter"/>
        <s v="Shipping Fees"/>
        <s v="CC-AC-CLAMP"/>
        <s v="Shipping Charges"/>
        <s v="CC-CTC-20"/>
        <s v="CC-CTC-50"/>
        <s v="CC-TB-35"/>
        <s v="CC-AC-CTS"/>
        <s v="CC-F-MQCNPTM"/>
        <s v="CC-CH-08-STD"/>
        <s v="CC-CH-15-STD"/>
        <s v="CC-QJ-5-110"/>
        <s v="CC-PROJ-5-110"/>
        <s v="CC-AC-4PM"/>
        <s v="CC-CH-03.5-MFD"/>
        <s v="CC-CH-08-DSY"/>
        <s v="CC-NPTC-06-STD"/>
        <s v="CC-WASH-01"/>
        <s v="CC-F-COT"/>
        <s v="CC-HCCMKII-15-TC"/>
        <s v="CC-AC-TC"/>
        <s v="CC-HCCMKII-08-NC"/>
        <s v="CC-AC-SMK"/>
        <s v="Repair"/>
        <s v="CC-CH-35-STD"/>
        <s v="CC-CH-08-EXT"/>
        <s v="CC-HCCMKII-08-TC"/>
        <s v="CC-AC-CGANPT-SET"/>
        <s v="CC-AC-OP"/>
        <s v="CC-CH-05-DSY"/>
        <s v="CC-CH-15-DSY"/>
        <s v="CC-CH-50-STD"/>
        <s v="CC-CH-02-MFD"/>
        <s v="CC-F-MFDCGAJIC"/>
        <s v="CC-F-HEA"/>
        <s v="CC-SS-35"/>
        <s v="CC-CH-05-STD"/>
        <s v="CC-MJMKII-3-110"/>
        <s v="Micro Jet MKII 5-Pin XLR PCB"/>
        <s v="Club Cannon Barrel Band"/>
        <s v="6-32 x 3/8&quot; - CS, BSS"/>
        <s v="Labor"/>
        <s v="Pro Jet Main PCB - 1"/>
        <s v="CC-MJMKII-5-110"/>
        <s v="DMX Jet MKII Main PCB"/>
        <s v="1/4-20 x 3/4” CS screw"/>
        <s v="1/2-13 x 3/4” CS screw"/>
        <s v="3/4 OD X 1/4 ID X 1/8 Thickness Neoprene Rubber Washers"/>
        <s v="#12 x 1/2&quot; High Low Thread Forming Screws / Phillips / Pan Head / Steel / Black Zinc"/>
        <s v="1/4-20 x 1/2&quot; SEMS Screws / Internal Tooth Washer / PH S Black"/>
        <s v="Shoulder washers"/>
        <s v="1/4&quot; Co2 Valve"/>
        <s v="110v Solenoid Coil"/>
        <s v="Jet Solenoid Harness"/>
        <s v="CC-AC-CJLEDA"/>
        <s v="CC-F-DCHA"/>
        <s v="CO2 Silencer w/ 1/4&quot; Female port"/>
        <s v="True1 to Edison ShoMaster AC Adapters"/>
        <s v="The Button Key Assembly - 1"/>
      </sharedItems>
    </cacheField>
    <cacheField name="Line Item Description" numFmtId="0">
      <sharedItems containsNonDate="0" containsBlank="1" count="81">
        <s v="Handheld CO2 Cannon MKII"/>
        <s v="Replacement Keys - Shomaster"/>
        <s v="Co2 Tank Attachment Tool"/>
        <s v="Replacement O-Ring"/>
        <s v="Product CO2 Hose - 25 foot hose - $50.00"/>
        <s v="CO2 Cylinder Link"/>
        <s v="CO2 Washers"/>
        <s v="ShoMaster Console"/>
        <s v="Include 3 sets"/>
        <m/>
        <s v="Truss Clamp"/>
        <s v="CO2 Tank Covers - 20lb Cover"/>
        <s v="CO2 Tank Covers - 50lb Cover"/>
        <s v="The Button - with both 3 &amp; 5 pin DMX ports"/>
        <s v="CO2 Tank Splitter"/>
        <s v="Hose Adapters - #1 – Male Quick Connect (3/8″ NPT Male)"/>
        <s v="CO2 Hose"/>
        <s v="Quad Jet, 5 pin, 110v"/>
        <s v="Pro Jet, 5 Pin, 110v"/>
        <s v="Product CO2 Hose - 25 foot upgrade fee"/>
        <s v="4 Port Co2 Manifold - 4x JIC 3/8&quot; Inlets, 1x JIC 3/8&quot; Outlet with Truss Bracket"/>
        <s v="3 1/2FT CO2 Hose (CGA-320 x Female JIC 3/8&quot;) For use with Manifold"/>
        <s v="Neutrik PowerCON True1 Cords - 6FT, Standard (Included)"/>
        <s v="CO2 Washer (Included)"/>
        <s v="Co2 Tank Attachment Tool (Included)"/>
        <s v="Hose Adapters - #3 – CO2 Output Terminator"/>
        <s v="Handheld MKII in travel case with 15ft hose"/>
        <s v="Travel Case"/>
        <s v="Replacement Keys - The Button"/>
        <s v="24v DC solenoid coil replacement"/>
        <s v="Co2 Hose 08FT Extension Config"/>
        <s v="Handheld MKII in travel case with 8ft hose"/>
        <s v="CGA-320 to JIC adapter with nut."/>
        <s v="Pro Jet"/>
        <s v="Neutrik PowerCON True1 Cords - 6FT, Standard"/>
        <s v="CO2 Tank Tool + Washers - Yes - add tool and washers +$15.00"/>
        <s v="Pro Jet, 5 Pin"/>
        <s v="CO2 Hose (15FT, Daisy Chain Configuration)"/>
        <s v="CO2 Hose (50FT, Standard CGA to QC)"/>
        <s v="CO2 Washers (10 Pack, Included)"/>
        <s v="CO2 Output Terminator (Included)"/>
        <s v="2FT CO2 Hose (CGA-320 x Female JIC 3/8&quot;) For use with Manifold"/>
        <s v="Adapter for use with Manifold - to attach standard CGA-320 hose configuration"/>
        <s v="Hose Adapters - #2 – Hose Extension Adapter"/>
        <s v="ShoStarter DMX Controller with 3 &amp; 5 Pin Connectors"/>
        <s v="Quad Jet 110v , 5 pin (Demo Unit / B Stock / No Hoses)"/>
        <s v="Replacement O-Ring for female Quick Connector"/>
        <s v="Micro CO2 Jet MKII"/>
        <s v="DMX Input PCB"/>
        <s v="Club Cannon Barrel Band"/>
        <s v="Countersunk head, black stainless steel"/>
        <s v="testing, repair, &amp; evaluation. Replace XLR PCB on unit #0723182, replace valve seal on unit #0723196 (leaking)"/>
        <s v="Pro Jet Main PCB with Voltage Detection Circuit"/>
        <s v="CO2 Hose, 50FT, Standard configuration (Upgrade Fee)"/>
        <s v="CO2 Washers, 10 pack (Included)"/>
        <s v="CO2 Hose, 50FT, Standard configuration"/>
        <s v="Quad Jet - 110v , 5 Pin (JIC #6 inlets, no hoses)"/>
        <s v="Neutrik PowerCON True1 Cords - 6FT (Included)"/>
        <s v="DMX Jet MKII Main PCB"/>
        <s v="1/4-20 x 3/4” CS screw"/>
        <s v="1/2-13 x 3/4” CS screw"/>
        <s v="3/4 OD X 1/4 ID X 1/8 Thickness Neoprene Rubber Washers"/>
        <s v="Pro Jet feet screws (thread forming)"/>
        <s v="1/4-20 x 1/2&quot; SEMS Screws / Internal Tooth Washer / PH S Black"/>
        <s v="Shoulder washers"/>
        <s v="1/4&quot; Co2 Valve"/>
        <s v="110v Solenoid Coil"/>
        <s v="Pro Jet / Micro Jet MKII Solenoid Valve Harness - TE to DIN"/>
        <s v="Pro Jet, 5 Pin DMX, 110v. JIC In/Out instead of QC (No Hose)"/>
        <s v="Co2 Jet LED Attachment"/>
        <s v="#5 - Daisy Chain Adapter"/>
        <s v="Pro Jet, 5 Pin DMX, 110v"/>
        <s v="CO2 Hose, 15FT, Standard Configuration (Included)"/>
        <s v="Single CO2 Washer (Included)"/>
        <s v="Quad Jet, 110v, 5 pin DMX"/>
        <s v="25 foot hose (Upgrade Fee)"/>
        <s v="Key Switch with Wires and JST Connector for The Button"/>
        <s v="ShoStarter DMX Controller with 3 &amp; 5 Pin Connectors in Box"/>
        <s v="CO2 Output Terminator"/>
        <s v="Product CO2 Hose - 50 foot hose - $175.00"/>
        <s v="Single CO2 Washer"/>
      </sharedItems>
    </cacheField>
    <cacheField name="Order Quantity" numFmtId="0">
      <sharedItems containsSemiMixedTypes="0" containsNonDate="0" containsString="0" containsNumber="1" containsInteger="1" minValue="1" maxValue="200" count="17">
        <n v="1"/>
        <n v="3"/>
        <n v="10"/>
        <n v="2"/>
        <n v="6"/>
        <n v="14"/>
        <n v="8"/>
        <n v="5"/>
        <n v="4"/>
        <n v="12"/>
        <n v="100"/>
        <n v="200"/>
        <n v="24"/>
        <n v="18"/>
        <n v="20"/>
        <n v="16"/>
        <n v="13"/>
      </sharedItems>
    </cacheField>
    <cacheField name="Unit Price" numFmtId="0">
      <sharedItems containsSemiMixedTypes="0" containsNonDate="0" containsString="0" containsNumber="1" minValue="0" maxValue="3199.99" count="86">
        <n v="374.99"/>
        <n v="12.99"/>
        <n v="9.99"/>
        <n v="1.99"/>
        <n v="199.99"/>
        <n v="119.99"/>
        <n v="0"/>
        <n v="3199.99"/>
        <n v="172.88"/>
        <n v="22.4925"/>
        <n v="15"/>
        <n v="49.99"/>
        <n v="59.99"/>
        <n v="399.99"/>
        <n v="14.99"/>
        <n v="109.99"/>
        <n v="149.99"/>
        <n v="1874.9925"/>
        <n v="974.9924999999999"/>
        <n v="37.5"/>
        <n v="299.9925"/>
        <n v="134.9925"/>
        <n v="52.4925"/>
        <n v="82.49250000000001"/>
        <n v="37.4925"/>
        <n v="225"/>
        <n v="599.99"/>
        <n v="219.99"/>
        <n v="349.99"/>
        <n v="359.991"/>
        <n v="7.49"/>
        <n v="249.99"/>
        <n v="549.99"/>
        <n v="314.991"/>
        <n v="22.99"/>
        <n v="1299.99"/>
        <n v="50"/>
        <n v="99.98999999999999"/>
        <n v="900"/>
        <n v="112.4925"/>
        <n v="224.9925"/>
        <n v="8.99"/>
        <n v="175"/>
        <n v="299.99"/>
        <n v="64.98999999999999"/>
        <n v="19.99"/>
        <n v="899.9924999999999"/>
        <n v="1499.994"/>
        <n v="150"/>
        <n v="54.995"/>
        <n v="179.99"/>
        <n v="1.4925"/>
        <n v="7.4925"/>
        <n v="148.6"/>
        <n v="38.5"/>
        <n v="849.99"/>
        <n v="29.99"/>
        <n v="837.49"/>
        <n v="869.99"/>
        <n v="1624.9935"/>
        <n v="320"/>
        <n v="574.99"/>
        <n v="0.75"/>
        <n v="2"/>
        <n v="0.25"/>
        <n v="0.7"/>
        <n v="0.2"/>
        <n v="350"/>
        <n v="300"/>
        <n v="2499.99"/>
        <n v="44.9925"/>
        <n v="14.9925"/>
        <n v="100"/>
        <n v="89.99250000000001"/>
        <n v="277.53"/>
        <n v="324.99"/>
        <n v="587.49"/>
        <n v="37.49"/>
        <n v="211.65"/>
        <n v="1.66"/>
        <n v="22.5"/>
        <n v="18.5"/>
        <n v="300.45"/>
        <n v="1169.991"/>
        <n v="131.25"/>
        <n v="107.991"/>
      </sharedItems>
    </cacheField>
    <cacheField name="Total Line Item $" numFmtId="0">
      <sharedItems containsSemiMixedTypes="0" containsNonDate="0" containsString="0" containsNumber="1" minValue="0" maxValue="12999.948" count="121">
        <n v="374.99"/>
        <n v="12.99"/>
        <n v="9.99"/>
        <n v="1.99"/>
        <n v="199.99"/>
        <n v="119.99"/>
        <n v="0"/>
        <n v="9599.969999999999"/>
        <n v="172.88"/>
        <n v="224.925"/>
        <n v="15"/>
        <n v="49.99"/>
        <n v="59.99"/>
        <n v="399.99"/>
        <n v="239.98"/>
        <n v="99.98"/>
        <n v="29.98"/>
        <n v="219.98"/>
        <n v="149.99"/>
        <n v="3749.985"/>
        <n v="5849.955"/>
        <n v="525"/>
        <n v="599.985"/>
        <n v="269.985"/>
        <n v="419.94"/>
        <n v="412.4625"/>
        <n v="149.97"/>
        <n v="134.955"/>
        <n v="225"/>
        <n v="599.99"/>
        <n v="439.98"/>
        <n v="349.99"/>
        <n v="799.98"/>
        <n v="359.991"/>
        <n v="7.49"/>
        <n v="499.98"/>
        <n v="219.99"/>
        <n v="549.99"/>
        <n v="629.982"/>
        <n v="45.98"/>
        <n v="1299.99"/>
        <n v="50"/>
        <n v="99.98999999999999"/>
        <n v="1999.95"/>
        <n v="29.97"/>
        <n v="119.98"/>
        <n v="5400"/>
        <n v="1349.91"/>
        <n v="1799.94"/>
        <n v="53.94"/>
        <n v="175"/>
        <n v="1800"/>
        <n v="314.991"/>
        <n v="599.98"/>
        <n v="19.9"/>
        <n v="91.95999999999999"/>
        <n v="129.98"/>
        <n v="39.98"/>
        <n v="39.96"/>
        <n v="19.99"/>
        <n v="899.9924999999999"/>
        <n v="1499.994"/>
        <n v="150"/>
        <n v="19.98"/>
        <n v="2599.98"/>
        <n v="109.99"/>
        <n v="179.99"/>
        <n v="3199.99"/>
        <n v="298.5"/>
        <n v="179.82"/>
        <n v="148.6"/>
        <n v="1079.94"/>
        <n v="38.5"/>
        <n v="1699.98"/>
        <n v="14.99"/>
        <n v="5099.94"/>
        <n v="1050"/>
        <n v="359.88"/>
        <n v="119.96"/>
        <n v="1674.98"/>
        <n v="3479.96"/>
        <n v="700"/>
        <n v="1199.9"/>
        <n v="12999.948"/>
        <n v="320"/>
        <n v="574.99"/>
        <n v="675"/>
        <n v="2.25"/>
        <n v="6"/>
        <n v="2.5"/>
        <n v="4.2"/>
        <n v="1.5"/>
        <n v="1.2"/>
        <n v="9000"/>
        <n v="3500"/>
        <n v="300"/>
        <n v="179.94"/>
        <n v="2499.99"/>
        <n v="719.88"/>
        <n v="89.955"/>
        <n v="89.97"/>
        <n v="100"/>
        <n v="12674.9025"/>
        <n v="719.9400000000001"/>
        <n v="277.53"/>
        <n v="1099.98"/>
        <n v="4999.98"/>
        <n v="199.96"/>
        <n v="400"/>
        <n v="324.99"/>
        <n v="587.49"/>
        <n v="37.49"/>
        <n v="211.65"/>
        <n v="1.66"/>
        <n v="90"/>
        <n v="79.95999999999999"/>
        <n v="74"/>
        <n v="8999.924999999999"/>
        <n v="300.45"/>
        <n v="9359.928"/>
        <n v="863.92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7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80" createdVersion="7">
  <cacheSource type="worksheet">
    <worksheetSource ref="D2:F282" sheet="January 2023"/>
  </cacheSource>
  <cacheFields count="3">
    <cacheField name="Line Item Name" numFmtId="0">
      <sharedItems containsNonDate="0" count="67">
        <s v="CC-HCCMKII-15-NC"/>
        <s v="CC-AC-LGK"/>
        <s v="CC-AC-CTAT"/>
        <s v="CC-AC-ROR"/>
        <s v="CC-CH-25-STD"/>
        <s v="CC-AC-CCL"/>
        <s v="CC-WASH-10"/>
        <s v="CC-SM-5"/>
        <s v="3 pin to 5 pin Adapter"/>
        <s v="Shipping Fees"/>
        <s v="CC-AC-CLAMP"/>
        <s v="Shipping Charges"/>
        <s v="CC-CTC-20"/>
        <s v="CC-CTC-50"/>
        <s v="CC-TB-35"/>
        <s v="CC-AC-CTS"/>
        <s v="CC-F-MQCNPTM"/>
        <s v="CC-CH-08-STD"/>
        <s v="CC-CH-15-STD"/>
        <s v="CC-QJ-5-110"/>
        <s v="CC-PROJ-5-110"/>
        <s v="CC-AC-4PM"/>
        <s v="CC-CH-03.5-MFD"/>
        <s v="CC-CH-08-DSY"/>
        <s v="CC-NPTC-06-STD"/>
        <s v="CC-WASH-01"/>
        <s v="CC-F-COT"/>
        <s v="CC-HCCMKII-15-TC"/>
        <s v="CC-AC-TC"/>
        <s v="CC-HCCMKII-08-NC"/>
        <s v="CC-AC-SMK"/>
        <s v="Repair"/>
        <s v="CC-CH-35-STD"/>
        <s v="CC-CH-08-EXT"/>
        <s v="CC-HCCMKII-08-TC"/>
        <s v="CC-AC-CGANPT-SET"/>
        <s v="CC-AC-OP"/>
        <s v="CC-CH-05-DSY"/>
        <s v="CC-CH-15-DSY"/>
        <s v="CC-CH-50-STD"/>
        <s v="CC-CH-02-MFD"/>
        <s v="CC-F-MFDCGAJIC"/>
        <s v="CC-F-HEA"/>
        <s v="CC-SS-35"/>
        <s v="CC-CH-05-STD"/>
        <s v="CC-MJMKII-3-110"/>
        <s v="Micro Jet MKII 5-Pin XLR PCB"/>
        <s v="Club Cannon Barrel Band"/>
        <s v="6-32 x 3/8&quot; - CS, BSS"/>
        <s v="Labor"/>
        <s v="Pro Jet Main PCB - 1"/>
        <s v="CC-MJMKII-5-110"/>
        <s v="DMX Jet MKII Main PCB"/>
        <s v="1/4-20 x 3/4” CS screw"/>
        <s v="1/2-13 x 3/4” CS screw"/>
        <s v="3/4 OD X 1/4 ID X 1/8 Thickness Neoprene Rubber Washers"/>
        <s v="#12 x 1/2&quot; High Low Thread Forming Screws / Phillips / Pan Head / Steel / Black Zinc"/>
        <s v="1/4-20 x 1/2&quot; SEMS Screws / Internal Tooth Washer / PH S Black"/>
        <s v="Shoulder washers"/>
        <s v="1/4&quot; Co2 Valve"/>
        <s v="110v Solenoid Coil"/>
        <s v="Jet Solenoid Harness"/>
        <s v="CC-AC-CJLEDA"/>
        <s v="CC-F-DCHA"/>
        <s v="CO2 Silencer w/ 1/4&quot; Female port"/>
        <s v="True1 to Edison ShoMaster AC Adapters"/>
        <s v="The Button Key Assembly - 1"/>
      </sharedItems>
    </cacheField>
    <cacheField name="Line Item Description" numFmtId="0">
      <sharedItems containsNonDate="0" containsBlank="1" count="81">
        <s v="Handheld CO2 Cannon MKII"/>
        <s v="Replacement Keys - Shomaster"/>
        <s v="Co2 Tank Attachment Tool"/>
        <s v="Replacement O-Ring"/>
        <s v="Product CO2 Hose - 25 foot hose - $50.00"/>
        <s v="CO2 Cylinder Link"/>
        <s v="CO2 Washers"/>
        <s v="ShoMaster Console"/>
        <s v="Include 3 sets"/>
        <m/>
        <s v="Truss Clamp"/>
        <s v="CO2 Tank Covers - 20lb Cover"/>
        <s v="CO2 Tank Covers - 50lb Cover"/>
        <s v="The Button - with both 3 &amp; 5 pin DMX ports"/>
        <s v="CO2 Tank Splitter"/>
        <s v="Hose Adapters - #1 – Male Quick Connect (3/8″ NPT Male)"/>
        <s v="CO2 Hose"/>
        <s v="Quad Jet, 5 pin, 110v"/>
        <s v="Pro Jet, 5 Pin, 110v"/>
        <s v="Product CO2 Hose - 25 foot upgrade fee"/>
        <s v="4 Port Co2 Manifold - 4x JIC 3/8&quot; Inlets, 1x JIC 3/8&quot; Outlet with Truss Bracket"/>
        <s v="3 1/2FT CO2 Hose (CGA-320 x Female JIC 3/8&quot;) For use with Manifold"/>
        <s v="Neutrik PowerCON True1 Cords - 6FT, Standard (Included)"/>
        <s v="CO2 Washer (Included)"/>
        <s v="Co2 Tank Attachment Tool (Included)"/>
        <s v="Hose Adapters - #3 – CO2 Output Terminator"/>
        <s v="Handheld MKII in travel case with 15ft hose"/>
        <s v="Travel Case"/>
        <s v="Replacement Keys - The Button"/>
        <s v="24v DC solenoid coil replacement"/>
        <s v="Co2 Hose 08FT Extension Config"/>
        <s v="Handheld MKII in travel case with 8ft hose"/>
        <s v="CGA-320 to JIC adapter with nut."/>
        <s v="Pro Jet"/>
        <s v="Neutrik PowerCON True1 Cords - 6FT, Standard"/>
        <s v="CO2 Tank Tool + Washers - Yes - add tool and washers +$15.00"/>
        <s v="Pro Jet, 5 Pin"/>
        <s v="CO2 Hose (15FT, Daisy Chain Configuration)"/>
        <s v="CO2 Hose (50FT, Standard CGA to QC)"/>
        <s v="CO2 Washers (10 Pack, Included)"/>
        <s v="CO2 Output Terminator (Included)"/>
        <s v="2FT CO2 Hose (CGA-320 x Female JIC 3/8&quot;) For use with Manifold"/>
        <s v="Adapter for use with Manifold - to attach standard CGA-320 hose configuration"/>
        <s v="Hose Adapters - #2 – Hose Extension Adapter"/>
        <s v="ShoStarter DMX Controller with 3 &amp; 5 Pin Connectors"/>
        <s v="Quad Jet 110v , 5 pin (Demo Unit / B Stock / No Hoses)"/>
        <s v="Replacement O-Ring for female Quick Connector"/>
        <s v="Micro CO2 Jet MKII"/>
        <s v="DMX Input PCB"/>
        <s v="Club Cannon Barrel Band"/>
        <s v="Countersunk head, black stainless steel"/>
        <s v="testing, repair, &amp; evaluation. Replace XLR PCB on unit #0723182, replace valve seal on unit #0723196 (leaking)"/>
        <s v="Pro Jet Main PCB with Voltage Detection Circuit"/>
        <s v="CO2 Hose, 50FT, Standard configuration (Upgrade Fee)"/>
        <s v="CO2 Washers, 10 pack (Included)"/>
        <s v="CO2 Hose, 50FT, Standard configuration"/>
        <s v="Quad Jet - 110v , 5 Pin (JIC #6 inlets, no hoses)"/>
        <s v="Neutrik PowerCON True1 Cords - 6FT (Included)"/>
        <s v="DMX Jet MKII Main PCB"/>
        <s v="1/4-20 x 3/4” CS screw"/>
        <s v="1/2-13 x 3/4” CS screw"/>
        <s v="3/4 OD X 1/4 ID X 1/8 Thickness Neoprene Rubber Washers"/>
        <s v="Pro Jet feet screws (thread forming)"/>
        <s v="1/4-20 x 1/2&quot; SEMS Screws / Internal Tooth Washer / PH S Black"/>
        <s v="Shoulder washers"/>
        <s v="1/4&quot; Co2 Valve"/>
        <s v="110v Solenoid Coil"/>
        <s v="Pro Jet / Micro Jet MKII Solenoid Valve Harness - TE to DIN"/>
        <s v="Pro Jet, 5 Pin DMX, 110v. JIC In/Out instead of QC (No Hose)"/>
        <s v="Co2 Jet LED Attachment"/>
        <s v="#5 - Daisy Chain Adapter"/>
        <s v="Pro Jet, 5 Pin DMX, 110v"/>
        <s v="CO2 Hose, 15FT, Standard Configuration (Included)"/>
        <s v="Single CO2 Washer (Included)"/>
        <s v="Quad Jet, 110v, 5 pin DMX"/>
        <s v="25 foot hose (Upgrade Fee)"/>
        <s v="Key Switch with Wires and JST Connector for The Button"/>
        <s v="ShoStarter DMX Controller with 3 &amp; 5 Pin Connectors in Box"/>
        <s v="CO2 Output Terminator"/>
        <s v="Product CO2 Hose - 50 foot hose - $175.00"/>
        <s v="Single CO2 Washer"/>
      </sharedItems>
    </cacheField>
    <cacheField name="Order Quantity" numFmtId="0">
      <sharedItems containsSemiMixedTypes="0" containsNonDate="0" containsString="0" containsNumber="1" containsInteger="1" minValue="1" maxValue="200" count="17">
        <n v="1"/>
        <n v="3"/>
        <n v="10"/>
        <n v="2"/>
        <n v="6"/>
        <n v="14"/>
        <n v="8"/>
        <n v="5"/>
        <n v="4"/>
        <n v="12"/>
        <n v="100"/>
        <n v="200"/>
        <n v="24"/>
        <n v="18"/>
        <n v="20"/>
        <n v="16"/>
        <n v="13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Definition58.xml><?xml version="1.0" encoding="utf-8"?>
<pivotCacheDefinition xmlns:r="http://schemas.openxmlformats.org/officeDocument/2006/relationships" xmlns:mc="http://schemas.openxmlformats.org/markup-compatibility/2006" xmlns="http://schemas.openxmlformats.org/spreadsheetml/2006/main" r:id="rId1" refreshedDate="0" recordCount="280" createdVersion="7">
  <cacheSource type="worksheet">
    <worksheetSource ref="D2:H282" sheet="January 2023"/>
  </cacheSource>
  <cacheFields count="5">
    <cacheField name="Line Item Name" numFmtId="0">
      <sharedItems containsNonDate="0" count="67">
        <s v="CC-HCCMKII-15-NC"/>
        <s v="CC-AC-LGK"/>
        <s v="CC-AC-CTAT"/>
        <s v="CC-AC-ROR"/>
        <s v="CC-CH-25-STD"/>
        <s v="CC-AC-CCL"/>
        <s v="CC-WASH-10"/>
        <s v="CC-SM-5"/>
        <s v="3 pin to 5 pin Adapter"/>
        <s v="Shipping Fees"/>
        <s v="CC-AC-CLAMP"/>
        <s v="Shipping Charges"/>
        <s v="CC-CTC-20"/>
        <s v="CC-CTC-50"/>
        <s v="CC-TB-35"/>
        <s v="CC-AC-CTS"/>
        <s v="CC-F-MQCNPTM"/>
        <s v="CC-CH-08-STD"/>
        <s v="CC-CH-15-STD"/>
        <s v="CC-QJ-5-110"/>
        <s v="CC-PROJ-5-110"/>
        <s v="CC-AC-4PM"/>
        <s v="CC-CH-03.5-MFD"/>
        <s v="CC-CH-08-DSY"/>
        <s v="CC-NPTC-06-STD"/>
        <s v="CC-WASH-01"/>
        <s v="CC-F-COT"/>
        <s v="CC-HCCMKII-15-TC"/>
        <s v="CC-AC-TC"/>
        <s v="CC-HCCMKII-08-NC"/>
        <s v="CC-AC-SMK"/>
        <s v="Repair"/>
        <s v="CC-CH-35-STD"/>
        <s v="CC-CH-08-EXT"/>
        <s v="CC-HCCMKII-08-TC"/>
        <s v="CC-AC-CGANPT-SET"/>
        <s v="CC-AC-OP"/>
        <s v="CC-CH-05-DSY"/>
        <s v="CC-CH-15-DSY"/>
        <s v="CC-CH-50-STD"/>
        <s v="CC-CH-02-MFD"/>
        <s v="CC-F-MFDCGAJIC"/>
        <s v="CC-F-HEA"/>
        <s v="CC-SS-35"/>
        <s v="CC-CH-05-STD"/>
        <s v="CC-MJMKII-3-110"/>
        <s v="Micro Jet MKII 5-Pin XLR PCB"/>
        <s v="Club Cannon Barrel Band"/>
        <s v="6-32 x 3/8&quot; - CS, BSS"/>
        <s v="Labor"/>
        <s v="Pro Jet Main PCB - 1"/>
        <s v="CC-MJMKII-5-110"/>
        <s v="DMX Jet MKII Main PCB"/>
        <s v="1/4-20 x 3/4” CS screw"/>
        <s v="1/2-13 x 3/4” CS screw"/>
        <s v="3/4 OD X 1/4 ID X 1/8 Thickness Neoprene Rubber Washers"/>
        <s v="#12 x 1/2&quot; High Low Thread Forming Screws / Phillips / Pan Head / Steel / Black Zinc"/>
        <s v="1/4-20 x 1/2&quot; SEMS Screws / Internal Tooth Washer / PH S Black"/>
        <s v="Shoulder washers"/>
        <s v="1/4&quot; Co2 Valve"/>
        <s v="110v Solenoid Coil"/>
        <s v="Jet Solenoid Harness"/>
        <s v="CC-AC-CJLEDA"/>
        <s v="CC-F-DCHA"/>
        <s v="CO2 Silencer w/ 1/4&quot; Female port"/>
        <s v="True1 to Edison ShoMaster AC Adapters"/>
        <s v="The Button Key Assembly - 1"/>
      </sharedItems>
    </cacheField>
    <cacheField name="Line Item Description" numFmtId="0">
      <sharedItems containsNonDate="0" containsBlank="1" count="81">
        <s v="Handheld CO2 Cannon MKII"/>
        <s v="Replacement Keys - Shomaster"/>
        <s v="Co2 Tank Attachment Tool"/>
        <s v="Replacement O-Ring"/>
        <s v="Product CO2 Hose - 25 foot hose - $50.00"/>
        <s v="CO2 Cylinder Link"/>
        <s v="CO2 Washers"/>
        <s v="ShoMaster Console"/>
        <s v="Include 3 sets"/>
        <m/>
        <s v="Truss Clamp"/>
        <s v="CO2 Tank Covers - 20lb Cover"/>
        <s v="CO2 Tank Covers - 50lb Cover"/>
        <s v="The Button - with both 3 &amp; 5 pin DMX ports"/>
        <s v="CO2 Tank Splitter"/>
        <s v="Hose Adapters - #1 – Male Quick Connect (3/8″ NPT Male)"/>
        <s v="CO2 Hose"/>
        <s v="Quad Jet, 5 pin, 110v"/>
        <s v="Pro Jet, 5 Pin, 110v"/>
        <s v="Product CO2 Hose - 25 foot upgrade fee"/>
        <s v="4 Port Co2 Manifold - 4x JIC 3/8&quot; Inlets, 1x JIC 3/8&quot; Outlet with Truss Bracket"/>
        <s v="3 1/2FT CO2 Hose (CGA-320 x Female JIC 3/8&quot;) For use with Manifold"/>
        <s v="Neutrik PowerCON True1 Cords - 6FT, Standard (Included)"/>
        <s v="CO2 Washer (Included)"/>
        <s v="Co2 Tank Attachment Tool (Included)"/>
        <s v="Hose Adapters - #3 – CO2 Output Terminator"/>
        <s v="Handheld MKII in travel case with 15ft hose"/>
        <s v="Travel Case"/>
        <s v="Replacement Keys - The Button"/>
        <s v="24v DC solenoid coil replacement"/>
        <s v="Co2 Hose 08FT Extension Config"/>
        <s v="Handheld MKII in travel case with 8ft hose"/>
        <s v="CGA-320 to JIC adapter with nut."/>
        <s v="Pro Jet"/>
        <s v="Neutrik PowerCON True1 Cords - 6FT, Standard"/>
        <s v="CO2 Tank Tool + Washers - Yes - add tool and washers +$15.00"/>
        <s v="Pro Jet, 5 Pin"/>
        <s v="CO2 Hose (15FT, Daisy Chain Configuration)"/>
        <s v="CO2 Hose (50FT, Standard CGA to QC)"/>
        <s v="CO2 Washers (10 Pack, Included)"/>
        <s v="CO2 Output Terminator (Included)"/>
        <s v="2FT CO2 Hose (CGA-320 x Female JIC 3/8&quot;) For use with Manifold"/>
        <s v="Adapter for use with Manifold - to attach standard CGA-320 hose configuration"/>
        <s v="Hose Adapters - #2 – Hose Extension Adapter"/>
        <s v="ShoStarter DMX Controller with 3 &amp; 5 Pin Connectors"/>
        <s v="Quad Jet 110v , 5 pin (Demo Unit / B Stock / No Hoses)"/>
        <s v="Replacement O-Ring for female Quick Connector"/>
        <s v="Micro CO2 Jet MKII"/>
        <s v="DMX Input PCB"/>
        <s v="Club Cannon Barrel Band"/>
        <s v="Countersunk head, black stainless steel"/>
        <s v="testing, repair, &amp; evaluation. Replace XLR PCB on unit #0723182, replace valve seal on unit #0723196 (leaking)"/>
        <s v="Pro Jet Main PCB with Voltage Detection Circuit"/>
        <s v="CO2 Hose, 50FT, Standard configuration (Upgrade Fee)"/>
        <s v="CO2 Washers, 10 pack (Included)"/>
        <s v="CO2 Hose, 50FT, Standard configuration"/>
        <s v="Quad Jet - 110v , 5 Pin (JIC #6 inlets, no hoses)"/>
        <s v="Neutrik PowerCON True1 Cords - 6FT (Included)"/>
        <s v="DMX Jet MKII Main PCB"/>
        <s v="1/4-20 x 3/4” CS screw"/>
        <s v="1/2-13 x 3/4” CS screw"/>
        <s v="3/4 OD X 1/4 ID X 1/8 Thickness Neoprene Rubber Washers"/>
        <s v="Pro Jet feet screws (thread forming)"/>
        <s v="1/4-20 x 1/2&quot; SEMS Screws / Internal Tooth Washer / PH S Black"/>
        <s v="Shoulder washers"/>
        <s v="1/4&quot; Co2 Valve"/>
        <s v="110v Solenoid Coil"/>
        <s v="Pro Jet / Micro Jet MKII Solenoid Valve Harness - TE to DIN"/>
        <s v="Pro Jet, 5 Pin DMX, 110v. JIC In/Out instead of QC (No Hose)"/>
        <s v="Co2 Jet LED Attachment"/>
        <s v="#5 - Daisy Chain Adapter"/>
        <s v="Pro Jet, 5 Pin DMX, 110v"/>
        <s v="CO2 Hose, 15FT, Standard Configuration (Included)"/>
        <s v="Single CO2 Washer (Included)"/>
        <s v="Quad Jet, 110v, 5 pin DMX"/>
        <s v="25 foot hose (Upgrade Fee)"/>
        <s v="Key Switch with Wires and JST Connector for The Button"/>
        <s v="ShoStarter DMX Controller with 3 &amp; 5 Pin Connectors in Box"/>
        <s v="CO2 Output Terminator"/>
        <s v="Product CO2 Hose - 50 foot hose - $175.00"/>
        <s v="Single CO2 Washer"/>
      </sharedItems>
    </cacheField>
    <cacheField name="Order Quantity" numFmtId="0">
      <sharedItems containsSemiMixedTypes="0" containsNonDate="0" containsString="0" containsNumber="1" containsInteger="1" minValue="1" maxValue="200" count="17">
        <n v="1"/>
        <n v="3"/>
        <n v="10"/>
        <n v="2"/>
        <n v="6"/>
        <n v="14"/>
        <n v="8"/>
        <n v="5"/>
        <n v="4"/>
        <n v="12"/>
        <n v="100"/>
        <n v="200"/>
        <n v="24"/>
        <n v="18"/>
        <n v="20"/>
        <n v="16"/>
        <n v="13"/>
      </sharedItems>
    </cacheField>
    <cacheField name="Unit Price" numFmtId="0">
      <sharedItems containsSemiMixedTypes="0" containsNonDate="0" containsString="0" containsNumber="1" minValue="0" maxValue="3199.99" count="86">
        <n v="374.99"/>
        <n v="12.99"/>
        <n v="9.99"/>
        <n v="1.99"/>
        <n v="199.99"/>
        <n v="119.99"/>
        <n v="0"/>
        <n v="3199.99"/>
        <n v="172.88"/>
        <n v="22.4925"/>
        <n v="15"/>
        <n v="49.99"/>
        <n v="59.99"/>
        <n v="399.99"/>
        <n v="14.99"/>
        <n v="109.99"/>
        <n v="149.99"/>
        <n v="1874.9925"/>
        <n v="974.9924999999999"/>
        <n v="37.5"/>
        <n v="299.9925"/>
        <n v="134.9925"/>
        <n v="52.4925"/>
        <n v="82.49250000000001"/>
        <n v="37.4925"/>
        <n v="225"/>
        <n v="599.99"/>
        <n v="219.99"/>
        <n v="349.99"/>
        <n v="359.991"/>
        <n v="7.49"/>
        <n v="249.99"/>
        <n v="549.99"/>
        <n v="314.991"/>
        <n v="22.99"/>
        <n v="1299.99"/>
        <n v="50"/>
        <n v="99.98999999999999"/>
        <n v="900"/>
        <n v="112.4925"/>
        <n v="224.9925"/>
        <n v="8.99"/>
        <n v="175"/>
        <n v="299.99"/>
        <n v="64.98999999999999"/>
        <n v="19.99"/>
        <n v="899.9924999999999"/>
        <n v="1499.994"/>
        <n v="150"/>
        <n v="54.995"/>
        <n v="179.99"/>
        <n v="1.4925"/>
        <n v="7.4925"/>
        <n v="148.6"/>
        <n v="38.5"/>
        <n v="849.99"/>
        <n v="29.99"/>
        <n v="837.49"/>
        <n v="869.99"/>
        <n v="1624.9935"/>
        <n v="320"/>
        <n v="574.99"/>
        <n v="0.75"/>
        <n v="2"/>
        <n v="0.25"/>
        <n v="0.7"/>
        <n v="0.2"/>
        <n v="350"/>
        <n v="300"/>
        <n v="2499.99"/>
        <n v="44.9925"/>
        <n v="14.9925"/>
        <n v="100"/>
        <n v="89.99250000000001"/>
        <n v="277.53"/>
        <n v="324.99"/>
        <n v="587.49"/>
        <n v="37.49"/>
        <n v="211.65"/>
        <n v="1.66"/>
        <n v="22.5"/>
        <n v="18.5"/>
        <n v="300.45"/>
        <n v="1169.991"/>
        <n v="131.25"/>
        <n v="107.991"/>
      </sharedItems>
    </cacheField>
    <cacheField name="Total Line Item $" numFmtId="0">
      <sharedItems containsSemiMixedTypes="0" containsNonDate="0" containsString="0" containsNumber="1" minValue="0" maxValue="12999.948" count="121">
        <n v="374.99"/>
        <n v="12.99"/>
        <n v="9.99"/>
        <n v="1.99"/>
        <n v="199.99"/>
        <n v="119.99"/>
        <n v="0"/>
        <n v="9599.969999999999"/>
        <n v="172.88"/>
        <n v="224.925"/>
        <n v="15"/>
        <n v="49.99"/>
        <n v="59.99"/>
        <n v="399.99"/>
        <n v="239.98"/>
        <n v="99.98"/>
        <n v="29.98"/>
        <n v="219.98"/>
        <n v="149.99"/>
        <n v="3749.985"/>
        <n v="5849.955"/>
        <n v="525"/>
        <n v="599.985"/>
        <n v="269.985"/>
        <n v="419.94"/>
        <n v="412.4625"/>
        <n v="149.97"/>
        <n v="134.955"/>
        <n v="225"/>
        <n v="599.99"/>
        <n v="439.98"/>
        <n v="349.99"/>
        <n v="799.98"/>
        <n v="359.991"/>
        <n v="7.49"/>
        <n v="499.98"/>
        <n v="219.99"/>
        <n v="549.99"/>
        <n v="629.982"/>
        <n v="45.98"/>
        <n v="1299.99"/>
        <n v="50"/>
        <n v="99.98999999999999"/>
        <n v="1999.95"/>
        <n v="29.97"/>
        <n v="119.98"/>
        <n v="5400"/>
        <n v="1349.91"/>
        <n v="1799.94"/>
        <n v="53.94"/>
        <n v="175"/>
        <n v="1800"/>
        <n v="314.991"/>
        <n v="599.98"/>
        <n v="19.9"/>
        <n v="91.95999999999999"/>
        <n v="129.98"/>
        <n v="39.98"/>
        <n v="39.96"/>
        <n v="19.99"/>
        <n v="899.9924999999999"/>
        <n v="1499.994"/>
        <n v="150"/>
        <n v="19.98"/>
        <n v="2599.98"/>
        <n v="109.99"/>
        <n v="179.99"/>
        <n v="3199.99"/>
        <n v="298.5"/>
        <n v="179.82"/>
        <n v="148.6"/>
        <n v="1079.94"/>
        <n v="38.5"/>
        <n v="1699.98"/>
        <n v="14.99"/>
        <n v="5099.94"/>
        <n v="1050"/>
        <n v="359.88"/>
        <n v="119.96"/>
        <n v="1674.98"/>
        <n v="3479.96"/>
        <n v="700"/>
        <n v="1199.9"/>
        <n v="12999.948"/>
        <n v="320"/>
        <n v="574.99"/>
        <n v="675"/>
        <n v="2.25"/>
        <n v="6"/>
        <n v="2.5"/>
        <n v="4.2"/>
        <n v="1.5"/>
        <n v="1.2"/>
        <n v="9000"/>
        <n v="3500"/>
        <n v="300"/>
        <n v="179.94"/>
        <n v="2499.99"/>
        <n v="719.88"/>
        <n v="89.955"/>
        <n v="89.97"/>
        <n v="100"/>
        <n v="12674.9025"/>
        <n v="719.9400000000001"/>
        <n v="277.53"/>
        <n v="1099.98"/>
        <n v="4999.98"/>
        <n v="199.96"/>
        <n v="400"/>
        <n v="324.99"/>
        <n v="587.49"/>
        <n v="37.49"/>
        <n v="211.65"/>
        <n v="1.66"/>
        <n v="90"/>
        <n v="79.95999999999999"/>
        <n v="74"/>
        <n v="8999.924999999999"/>
        <n v="300.45"/>
        <n v="9359.928"/>
        <n v="863.928"/>
      </sharedItems>
    </cacheField>
  </cacheFields>
  <extLst>
    <ext xmlns:x14="http://schemas.microsoft.com/office/spreadsheetml/2009/9/main">
      <x14:pivotCacheDefinition/>
    </ext>
  </extLst>
</pivotCacheDefinition>
</file>

<file path=xl/pivotCache/pivotCacheRecords1.xml><?xml version="1.0" encoding="utf-8"?>
<pivotCacheRecords xmlns:r="http://schemas.openxmlformats.org/officeDocument/2006/relationships" xmlns="http://schemas.openxmlformats.org/spreadsheetml/2006/main" count="41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2"/>
    <x v="2"/>
    <x v="2"/>
    <x v="1"/>
    <x v="1"/>
    <x v="3"/>
    <x v="1"/>
    <x v="3"/>
  </r>
  <r>
    <x v="3"/>
    <x v="3"/>
    <x v="3"/>
    <x v="3"/>
    <x v="3"/>
    <x v="0"/>
    <x v="3"/>
    <x v="4"/>
  </r>
  <r>
    <x v="4"/>
    <x v="4"/>
    <x v="4"/>
    <x v="4"/>
    <x v="4"/>
    <x v="0"/>
    <x v="4"/>
    <x v="5"/>
  </r>
  <r>
    <x v="5"/>
    <x v="5"/>
    <x v="5"/>
    <x v="5"/>
    <x v="5"/>
    <x v="1"/>
    <x v="5"/>
    <x v="6"/>
  </r>
  <r>
    <x v="6"/>
    <x v="6"/>
    <x v="6"/>
    <x v="6"/>
    <x v="6"/>
    <x v="4"/>
    <x v="6"/>
    <x v="7"/>
  </r>
  <r>
    <x v="7"/>
    <x v="7"/>
    <x v="7"/>
    <x v="7"/>
    <x v="7"/>
    <x v="0"/>
    <x v="7"/>
    <x v="8"/>
  </r>
  <r>
    <x v="8"/>
    <x v="8"/>
    <x v="8"/>
    <x v="8"/>
    <x v="8"/>
    <x v="0"/>
    <x v="8"/>
    <x v="9"/>
  </r>
  <r>
    <x v="9"/>
    <x v="9"/>
    <x v="8"/>
    <x v="9"/>
    <x v="9"/>
    <x v="0"/>
    <x v="9"/>
    <x v="10"/>
  </r>
  <r>
    <x v="9"/>
    <x v="9"/>
    <x v="8"/>
    <x v="10"/>
    <x v="10"/>
    <x v="3"/>
    <x v="10"/>
    <x v="11"/>
  </r>
  <r>
    <x v="9"/>
    <x v="9"/>
    <x v="8"/>
    <x v="11"/>
    <x v="11"/>
    <x v="3"/>
    <x v="8"/>
    <x v="9"/>
  </r>
  <r>
    <x v="9"/>
    <x v="9"/>
    <x v="8"/>
    <x v="12"/>
    <x v="12"/>
    <x v="3"/>
    <x v="8"/>
    <x v="9"/>
  </r>
  <r>
    <x v="9"/>
    <x v="9"/>
    <x v="8"/>
    <x v="13"/>
    <x v="13"/>
    <x v="3"/>
    <x v="8"/>
    <x v="9"/>
  </r>
  <r>
    <x v="9"/>
    <x v="9"/>
    <x v="8"/>
    <x v="3"/>
    <x v="14"/>
    <x v="3"/>
    <x v="8"/>
    <x v="9"/>
  </r>
  <r>
    <x v="9"/>
    <x v="9"/>
    <x v="8"/>
    <x v="14"/>
    <x v="15"/>
    <x v="3"/>
    <x v="11"/>
    <x v="12"/>
  </r>
  <r>
    <x v="9"/>
    <x v="9"/>
    <x v="8"/>
    <x v="15"/>
    <x v="16"/>
    <x v="0"/>
    <x v="12"/>
    <x v="13"/>
  </r>
  <r>
    <x v="10"/>
    <x v="10"/>
    <x v="8"/>
    <x v="16"/>
    <x v="9"/>
    <x v="0"/>
    <x v="13"/>
    <x v="14"/>
  </r>
  <r>
    <x v="10"/>
    <x v="10"/>
    <x v="8"/>
    <x v="17"/>
    <x v="17"/>
    <x v="1"/>
    <x v="14"/>
    <x v="15"/>
  </r>
  <r>
    <x v="11"/>
    <x v="11"/>
    <x v="8"/>
    <x v="7"/>
    <x v="7"/>
    <x v="0"/>
    <x v="15"/>
    <x v="16"/>
  </r>
  <r>
    <x v="12"/>
    <x v="12"/>
    <x v="8"/>
    <x v="15"/>
    <x v="18"/>
    <x v="0"/>
    <x v="8"/>
    <x v="9"/>
  </r>
  <r>
    <x v="13"/>
    <x v="13"/>
    <x v="9"/>
    <x v="18"/>
    <x v="19"/>
    <x v="0"/>
    <x v="0"/>
    <x v="0"/>
  </r>
  <r>
    <x v="14"/>
    <x v="14"/>
    <x v="10"/>
    <x v="19"/>
    <x v="20"/>
    <x v="0"/>
    <x v="16"/>
    <x v="17"/>
  </r>
  <r>
    <x v="15"/>
    <x v="15"/>
    <x v="11"/>
    <x v="20"/>
    <x v="21"/>
    <x v="0"/>
    <x v="17"/>
    <x v="18"/>
  </r>
  <r>
    <x v="15"/>
    <x v="15"/>
    <x v="11"/>
    <x v="3"/>
    <x v="3"/>
    <x v="0"/>
    <x v="8"/>
    <x v="9"/>
  </r>
  <r>
    <x v="15"/>
    <x v="15"/>
    <x v="11"/>
    <x v="11"/>
    <x v="22"/>
    <x v="0"/>
    <x v="8"/>
    <x v="9"/>
  </r>
  <r>
    <x v="15"/>
    <x v="15"/>
    <x v="11"/>
    <x v="21"/>
    <x v="23"/>
    <x v="0"/>
    <x v="8"/>
    <x v="9"/>
  </r>
  <r>
    <x v="16"/>
    <x v="15"/>
    <x v="12"/>
    <x v="20"/>
    <x v="21"/>
    <x v="0"/>
    <x v="17"/>
    <x v="18"/>
  </r>
  <r>
    <x v="16"/>
    <x v="15"/>
    <x v="12"/>
    <x v="3"/>
    <x v="3"/>
    <x v="0"/>
    <x v="8"/>
    <x v="9"/>
  </r>
  <r>
    <x v="16"/>
    <x v="15"/>
    <x v="12"/>
    <x v="11"/>
    <x v="22"/>
    <x v="0"/>
    <x v="8"/>
    <x v="9"/>
  </r>
  <r>
    <x v="16"/>
    <x v="15"/>
    <x v="12"/>
    <x v="21"/>
    <x v="23"/>
    <x v="0"/>
    <x v="8"/>
    <x v="9"/>
  </r>
  <r>
    <x v="17"/>
    <x v="16"/>
    <x v="13"/>
    <x v="22"/>
    <x v="24"/>
    <x v="0"/>
    <x v="18"/>
    <x v="19"/>
  </r>
  <r>
    <x v="18"/>
    <x v="17"/>
    <x v="14"/>
    <x v="13"/>
    <x v="25"/>
    <x v="0"/>
    <x v="19"/>
    <x v="20"/>
  </r>
  <r>
    <x v="19"/>
    <x v="17"/>
    <x v="15"/>
    <x v="23"/>
    <x v="0"/>
    <x v="0"/>
    <x v="20"/>
    <x v="21"/>
  </r>
  <r>
    <x v="20"/>
    <x v="18"/>
    <x v="16"/>
    <x v="18"/>
    <x v="19"/>
    <x v="0"/>
    <x v="0"/>
    <x v="0"/>
  </r>
  <r>
    <x v="21"/>
    <x v="19"/>
    <x v="17"/>
    <x v="2"/>
    <x v="2"/>
    <x v="1"/>
    <x v="2"/>
    <x v="22"/>
  </r>
  <r>
    <x v="22"/>
    <x v="20"/>
    <x v="18"/>
    <x v="24"/>
    <x v="26"/>
    <x v="1"/>
    <x v="21"/>
    <x v="23"/>
  </r>
  <r>
    <x v="22"/>
    <x v="20"/>
    <x v="18"/>
    <x v="25"/>
    <x v="27"/>
    <x v="1"/>
    <x v="18"/>
    <x v="24"/>
  </r>
  <r>
    <x v="22"/>
    <x v="20"/>
    <x v="18"/>
    <x v="26"/>
    <x v="28"/>
    <x v="1"/>
    <x v="22"/>
    <x v="25"/>
  </r>
  <r>
    <x v="22"/>
    <x v="20"/>
    <x v="18"/>
    <x v="19"/>
    <x v="29"/>
    <x v="1"/>
    <x v="23"/>
    <x v="26"/>
  </r>
  <r>
    <x v="22"/>
    <x v="20"/>
    <x v="18"/>
    <x v="27"/>
    <x v="30"/>
    <x v="1"/>
    <x v="24"/>
    <x v="27"/>
  </r>
  <r>
    <x v="22"/>
    <x v="20"/>
    <x v="18"/>
    <x v="28"/>
    <x v="31"/>
    <x v="1"/>
    <x v="8"/>
    <x v="9"/>
  </r>
  <r>
    <x v="22"/>
    <x v="20"/>
    <x v="18"/>
    <x v="29"/>
    <x v="32"/>
    <x v="1"/>
    <x v="25"/>
    <x v="28"/>
  </r>
  <r>
    <x v="23"/>
    <x v="21"/>
    <x v="19"/>
    <x v="30"/>
    <x v="33"/>
    <x v="1"/>
    <x v="26"/>
    <x v="29"/>
  </r>
  <r>
    <x v="24"/>
    <x v="22"/>
    <x v="20"/>
    <x v="0"/>
    <x v="0"/>
    <x v="0"/>
    <x v="0"/>
    <x v="0"/>
  </r>
  <r>
    <x v="24"/>
    <x v="22"/>
    <x v="20"/>
    <x v="31"/>
    <x v="34"/>
    <x v="4"/>
    <x v="27"/>
    <x v="30"/>
  </r>
  <r>
    <x v="24"/>
    <x v="22"/>
    <x v="20"/>
    <x v="1"/>
    <x v="1"/>
    <x v="1"/>
    <x v="1"/>
    <x v="1"/>
  </r>
  <r>
    <x v="25"/>
    <x v="23"/>
    <x v="21"/>
    <x v="9"/>
    <x v="9"/>
    <x v="0"/>
    <x v="28"/>
    <x v="31"/>
  </r>
  <r>
    <x v="25"/>
    <x v="23"/>
    <x v="21"/>
    <x v="32"/>
    <x v="35"/>
    <x v="1"/>
    <x v="29"/>
    <x v="32"/>
  </r>
  <r>
    <x v="25"/>
    <x v="23"/>
    <x v="21"/>
    <x v="33"/>
    <x v="36"/>
    <x v="1"/>
    <x v="30"/>
    <x v="33"/>
  </r>
  <r>
    <x v="26"/>
    <x v="24"/>
    <x v="22"/>
    <x v="18"/>
    <x v="19"/>
    <x v="0"/>
    <x v="0"/>
    <x v="0"/>
  </r>
  <r>
    <x v="26"/>
    <x v="24"/>
    <x v="22"/>
    <x v="15"/>
    <x v="16"/>
    <x v="0"/>
    <x v="31"/>
    <x v="34"/>
  </r>
  <r>
    <x v="27"/>
    <x v="25"/>
    <x v="23"/>
    <x v="4"/>
    <x v="4"/>
    <x v="0"/>
    <x v="4"/>
    <x v="5"/>
  </r>
  <r>
    <x v="28"/>
    <x v="26"/>
    <x v="24"/>
    <x v="20"/>
    <x v="21"/>
    <x v="4"/>
    <x v="17"/>
    <x v="35"/>
  </r>
  <r>
    <x v="28"/>
    <x v="26"/>
    <x v="24"/>
    <x v="34"/>
    <x v="37"/>
    <x v="4"/>
    <x v="32"/>
    <x v="36"/>
  </r>
  <r>
    <x v="28"/>
    <x v="26"/>
    <x v="24"/>
    <x v="11"/>
    <x v="22"/>
    <x v="4"/>
    <x v="8"/>
    <x v="9"/>
  </r>
  <r>
    <x v="28"/>
    <x v="26"/>
    <x v="24"/>
    <x v="21"/>
    <x v="23"/>
    <x v="4"/>
    <x v="8"/>
    <x v="9"/>
  </r>
  <r>
    <x v="29"/>
    <x v="27"/>
    <x v="25"/>
    <x v="23"/>
    <x v="0"/>
    <x v="0"/>
    <x v="20"/>
    <x v="21"/>
  </r>
  <r>
    <x v="30"/>
    <x v="28"/>
    <x v="26"/>
    <x v="35"/>
    <x v="38"/>
    <x v="1"/>
    <x v="6"/>
    <x v="37"/>
  </r>
  <r>
    <x v="31"/>
    <x v="29"/>
    <x v="27"/>
    <x v="36"/>
    <x v="39"/>
    <x v="5"/>
    <x v="33"/>
    <x v="38"/>
  </r>
  <r>
    <x v="32"/>
    <x v="14"/>
    <x v="28"/>
    <x v="1"/>
    <x v="1"/>
    <x v="0"/>
    <x v="1"/>
    <x v="39"/>
  </r>
  <r>
    <x v="32"/>
    <x v="14"/>
    <x v="28"/>
    <x v="37"/>
    <x v="40"/>
    <x v="0"/>
    <x v="16"/>
    <x v="17"/>
  </r>
  <r>
    <x v="32"/>
    <x v="14"/>
    <x v="28"/>
    <x v="30"/>
    <x v="33"/>
    <x v="0"/>
    <x v="26"/>
    <x v="40"/>
  </r>
  <r>
    <x v="32"/>
    <x v="14"/>
    <x v="28"/>
    <x v="13"/>
    <x v="25"/>
    <x v="1"/>
    <x v="1"/>
    <x v="1"/>
  </r>
  <r>
    <x v="33"/>
    <x v="30"/>
    <x v="29"/>
    <x v="6"/>
    <x v="6"/>
    <x v="0"/>
    <x v="6"/>
    <x v="41"/>
  </r>
  <r>
    <x v="34"/>
    <x v="31"/>
    <x v="30"/>
    <x v="23"/>
    <x v="0"/>
    <x v="1"/>
    <x v="20"/>
    <x v="42"/>
  </r>
  <r>
    <x v="35"/>
    <x v="32"/>
    <x v="31"/>
    <x v="2"/>
    <x v="2"/>
    <x v="0"/>
    <x v="2"/>
    <x v="43"/>
  </r>
  <r>
    <x v="36"/>
    <x v="33"/>
    <x v="32"/>
    <x v="23"/>
    <x v="0"/>
    <x v="0"/>
    <x v="20"/>
    <x v="21"/>
  </r>
  <r>
    <x v="36"/>
    <x v="33"/>
    <x v="32"/>
    <x v="13"/>
    <x v="25"/>
    <x v="0"/>
    <x v="1"/>
    <x v="39"/>
  </r>
  <r>
    <x v="36"/>
    <x v="33"/>
    <x v="32"/>
    <x v="1"/>
    <x v="1"/>
    <x v="0"/>
    <x v="1"/>
    <x v="39"/>
  </r>
  <r>
    <x v="37"/>
    <x v="34"/>
    <x v="33"/>
    <x v="4"/>
    <x v="4"/>
    <x v="0"/>
    <x v="4"/>
    <x v="5"/>
  </r>
  <r>
    <x v="38"/>
    <x v="35"/>
    <x v="34"/>
    <x v="22"/>
    <x v="24"/>
    <x v="0"/>
    <x v="18"/>
    <x v="19"/>
  </r>
  <r>
    <x v="39"/>
    <x v="36"/>
    <x v="35"/>
    <x v="8"/>
    <x v="41"/>
    <x v="0"/>
    <x v="8"/>
    <x v="9"/>
  </r>
  <r>
    <x v="40"/>
    <x v="37"/>
    <x v="36"/>
    <x v="38"/>
    <x v="42"/>
    <x v="1"/>
    <x v="8"/>
    <x v="9"/>
  </r>
  <r>
    <x v="40"/>
    <x v="37"/>
    <x v="36"/>
    <x v="39"/>
    <x v="43"/>
    <x v="1"/>
    <x v="8"/>
    <x v="9"/>
  </r>
  <r>
    <x v="41"/>
    <x v="38"/>
    <x v="37"/>
    <x v="40"/>
    <x v="44"/>
    <x v="0"/>
    <x v="34"/>
    <x v="44"/>
  </r>
  <r>
    <x v="42"/>
    <x v="39"/>
    <x v="38"/>
    <x v="35"/>
    <x v="38"/>
    <x v="1"/>
    <x v="6"/>
    <x v="37"/>
  </r>
  <r>
    <x v="43"/>
    <x v="40"/>
    <x v="39"/>
    <x v="35"/>
    <x v="38"/>
    <x v="0"/>
    <x v="6"/>
    <x v="41"/>
  </r>
  <r>
    <x v="44"/>
    <x v="41"/>
    <x v="40"/>
    <x v="41"/>
    <x v="45"/>
    <x v="1"/>
    <x v="6"/>
    <x v="37"/>
  </r>
  <r>
    <x v="45"/>
    <x v="42"/>
    <x v="41"/>
    <x v="6"/>
    <x v="6"/>
    <x v="1"/>
    <x v="6"/>
    <x v="37"/>
  </r>
  <r>
    <x v="46"/>
    <x v="43"/>
    <x v="42"/>
    <x v="22"/>
    <x v="24"/>
    <x v="0"/>
    <x v="18"/>
    <x v="19"/>
  </r>
  <r>
    <x v="46"/>
    <x v="43"/>
    <x v="42"/>
    <x v="6"/>
    <x v="6"/>
    <x v="0"/>
    <x v="6"/>
    <x v="41"/>
  </r>
  <r>
    <x v="47"/>
    <x v="44"/>
    <x v="43"/>
    <x v="6"/>
    <x v="6"/>
    <x v="1"/>
    <x v="6"/>
    <x v="37"/>
  </r>
  <r>
    <x v="48"/>
    <x v="45"/>
    <x v="44"/>
    <x v="15"/>
    <x v="16"/>
    <x v="0"/>
    <x v="31"/>
    <x v="34"/>
  </r>
  <r>
    <x v="49"/>
    <x v="46"/>
    <x v="45"/>
    <x v="0"/>
    <x v="0"/>
    <x v="0"/>
    <x v="0"/>
    <x v="0"/>
  </r>
  <r>
    <x v="50"/>
    <x v="47"/>
    <x v="46"/>
    <x v="18"/>
    <x v="19"/>
    <x v="0"/>
    <x v="0"/>
    <x v="0"/>
  </r>
  <r>
    <x v="51"/>
    <x v="48"/>
    <x v="47"/>
    <x v="0"/>
    <x v="0"/>
    <x v="1"/>
    <x v="0"/>
    <x v="45"/>
  </r>
  <r>
    <x v="52"/>
    <x v="49"/>
    <x v="48"/>
    <x v="23"/>
    <x v="0"/>
    <x v="0"/>
    <x v="20"/>
    <x v="21"/>
  </r>
  <r>
    <x v="53"/>
    <x v="50"/>
    <x v="49"/>
    <x v="22"/>
    <x v="24"/>
    <x v="0"/>
    <x v="18"/>
    <x v="19"/>
  </r>
  <r>
    <x v="54"/>
    <x v="51"/>
    <x v="50"/>
    <x v="6"/>
    <x v="6"/>
    <x v="0"/>
    <x v="6"/>
    <x v="41"/>
  </r>
  <r>
    <x v="55"/>
    <x v="52"/>
    <x v="51"/>
    <x v="22"/>
    <x v="24"/>
    <x v="0"/>
    <x v="18"/>
    <x v="19"/>
  </r>
  <r>
    <x v="56"/>
    <x v="48"/>
    <x v="52"/>
    <x v="16"/>
    <x v="9"/>
    <x v="0"/>
    <x v="35"/>
    <x v="46"/>
  </r>
  <r>
    <x v="56"/>
    <x v="48"/>
    <x v="52"/>
    <x v="8"/>
    <x v="46"/>
    <x v="0"/>
    <x v="8"/>
    <x v="9"/>
  </r>
  <r>
    <x v="57"/>
    <x v="53"/>
    <x v="52"/>
    <x v="42"/>
    <x v="47"/>
    <x v="4"/>
    <x v="8"/>
    <x v="9"/>
  </r>
  <r>
    <x v="58"/>
    <x v="54"/>
    <x v="52"/>
    <x v="14"/>
    <x v="15"/>
    <x v="6"/>
    <x v="11"/>
    <x v="47"/>
  </r>
  <r>
    <x v="58"/>
    <x v="54"/>
    <x v="52"/>
    <x v="35"/>
    <x v="38"/>
    <x v="7"/>
    <x v="36"/>
    <x v="48"/>
  </r>
  <r>
    <x v="59"/>
    <x v="55"/>
    <x v="52"/>
    <x v="43"/>
    <x v="48"/>
    <x v="1"/>
    <x v="37"/>
    <x v="49"/>
  </r>
  <r>
    <x v="60"/>
    <x v="56"/>
    <x v="52"/>
    <x v="31"/>
    <x v="34"/>
    <x v="0"/>
    <x v="8"/>
    <x v="9"/>
  </r>
  <r>
    <x v="61"/>
    <x v="57"/>
    <x v="53"/>
    <x v="2"/>
    <x v="2"/>
    <x v="0"/>
    <x v="38"/>
    <x v="50"/>
  </r>
  <r>
    <x v="61"/>
    <x v="57"/>
    <x v="53"/>
    <x v="1"/>
    <x v="1"/>
    <x v="0"/>
    <x v="19"/>
    <x v="20"/>
  </r>
  <r>
    <x v="62"/>
    <x v="57"/>
    <x v="54"/>
    <x v="1"/>
    <x v="1"/>
    <x v="8"/>
    <x v="39"/>
    <x v="51"/>
  </r>
  <r>
    <x v="63"/>
    <x v="57"/>
    <x v="55"/>
    <x v="13"/>
    <x v="25"/>
    <x v="9"/>
    <x v="1"/>
    <x v="52"/>
  </r>
  <r>
    <x v="64"/>
    <x v="58"/>
    <x v="56"/>
    <x v="0"/>
    <x v="0"/>
    <x v="0"/>
    <x v="40"/>
    <x v="53"/>
  </r>
  <r>
    <x v="64"/>
    <x v="58"/>
    <x v="56"/>
    <x v="6"/>
    <x v="6"/>
    <x v="0"/>
    <x v="41"/>
    <x v="54"/>
  </r>
  <r>
    <x v="65"/>
    <x v="59"/>
    <x v="57"/>
    <x v="44"/>
    <x v="49"/>
    <x v="1"/>
    <x v="42"/>
    <x v="55"/>
  </r>
  <r>
    <x v="65"/>
    <x v="59"/>
    <x v="57"/>
    <x v="45"/>
    <x v="50"/>
    <x v="1"/>
    <x v="8"/>
    <x v="9"/>
  </r>
  <r>
    <x v="65"/>
    <x v="59"/>
    <x v="57"/>
    <x v="2"/>
    <x v="2"/>
    <x v="1"/>
    <x v="2"/>
    <x v="22"/>
  </r>
  <r>
    <x v="65"/>
    <x v="59"/>
    <x v="57"/>
    <x v="3"/>
    <x v="3"/>
    <x v="1"/>
    <x v="3"/>
    <x v="56"/>
  </r>
  <r>
    <x v="66"/>
    <x v="60"/>
    <x v="58"/>
    <x v="20"/>
    <x v="21"/>
    <x v="1"/>
    <x v="17"/>
    <x v="57"/>
  </r>
  <r>
    <x v="66"/>
    <x v="60"/>
    <x v="58"/>
    <x v="3"/>
    <x v="3"/>
    <x v="1"/>
    <x v="8"/>
    <x v="9"/>
  </r>
  <r>
    <x v="66"/>
    <x v="60"/>
    <x v="58"/>
    <x v="11"/>
    <x v="22"/>
    <x v="1"/>
    <x v="8"/>
    <x v="9"/>
  </r>
  <r>
    <x v="66"/>
    <x v="60"/>
    <x v="58"/>
    <x v="21"/>
    <x v="23"/>
    <x v="1"/>
    <x v="8"/>
    <x v="9"/>
  </r>
  <r>
    <x v="67"/>
    <x v="61"/>
    <x v="59"/>
    <x v="6"/>
    <x v="6"/>
    <x v="0"/>
    <x v="6"/>
    <x v="41"/>
  </r>
  <r>
    <x v="68"/>
    <x v="62"/>
    <x v="60"/>
    <x v="40"/>
    <x v="44"/>
    <x v="0"/>
    <x v="37"/>
    <x v="58"/>
  </r>
  <r>
    <x v="69"/>
    <x v="63"/>
    <x v="61"/>
    <x v="2"/>
    <x v="2"/>
    <x v="1"/>
    <x v="2"/>
    <x v="22"/>
  </r>
  <r>
    <x v="70"/>
    <x v="64"/>
    <x v="62"/>
    <x v="46"/>
    <x v="51"/>
    <x v="1"/>
    <x v="38"/>
    <x v="59"/>
  </r>
  <r>
    <x v="71"/>
    <x v="65"/>
    <x v="63"/>
    <x v="4"/>
    <x v="4"/>
    <x v="0"/>
    <x v="4"/>
    <x v="5"/>
  </r>
  <r>
    <x v="72"/>
    <x v="66"/>
    <x v="64"/>
    <x v="0"/>
    <x v="0"/>
    <x v="0"/>
    <x v="0"/>
    <x v="0"/>
  </r>
  <r>
    <x v="73"/>
    <x v="67"/>
    <x v="65"/>
    <x v="7"/>
    <x v="7"/>
    <x v="0"/>
    <x v="7"/>
    <x v="8"/>
  </r>
  <r>
    <x v="74"/>
    <x v="23"/>
    <x v="66"/>
    <x v="47"/>
    <x v="52"/>
    <x v="3"/>
    <x v="43"/>
    <x v="60"/>
  </r>
  <r>
    <x v="74"/>
    <x v="23"/>
    <x v="66"/>
    <x v="48"/>
    <x v="53"/>
    <x v="1"/>
    <x v="44"/>
    <x v="61"/>
  </r>
  <r>
    <x v="75"/>
    <x v="68"/>
    <x v="66"/>
    <x v="49"/>
    <x v="54"/>
    <x v="0"/>
    <x v="45"/>
    <x v="62"/>
  </r>
  <r>
    <x v="75"/>
    <x v="68"/>
    <x v="66"/>
    <x v="50"/>
    <x v="55"/>
    <x v="1"/>
    <x v="46"/>
    <x v="63"/>
  </r>
  <r>
    <x v="75"/>
    <x v="68"/>
    <x v="66"/>
    <x v="51"/>
    <x v="56"/>
    <x v="1"/>
    <x v="8"/>
    <x v="9"/>
  </r>
  <r>
    <x v="75"/>
    <x v="68"/>
    <x v="66"/>
    <x v="52"/>
    <x v="57"/>
    <x v="0"/>
    <x v="8"/>
    <x v="9"/>
  </r>
  <r>
    <x v="75"/>
    <x v="68"/>
    <x v="66"/>
    <x v="53"/>
    <x v="58"/>
    <x v="1"/>
    <x v="8"/>
    <x v="9"/>
  </r>
  <r>
    <x v="75"/>
    <x v="68"/>
    <x v="66"/>
    <x v="54"/>
    <x v="59"/>
    <x v="1"/>
    <x v="8"/>
    <x v="9"/>
  </r>
  <r>
    <x v="75"/>
    <x v="68"/>
    <x v="66"/>
    <x v="55"/>
    <x v="60"/>
    <x v="7"/>
    <x v="8"/>
    <x v="9"/>
  </r>
  <r>
    <x v="76"/>
    <x v="69"/>
    <x v="67"/>
    <x v="2"/>
    <x v="2"/>
    <x v="1"/>
    <x v="2"/>
    <x v="22"/>
  </r>
  <r>
    <x v="77"/>
    <x v="70"/>
    <x v="68"/>
    <x v="4"/>
    <x v="4"/>
    <x v="1"/>
    <x v="4"/>
    <x v="64"/>
  </r>
  <r>
    <x v="78"/>
    <x v="71"/>
    <x v="69"/>
    <x v="23"/>
    <x v="0"/>
    <x v="1"/>
    <x v="20"/>
    <x v="42"/>
  </r>
  <r>
    <x v="79"/>
    <x v="72"/>
    <x v="70"/>
    <x v="0"/>
    <x v="0"/>
    <x v="0"/>
    <x v="40"/>
    <x v="53"/>
  </r>
  <r>
    <x v="79"/>
    <x v="72"/>
    <x v="70"/>
    <x v="35"/>
    <x v="38"/>
    <x v="0"/>
    <x v="41"/>
    <x v="54"/>
  </r>
  <r>
    <x v="80"/>
    <x v="73"/>
    <x v="71"/>
    <x v="4"/>
    <x v="4"/>
    <x v="0"/>
    <x v="4"/>
    <x v="5"/>
  </r>
  <r>
    <x v="81"/>
    <x v="74"/>
    <x v="72"/>
    <x v="5"/>
    <x v="5"/>
    <x v="0"/>
    <x v="5"/>
    <x v="65"/>
  </r>
  <r>
    <x v="82"/>
    <x v="75"/>
    <x v="73"/>
    <x v="6"/>
    <x v="6"/>
    <x v="0"/>
    <x v="6"/>
    <x v="41"/>
  </r>
  <r>
    <x v="83"/>
    <x v="76"/>
    <x v="74"/>
    <x v="35"/>
    <x v="38"/>
    <x v="0"/>
    <x v="6"/>
    <x v="41"/>
  </r>
  <r>
    <x v="84"/>
    <x v="77"/>
    <x v="75"/>
    <x v="0"/>
    <x v="0"/>
    <x v="1"/>
    <x v="0"/>
    <x v="45"/>
  </r>
  <r>
    <x v="85"/>
    <x v="78"/>
    <x v="76"/>
    <x v="20"/>
    <x v="21"/>
    <x v="1"/>
    <x v="17"/>
    <x v="57"/>
  </r>
  <r>
    <x v="85"/>
    <x v="78"/>
    <x v="76"/>
    <x v="3"/>
    <x v="3"/>
    <x v="1"/>
    <x v="8"/>
    <x v="9"/>
  </r>
  <r>
    <x v="85"/>
    <x v="78"/>
    <x v="76"/>
    <x v="11"/>
    <x v="22"/>
    <x v="1"/>
    <x v="8"/>
    <x v="9"/>
  </r>
  <r>
    <x v="85"/>
    <x v="78"/>
    <x v="76"/>
    <x v="21"/>
    <x v="23"/>
    <x v="1"/>
    <x v="8"/>
    <x v="9"/>
  </r>
  <r>
    <x v="85"/>
    <x v="78"/>
    <x v="76"/>
    <x v="18"/>
    <x v="19"/>
    <x v="0"/>
    <x v="0"/>
    <x v="0"/>
  </r>
  <r>
    <x v="85"/>
    <x v="78"/>
    <x v="76"/>
    <x v="35"/>
    <x v="38"/>
    <x v="0"/>
    <x v="6"/>
    <x v="41"/>
  </r>
  <r>
    <x v="85"/>
    <x v="78"/>
    <x v="76"/>
    <x v="37"/>
    <x v="40"/>
    <x v="1"/>
    <x v="16"/>
    <x v="66"/>
  </r>
  <r>
    <x v="85"/>
    <x v="78"/>
    <x v="76"/>
    <x v="22"/>
    <x v="24"/>
    <x v="0"/>
    <x v="18"/>
    <x v="19"/>
  </r>
  <r>
    <x v="85"/>
    <x v="78"/>
    <x v="76"/>
    <x v="4"/>
    <x v="4"/>
    <x v="0"/>
    <x v="4"/>
    <x v="5"/>
  </r>
  <r>
    <x v="86"/>
    <x v="79"/>
    <x v="77"/>
    <x v="23"/>
    <x v="0"/>
    <x v="0"/>
    <x v="20"/>
    <x v="21"/>
  </r>
  <r>
    <x v="87"/>
    <x v="80"/>
    <x v="78"/>
    <x v="2"/>
    <x v="2"/>
    <x v="1"/>
    <x v="2"/>
    <x v="22"/>
  </r>
  <r>
    <x v="87"/>
    <x v="80"/>
    <x v="78"/>
    <x v="1"/>
    <x v="1"/>
    <x v="0"/>
    <x v="1"/>
    <x v="39"/>
  </r>
  <r>
    <x v="87"/>
    <x v="80"/>
    <x v="78"/>
    <x v="30"/>
    <x v="33"/>
    <x v="0"/>
    <x v="26"/>
    <x v="40"/>
  </r>
  <r>
    <x v="88"/>
    <x v="81"/>
    <x v="79"/>
    <x v="40"/>
    <x v="44"/>
    <x v="1"/>
    <x v="37"/>
    <x v="49"/>
  </r>
  <r>
    <x v="88"/>
    <x v="81"/>
    <x v="79"/>
    <x v="6"/>
    <x v="6"/>
    <x v="1"/>
    <x v="47"/>
    <x v="67"/>
  </r>
  <r>
    <x v="89"/>
    <x v="82"/>
    <x v="80"/>
    <x v="5"/>
    <x v="5"/>
    <x v="0"/>
    <x v="5"/>
    <x v="65"/>
  </r>
  <r>
    <x v="89"/>
    <x v="82"/>
    <x v="80"/>
    <x v="22"/>
    <x v="24"/>
    <x v="0"/>
    <x v="18"/>
    <x v="19"/>
  </r>
  <r>
    <x v="90"/>
    <x v="56"/>
    <x v="81"/>
    <x v="46"/>
    <x v="51"/>
    <x v="0"/>
    <x v="38"/>
    <x v="50"/>
  </r>
  <r>
    <x v="90"/>
    <x v="56"/>
    <x v="81"/>
    <x v="19"/>
    <x v="20"/>
    <x v="0"/>
    <x v="16"/>
    <x v="17"/>
  </r>
  <r>
    <x v="91"/>
    <x v="83"/>
    <x v="82"/>
    <x v="32"/>
    <x v="35"/>
    <x v="3"/>
    <x v="48"/>
    <x v="68"/>
  </r>
  <r>
    <x v="91"/>
    <x v="83"/>
    <x v="82"/>
    <x v="56"/>
    <x v="61"/>
    <x v="10"/>
    <x v="49"/>
    <x v="69"/>
  </r>
  <r>
    <x v="91"/>
    <x v="83"/>
    <x v="82"/>
    <x v="57"/>
    <x v="62"/>
    <x v="2"/>
    <x v="50"/>
    <x v="70"/>
  </r>
  <r>
    <x v="92"/>
    <x v="56"/>
    <x v="82"/>
    <x v="13"/>
    <x v="25"/>
    <x v="5"/>
    <x v="1"/>
    <x v="71"/>
  </r>
  <r>
    <x v="93"/>
    <x v="84"/>
    <x v="83"/>
    <x v="0"/>
    <x v="0"/>
    <x v="0"/>
    <x v="0"/>
    <x v="0"/>
  </r>
  <r>
    <x v="94"/>
    <x v="85"/>
    <x v="84"/>
    <x v="15"/>
    <x v="16"/>
    <x v="0"/>
    <x v="31"/>
    <x v="34"/>
  </r>
  <r>
    <x v="95"/>
    <x v="86"/>
    <x v="85"/>
    <x v="3"/>
    <x v="3"/>
    <x v="1"/>
    <x v="3"/>
    <x v="56"/>
  </r>
  <r>
    <x v="96"/>
    <x v="87"/>
    <x v="86"/>
    <x v="4"/>
    <x v="4"/>
    <x v="0"/>
    <x v="4"/>
    <x v="5"/>
  </r>
  <r>
    <x v="97"/>
    <x v="88"/>
    <x v="87"/>
    <x v="2"/>
    <x v="2"/>
    <x v="8"/>
    <x v="2"/>
    <x v="72"/>
  </r>
  <r>
    <x v="98"/>
    <x v="8"/>
    <x v="88"/>
    <x v="16"/>
    <x v="9"/>
    <x v="0"/>
    <x v="51"/>
    <x v="73"/>
  </r>
  <r>
    <x v="98"/>
    <x v="8"/>
    <x v="88"/>
    <x v="58"/>
    <x v="63"/>
    <x v="3"/>
    <x v="52"/>
    <x v="74"/>
  </r>
  <r>
    <x v="98"/>
    <x v="8"/>
    <x v="88"/>
    <x v="59"/>
    <x v="64"/>
    <x v="3"/>
    <x v="36"/>
    <x v="75"/>
  </r>
  <r>
    <x v="99"/>
    <x v="89"/>
    <x v="89"/>
    <x v="12"/>
    <x v="65"/>
    <x v="4"/>
    <x v="16"/>
    <x v="76"/>
  </r>
  <r>
    <x v="100"/>
    <x v="90"/>
    <x v="90"/>
    <x v="18"/>
    <x v="19"/>
    <x v="0"/>
    <x v="0"/>
    <x v="0"/>
  </r>
  <r>
    <x v="100"/>
    <x v="90"/>
    <x v="90"/>
    <x v="22"/>
    <x v="24"/>
    <x v="1"/>
    <x v="18"/>
    <x v="24"/>
  </r>
  <r>
    <x v="101"/>
    <x v="91"/>
    <x v="91"/>
    <x v="22"/>
    <x v="24"/>
    <x v="0"/>
    <x v="53"/>
    <x v="77"/>
  </r>
  <r>
    <x v="101"/>
    <x v="91"/>
    <x v="91"/>
    <x v="34"/>
    <x v="37"/>
    <x v="0"/>
    <x v="54"/>
    <x v="78"/>
  </r>
  <r>
    <x v="102"/>
    <x v="12"/>
    <x v="92"/>
    <x v="8"/>
    <x v="66"/>
    <x v="0"/>
    <x v="8"/>
    <x v="9"/>
  </r>
  <r>
    <x v="103"/>
    <x v="92"/>
    <x v="92"/>
    <x v="9"/>
    <x v="9"/>
    <x v="0"/>
    <x v="55"/>
    <x v="79"/>
  </r>
  <r>
    <x v="103"/>
    <x v="92"/>
    <x v="92"/>
    <x v="20"/>
    <x v="21"/>
    <x v="4"/>
    <x v="56"/>
    <x v="80"/>
  </r>
  <r>
    <x v="103"/>
    <x v="92"/>
    <x v="92"/>
    <x v="11"/>
    <x v="11"/>
    <x v="4"/>
    <x v="8"/>
    <x v="9"/>
  </r>
  <r>
    <x v="103"/>
    <x v="92"/>
    <x v="92"/>
    <x v="3"/>
    <x v="14"/>
    <x v="4"/>
    <x v="8"/>
    <x v="9"/>
  </r>
  <r>
    <x v="103"/>
    <x v="92"/>
    <x v="92"/>
    <x v="21"/>
    <x v="67"/>
    <x v="4"/>
    <x v="8"/>
    <x v="9"/>
  </r>
  <r>
    <x v="104"/>
    <x v="93"/>
    <x v="92"/>
    <x v="42"/>
    <x v="47"/>
    <x v="0"/>
    <x v="8"/>
    <x v="9"/>
  </r>
  <r>
    <x v="105"/>
    <x v="94"/>
    <x v="93"/>
    <x v="6"/>
    <x v="6"/>
    <x v="7"/>
    <x v="6"/>
    <x v="81"/>
  </r>
  <r>
    <x v="106"/>
    <x v="95"/>
    <x v="94"/>
    <x v="23"/>
    <x v="0"/>
    <x v="0"/>
    <x v="20"/>
    <x v="21"/>
  </r>
  <r>
    <x v="107"/>
    <x v="96"/>
    <x v="95"/>
    <x v="44"/>
    <x v="49"/>
    <x v="1"/>
    <x v="42"/>
    <x v="55"/>
  </r>
  <r>
    <x v="107"/>
    <x v="96"/>
    <x v="95"/>
    <x v="45"/>
    <x v="50"/>
    <x v="1"/>
    <x v="8"/>
    <x v="9"/>
  </r>
  <r>
    <x v="107"/>
    <x v="96"/>
    <x v="95"/>
    <x v="3"/>
    <x v="3"/>
    <x v="1"/>
    <x v="3"/>
    <x v="56"/>
  </r>
  <r>
    <x v="107"/>
    <x v="96"/>
    <x v="95"/>
    <x v="2"/>
    <x v="2"/>
    <x v="1"/>
    <x v="2"/>
    <x v="22"/>
  </r>
  <r>
    <x v="108"/>
    <x v="97"/>
    <x v="96"/>
    <x v="20"/>
    <x v="21"/>
    <x v="1"/>
    <x v="17"/>
    <x v="57"/>
  </r>
  <r>
    <x v="108"/>
    <x v="97"/>
    <x v="96"/>
    <x v="3"/>
    <x v="3"/>
    <x v="1"/>
    <x v="8"/>
    <x v="9"/>
  </r>
  <r>
    <x v="108"/>
    <x v="97"/>
    <x v="96"/>
    <x v="11"/>
    <x v="22"/>
    <x v="1"/>
    <x v="8"/>
    <x v="9"/>
  </r>
  <r>
    <x v="108"/>
    <x v="97"/>
    <x v="96"/>
    <x v="21"/>
    <x v="23"/>
    <x v="1"/>
    <x v="8"/>
    <x v="9"/>
  </r>
  <r>
    <x v="108"/>
    <x v="97"/>
    <x v="96"/>
    <x v="60"/>
    <x v="68"/>
    <x v="1"/>
    <x v="57"/>
    <x v="82"/>
  </r>
  <r>
    <x v="108"/>
    <x v="97"/>
    <x v="96"/>
    <x v="6"/>
    <x v="6"/>
    <x v="4"/>
    <x v="6"/>
    <x v="7"/>
  </r>
  <r>
    <x v="108"/>
    <x v="97"/>
    <x v="96"/>
    <x v="18"/>
    <x v="19"/>
    <x v="0"/>
    <x v="0"/>
    <x v="0"/>
  </r>
  <r>
    <x v="109"/>
    <x v="98"/>
    <x v="97"/>
    <x v="61"/>
    <x v="69"/>
    <x v="0"/>
    <x v="58"/>
    <x v="83"/>
  </r>
  <r>
    <x v="110"/>
    <x v="98"/>
    <x v="98"/>
    <x v="5"/>
    <x v="5"/>
    <x v="0"/>
    <x v="59"/>
    <x v="84"/>
  </r>
  <r>
    <x v="110"/>
    <x v="98"/>
    <x v="98"/>
    <x v="22"/>
    <x v="24"/>
    <x v="0"/>
    <x v="60"/>
    <x v="85"/>
  </r>
  <r>
    <x v="110"/>
    <x v="98"/>
    <x v="98"/>
    <x v="6"/>
    <x v="6"/>
    <x v="0"/>
    <x v="61"/>
    <x v="86"/>
  </r>
  <r>
    <x v="111"/>
    <x v="99"/>
    <x v="99"/>
    <x v="18"/>
    <x v="19"/>
    <x v="0"/>
    <x v="0"/>
    <x v="0"/>
  </r>
  <r>
    <x v="112"/>
    <x v="100"/>
    <x v="100"/>
    <x v="35"/>
    <x v="38"/>
    <x v="0"/>
    <x v="6"/>
    <x v="41"/>
  </r>
  <r>
    <x v="113"/>
    <x v="101"/>
    <x v="101"/>
    <x v="9"/>
    <x v="9"/>
    <x v="0"/>
    <x v="62"/>
    <x v="87"/>
  </r>
  <r>
    <x v="113"/>
    <x v="101"/>
    <x v="101"/>
    <x v="62"/>
    <x v="70"/>
    <x v="4"/>
    <x v="63"/>
    <x v="88"/>
  </r>
  <r>
    <x v="113"/>
    <x v="101"/>
    <x v="101"/>
    <x v="2"/>
    <x v="2"/>
    <x v="4"/>
    <x v="64"/>
    <x v="89"/>
  </r>
  <r>
    <x v="113"/>
    <x v="101"/>
    <x v="101"/>
    <x v="63"/>
    <x v="71"/>
    <x v="8"/>
    <x v="8"/>
    <x v="9"/>
  </r>
  <r>
    <x v="113"/>
    <x v="101"/>
    <x v="101"/>
    <x v="55"/>
    <x v="60"/>
    <x v="11"/>
    <x v="8"/>
    <x v="9"/>
  </r>
  <r>
    <x v="114"/>
    <x v="100"/>
    <x v="101"/>
    <x v="35"/>
    <x v="38"/>
    <x v="0"/>
    <x v="6"/>
    <x v="41"/>
  </r>
  <r>
    <x v="114"/>
    <x v="100"/>
    <x v="101"/>
    <x v="1"/>
    <x v="1"/>
    <x v="0"/>
    <x v="1"/>
    <x v="39"/>
  </r>
  <r>
    <x v="115"/>
    <x v="8"/>
    <x v="101"/>
    <x v="9"/>
    <x v="9"/>
    <x v="0"/>
    <x v="65"/>
    <x v="90"/>
  </r>
  <r>
    <x v="115"/>
    <x v="8"/>
    <x v="101"/>
    <x v="10"/>
    <x v="10"/>
    <x v="7"/>
    <x v="10"/>
    <x v="91"/>
  </r>
  <r>
    <x v="115"/>
    <x v="8"/>
    <x v="101"/>
    <x v="11"/>
    <x v="11"/>
    <x v="7"/>
    <x v="8"/>
    <x v="9"/>
  </r>
  <r>
    <x v="115"/>
    <x v="8"/>
    <x v="101"/>
    <x v="12"/>
    <x v="12"/>
    <x v="7"/>
    <x v="8"/>
    <x v="9"/>
  </r>
  <r>
    <x v="115"/>
    <x v="8"/>
    <x v="101"/>
    <x v="14"/>
    <x v="15"/>
    <x v="7"/>
    <x v="11"/>
    <x v="92"/>
  </r>
  <r>
    <x v="115"/>
    <x v="8"/>
    <x v="101"/>
    <x v="64"/>
    <x v="72"/>
    <x v="7"/>
    <x v="66"/>
    <x v="93"/>
  </r>
  <r>
    <x v="116"/>
    <x v="102"/>
    <x v="102"/>
    <x v="5"/>
    <x v="5"/>
    <x v="0"/>
    <x v="5"/>
    <x v="65"/>
  </r>
  <r>
    <x v="117"/>
    <x v="103"/>
    <x v="103"/>
    <x v="6"/>
    <x v="6"/>
    <x v="1"/>
    <x v="6"/>
    <x v="37"/>
  </r>
  <r>
    <x v="118"/>
    <x v="104"/>
    <x v="104"/>
    <x v="19"/>
    <x v="20"/>
    <x v="1"/>
    <x v="16"/>
    <x v="66"/>
  </r>
  <r>
    <x v="119"/>
    <x v="105"/>
    <x v="105"/>
    <x v="19"/>
    <x v="20"/>
    <x v="1"/>
    <x v="16"/>
    <x v="66"/>
  </r>
  <r>
    <x v="119"/>
    <x v="105"/>
    <x v="105"/>
    <x v="65"/>
    <x v="73"/>
    <x v="0"/>
    <x v="67"/>
    <x v="94"/>
  </r>
  <r>
    <x v="119"/>
    <x v="105"/>
    <x v="105"/>
    <x v="64"/>
    <x v="72"/>
    <x v="1"/>
    <x v="57"/>
    <x v="82"/>
  </r>
  <r>
    <x v="120"/>
    <x v="106"/>
    <x v="106"/>
    <x v="4"/>
    <x v="4"/>
    <x v="0"/>
    <x v="4"/>
    <x v="5"/>
  </r>
  <r>
    <x v="121"/>
    <x v="107"/>
    <x v="107"/>
    <x v="5"/>
    <x v="5"/>
    <x v="0"/>
    <x v="5"/>
    <x v="65"/>
  </r>
  <r>
    <x v="122"/>
    <x v="108"/>
    <x v="108"/>
    <x v="0"/>
    <x v="0"/>
    <x v="0"/>
    <x v="0"/>
    <x v="0"/>
  </r>
  <r>
    <x v="123"/>
    <x v="109"/>
    <x v="109"/>
    <x v="0"/>
    <x v="0"/>
    <x v="1"/>
    <x v="0"/>
    <x v="45"/>
  </r>
  <r>
    <x v="124"/>
    <x v="110"/>
    <x v="110"/>
    <x v="13"/>
    <x v="25"/>
    <x v="0"/>
    <x v="1"/>
    <x v="39"/>
  </r>
  <r>
    <x v="125"/>
    <x v="111"/>
    <x v="111"/>
    <x v="0"/>
    <x v="0"/>
    <x v="0"/>
    <x v="0"/>
    <x v="0"/>
  </r>
  <r>
    <x v="126"/>
    <x v="56"/>
    <x v="112"/>
    <x v="33"/>
    <x v="36"/>
    <x v="1"/>
    <x v="68"/>
    <x v="95"/>
  </r>
  <r>
    <x v="127"/>
    <x v="112"/>
    <x v="113"/>
    <x v="6"/>
    <x v="6"/>
    <x v="0"/>
    <x v="6"/>
    <x v="41"/>
  </r>
  <r>
    <x v="128"/>
    <x v="113"/>
    <x v="114"/>
    <x v="66"/>
    <x v="74"/>
    <x v="0"/>
    <x v="69"/>
    <x v="96"/>
  </r>
  <r>
    <x v="128"/>
    <x v="113"/>
    <x v="114"/>
    <x v="9"/>
    <x v="9"/>
    <x v="0"/>
    <x v="32"/>
    <x v="97"/>
  </r>
  <r>
    <x v="128"/>
    <x v="113"/>
    <x v="114"/>
    <x v="18"/>
    <x v="19"/>
    <x v="0"/>
    <x v="70"/>
    <x v="98"/>
  </r>
  <r>
    <x v="128"/>
    <x v="113"/>
    <x v="114"/>
    <x v="14"/>
    <x v="15"/>
    <x v="0"/>
    <x v="11"/>
    <x v="99"/>
  </r>
  <r>
    <x v="129"/>
    <x v="114"/>
    <x v="114"/>
    <x v="16"/>
    <x v="9"/>
    <x v="0"/>
    <x v="71"/>
    <x v="100"/>
  </r>
  <r>
    <x v="129"/>
    <x v="114"/>
    <x v="114"/>
    <x v="38"/>
    <x v="75"/>
    <x v="4"/>
    <x v="66"/>
    <x v="101"/>
  </r>
  <r>
    <x v="129"/>
    <x v="114"/>
    <x v="114"/>
    <x v="49"/>
    <x v="76"/>
    <x v="0"/>
    <x v="8"/>
    <x v="9"/>
  </r>
  <r>
    <x v="129"/>
    <x v="114"/>
    <x v="114"/>
    <x v="67"/>
    <x v="77"/>
    <x v="0"/>
    <x v="72"/>
    <x v="102"/>
  </r>
  <r>
    <x v="129"/>
    <x v="114"/>
    <x v="114"/>
    <x v="68"/>
    <x v="78"/>
    <x v="4"/>
    <x v="8"/>
    <x v="9"/>
  </r>
  <r>
    <x v="129"/>
    <x v="114"/>
    <x v="114"/>
    <x v="69"/>
    <x v="79"/>
    <x v="1"/>
    <x v="8"/>
    <x v="9"/>
  </r>
  <r>
    <x v="129"/>
    <x v="114"/>
    <x v="114"/>
    <x v="70"/>
    <x v="80"/>
    <x v="0"/>
    <x v="8"/>
    <x v="9"/>
  </r>
  <r>
    <x v="129"/>
    <x v="114"/>
    <x v="114"/>
    <x v="71"/>
    <x v="81"/>
    <x v="1"/>
    <x v="8"/>
    <x v="9"/>
  </r>
  <r>
    <x v="129"/>
    <x v="114"/>
    <x v="114"/>
    <x v="65"/>
    <x v="73"/>
    <x v="0"/>
    <x v="73"/>
    <x v="103"/>
  </r>
  <r>
    <x v="129"/>
    <x v="114"/>
    <x v="114"/>
    <x v="72"/>
    <x v="82"/>
    <x v="0"/>
    <x v="74"/>
    <x v="104"/>
  </r>
  <r>
    <x v="129"/>
    <x v="114"/>
    <x v="114"/>
    <x v="73"/>
    <x v="83"/>
    <x v="0"/>
    <x v="75"/>
    <x v="105"/>
  </r>
  <r>
    <x v="130"/>
    <x v="45"/>
    <x v="114"/>
    <x v="74"/>
    <x v="84"/>
    <x v="0"/>
    <x v="8"/>
    <x v="9"/>
  </r>
  <r>
    <x v="131"/>
    <x v="115"/>
    <x v="115"/>
    <x v="75"/>
    <x v="85"/>
    <x v="0"/>
    <x v="27"/>
    <x v="106"/>
  </r>
  <r>
    <x v="131"/>
    <x v="115"/>
    <x v="115"/>
    <x v="1"/>
    <x v="1"/>
    <x v="0"/>
    <x v="1"/>
    <x v="39"/>
  </r>
  <r>
    <x v="132"/>
    <x v="116"/>
    <x v="116"/>
    <x v="20"/>
    <x v="21"/>
    <x v="1"/>
    <x v="17"/>
    <x v="57"/>
  </r>
  <r>
    <x v="132"/>
    <x v="116"/>
    <x v="116"/>
    <x v="34"/>
    <x v="37"/>
    <x v="1"/>
    <x v="32"/>
    <x v="107"/>
  </r>
  <r>
    <x v="132"/>
    <x v="116"/>
    <x v="116"/>
    <x v="11"/>
    <x v="22"/>
    <x v="1"/>
    <x v="8"/>
    <x v="9"/>
  </r>
  <r>
    <x v="132"/>
    <x v="116"/>
    <x v="116"/>
    <x v="21"/>
    <x v="23"/>
    <x v="1"/>
    <x v="8"/>
    <x v="9"/>
  </r>
  <r>
    <x v="132"/>
    <x v="116"/>
    <x v="116"/>
    <x v="2"/>
    <x v="2"/>
    <x v="1"/>
    <x v="2"/>
    <x v="22"/>
  </r>
  <r>
    <x v="132"/>
    <x v="116"/>
    <x v="116"/>
    <x v="13"/>
    <x v="25"/>
    <x v="12"/>
    <x v="1"/>
    <x v="108"/>
  </r>
  <r>
    <x v="133"/>
    <x v="117"/>
    <x v="117"/>
    <x v="5"/>
    <x v="5"/>
    <x v="0"/>
    <x v="5"/>
    <x v="65"/>
  </r>
  <r>
    <x v="134"/>
    <x v="118"/>
    <x v="118"/>
    <x v="22"/>
    <x v="24"/>
    <x v="1"/>
    <x v="18"/>
    <x v="24"/>
  </r>
  <r>
    <x v="135"/>
    <x v="119"/>
    <x v="119"/>
    <x v="18"/>
    <x v="19"/>
    <x v="0"/>
    <x v="0"/>
    <x v="0"/>
  </r>
  <r>
    <x v="136"/>
    <x v="120"/>
    <x v="120"/>
    <x v="0"/>
    <x v="0"/>
    <x v="0"/>
    <x v="0"/>
    <x v="0"/>
  </r>
  <r>
    <x v="137"/>
    <x v="121"/>
    <x v="121"/>
    <x v="40"/>
    <x v="44"/>
    <x v="0"/>
    <x v="37"/>
    <x v="58"/>
  </r>
  <r>
    <x v="137"/>
    <x v="121"/>
    <x v="121"/>
    <x v="6"/>
    <x v="6"/>
    <x v="1"/>
    <x v="47"/>
    <x v="67"/>
  </r>
  <r>
    <x v="138"/>
    <x v="122"/>
    <x v="122"/>
    <x v="18"/>
    <x v="19"/>
    <x v="0"/>
    <x v="0"/>
    <x v="0"/>
  </r>
  <r>
    <x v="139"/>
    <x v="45"/>
    <x v="123"/>
    <x v="74"/>
    <x v="84"/>
    <x v="0"/>
    <x v="8"/>
    <x v="9"/>
  </r>
  <r>
    <x v="140"/>
    <x v="123"/>
    <x v="123"/>
    <x v="16"/>
    <x v="9"/>
    <x v="0"/>
    <x v="76"/>
    <x v="109"/>
  </r>
  <r>
    <x v="140"/>
    <x v="123"/>
    <x v="123"/>
    <x v="2"/>
    <x v="2"/>
    <x v="3"/>
    <x v="77"/>
    <x v="110"/>
  </r>
  <r>
    <x v="141"/>
    <x v="124"/>
    <x v="123"/>
    <x v="8"/>
    <x v="86"/>
    <x v="0"/>
    <x v="8"/>
    <x v="9"/>
  </r>
  <r>
    <x v="142"/>
    <x v="125"/>
    <x v="124"/>
    <x v="4"/>
    <x v="4"/>
    <x v="0"/>
    <x v="4"/>
    <x v="5"/>
  </r>
  <r>
    <x v="143"/>
    <x v="126"/>
    <x v="125"/>
    <x v="5"/>
    <x v="5"/>
    <x v="0"/>
    <x v="5"/>
    <x v="65"/>
  </r>
  <r>
    <x v="144"/>
    <x v="127"/>
    <x v="126"/>
    <x v="2"/>
    <x v="2"/>
    <x v="5"/>
    <x v="2"/>
    <x v="111"/>
  </r>
  <r>
    <x v="145"/>
    <x v="128"/>
    <x v="127"/>
    <x v="76"/>
    <x v="9"/>
    <x v="0"/>
    <x v="78"/>
    <x v="112"/>
  </r>
  <r>
    <x v="145"/>
    <x v="128"/>
    <x v="127"/>
    <x v="33"/>
    <x v="36"/>
    <x v="4"/>
    <x v="68"/>
    <x v="113"/>
  </r>
  <r>
    <x v="145"/>
    <x v="128"/>
    <x v="127"/>
    <x v="77"/>
    <x v="87"/>
    <x v="4"/>
    <x v="8"/>
    <x v="9"/>
  </r>
  <r>
    <x v="145"/>
    <x v="128"/>
    <x v="127"/>
    <x v="78"/>
    <x v="88"/>
    <x v="0"/>
    <x v="3"/>
    <x v="4"/>
  </r>
  <r>
    <x v="145"/>
    <x v="128"/>
    <x v="127"/>
    <x v="79"/>
    <x v="89"/>
    <x v="4"/>
    <x v="8"/>
    <x v="9"/>
  </r>
  <r>
    <x v="145"/>
    <x v="128"/>
    <x v="127"/>
    <x v="80"/>
    <x v="90"/>
    <x v="4"/>
    <x v="79"/>
    <x v="114"/>
  </r>
  <r>
    <x v="145"/>
    <x v="128"/>
    <x v="127"/>
    <x v="81"/>
    <x v="91"/>
    <x v="4"/>
    <x v="80"/>
    <x v="115"/>
  </r>
  <r>
    <x v="146"/>
    <x v="54"/>
    <x v="127"/>
    <x v="82"/>
    <x v="92"/>
    <x v="0"/>
    <x v="81"/>
    <x v="116"/>
  </r>
  <r>
    <x v="146"/>
    <x v="54"/>
    <x v="127"/>
    <x v="9"/>
    <x v="9"/>
    <x v="0"/>
    <x v="82"/>
    <x v="117"/>
  </r>
  <r>
    <x v="146"/>
    <x v="54"/>
    <x v="127"/>
    <x v="10"/>
    <x v="10"/>
    <x v="4"/>
    <x v="10"/>
    <x v="118"/>
  </r>
  <r>
    <x v="146"/>
    <x v="54"/>
    <x v="127"/>
    <x v="11"/>
    <x v="11"/>
    <x v="4"/>
    <x v="8"/>
    <x v="9"/>
  </r>
  <r>
    <x v="146"/>
    <x v="54"/>
    <x v="127"/>
    <x v="12"/>
    <x v="12"/>
    <x v="4"/>
    <x v="8"/>
    <x v="9"/>
  </r>
  <r>
    <x v="147"/>
    <x v="129"/>
    <x v="128"/>
    <x v="2"/>
    <x v="2"/>
    <x v="4"/>
    <x v="2"/>
    <x v="119"/>
  </r>
  <r>
    <x v="148"/>
    <x v="130"/>
    <x v="129"/>
    <x v="18"/>
    <x v="19"/>
    <x v="0"/>
    <x v="0"/>
    <x v="0"/>
  </r>
  <r>
    <x v="149"/>
    <x v="131"/>
    <x v="130"/>
    <x v="22"/>
    <x v="24"/>
    <x v="1"/>
    <x v="18"/>
    <x v="24"/>
  </r>
  <r>
    <x v="149"/>
    <x v="131"/>
    <x v="130"/>
    <x v="83"/>
    <x v="93"/>
    <x v="1"/>
    <x v="83"/>
    <x v="120"/>
  </r>
  <r>
    <x v="150"/>
    <x v="132"/>
    <x v="131"/>
    <x v="16"/>
    <x v="9"/>
    <x v="0"/>
    <x v="84"/>
    <x v="121"/>
  </r>
  <r>
    <x v="150"/>
    <x v="132"/>
    <x v="131"/>
    <x v="41"/>
    <x v="45"/>
    <x v="12"/>
    <x v="36"/>
    <x v="122"/>
  </r>
  <r>
    <x v="150"/>
    <x v="132"/>
    <x v="131"/>
    <x v="57"/>
    <x v="62"/>
    <x v="12"/>
    <x v="85"/>
    <x v="123"/>
  </r>
  <r>
    <x v="151"/>
    <x v="133"/>
    <x v="131"/>
    <x v="84"/>
    <x v="94"/>
    <x v="0"/>
    <x v="86"/>
    <x v="124"/>
  </r>
  <r>
    <x v="151"/>
    <x v="133"/>
    <x v="131"/>
    <x v="11"/>
    <x v="11"/>
    <x v="0"/>
    <x v="8"/>
    <x v="9"/>
  </r>
  <r>
    <x v="151"/>
    <x v="133"/>
    <x v="131"/>
    <x v="21"/>
    <x v="67"/>
    <x v="4"/>
    <x v="8"/>
    <x v="9"/>
  </r>
  <r>
    <x v="151"/>
    <x v="133"/>
    <x v="131"/>
    <x v="85"/>
    <x v="95"/>
    <x v="4"/>
    <x v="87"/>
    <x v="125"/>
  </r>
  <r>
    <x v="151"/>
    <x v="133"/>
    <x v="131"/>
    <x v="83"/>
    <x v="93"/>
    <x v="4"/>
    <x v="83"/>
    <x v="126"/>
  </r>
  <r>
    <x v="152"/>
    <x v="134"/>
    <x v="131"/>
    <x v="71"/>
    <x v="81"/>
    <x v="4"/>
    <x v="8"/>
    <x v="9"/>
  </r>
  <r>
    <x v="153"/>
    <x v="37"/>
    <x v="131"/>
    <x v="38"/>
    <x v="42"/>
    <x v="1"/>
    <x v="8"/>
    <x v="9"/>
  </r>
  <r>
    <x v="154"/>
    <x v="135"/>
    <x v="131"/>
    <x v="8"/>
    <x v="96"/>
    <x v="0"/>
    <x v="8"/>
    <x v="9"/>
  </r>
  <r>
    <x v="155"/>
    <x v="136"/>
    <x v="132"/>
    <x v="5"/>
    <x v="5"/>
    <x v="0"/>
    <x v="5"/>
    <x v="65"/>
  </r>
  <r>
    <x v="156"/>
    <x v="93"/>
    <x v="133"/>
    <x v="20"/>
    <x v="21"/>
    <x v="0"/>
    <x v="17"/>
    <x v="18"/>
  </r>
  <r>
    <x v="156"/>
    <x v="93"/>
    <x v="133"/>
    <x v="3"/>
    <x v="3"/>
    <x v="0"/>
    <x v="8"/>
    <x v="9"/>
  </r>
  <r>
    <x v="156"/>
    <x v="93"/>
    <x v="133"/>
    <x v="11"/>
    <x v="22"/>
    <x v="0"/>
    <x v="8"/>
    <x v="9"/>
  </r>
  <r>
    <x v="156"/>
    <x v="93"/>
    <x v="133"/>
    <x v="21"/>
    <x v="23"/>
    <x v="0"/>
    <x v="8"/>
    <x v="9"/>
  </r>
  <r>
    <x v="157"/>
    <x v="137"/>
    <x v="134"/>
    <x v="2"/>
    <x v="2"/>
    <x v="7"/>
    <x v="2"/>
    <x v="127"/>
  </r>
  <r>
    <x v="157"/>
    <x v="137"/>
    <x v="134"/>
    <x v="35"/>
    <x v="38"/>
    <x v="7"/>
    <x v="6"/>
    <x v="81"/>
  </r>
  <r>
    <x v="158"/>
    <x v="138"/>
    <x v="135"/>
    <x v="36"/>
    <x v="39"/>
    <x v="0"/>
    <x v="33"/>
    <x v="128"/>
  </r>
  <r>
    <x v="159"/>
    <x v="139"/>
    <x v="136"/>
    <x v="9"/>
    <x v="9"/>
    <x v="0"/>
    <x v="88"/>
    <x v="129"/>
  </r>
  <r>
    <x v="159"/>
    <x v="139"/>
    <x v="136"/>
    <x v="10"/>
    <x v="10"/>
    <x v="3"/>
    <x v="10"/>
    <x v="11"/>
  </r>
  <r>
    <x v="159"/>
    <x v="139"/>
    <x v="136"/>
    <x v="11"/>
    <x v="11"/>
    <x v="3"/>
    <x v="8"/>
    <x v="9"/>
  </r>
  <r>
    <x v="159"/>
    <x v="139"/>
    <x v="136"/>
    <x v="12"/>
    <x v="12"/>
    <x v="3"/>
    <x v="8"/>
    <x v="9"/>
  </r>
  <r>
    <x v="159"/>
    <x v="139"/>
    <x v="136"/>
    <x v="21"/>
    <x v="67"/>
    <x v="3"/>
    <x v="8"/>
    <x v="9"/>
  </r>
  <r>
    <x v="159"/>
    <x v="139"/>
    <x v="136"/>
    <x v="3"/>
    <x v="14"/>
    <x v="3"/>
    <x v="8"/>
    <x v="9"/>
  </r>
  <r>
    <x v="159"/>
    <x v="139"/>
    <x v="136"/>
    <x v="86"/>
    <x v="97"/>
    <x v="8"/>
    <x v="15"/>
    <x v="130"/>
  </r>
  <r>
    <x v="159"/>
    <x v="139"/>
    <x v="136"/>
    <x v="18"/>
    <x v="19"/>
    <x v="0"/>
    <x v="70"/>
    <x v="98"/>
  </r>
  <r>
    <x v="159"/>
    <x v="139"/>
    <x v="136"/>
    <x v="2"/>
    <x v="2"/>
    <x v="3"/>
    <x v="77"/>
    <x v="110"/>
  </r>
  <r>
    <x v="159"/>
    <x v="139"/>
    <x v="136"/>
    <x v="87"/>
    <x v="98"/>
    <x v="0"/>
    <x v="89"/>
    <x v="131"/>
  </r>
  <r>
    <x v="159"/>
    <x v="139"/>
    <x v="136"/>
    <x v="88"/>
    <x v="99"/>
    <x v="5"/>
    <x v="8"/>
    <x v="9"/>
  </r>
  <r>
    <x v="159"/>
    <x v="139"/>
    <x v="136"/>
    <x v="89"/>
    <x v="100"/>
    <x v="0"/>
    <x v="8"/>
    <x v="9"/>
  </r>
  <r>
    <x v="159"/>
    <x v="139"/>
    <x v="136"/>
    <x v="5"/>
    <x v="5"/>
    <x v="0"/>
    <x v="90"/>
    <x v="132"/>
  </r>
  <r>
    <x v="159"/>
    <x v="139"/>
    <x v="136"/>
    <x v="64"/>
    <x v="72"/>
    <x v="3"/>
    <x v="66"/>
    <x v="133"/>
  </r>
  <r>
    <x v="159"/>
    <x v="139"/>
    <x v="136"/>
    <x v="19"/>
    <x v="20"/>
    <x v="3"/>
    <x v="91"/>
    <x v="134"/>
  </r>
  <r>
    <x v="159"/>
    <x v="139"/>
    <x v="136"/>
    <x v="30"/>
    <x v="33"/>
    <x v="4"/>
    <x v="92"/>
    <x v="135"/>
  </r>
  <r>
    <x v="159"/>
    <x v="139"/>
    <x v="136"/>
    <x v="44"/>
    <x v="49"/>
    <x v="4"/>
    <x v="93"/>
    <x v="136"/>
  </r>
  <r>
    <x v="159"/>
    <x v="139"/>
    <x v="136"/>
    <x v="39"/>
    <x v="101"/>
    <x v="4"/>
    <x v="8"/>
    <x v="9"/>
  </r>
  <r>
    <x v="159"/>
    <x v="139"/>
    <x v="136"/>
    <x v="38"/>
    <x v="102"/>
    <x v="4"/>
    <x v="8"/>
    <x v="9"/>
  </r>
  <r>
    <x v="159"/>
    <x v="139"/>
    <x v="136"/>
    <x v="90"/>
    <x v="103"/>
    <x v="3"/>
    <x v="94"/>
    <x v="137"/>
  </r>
  <r>
    <x v="160"/>
    <x v="12"/>
    <x v="136"/>
    <x v="16"/>
    <x v="9"/>
    <x v="0"/>
    <x v="95"/>
    <x v="138"/>
  </r>
  <r>
    <x v="160"/>
    <x v="12"/>
    <x v="136"/>
    <x v="91"/>
    <x v="104"/>
    <x v="13"/>
    <x v="96"/>
    <x v="139"/>
  </r>
  <r>
    <x v="160"/>
    <x v="12"/>
    <x v="136"/>
    <x v="26"/>
    <x v="105"/>
    <x v="14"/>
    <x v="30"/>
    <x v="140"/>
  </r>
  <r>
    <x v="161"/>
    <x v="140"/>
    <x v="137"/>
    <x v="23"/>
    <x v="0"/>
    <x v="0"/>
    <x v="20"/>
    <x v="21"/>
  </r>
  <r>
    <x v="162"/>
    <x v="141"/>
    <x v="138"/>
    <x v="2"/>
    <x v="2"/>
    <x v="1"/>
    <x v="2"/>
    <x v="22"/>
  </r>
  <r>
    <x v="162"/>
    <x v="141"/>
    <x v="138"/>
    <x v="61"/>
    <x v="69"/>
    <x v="0"/>
    <x v="97"/>
    <x v="141"/>
  </r>
  <r>
    <x v="163"/>
    <x v="142"/>
    <x v="139"/>
    <x v="4"/>
    <x v="4"/>
    <x v="0"/>
    <x v="4"/>
    <x v="5"/>
  </r>
  <r>
    <x v="164"/>
    <x v="143"/>
    <x v="140"/>
    <x v="2"/>
    <x v="2"/>
    <x v="1"/>
    <x v="2"/>
    <x v="22"/>
  </r>
  <r>
    <x v="165"/>
    <x v="144"/>
    <x v="141"/>
    <x v="31"/>
    <x v="34"/>
    <x v="11"/>
    <x v="8"/>
    <x v="9"/>
  </r>
  <r>
    <x v="166"/>
    <x v="145"/>
    <x v="142"/>
    <x v="22"/>
    <x v="24"/>
    <x v="7"/>
    <x v="18"/>
    <x v="142"/>
  </r>
  <r>
    <x v="167"/>
    <x v="146"/>
    <x v="143"/>
    <x v="44"/>
    <x v="49"/>
    <x v="1"/>
    <x v="42"/>
    <x v="55"/>
  </r>
  <r>
    <x v="167"/>
    <x v="146"/>
    <x v="143"/>
    <x v="38"/>
    <x v="75"/>
    <x v="1"/>
    <x v="8"/>
    <x v="9"/>
  </r>
  <r>
    <x v="167"/>
    <x v="146"/>
    <x v="143"/>
    <x v="61"/>
    <x v="69"/>
    <x v="0"/>
    <x v="97"/>
    <x v="141"/>
  </r>
  <r>
    <x v="167"/>
    <x v="146"/>
    <x v="143"/>
    <x v="18"/>
    <x v="19"/>
    <x v="0"/>
    <x v="0"/>
    <x v="0"/>
  </r>
  <r>
    <x v="167"/>
    <x v="146"/>
    <x v="143"/>
    <x v="85"/>
    <x v="106"/>
    <x v="0"/>
    <x v="24"/>
    <x v="143"/>
  </r>
  <r>
    <x v="168"/>
    <x v="147"/>
    <x v="144"/>
    <x v="35"/>
    <x v="38"/>
    <x v="1"/>
    <x v="6"/>
    <x v="37"/>
  </r>
  <r>
    <x v="168"/>
    <x v="147"/>
    <x v="144"/>
    <x v="31"/>
    <x v="34"/>
    <x v="0"/>
    <x v="27"/>
    <x v="106"/>
  </r>
  <r>
    <x v="169"/>
    <x v="148"/>
    <x v="145"/>
    <x v="4"/>
    <x v="4"/>
    <x v="0"/>
    <x v="4"/>
    <x v="5"/>
  </r>
  <r>
    <x v="170"/>
    <x v="149"/>
    <x v="146"/>
    <x v="6"/>
    <x v="6"/>
    <x v="1"/>
    <x v="6"/>
    <x v="37"/>
  </r>
  <r>
    <x v="170"/>
    <x v="149"/>
    <x v="146"/>
    <x v="31"/>
    <x v="34"/>
    <x v="0"/>
    <x v="27"/>
    <x v="106"/>
  </r>
  <r>
    <x v="170"/>
    <x v="149"/>
    <x v="146"/>
    <x v="75"/>
    <x v="85"/>
    <x v="0"/>
    <x v="27"/>
    <x v="106"/>
  </r>
  <r>
    <x v="171"/>
    <x v="126"/>
    <x v="147"/>
    <x v="5"/>
    <x v="5"/>
    <x v="0"/>
    <x v="5"/>
    <x v="65"/>
  </r>
  <r>
    <x v="172"/>
    <x v="135"/>
    <x v="148"/>
    <x v="16"/>
    <x v="9"/>
    <x v="0"/>
    <x v="98"/>
    <x v="144"/>
  </r>
  <r>
    <x v="172"/>
    <x v="135"/>
    <x v="148"/>
    <x v="92"/>
    <x v="107"/>
    <x v="15"/>
    <x v="99"/>
    <x v="145"/>
  </r>
  <r>
    <x v="172"/>
    <x v="135"/>
    <x v="148"/>
    <x v="93"/>
    <x v="108"/>
    <x v="16"/>
    <x v="84"/>
    <x v="146"/>
  </r>
  <r>
    <x v="172"/>
    <x v="135"/>
    <x v="148"/>
    <x v="94"/>
    <x v="109"/>
    <x v="16"/>
    <x v="100"/>
    <x v="147"/>
  </r>
  <r>
    <x v="172"/>
    <x v="135"/>
    <x v="148"/>
    <x v="95"/>
    <x v="110"/>
    <x v="15"/>
    <x v="101"/>
    <x v="148"/>
  </r>
  <r>
    <x v="172"/>
    <x v="135"/>
    <x v="148"/>
    <x v="96"/>
    <x v="111"/>
    <x v="17"/>
    <x v="102"/>
    <x v="149"/>
  </r>
  <r>
    <x v="172"/>
    <x v="135"/>
    <x v="148"/>
    <x v="97"/>
    <x v="112"/>
    <x v="16"/>
    <x v="84"/>
    <x v="146"/>
  </r>
  <r>
    <x v="173"/>
    <x v="116"/>
    <x v="149"/>
    <x v="2"/>
    <x v="2"/>
    <x v="4"/>
    <x v="2"/>
    <x v="119"/>
  </r>
  <r>
    <x v="173"/>
    <x v="116"/>
    <x v="149"/>
    <x v="13"/>
    <x v="25"/>
    <x v="4"/>
    <x v="1"/>
    <x v="150"/>
  </r>
  <r>
    <x v="174"/>
    <x v="150"/>
    <x v="150"/>
    <x v="35"/>
    <x v="38"/>
    <x v="0"/>
    <x v="6"/>
    <x v="41"/>
  </r>
  <r>
    <x v="175"/>
    <x v="151"/>
    <x v="151"/>
    <x v="5"/>
    <x v="5"/>
    <x v="0"/>
    <x v="5"/>
    <x v="65"/>
  </r>
  <r>
    <x v="176"/>
    <x v="135"/>
    <x v="152"/>
    <x v="8"/>
    <x v="8"/>
    <x v="0"/>
    <x v="8"/>
    <x v="9"/>
  </r>
  <r>
    <x v="177"/>
    <x v="152"/>
    <x v="152"/>
    <x v="61"/>
    <x v="69"/>
    <x v="0"/>
    <x v="97"/>
    <x v="141"/>
  </r>
  <r>
    <x v="178"/>
    <x v="153"/>
    <x v="153"/>
    <x v="10"/>
    <x v="10"/>
    <x v="1"/>
    <x v="103"/>
    <x v="151"/>
  </r>
  <r>
    <x v="178"/>
    <x v="153"/>
    <x v="153"/>
    <x v="11"/>
    <x v="22"/>
    <x v="1"/>
    <x v="8"/>
    <x v="9"/>
  </r>
  <r>
    <x v="178"/>
    <x v="153"/>
    <x v="153"/>
    <x v="12"/>
    <x v="65"/>
    <x v="1"/>
    <x v="8"/>
    <x v="9"/>
  </r>
  <r>
    <x v="178"/>
    <x v="153"/>
    <x v="153"/>
    <x v="21"/>
    <x v="23"/>
    <x v="1"/>
    <x v="8"/>
    <x v="9"/>
  </r>
  <r>
    <x v="178"/>
    <x v="153"/>
    <x v="153"/>
    <x v="3"/>
    <x v="3"/>
    <x v="1"/>
    <x v="8"/>
    <x v="9"/>
  </r>
  <r>
    <x v="179"/>
    <x v="154"/>
    <x v="154"/>
    <x v="22"/>
    <x v="24"/>
    <x v="1"/>
    <x v="18"/>
    <x v="24"/>
  </r>
  <r>
    <x v="180"/>
    <x v="155"/>
    <x v="155"/>
    <x v="61"/>
    <x v="69"/>
    <x v="0"/>
    <x v="97"/>
    <x v="141"/>
  </r>
  <r>
    <x v="181"/>
    <x v="156"/>
    <x v="156"/>
    <x v="5"/>
    <x v="5"/>
    <x v="0"/>
    <x v="5"/>
    <x v="65"/>
  </r>
  <r>
    <x v="182"/>
    <x v="157"/>
    <x v="157"/>
    <x v="16"/>
    <x v="9"/>
    <x v="0"/>
    <x v="104"/>
    <x v="152"/>
  </r>
  <r>
    <x v="182"/>
    <x v="157"/>
    <x v="157"/>
    <x v="36"/>
    <x v="39"/>
    <x v="0"/>
    <x v="86"/>
    <x v="124"/>
  </r>
  <r>
    <x v="182"/>
    <x v="157"/>
    <x v="157"/>
    <x v="98"/>
    <x v="113"/>
    <x v="8"/>
    <x v="70"/>
    <x v="153"/>
  </r>
  <r>
    <x v="183"/>
    <x v="124"/>
    <x v="157"/>
    <x v="99"/>
    <x v="114"/>
    <x v="8"/>
    <x v="8"/>
    <x v="9"/>
  </r>
  <r>
    <x v="184"/>
    <x v="37"/>
    <x v="157"/>
    <x v="44"/>
    <x v="49"/>
    <x v="1"/>
    <x v="42"/>
    <x v="55"/>
  </r>
  <r>
    <x v="184"/>
    <x v="37"/>
    <x v="157"/>
    <x v="39"/>
    <x v="101"/>
    <x v="1"/>
    <x v="8"/>
    <x v="9"/>
  </r>
  <r>
    <x v="184"/>
    <x v="37"/>
    <x v="157"/>
    <x v="38"/>
    <x v="75"/>
    <x v="1"/>
    <x v="57"/>
    <x v="82"/>
  </r>
  <r>
    <x v="184"/>
    <x v="37"/>
    <x v="157"/>
    <x v="3"/>
    <x v="3"/>
    <x v="1"/>
    <x v="3"/>
    <x v="56"/>
  </r>
  <r>
    <x v="184"/>
    <x v="37"/>
    <x v="157"/>
    <x v="21"/>
    <x v="23"/>
    <x v="1"/>
    <x v="8"/>
    <x v="9"/>
  </r>
  <r>
    <x v="184"/>
    <x v="37"/>
    <x v="157"/>
    <x v="18"/>
    <x v="19"/>
    <x v="1"/>
    <x v="0"/>
    <x v="45"/>
  </r>
  <r>
    <x v="185"/>
    <x v="158"/>
    <x v="157"/>
    <x v="16"/>
    <x v="9"/>
    <x v="0"/>
    <x v="105"/>
    <x v="154"/>
  </r>
  <r>
    <x v="185"/>
    <x v="158"/>
    <x v="157"/>
    <x v="35"/>
    <x v="38"/>
    <x v="0"/>
    <x v="36"/>
    <x v="155"/>
  </r>
  <r>
    <x v="186"/>
    <x v="152"/>
    <x v="157"/>
    <x v="41"/>
    <x v="45"/>
    <x v="4"/>
    <x v="6"/>
    <x v="7"/>
  </r>
  <r>
    <x v="186"/>
    <x v="152"/>
    <x v="157"/>
    <x v="11"/>
    <x v="22"/>
    <x v="0"/>
    <x v="57"/>
    <x v="156"/>
  </r>
  <r>
    <x v="186"/>
    <x v="152"/>
    <x v="157"/>
    <x v="13"/>
    <x v="115"/>
    <x v="4"/>
    <x v="8"/>
    <x v="9"/>
  </r>
  <r>
    <x v="187"/>
    <x v="159"/>
    <x v="158"/>
    <x v="18"/>
    <x v="19"/>
    <x v="0"/>
    <x v="0"/>
    <x v="0"/>
  </r>
  <r>
    <x v="188"/>
    <x v="160"/>
    <x v="159"/>
    <x v="12"/>
    <x v="65"/>
    <x v="5"/>
    <x v="16"/>
    <x v="157"/>
  </r>
  <r>
    <x v="189"/>
    <x v="161"/>
    <x v="160"/>
    <x v="2"/>
    <x v="2"/>
    <x v="1"/>
    <x v="2"/>
    <x v="22"/>
  </r>
  <r>
    <x v="190"/>
    <x v="162"/>
    <x v="161"/>
    <x v="35"/>
    <x v="38"/>
    <x v="0"/>
    <x v="6"/>
    <x v="41"/>
  </r>
  <r>
    <x v="191"/>
    <x v="163"/>
    <x v="162"/>
    <x v="18"/>
    <x v="19"/>
    <x v="0"/>
    <x v="0"/>
    <x v="0"/>
  </r>
  <r>
    <x v="191"/>
    <x v="163"/>
    <x v="162"/>
    <x v="2"/>
    <x v="2"/>
    <x v="3"/>
    <x v="2"/>
    <x v="158"/>
  </r>
  <r>
    <x v="192"/>
    <x v="164"/>
    <x v="163"/>
    <x v="37"/>
    <x v="40"/>
    <x v="0"/>
    <x v="16"/>
    <x v="17"/>
  </r>
  <r>
    <x v="193"/>
    <x v="165"/>
    <x v="164"/>
    <x v="40"/>
    <x v="44"/>
    <x v="0"/>
    <x v="37"/>
    <x v="58"/>
  </r>
  <r>
    <x v="194"/>
    <x v="166"/>
    <x v="165"/>
    <x v="34"/>
    <x v="37"/>
    <x v="0"/>
    <x v="83"/>
    <x v="159"/>
  </r>
  <r>
    <x v="195"/>
    <x v="167"/>
    <x v="166"/>
    <x v="5"/>
    <x v="5"/>
    <x v="0"/>
    <x v="5"/>
    <x v="65"/>
  </r>
  <r>
    <x v="195"/>
    <x v="167"/>
    <x v="166"/>
    <x v="1"/>
    <x v="1"/>
    <x v="0"/>
    <x v="1"/>
    <x v="39"/>
  </r>
  <r>
    <x v="196"/>
    <x v="114"/>
    <x v="167"/>
    <x v="16"/>
    <x v="9"/>
    <x v="0"/>
    <x v="106"/>
    <x v="160"/>
  </r>
  <r>
    <x v="196"/>
    <x v="114"/>
    <x v="167"/>
    <x v="100"/>
    <x v="116"/>
    <x v="4"/>
    <x v="93"/>
    <x v="136"/>
  </r>
  <r>
    <x v="196"/>
    <x v="114"/>
    <x v="167"/>
    <x v="101"/>
    <x v="117"/>
    <x v="4"/>
    <x v="8"/>
    <x v="9"/>
  </r>
  <r>
    <x v="196"/>
    <x v="114"/>
    <x v="167"/>
    <x v="102"/>
    <x v="118"/>
    <x v="1"/>
    <x v="8"/>
    <x v="9"/>
  </r>
  <r>
    <x v="197"/>
    <x v="168"/>
    <x v="167"/>
    <x v="27"/>
    <x v="30"/>
    <x v="2"/>
    <x v="107"/>
    <x v="161"/>
  </r>
  <r>
    <x v="197"/>
    <x v="168"/>
    <x v="167"/>
    <x v="103"/>
    <x v="119"/>
    <x v="2"/>
    <x v="108"/>
    <x v="147"/>
  </r>
  <r>
    <x v="197"/>
    <x v="168"/>
    <x v="167"/>
    <x v="104"/>
    <x v="120"/>
    <x v="2"/>
    <x v="102"/>
    <x v="162"/>
  </r>
  <r>
    <x v="198"/>
    <x v="169"/>
    <x v="167"/>
    <x v="105"/>
    <x v="121"/>
    <x v="0"/>
    <x v="8"/>
    <x v="9"/>
  </r>
  <r>
    <x v="199"/>
    <x v="170"/>
    <x v="167"/>
    <x v="20"/>
    <x v="21"/>
    <x v="4"/>
    <x v="17"/>
    <x v="35"/>
  </r>
  <r>
    <x v="199"/>
    <x v="170"/>
    <x v="167"/>
    <x v="11"/>
    <x v="22"/>
    <x v="4"/>
    <x v="8"/>
    <x v="9"/>
  </r>
  <r>
    <x v="199"/>
    <x v="170"/>
    <x v="167"/>
    <x v="21"/>
    <x v="67"/>
    <x v="4"/>
    <x v="8"/>
    <x v="9"/>
  </r>
  <r>
    <x v="199"/>
    <x v="170"/>
    <x v="167"/>
    <x v="106"/>
    <x v="122"/>
    <x v="4"/>
    <x v="109"/>
    <x v="163"/>
  </r>
  <r>
    <x v="200"/>
    <x v="171"/>
    <x v="167"/>
    <x v="4"/>
    <x v="4"/>
    <x v="0"/>
    <x v="8"/>
    <x v="9"/>
  </r>
  <r>
    <x v="201"/>
    <x v="8"/>
    <x v="167"/>
    <x v="16"/>
    <x v="9"/>
    <x v="0"/>
    <x v="110"/>
    <x v="164"/>
  </r>
  <r>
    <x v="201"/>
    <x v="8"/>
    <x v="167"/>
    <x v="31"/>
    <x v="34"/>
    <x v="15"/>
    <x v="8"/>
    <x v="9"/>
  </r>
  <r>
    <x v="201"/>
    <x v="8"/>
    <x v="167"/>
    <x v="71"/>
    <x v="81"/>
    <x v="15"/>
    <x v="8"/>
    <x v="9"/>
  </r>
  <r>
    <x v="201"/>
    <x v="8"/>
    <x v="167"/>
    <x v="107"/>
    <x v="123"/>
    <x v="11"/>
    <x v="66"/>
    <x v="165"/>
  </r>
  <r>
    <x v="202"/>
    <x v="172"/>
    <x v="168"/>
    <x v="2"/>
    <x v="2"/>
    <x v="0"/>
    <x v="2"/>
    <x v="43"/>
  </r>
  <r>
    <x v="202"/>
    <x v="172"/>
    <x v="168"/>
    <x v="19"/>
    <x v="20"/>
    <x v="0"/>
    <x v="16"/>
    <x v="17"/>
  </r>
  <r>
    <x v="202"/>
    <x v="172"/>
    <x v="168"/>
    <x v="3"/>
    <x v="3"/>
    <x v="0"/>
    <x v="3"/>
    <x v="4"/>
  </r>
  <r>
    <x v="203"/>
    <x v="173"/>
    <x v="169"/>
    <x v="102"/>
    <x v="118"/>
    <x v="1"/>
    <x v="111"/>
    <x v="166"/>
  </r>
  <r>
    <x v="204"/>
    <x v="174"/>
    <x v="170"/>
    <x v="6"/>
    <x v="6"/>
    <x v="0"/>
    <x v="6"/>
    <x v="41"/>
  </r>
</pivotCacheRecords>
</file>

<file path=xl/pivotCache/pivotCacheRecords2.xml><?xml version="1.0" encoding="utf-8"?>
<pivotCacheRecords xmlns:r="http://schemas.openxmlformats.org/officeDocument/2006/relationships" xmlns="http://schemas.openxmlformats.org/spreadsheetml/2006/main" count="496">
  <r>
    <x v="0"/>
    <x v="0"/>
    <x v="0"/>
  </r>
  <r>
    <x v="1"/>
    <x v="1"/>
    <x v="1"/>
  </r>
  <r>
    <x v="2"/>
    <x v="2"/>
    <x v="2"/>
  </r>
  <r>
    <x v="1"/>
    <x v="1"/>
    <x v="3"/>
  </r>
  <r>
    <x v="3"/>
    <x v="3"/>
    <x v="0"/>
  </r>
  <r>
    <x v="4"/>
    <x v="4"/>
    <x v="0"/>
  </r>
  <r>
    <x v="5"/>
    <x v="5"/>
    <x v="1"/>
  </r>
  <r>
    <x v="6"/>
    <x v="6"/>
    <x v="4"/>
  </r>
  <r>
    <x v="7"/>
    <x v="7"/>
    <x v="0"/>
  </r>
  <r>
    <x v="8"/>
    <x v="8"/>
    <x v="0"/>
  </r>
  <r>
    <x v="9"/>
    <x v="9"/>
    <x v="0"/>
  </r>
  <r>
    <x v="10"/>
    <x v="10"/>
    <x v="3"/>
  </r>
  <r>
    <x v="11"/>
    <x v="11"/>
    <x v="3"/>
  </r>
  <r>
    <x v="12"/>
    <x v="12"/>
    <x v="3"/>
  </r>
  <r>
    <x v="13"/>
    <x v="13"/>
    <x v="3"/>
  </r>
  <r>
    <x v="3"/>
    <x v="14"/>
    <x v="3"/>
  </r>
  <r>
    <x v="14"/>
    <x v="15"/>
    <x v="3"/>
  </r>
  <r>
    <x v="15"/>
    <x v="16"/>
    <x v="0"/>
  </r>
  <r>
    <x v="16"/>
    <x v="9"/>
    <x v="0"/>
  </r>
  <r>
    <x v="17"/>
    <x v="17"/>
    <x v="1"/>
  </r>
  <r>
    <x v="7"/>
    <x v="7"/>
    <x v="0"/>
  </r>
  <r>
    <x v="15"/>
    <x v="18"/>
    <x v="0"/>
  </r>
  <r>
    <x v="18"/>
    <x v="19"/>
    <x v="0"/>
  </r>
  <r>
    <x v="19"/>
    <x v="20"/>
    <x v="0"/>
  </r>
  <r>
    <x v="20"/>
    <x v="21"/>
    <x v="0"/>
  </r>
  <r>
    <x v="3"/>
    <x v="3"/>
    <x v="0"/>
  </r>
  <r>
    <x v="11"/>
    <x v="22"/>
    <x v="0"/>
  </r>
  <r>
    <x v="21"/>
    <x v="23"/>
    <x v="0"/>
  </r>
  <r>
    <x v="20"/>
    <x v="21"/>
    <x v="0"/>
  </r>
  <r>
    <x v="3"/>
    <x v="3"/>
    <x v="0"/>
  </r>
  <r>
    <x v="11"/>
    <x v="22"/>
    <x v="0"/>
  </r>
  <r>
    <x v="21"/>
    <x v="23"/>
    <x v="0"/>
  </r>
  <r>
    <x v="22"/>
    <x v="24"/>
    <x v="0"/>
  </r>
  <r>
    <x v="13"/>
    <x v="25"/>
    <x v="0"/>
  </r>
  <r>
    <x v="23"/>
    <x v="0"/>
    <x v="0"/>
  </r>
  <r>
    <x v="18"/>
    <x v="19"/>
    <x v="0"/>
  </r>
  <r>
    <x v="2"/>
    <x v="2"/>
    <x v="1"/>
  </r>
  <r>
    <x v="24"/>
    <x v="26"/>
    <x v="1"/>
  </r>
  <r>
    <x v="25"/>
    <x v="27"/>
    <x v="1"/>
  </r>
  <r>
    <x v="26"/>
    <x v="28"/>
    <x v="1"/>
  </r>
  <r>
    <x v="19"/>
    <x v="29"/>
    <x v="1"/>
  </r>
  <r>
    <x v="27"/>
    <x v="30"/>
    <x v="1"/>
  </r>
  <r>
    <x v="28"/>
    <x v="31"/>
    <x v="1"/>
  </r>
  <r>
    <x v="29"/>
    <x v="32"/>
    <x v="1"/>
  </r>
  <r>
    <x v="30"/>
    <x v="33"/>
    <x v="1"/>
  </r>
  <r>
    <x v="0"/>
    <x v="0"/>
    <x v="0"/>
  </r>
  <r>
    <x v="31"/>
    <x v="34"/>
    <x v="4"/>
  </r>
  <r>
    <x v="1"/>
    <x v="1"/>
    <x v="1"/>
  </r>
  <r>
    <x v="9"/>
    <x v="9"/>
    <x v="0"/>
  </r>
  <r>
    <x v="32"/>
    <x v="35"/>
    <x v="1"/>
  </r>
  <r>
    <x v="33"/>
    <x v="36"/>
    <x v="1"/>
  </r>
  <r>
    <x v="18"/>
    <x v="19"/>
    <x v="0"/>
  </r>
  <r>
    <x v="15"/>
    <x v="16"/>
    <x v="0"/>
  </r>
  <r>
    <x v="4"/>
    <x v="4"/>
    <x v="0"/>
  </r>
  <r>
    <x v="20"/>
    <x v="21"/>
    <x v="4"/>
  </r>
  <r>
    <x v="34"/>
    <x v="37"/>
    <x v="4"/>
  </r>
  <r>
    <x v="11"/>
    <x v="22"/>
    <x v="4"/>
  </r>
  <r>
    <x v="21"/>
    <x v="23"/>
    <x v="4"/>
  </r>
  <r>
    <x v="23"/>
    <x v="0"/>
    <x v="0"/>
  </r>
  <r>
    <x v="35"/>
    <x v="38"/>
    <x v="1"/>
  </r>
  <r>
    <x v="36"/>
    <x v="39"/>
    <x v="5"/>
  </r>
  <r>
    <x v="1"/>
    <x v="1"/>
    <x v="0"/>
  </r>
  <r>
    <x v="37"/>
    <x v="40"/>
    <x v="0"/>
  </r>
  <r>
    <x v="30"/>
    <x v="33"/>
    <x v="0"/>
  </r>
  <r>
    <x v="13"/>
    <x v="25"/>
    <x v="1"/>
  </r>
  <r>
    <x v="6"/>
    <x v="6"/>
    <x v="0"/>
  </r>
  <r>
    <x v="23"/>
    <x v="0"/>
    <x v="1"/>
  </r>
  <r>
    <x v="2"/>
    <x v="2"/>
    <x v="0"/>
  </r>
  <r>
    <x v="23"/>
    <x v="0"/>
    <x v="0"/>
  </r>
  <r>
    <x v="13"/>
    <x v="25"/>
    <x v="0"/>
  </r>
  <r>
    <x v="1"/>
    <x v="1"/>
    <x v="0"/>
  </r>
  <r>
    <x v="4"/>
    <x v="4"/>
    <x v="0"/>
  </r>
  <r>
    <x v="22"/>
    <x v="24"/>
    <x v="0"/>
  </r>
  <r>
    <x v="8"/>
    <x v="41"/>
    <x v="0"/>
  </r>
  <r>
    <x v="38"/>
    <x v="42"/>
    <x v="1"/>
  </r>
  <r>
    <x v="39"/>
    <x v="43"/>
    <x v="1"/>
  </r>
  <r>
    <x v="40"/>
    <x v="44"/>
    <x v="0"/>
  </r>
  <r>
    <x v="35"/>
    <x v="38"/>
    <x v="1"/>
  </r>
  <r>
    <x v="35"/>
    <x v="38"/>
    <x v="0"/>
  </r>
  <r>
    <x v="41"/>
    <x v="45"/>
    <x v="1"/>
  </r>
  <r>
    <x v="6"/>
    <x v="6"/>
    <x v="1"/>
  </r>
  <r>
    <x v="22"/>
    <x v="24"/>
    <x v="0"/>
  </r>
  <r>
    <x v="6"/>
    <x v="6"/>
    <x v="0"/>
  </r>
  <r>
    <x v="6"/>
    <x v="6"/>
    <x v="1"/>
  </r>
  <r>
    <x v="15"/>
    <x v="16"/>
    <x v="0"/>
  </r>
  <r>
    <x v="0"/>
    <x v="0"/>
    <x v="0"/>
  </r>
  <r>
    <x v="18"/>
    <x v="19"/>
    <x v="0"/>
  </r>
  <r>
    <x v="0"/>
    <x v="0"/>
    <x v="1"/>
  </r>
  <r>
    <x v="23"/>
    <x v="0"/>
    <x v="0"/>
  </r>
  <r>
    <x v="22"/>
    <x v="24"/>
    <x v="0"/>
  </r>
  <r>
    <x v="6"/>
    <x v="6"/>
    <x v="0"/>
  </r>
  <r>
    <x v="22"/>
    <x v="24"/>
    <x v="0"/>
  </r>
  <r>
    <x v="16"/>
    <x v="9"/>
    <x v="0"/>
  </r>
  <r>
    <x v="8"/>
    <x v="46"/>
    <x v="0"/>
  </r>
  <r>
    <x v="42"/>
    <x v="47"/>
    <x v="4"/>
  </r>
  <r>
    <x v="14"/>
    <x v="15"/>
    <x v="6"/>
  </r>
  <r>
    <x v="35"/>
    <x v="38"/>
    <x v="7"/>
  </r>
  <r>
    <x v="43"/>
    <x v="48"/>
    <x v="1"/>
  </r>
  <r>
    <x v="31"/>
    <x v="34"/>
    <x v="0"/>
  </r>
  <r>
    <x v="2"/>
    <x v="2"/>
    <x v="0"/>
  </r>
  <r>
    <x v="1"/>
    <x v="1"/>
    <x v="0"/>
  </r>
  <r>
    <x v="1"/>
    <x v="1"/>
    <x v="8"/>
  </r>
  <r>
    <x v="13"/>
    <x v="25"/>
    <x v="9"/>
  </r>
  <r>
    <x v="0"/>
    <x v="0"/>
    <x v="0"/>
  </r>
  <r>
    <x v="6"/>
    <x v="6"/>
    <x v="0"/>
  </r>
  <r>
    <x v="44"/>
    <x v="49"/>
    <x v="1"/>
  </r>
  <r>
    <x v="45"/>
    <x v="50"/>
    <x v="1"/>
  </r>
  <r>
    <x v="2"/>
    <x v="2"/>
    <x v="1"/>
  </r>
  <r>
    <x v="3"/>
    <x v="3"/>
    <x v="1"/>
  </r>
  <r>
    <x v="20"/>
    <x v="21"/>
    <x v="1"/>
  </r>
  <r>
    <x v="3"/>
    <x v="3"/>
    <x v="1"/>
  </r>
  <r>
    <x v="11"/>
    <x v="22"/>
    <x v="1"/>
  </r>
  <r>
    <x v="21"/>
    <x v="23"/>
    <x v="1"/>
  </r>
  <r>
    <x v="6"/>
    <x v="6"/>
    <x v="0"/>
  </r>
  <r>
    <x v="40"/>
    <x v="44"/>
    <x v="0"/>
  </r>
  <r>
    <x v="2"/>
    <x v="2"/>
    <x v="1"/>
  </r>
  <r>
    <x v="46"/>
    <x v="51"/>
    <x v="1"/>
  </r>
  <r>
    <x v="4"/>
    <x v="4"/>
    <x v="0"/>
  </r>
  <r>
    <x v="0"/>
    <x v="0"/>
    <x v="0"/>
  </r>
  <r>
    <x v="7"/>
    <x v="7"/>
    <x v="0"/>
  </r>
  <r>
    <x v="47"/>
    <x v="52"/>
    <x v="3"/>
  </r>
  <r>
    <x v="48"/>
    <x v="53"/>
    <x v="1"/>
  </r>
  <r>
    <x v="49"/>
    <x v="54"/>
    <x v="0"/>
  </r>
  <r>
    <x v="50"/>
    <x v="55"/>
    <x v="1"/>
  </r>
  <r>
    <x v="51"/>
    <x v="56"/>
    <x v="1"/>
  </r>
  <r>
    <x v="52"/>
    <x v="57"/>
    <x v="0"/>
  </r>
  <r>
    <x v="53"/>
    <x v="58"/>
    <x v="1"/>
  </r>
  <r>
    <x v="54"/>
    <x v="59"/>
    <x v="1"/>
  </r>
  <r>
    <x v="55"/>
    <x v="60"/>
    <x v="7"/>
  </r>
  <r>
    <x v="2"/>
    <x v="2"/>
    <x v="1"/>
  </r>
  <r>
    <x v="4"/>
    <x v="4"/>
    <x v="1"/>
  </r>
  <r>
    <x v="23"/>
    <x v="0"/>
    <x v="1"/>
  </r>
  <r>
    <x v="0"/>
    <x v="0"/>
    <x v="0"/>
  </r>
  <r>
    <x v="35"/>
    <x v="38"/>
    <x v="0"/>
  </r>
  <r>
    <x v="4"/>
    <x v="4"/>
    <x v="0"/>
  </r>
  <r>
    <x v="5"/>
    <x v="5"/>
    <x v="0"/>
  </r>
  <r>
    <x v="6"/>
    <x v="6"/>
    <x v="0"/>
  </r>
  <r>
    <x v="35"/>
    <x v="38"/>
    <x v="0"/>
  </r>
  <r>
    <x v="0"/>
    <x v="0"/>
    <x v="1"/>
  </r>
  <r>
    <x v="20"/>
    <x v="21"/>
    <x v="1"/>
  </r>
  <r>
    <x v="3"/>
    <x v="3"/>
    <x v="1"/>
  </r>
  <r>
    <x v="11"/>
    <x v="22"/>
    <x v="1"/>
  </r>
  <r>
    <x v="21"/>
    <x v="23"/>
    <x v="1"/>
  </r>
  <r>
    <x v="18"/>
    <x v="19"/>
    <x v="0"/>
  </r>
  <r>
    <x v="35"/>
    <x v="38"/>
    <x v="0"/>
  </r>
  <r>
    <x v="37"/>
    <x v="40"/>
    <x v="1"/>
  </r>
  <r>
    <x v="22"/>
    <x v="24"/>
    <x v="0"/>
  </r>
  <r>
    <x v="4"/>
    <x v="4"/>
    <x v="0"/>
  </r>
  <r>
    <x v="23"/>
    <x v="0"/>
    <x v="0"/>
  </r>
  <r>
    <x v="2"/>
    <x v="2"/>
    <x v="1"/>
  </r>
  <r>
    <x v="1"/>
    <x v="1"/>
    <x v="0"/>
  </r>
  <r>
    <x v="30"/>
    <x v="33"/>
    <x v="0"/>
  </r>
  <r>
    <x v="40"/>
    <x v="44"/>
    <x v="1"/>
  </r>
  <r>
    <x v="6"/>
    <x v="6"/>
    <x v="1"/>
  </r>
  <r>
    <x v="5"/>
    <x v="5"/>
    <x v="0"/>
  </r>
  <r>
    <x v="22"/>
    <x v="24"/>
    <x v="0"/>
  </r>
  <r>
    <x v="46"/>
    <x v="51"/>
    <x v="0"/>
  </r>
  <r>
    <x v="19"/>
    <x v="20"/>
    <x v="0"/>
  </r>
  <r>
    <x v="32"/>
    <x v="35"/>
    <x v="3"/>
  </r>
  <r>
    <x v="56"/>
    <x v="61"/>
    <x v="10"/>
  </r>
  <r>
    <x v="57"/>
    <x v="62"/>
    <x v="2"/>
  </r>
  <r>
    <x v="13"/>
    <x v="25"/>
    <x v="5"/>
  </r>
  <r>
    <x v="0"/>
    <x v="0"/>
    <x v="0"/>
  </r>
  <r>
    <x v="15"/>
    <x v="16"/>
    <x v="0"/>
  </r>
  <r>
    <x v="3"/>
    <x v="3"/>
    <x v="1"/>
  </r>
  <r>
    <x v="4"/>
    <x v="4"/>
    <x v="0"/>
  </r>
  <r>
    <x v="2"/>
    <x v="2"/>
    <x v="8"/>
  </r>
  <r>
    <x v="16"/>
    <x v="9"/>
    <x v="0"/>
  </r>
  <r>
    <x v="58"/>
    <x v="63"/>
    <x v="3"/>
  </r>
  <r>
    <x v="59"/>
    <x v="64"/>
    <x v="3"/>
  </r>
  <r>
    <x v="12"/>
    <x v="65"/>
    <x v="4"/>
  </r>
  <r>
    <x v="18"/>
    <x v="19"/>
    <x v="0"/>
  </r>
  <r>
    <x v="22"/>
    <x v="24"/>
    <x v="1"/>
  </r>
  <r>
    <x v="22"/>
    <x v="24"/>
    <x v="0"/>
  </r>
  <r>
    <x v="34"/>
    <x v="37"/>
    <x v="0"/>
  </r>
  <r>
    <x v="8"/>
    <x v="66"/>
    <x v="0"/>
  </r>
  <r>
    <x v="9"/>
    <x v="9"/>
    <x v="0"/>
  </r>
  <r>
    <x v="20"/>
    <x v="21"/>
    <x v="4"/>
  </r>
  <r>
    <x v="11"/>
    <x v="11"/>
    <x v="4"/>
  </r>
  <r>
    <x v="3"/>
    <x v="14"/>
    <x v="4"/>
  </r>
  <r>
    <x v="21"/>
    <x v="67"/>
    <x v="4"/>
  </r>
  <r>
    <x v="42"/>
    <x v="47"/>
    <x v="0"/>
  </r>
  <r>
    <x v="6"/>
    <x v="6"/>
    <x v="7"/>
  </r>
  <r>
    <x v="23"/>
    <x v="0"/>
    <x v="0"/>
  </r>
  <r>
    <x v="44"/>
    <x v="49"/>
    <x v="1"/>
  </r>
  <r>
    <x v="45"/>
    <x v="50"/>
    <x v="1"/>
  </r>
  <r>
    <x v="3"/>
    <x v="3"/>
    <x v="1"/>
  </r>
  <r>
    <x v="2"/>
    <x v="2"/>
    <x v="1"/>
  </r>
  <r>
    <x v="20"/>
    <x v="21"/>
    <x v="1"/>
  </r>
  <r>
    <x v="3"/>
    <x v="3"/>
    <x v="1"/>
  </r>
  <r>
    <x v="11"/>
    <x v="22"/>
    <x v="1"/>
  </r>
  <r>
    <x v="21"/>
    <x v="23"/>
    <x v="1"/>
  </r>
  <r>
    <x v="60"/>
    <x v="68"/>
    <x v="1"/>
  </r>
  <r>
    <x v="6"/>
    <x v="6"/>
    <x v="4"/>
  </r>
  <r>
    <x v="18"/>
    <x v="19"/>
    <x v="0"/>
  </r>
  <r>
    <x v="61"/>
    <x v="69"/>
    <x v="0"/>
  </r>
  <r>
    <x v="5"/>
    <x v="5"/>
    <x v="0"/>
  </r>
  <r>
    <x v="22"/>
    <x v="24"/>
    <x v="0"/>
  </r>
  <r>
    <x v="6"/>
    <x v="6"/>
    <x v="0"/>
  </r>
  <r>
    <x v="18"/>
    <x v="19"/>
    <x v="0"/>
  </r>
  <r>
    <x v="35"/>
    <x v="38"/>
    <x v="0"/>
  </r>
  <r>
    <x v="9"/>
    <x v="9"/>
    <x v="0"/>
  </r>
  <r>
    <x v="62"/>
    <x v="70"/>
    <x v="4"/>
  </r>
  <r>
    <x v="2"/>
    <x v="2"/>
    <x v="4"/>
  </r>
  <r>
    <x v="63"/>
    <x v="71"/>
    <x v="8"/>
  </r>
  <r>
    <x v="55"/>
    <x v="60"/>
    <x v="11"/>
  </r>
  <r>
    <x v="35"/>
    <x v="38"/>
    <x v="0"/>
  </r>
  <r>
    <x v="1"/>
    <x v="1"/>
    <x v="0"/>
  </r>
  <r>
    <x v="9"/>
    <x v="9"/>
    <x v="0"/>
  </r>
  <r>
    <x v="10"/>
    <x v="10"/>
    <x v="7"/>
  </r>
  <r>
    <x v="11"/>
    <x v="11"/>
    <x v="7"/>
  </r>
  <r>
    <x v="12"/>
    <x v="12"/>
    <x v="7"/>
  </r>
  <r>
    <x v="14"/>
    <x v="15"/>
    <x v="7"/>
  </r>
  <r>
    <x v="64"/>
    <x v="72"/>
    <x v="7"/>
  </r>
  <r>
    <x v="5"/>
    <x v="5"/>
    <x v="0"/>
  </r>
  <r>
    <x v="6"/>
    <x v="6"/>
    <x v="1"/>
  </r>
  <r>
    <x v="19"/>
    <x v="20"/>
    <x v="1"/>
  </r>
  <r>
    <x v="19"/>
    <x v="20"/>
    <x v="1"/>
  </r>
  <r>
    <x v="65"/>
    <x v="73"/>
    <x v="0"/>
  </r>
  <r>
    <x v="64"/>
    <x v="72"/>
    <x v="1"/>
  </r>
  <r>
    <x v="4"/>
    <x v="4"/>
    <x v="0"/>
  </r>
  <r>
    <x v="5"/>
    <x v="5"/>
    <x v="0"/>
  </r>
  <r>
    <x v="0"/>
    <x v="0"/>
    <x v="0"/>
  </r>
  <r>
    <x v="0"/>
    <x v="0"/>
    <x v="1"/>
  </r>
  <r>
    <x v="13"/>
    <x v="25"/>
    <x v="0"/>
  </r>
  <r>
    <x v="0"/>
    <x v="0"/>
    <x v="0"/>
  </r>
  <r>
    <x v="33"/>
    <x v="36"/>
    <x v="1"/>
  </r>
  <r>
    <x v="6"/>
    <x v="6"/>
    <x v="0"/>
  </r>
  <r>
    <x v="66"/>
    <x v="74"/>
    <x v="0"/>
  </r>
  <r>
    <x v="9"/>
    <x v="9"/>
    <x v="0"/>
  </r>
  <r>
    <x v="18"/>
    <x v="19"/>
    <x v="0"/>
  </r>
  <r>
    <x v="14"/>
    <x v="15"/>
    <x v="0"/>
  </r>
  <r>
    <x v="16"/>
    <x v="9"/>
    <x v="0"/>
  </r>
  <r>
    <x v="38"/>
    <x v="75"/>
    <x v="4"/>
  </r>
  <r>
    <x v="49"/>
    <x v="76"/>
    <x v="0"/>
  </r>
  <r>
    <x v="67"/>
    <x v="77"/>
    <x v="0"/>
  </r>
  <r>
    <x v="68"/>
    <x v="78"/>
    <x v="4"/>
  </r>
  <r>
    <x v="69"/>
    <x v="79"/>
    <x v="1"/>
  </r>
  <r>
    <x v="70"/>
    <x v="80"/>
    <x v="0"/>
  </r>
  <r>
    <x v="71"/>
    <x v="81"/>
    <x v="1"/>
  </r>
  <r>
    <x v="65"/>
    <x v="73"/>
    <x v="0"/>
  </r>
  <r>
    <x v="72"/>
    <x v="82"/>
    <x v="0"/>
  </r>
  <r>
    <x v="73"/>
    <x v="83"/>
    <x v="0"/>
  </r>
  <r>
    <x v="74"/>
    <x v="84"/>
    <x v="0"/>
  </r>
  <r>
    <x v="75"/>
    <x v="85"/>
    <x v="0"/>
  </r>
  <r>
    <x v="1"/>
    <x v="1"/>
    <x v="0"/>
  </r>
  <r>
    <x v="20"/>
    <x v="21"/>
    <x v="1"/>
  </r>
  <r>
    <x v="34"/>
    <x v="37"/>
    <x v="1"/>
  </r>
  <r>
    <x v="11"/>
    <x v="22"/>
    <x v="1"/>
  </r>
  <r>
    <x v="21"/>
    <x v="23"/>
    <x v="1"/>
  </r>
  <r>
    <x v="2"/>
    <x v="2"/>
    <x v="1"/>
  </r>
  <r>
    <x v="13"/>
    <x v="25"/>
    <x v="12"/>
  </r>
  <r>
    <x v="5"/>
    <x v="5"/>
    <x v="0"/>
  </r>
  <r>
    <x v="22"/>
    <x v="24"/>
    <x v="1"/>
  </r>
  <r>
    <x v="18"/>
    <x v="19"/>
    <x v="0"/>
  </r>
  <r>
    <x v="0"/>
    <x v="0"/>
    <x v="0"/>
  </r>
  <r>
    <x v="40"/>
    <x v="44"/>
    <x v="0"/>
  </r>
  <r>
    <x v="6"/>
    <x v="6"/>
    <x v="1"/>
  </r>
  <r>
    <x v="18"/>
    <x v="19"/>
    <x v="0"/>
  </r>
  <r>
    <x v="74"/>
    <x v="84"/>
    <x v="0"/>
  </r>
  <r>
    <x v="16"/>
    <x v="9"/>
    <x v="0"/>
  </r>
  <r>
    <x v="2"/>
    <x v="2"/>
    <x v="3"/>
  </r>
  <r>
    <x v="8"/>
    <x v="86"/>
    <x v="0"/>
  </r>
  <r>
    <x v="4"/>
    <x v="4"/>
    <x v="0"/>
  </r>
  <r>
    <x v="5"/>
    <x v="5"/>
    <x v="0"/>
  </r>
  <r>
    <x v="2"/>
    <x v="2"/>
    <x v="5"/>
  </r>
  <r>
    <x v="76"/>
    <x v="9"/>
    <x v="0"/>
  </r>
  <r>
    <x v="33"/>
    <x v="36"/>
    <x v="4"/>
  </r>
  <r>
    <x v="77"/>
    <x v="87"/>
    <x v="4"/>
  </r>
  <r>
    <x v="78"/>
    <x v="88"/>
    <x v="0"/>
  </r>
  <r>
    <x v="79"/>
    <x v="89"/>
    <x v="4"/>
  </r>
  <r>
    <x v="80"/>
    <x v="90"/>
    <x v="4"/>
  </r>
  <r>
    <x v="81"/>
    <x v="91"/>
    <x v="4"/>
  </r>
  <r>
    <x v="82"/>
    <x v="92"/>
    <x v="0"/>
  </r>
  <r>
    <x v="9"/>
    <x v="9"/>
    <x v="0"/>
  </r>
  <r>
    <x v="10"/>
    <x v="10"/>
    <x v="4"/>
  </r>
  <r>
    <x v="11"/>
    <x v="11"/>
    <x v="4"/>
  </r>
  <r>
    <x v="12"/>
    <x v="12"/>
    <x v="4"/>
  </r>
  <r>
    <x v="2"/>
    <x v="2"/>
    <x v="4"/>
  </r>
  <r>
    <x v="18"/>
    <x v="19"/>
    <x v="0"/>
  </r>
  <r>
    <x v="22"/>
    <x v="24"/>
    <x v="1"/>
  </r>
  <r>
    <x v="83"/>
    <x v="93"/>
    <x v="1"/>
  </r>
  <r>
    <x v="16"/>
    <x v="9"/>
    <x v="0"/>
  </r>
  <r>
    <x v="41"/>
    <x v="45"/>
    <x v="12"/>
  </r>
  <r>
    <x v="57"/>
    <x v="62"/>
    <x v="12"/>
  </r>
  <r>
    <x v="84"/>
    <x v="94"/>
    <x v="0"/>
  </r>
  <r>
    <x v="11"/>
    <x v="11"/>
    <x v="0"/>
  </r>
  <r>
    <x v="21"/>
    <x v="67"/>
    <x v="4"/>
  </r>
  <r>
    <x v="85"/>
    <x v="95"/>
    <x v="4"/>
  </r>
  <r>
    <x v="83"/>
    <x v="93"/>
    <x v="4"/>
  </r>
  <r>
    <x v="71"/>
    <x v="81"/>
    <x v="4"/>
  </r>
  <r>
    <x v="38"/>
    <x v="42"/>
    <x v="1"/>
  </r>
  <r>
    <x v="8"/>
    <x v="96"/>
    <x v="0"/>
  </r>
  <r>
    <x v="5"/>
    <x v="5"/>
    <x v="0"/>
  </r>
  <r>
    <x v="20"/>
    <x v="21"/>
    <x v="0"/>
  </r>
  <r>
    <x v="3"/>
    <x v="3"/>
    <x v="0"/>
  </r>
  <r>
    <x v="11"/>
    <x v="22"/>
    <x v="0"/>
  </r>
  <r>
    <x v="21"/>
    <x v="23"/>
    <x v="0"/>
  </r>
  <r>
    <x v="2"/>
    <x v="2"/>
    <x v="7"/>
  </r>
  <r>
    <x v="35"/>
    <x v="38"/>
    <x v="7"/>
  </r>
  <r>
    <x v="36"/>
    <x v="39"/>
    <x v="0"/>
  </r>
  <r>
    <x v="9"/>
    <x v="9"/>
    <x v="0"/>
  </r>
  <r>
    <x v="10"/>
    <x v="10"/>
    <x v="3"/>
  </r>
  <r>
    <x v="11"/>
    <x v="11"/>
    <x v="3"/>
  </r>
  <r>
    <x v="12"/>
    <x v="12"/>
    <x v="3"/>
  </r>
  <r>
    <x v="21"/>
    <x v="67"/>
    <x v="3"/>
  </r>
  <r>
    <x v="3"/>
    <x v="14"/>
    <x v="3"/>
  </r>
  <r>
    <x v="86"/>
    <x v="97"/>
    <x v="8"/>
  </r>
  <r>
    <x v="18"/>
    <x v="19"/>
    <x v="0"/>
  </r>
  <r>
    <x v="2"/>
    <x v="2"/>
    <x v="3"/>
  </r>
  <r>
    <x v="87"/>
    <x v="98"/>
    <x v="0"/>
  </r>
  <r>
    <x v="88"/>
    <x v="99"/>
    <x v="5"/>
  </r>
  <r>
    <x v="89"/>
    <x v="100"/>
    <x v="0"/>
  </r>
  <r>
    <x v="5"/>
    <x v="5"/>
    <x v="0"/>
  </r>
  <r>
    <x v="64"/>
    <x v="72"/>
    <x v="3"/>
  </r>
  <r>
    <x v="19"/>
    <x v="20"/>
    <x v="3"/>
  </r>
  <r>
    <x v="30"/>
    <x v="33"/>
    <x v="4"/>
  </r>
  <r>
    <x v="44"/>
    <x v="49"/>
    <x v="4"/>
  </r>
  <r>
    <x v="39"/>
    <x v="101"/>
    <x v="4"/>
  </r>
  <r>
    <x v="38"/>
    <x v="102"/>
    <x v="4"/>
  </r>
  <r>
    <x v="90"/>
    <x v="103"/>
    <x v="3"/>
  </r>
  <r>
    <x v="16"/>
    <x v="9"/>
    <x v="0"/>
  </r>
  <r>
    <x v="91"/>
    <x v="104"/>
    <x v="13"/>
  </r>
  <r>
    <x v="26"/>
    <x v="105"/>
    <x v="14"/>
  </r>
  <r>
    <x v="23"/>
    <x v="0"/>
    <x v="0"/>
  </r>
  <r>
    <x v="2"/>
    <x v="2"/>
    <x v="1"/>
  </r>
  <r>
    <x v="61"/>
    <x v="69"/>
    <x v="0"/>
  </r>
  <r>
    <x v="4"/>
    <x v="4"/>
    <x v="0"/>
  </r>
  <r>
    <x v="2"/>
    <x v="2"/>
    <x v="1"/>
  </r>
  <r>
    <x v="31"/>
    <x v="34"/>
    <x v="11"/>
  </r>
  <r>
    <x v="22"/>
    <x v="24"/>
    <x v="7"/>
  </r>
  <r>
    <x v="44"/>
    <x v="49"/>
    <x v="1"/>
  </r>
  <r>
    <x v="38"/>
    <x v="75"/>
    <x v="1"/>
  </r>
  <r>
    <x v="61"/>
    <x v="69"/>
    <x v="0"/>
  </r>
  <r>
    <x v="18"/>
    <x v="19"/>
    <x v="0"/>
  </r>
  <r>
    <x v="85"/>
    <x v="106"/>
    <x v="0"/>
  </r>
  <r>
    <x v="35"/>
    <x v="38"/>
    <x v="1"/>
  </r>
  <r>
    <x v="31"/>
    <x v="34"/>
    <x v="0"/>
  </r>
  <r>
    <x v="4"/>
    <x v="4"/>
    <x v="0"/>
  </r>
  <r>
    <x v="6"/>
    <x v="6"/>
    <x v="1"/>
  </r>
  <r>
    <x v="31"/>
    <x v="34"/>
    <x v="0"/>
  </r>
  <r>
    <x v="75"/>
    <x v="85"/>
    <x v="0"/>
  </r>
  <r>
    <x v="5"/>
    <x v="5"/>
    <x v="0"/>
  </r>
  <r>
    <x v="16"/>
    <x v="9"/>
    <x v="0"/>
  </r>
  <r>
    <x v="92"/>
    <x v="107"/>
    <x v="15"/>
  </r>
  <r>
    <x v="93"/>
    <x v="108"/>
    <x v="16"/>
  </r>
  <r>
    <x v="94"/>
    <x v="109"/>
    <x v="16"/>
  </r>
  <r>
    <x v="95"/>
    <x v="110"/>
    <x v="15"/>
  </r>
  <r>
    <x v="96"/>
    <x v="111"/>
    <x v="17"/>
  </r>
  <r>
    <x v="97"/>
    <x v="112"/>
    <x v="16"/>
  </r>
  <r>
    <x v="2"/>
    <x v="2"/>
    <x v="4"/>
  </r>
  <r>
    <x v="13"/>
    <x v="25"/>
    <x v="4"/>
  </r>
  <r>
    <x v="35"/>
    <x v="38"/>
    <x v="0"/>
  </r>
  <r>
    <x v="5"/>
    <x v="5"/>
    <x v="0"/>
  </r>
  <r>
    <x v="8"/>
    <x v="8"/>
    <x v="0"/>
  </r>
  <r>
    <x v="61"/>
    <x v="69"/>
    <x v="0"/>
  </r>
  <r>
    <x v="10"/>
    <x v="10"/>
    <x v="1"/>
  </r>
  <r>
    <x v="11"/>
    <x v="22"/>
    <x v="1"/>
  </r>
  <r>
    <x v="12"/>
    <x v="65"/>
    <x v="1"/>
  </r>
  <r>
    <x v="21"/>
    <x v="23"/>
    <x v="1"/>
  </r>
  <r>
    <x v="3"/>
    <x v="3"/>
    <x v="1"/>
  </r>
  <r>
    <x v="22"/>
    <x v="24"/>
    <x v="1"/>
  </r>
  <r>
    <x v="61"/>
    <x v="69"/>
    <x v="0"/>
  </r>
  <r>
    <x v="5"/>
    <x v="5"/>
    <x v="0"/>
  </r>
  <r>
    <x v="16"/>
    <x v="9"/>
    <x v="0"/>
  </r>
  <r>
    <x v="36"/>
    <x v="39"/>
    <x v="0"/>
  </r>
  <r>
    <x v="98"/>
    <x v="113"/>
    <x v="8"/>
  </r>
  <r>
    <x v="99"/>
    <x v="114"/>
    <x v="8"/>
  </r>
  <r>
    <x v="44"/>
    <x v="49"/>
    <x v="1"/>
  </r>
  <r>
    <x v="39"/>
    <x v="101"/>
    <x v="1"/>
  </r>
  <r>
    <x v="38"/>
    <x v="75"/>
    <x v="1"/>
  </r>
  <r>
    <x v="3"/>
    <x v="3"/>
    <x v="1"/>
  </r>
  <r>
    <x v="21"/>
    <x v="23"/>
    <x v="1"/>
  </r>
  <r>
    <x v="18"/>
    <x v="19"/>
    <x v="1"/>
  </r>
  <r>
    <x v="16"/>
    <x v="9"/>
    <x v="0"/>
  </r>
  <r>
    <x v="35"/>
    <x v="38"/>
    <x v="0"/>
  </r>
  <r>
    <x v="41"/>
    <x v="45"/>
    <x v="4"/>
  </r>
  <r>
    <x v="11"/>
    <x v="22"/>
    <x v="0"/>
  </r>
  <r>
    <x v="13"/>
    <x v="115"/>
    <x v="4"/>
  </r>
  <r>
    <x v="18"/>
    <x v="19"/>
    <x v="0"/>
  </r>
  <r>
    <x v="12"/>
    <x v="65"/>
    <x v="5"/>
  </r>
  <r>
    <x v="2"/>
    <x v="2"/>
    <x v="1"/>
  </r>
  <r>
    <x v="35"/>
    <x v="38"/>
    <x v="0"/>
  </r>
  <r>
    <x v="18"/>
    <x v="19"/>
    <x v="0"/>
  </r>
  <r>
    <x v="2"/>
    <x v="2"/>
    <x v="3"/>
  </r>
  <r>
    <x v="37"/>
    <x v="40"/>
    <x v="0"/>
  </r>
  <r>
    <x v="40"/>
    <x v="44"/>
    <x v="0"/>
  </r>
  <r>
    <x v="34"/>
    <x v="37"/>
    <x v="0"/>
  </r>
  <r>
    <x v="5"/>
    <x v="5"/>
    <x v="0"/>
  </r>
  <r>
    <x v="1"/>
    <x v="1"/>
    <x v="0"/>
  </r>
  <r>
    <x v="16"/>
    <x v="9"/>
    <x v="0"/>
  </r>
  <r>
    <x v="100"/>
    <x v="116"/>
    <x v="4"/>
  </r>
  <r>
    <x v="101"/>
    <x v="117"/>
    <x v="4"/>
  </r>
  <r>
    <x v="102"/>
    <x v="118"/>
    <x v="1"/>
  </r>
  <r>
    <x v="27"/>
    <x v="30"/>
    <x v="2"/>
  </r>
  <r>
    <x v="103"/>
    <x v="119"/>
    <x v="2"/>
  </r>
  <r>
    <x v="104"/>
    <x v="120"/>
    <x v="2"/>
  </r>
  <r>
    <x v="105"/>
    <x v="121"/>
    <x v="0"/>
  </r>
  <r>
    <x v="20"/>
    <x v="21"/>
    <x v="4"/>
  </r>
  <r>
    <x v="11"/>
    <x v="22"/>
    <x v="4"/>
  </r>
  <r>
    <x v="21"/>
    <x v="67"/>
    <x v="4"/>
  </r>
  <r>
    <x v="106"/>
    <x v="122"/>
    <x v="4"/>
  </r>
  <r>
    <x v="4"/>
    <x v="4"/>
    <x v="0"/>
  </r>
  <r>
    <x v="16"/>
    <x v="9"/>
    <x v="0"/>
  </r>
  <r>
    <x v="31"/>
    <x v="34"/>
    <x v="15"/>
  </r>
  <r>
    <x v="71"/>
    <x v="81"/>
    <x v="15"/>
  </r>
  <r>
    <x v="107"/>
    <x v="123"/>
    <x v="11"/>
  </r>
  <r>
    <x v="2"/>
    <x v="2"/>
    <x v="0"/>
  </r>
  <r>
    <x v="19"/>
    <x v="20"/>
    <x v="0"/>
  </r>
  <r>
    <x v="3"/>
    <x v="3"/>
    <x v="0"/>
  </r>
  <r>
    <x v="102"/>
    <x v="118"/>
    <x v="1"/>
  </r>
  <r>
    <x v="6"/>
    <x v="6"/>
    <x v="0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  <r>
    <x v="108"/>
    <x v="9"/>
    <x v="18"/>
  </r>
</pivotCacheRecords>
</file>

<file path=xl/pivotCache/pivotCacheRecords3.xml><?xml version="1.0" encoding="utf-8"?>
<pivotCacheRecords xmlns:r="http://schemas.openxmlformats.org/officeDocument/2006/relationships" xmlns="http://schemas.openxmlformats.org/spreadsheetml/2006/main" count="496">
  <r>
    <x v="0"/>
    <x v="0"/>
    <x v="0"/>
    <x v="0"/>
    <x v="0"/>
  </r>
  <r>
    <x v="1"/>
    <x v="1"/>
    <x v="1"/>
    <x v="1"/>
    <x v="1"/>
  </r>
  <r>
    <x v="2"/>
    <x v="2"/>
    <x v="2"/>
    <x v="2"/>
    <x v="2"/>
  </r>
  <r>
    <x v="1"/>
    <x v="1"/>
    <x v="3"/>
    <x v="1"/>
    <x v="3"/>
  </r>
  <r>
    <x v="3"/>
    <x v="3"/>
    <x v="0"/>
    <x v="3"/>
    <x v="4"/>
  </r>
  <r>
    <x v="4"/>
    <x v="4"/>
    <x v="0"/>
    <x v="4"/>
    <x v="5"/>
  </r>
  <r>
    <x v="5"/>
    <x v="5"/>
    <x v="1"/>
    <x v="5"/>
    <x v="6"/>
  </r>
  <r>
    <x v="6"/>
    <x v="6"/>
    <x v="4"/>
    <x v="6"/>
    <x v="7"/>
  </r>
  <r>
    <x v="7"/>
    <x v="7"/>
    <x v="0"/>
    <x v="7"/>
    <x v="8"/>
  </r>
  <r>
    <x v="8"/>
    <x v="8"/>
    <x v="0"/>
    <x v="8"/>
    <x v="9"/>
  </r>
  <r>
    <x v="9"/>
    <x v="9"/>
    <x v="0"/>
    <x v="9"/>
    <x v="10"/>
  </r>
  <r>
    <x v="10"/>
    <x v="10"/>
    <x v="3"/>
    <x v="10"/>
    <x v="11"/>
  </r>
  <r>
    <x v="11"/>
    <x v="11"/>
    <x v="3"/>
    <x v="8"/>
    <x v="9"/>
  </r>
  <r>
    <x v="12"/>
    <x v="12"/>
    <x v="3"/>
    <x v="8"/>
    <x v="9"/>
  </r>
  <r>
    <x v="13"/>
    <x v="13"/>
    <x v="3"/>
    <x v="8"/>
    <x v="9"/>
  </r>
  <r>
    <x v="3"/>
    <x v="14"/>
    <x v="3"/>
    <x v="8"/>
    <x v="9"/>
  </r>
  <r>
    <x v="14"/>
    <x v="15"/>
    <x v="3"/>
    <x v="11"/>
    <x v="12"/>
  </r>
  <r>
    <x v="15"/>
    <x v="16"/>
    <x v="0"/>
    <x v="12"/>
    <x v="13"/>
  </r>
  <r>
    <x v="16"/>
    <x v="9"/>
    <x v="0"/>
    <x v="13"/>
    <x v="14"/>
  </r>
  <r>
    <x v="17"/>
    <x v="17"/>
    <x v="1"/>
    <x v="14"/>
    <x v="15"/>
  </r>
  <r>
    <x v="7"/>
    <x v="7"/>
    <x v="0"/>
    <x v="15"/>
    <x v="16"/>
  </r>
  <r>
    <x v="15"/>
    <x v="18"/>
    <x v="0"/>
    <x v="8"/>
    <x v="9"/>
  </r>
  <r>
    <x v="18"/>
    <x v="19"/>
    <x v="0"/>
    <x v="0"/>
    <x v="0"/>
  </r>
  <r>
    <x v="19"/>
    <x v="20"/>
    <x v="0"/>
    <x v="16"/>
    <x v="17"/>
  </r>
  <r>
    <x v="20"/>
    <x v="21"/>
    <x v="0"/>
    <x v="17"/>
    <x v="18"/>
  </r>
  <r>
    <x v="3"/>
    <x v="3"/>
    <x v="0"/>
    <x v="8"/>
    <x v="9"/>
  </r>
  <r>
    <x v="11"/>
    <x v="22"/>
    <x v="0"/>
    <x v="8"/>
    <x v="9"/>
  </r>
  <r>
    <x v="21"/>
    <x v="23"/>
    <x v="0"/>
    <x v="8"/>
    <x v="9"/>
  </r>
  <r>
    <x v="20"/>
    <x v="21"/>
    <x v="0"/>
    <x v="17"/>
    <x v="18"/>
  </r>
  <r>
    <x v="3"/>
    <x v="3"/>
    <x v="0"/>
    <x v="8"/>
    <x v="9"/>
  </r>
  <r>
    <x v="11"/>
    <x v="22"/>
    <x v="0"/>
    <x v="8"/>
    <x v="9"/>
  </r>
  <r>
    <x v="21"/>
    <x v="23"/>
    <x v="0"/>
    <x v="8"/>
    <x v="9"/>
  </r>
  <r>
    <x v="22"/>
    <x v="24"/>
    <x v="0"/>
    <x v="18"/>
    <x v="19"/>
  </r>
  <r>
    <x v="13"/>
    <x v="25"/>
    <x v="0"/>
    <x v="19"/>
    <x v="20"/>
  </r>
  <r>
    <x v="23"/>
    <x v="0"/>
    <x v="0"/>
    <x v="20"/>
    <x v="21"/>
  </r>
  <r>
    <x v="18"/>
    <x v="19"/>
    <x v="0"/>
    <x v="0"/>
    <x v="0"/>
  </r>
  <r>
    <x v="2"/>
    <x v="2"/>
    <x v="1"/>
    <x v="2"/>
    <x v="22"/>
  </r>
  <r>
    <x v="24"/>
    <x v="26"/>
    <x v="1"/>
    <x v="21"/>
    <x v="23"/>
  </r>
  <r>
    <x v="25"/>
    <x v="27"/>
    <x v="1"/>
    <x v="18"/>
    <x v="24"/>
  </r>
  <r>
    <x v="26"/>
    <x v="28"/>
    <x v="1"/>
    <x v="22"/>
    <x v="25"/>
  </r>
  <r>
    <x v="19"/>
    <x v="29"/>
    <x v="1"/>
    <x v="23"/>
    <x v="26"/>
  </r>
  <r>
    <x v="27"/>
    <x v="30"/>
    <x v="1"/>
    <x v="24"/>
    <x v="27"/>
  </r>
  <r>
    <x v="28"/>
    <x v="31"/>
    <x v="1"/>
    <x v="8"/>
    <x v="9"/>
  </r>
  <r>
    <x v="29"/>
    <x v="32"/>
    <x v="1"/>
    <x v="25"/>
    <x v="28"/>
  </r>
  <r>
    <x v="30"/>
    <x v="33"/>
    <x v="1"/>
    <x v="26"/>
    <x v="29"/>
  </r>
  <r>
    <x v="0"/>
    <x v="0"/>
    <x v="0"/>
    <x v="0"/>
    <x v="0"/>
  </r>
  <r>
    <x v="31"/>
    <x v="34"/>
    <x v="4"/>
    <x v="27"/>
    <x v="30"/>
  </r>
  <r>
    <x v="1"/>
    <x v="1"/>
    <x v="1"/>
    <x v="1"/>
    <x v="1"/>
  </r>
  <r>
    <x v="9"/>
    <x v="9"/>
    <x v="0"/>
    <x v="28"/>
    <x v="31"/>
  </r>
  <r>
    <x v="32"/>
    <x v="35"/>
    <x v="1"/>
    <x v="29"/>
    <x v="32"/>
  </r>
  <r>
    <x v="33"/>
    <x v="36"/>
    <x v="1"/>
    <x v="30"/>
    <x v="33"/>
  </r>
  <r>
    <x v="18"/>
    <x v="19"/>
    <x v="0"/>
    <x v="0"/>
    <x v="0"/>
  </r>
  <r>
    <x v="15"/>
    <x v="16"/>
    <x v="0"/>
    <x v="31"/>
    <x v="34"/>
  </r>
  <r>
    <x v="4"/>
    <x v="4"/>
    <x v="0"/>
    <x v="4"/>
    <x v="5"/>
  </r>
  <r>
    <x v="20"/>
    <x v="21"/>
    <x v="4"/>
    <x v="17"/>
    <x v="35"/>
  </r>
  <r>
    <x v="34"/>
    <x v="37"/>
    <x v="4"/>
    <x v="32"/>
    <x v="36"/>
  </r>
  <r>
    <x v="11"/>
    <x v="22"/>
    <x v="4"/>
    <x v="8"/>
    <x v="9"/>
  </r>
  <r>
    <x v="21"/>
    <x v="23"/>
    <x v="4"/>
    <x v="8"/>
    <x v="9"/>
  </r>
  <r>
    <x v="23"/>
    <x v="0"/>
    <x v="0"/>
    <x v="20"/>
    <x v="21"/>
  </r>
  <r>
    <x v="35"/>
    <x v="38"/>
    <x v="1"/>
    <x v="6"/>
    <x v="37"/>
  </r>
  <r>
    <x v="36"/>
    <x v="39"/>
    <x v="5"/>
    <x v="33"/>
    <x v="38"/>
  </r>
  <r>
    <x v="1"/>
    <x v="1"/>
    <x v="0"/>
    <x v="1"/>
    <x v="39"/>
  </r>
  <r>
    <x v="37"/>
    <x v="40"/>
    <x v="0"/>
    <x v="16"/>
    <x v="17"/>
  </r>
  <r>
    <x v="30"/>
    <x v="33"/>
    <x v="0"/>
    <x v="26"/>
    <x v="40"/>
  </r>
  <r>
    <x v="13"/>
    <x v="25"/>
    <x v="1"/>
    <x v="1"/>
    <x v="1"/>
  </r>
  <r>
    <x v="6"/>
    <x v="6"/>
    <x v="0"/>
    <x v="6"/>
    <x v="41"/>
  </r>
  <r>
    <x v="23"/>
    <x v="0"/>
    <x v="1"/>
    <x v="20"/>
    <x v="42"/>
  </r>
  <r>
    <x v="2"/>
    <x v="2"/>
    <x v="0"/>
    <x v="2"/>
    <x v="43"/>
  </r>
  <r>
    <x v="23"/>
    <x v="0"/>
    <x v="0"/>
    <x v="20"/>
    <x v="21"/>
  </r>
  <r>
    <x v="13"/>
    <x v="25"/>
    <x v="0"/>
    <x v="1"/>
    <x v="39"/>
  </r>
  <r>
    <x v="1"/>
    <x v="1"/>
    <x v="0"/>
    <x v="1"/>
    <x v="39"/>
  </r>
  <r>
    <x v="4"/>
    <x v="4"/>
    <x v="0"/>
    <x v="4"/>
    <x v="5"/>
  </r>
  <r>
    <x v="22"/>
    <x v="24"/>
    <x v="0"/>
    <x v="18"/>
    <x v="19"/>
  </r>
  <r>
    <x v="8"/>
    <x v="41"/>
    <x v="0"/>
    <x v="8"/>
    <x v="9"/>
  </r>
  <r>
    <x v="38"/>
    <x v="42"/>
    <x v="1"/>
    <x v="8"/>
    <x v="9"/>
  </r>
  <r>
    <x v="39"/>
    <x v="43"/>
    <x v="1"/>
    <x v="8"/>
    <x v="9"/>
  </r>
  <r>
    <x v="40"/>
    <x v="44"/>
    <x v="0"/>
    <x v="34"/>
    <x v="44"/>
  </r>
  <r>
    <x v="35"/>
    <x v="38"/>
    <x v="1"/>
    <x v="6"/>
    <x v="37"/>
  </r>
  <r>
    <x v="35"/>
    <x v="38"/>
    <x v="0"/>
    <x v="6"/>
    <x v="41"/>
  </r>
  <r>
    <x v="41"/>
    <x v="45"/>
    <x v="1"/>
    <x v="6"/>
    <x v="37"/>
  </r>
  <r>
    <x v="6"/>
    <x v="6"/>
    <x v="1"/>
    <x v="6"/>
    <x v="37"/>
  </r>
  <r>
    <x v="22"/>
    <x v="24"/>
    <x v="0"/>
    <x v="18"/>
    <x v="19"/>
  </r>
  <r>
    <x v="6"/>
    <x v="6"/>
    <x v="0"/>
    <x v="6"/>
    <x v="41"/>
  </r>
  <r>
    <x v="6"/>
    <x v="6"/>
    <x v="1"/>
    <x v="6"/>
    <x v="37"/>
  </r>
  <r>
    <x v="15"/>
    <x v="16"/>
    <x v="0"/>
    <x v="31"/>
    <x v="34"/>
  </r>
  <r>
    <x v="0"/>
    <x v="0"/>
    <x v="0"/>
    <x v="0"/>
    <x v="0"/>
  </r>
  <r>
    <x v="18"/>
    <x v="19"/>
    <x v="0"/>
    <x v="0"/>
    <x v="0"/>
  </r>
  <r>
    <x v="0"/>
    <x v="0"/>
    <x v="1"/>
    <x v="0"/>
    <x v="45"/>
  </r>
  <r>
    <x v="23"/>
    <x v="0"/>
    <x v="0"/>
    <x v="20"/>
    <x v="21"/>
  </r>
  <r>
    <x v="22"/>
    <x v="24"/>
    <x v="0"/>
    <x v="18"/>
    <x v="19"/>
  </r>
  <r>
    <x v="6"/>
    <x v="6"/>
    <x v="0"/>
    <x v="6"/>
    <x v="41"/>
  </r>
  <r>
    <x v="22"/>
    <x v="24"/>
    <x v="0"/>
    <x v="18"/>
    <x v="19"/>
  </r>
  <r>
    <x v="16"/>
    <x v="9"/>
    <x v="0"/>
    <x v="35"/>
    <x v="46"/>
  </r>
  <r>
    <x v="8"/>
    <x v="46"/>
    <x v="0"/>
    <x v="8"/>
    <x v="9"/>
  </r>
  <r>
    <x v="42"/>
    <x v="47"/>
    <x v="4"/>
    <x v="8"/>
    <x v="9"/>
  </r>
  <r>
    <x v="14"/>
    <x v="15"/>
    <x v="6"/>
    <x v="11"/>
    <x v="47"/>
  </r>
  <r>
    <x v="35"/>
    <x v="38"/>
    <x v="7"/>
    <x v="36"/>
    <x v="48"/>
  </r>
  <r>
    <x v="43"/>
    <x v="48"/>
    <x v="1"/>
    <x v="37"/>
    <x v="49"/>
  </r>
  <r>
    <x v="31"/>
    <x v="34"/>
    <x v="0"/>
    <x v="8"/>
    <x v="9"/>
  </r>
  <r>
    <x v="2"/>
    <x v="2"/>
    <x v="0"/>
    <x v="38"/>
    <x v="50"/>
  </r>
  <r>
    <x v="1"/>
    <x v="1"/>
    <x v="0"/>
    <x v="19"/>
    <x v="20"/>
  </r>
  <r>
    <x v="1"/>
    <x v="1"/>
    <x v="8"/>
    <x v="39"/>
    <x v="51"/>
  </r>
  <r>
    <x v="13"/>
    <x v="25"/>
    <x v="9"/>
    <x v="1"/>
    <x v="52"/>
  </r>
  <r>
    <x v="0"/>
    <x v="0"/>
    <x v="0"/>
    <x v="40"/>
    <x v="53"/>
  </r>
  <r>
    <x v="6"/>
    <x v="6"/>
    <x v="0"/>
    <x v="41"/>
    <x v="54"/>
  </r>
  <r>
    <x v="44"/>
    <x v="49"/>
    <x v="1"/>
    <x v="42"/>
    <x v="55"/>
  </r>
  <r>
    <x v="45"/>
    <x v="50"/>
    <x v="1"/>
    <x v="8"/>
    <x v="9"/>
  </r>
  <r>
    <x v="2"/>
    <x v="2"/>
    <x v="1"/>
    <x v="2"/>
    <x v="22"/>
  </r>
  <r>
    <x v="3"/>
    <x v="3"/>
    <x v="1"/>
    <x v="3"/>
    <x v="56"/>
  </r>
  <r>
    <x v="20"/>
    <x v="21"/>
    <x v="1"/>
    <x v="17"/>
    <x v="57"/>
  </r>
  <r>
    <x v="3"/>
    <x v="3"/>
    <x v="1"/>
    <x v="8"/>
    <x v="9"/>
  </r>
  <r>
    <x v="11"/>
    <x v="22"/>
    <x v="1"/>
    <x v="8"/>
    <x v="9"/>
  </r>
  <r>
    <x v="21"/>
    <x v="23"/>
    <x v="1"/>
    <x v="8"/>
    <x v="9"/>
  </r>
  <r>
    <x v="6"/>
    <x v="6"/>
    <x v="0"/>
    <x v="6"/>
    <x v="41"/>
  </r>
  <r>
    <x v="40"/>
    <x v="44"/>
    <x v="0"/>
    <x v="37"/>
    <x v="58"/>
  </r>
  <r>
    <x v="2"/>
    <x v="2"/>
    <x v="1"/>
    <x v="2"/>
    <x v="22"/>
  </r>
  <r>
    <x v="46"/>
    <x v="51"/>
    <x v="1"/>
    <x v="38"/>
    <x v="59"/>
  </r>
  <r>
    <x v="4"/>
    <x v="4"/>
    <x v="0"/>
    <x v="4"/>
    <x v="5"/>
  </r>
  <r>
    <x v="0"/>
    <x v="0"/>
    <x v="0"/>
    <x v="0"/>
    <x v="0"/>
  </r>
  <r>
    <x v="7"/>
    <x v="7"/>
    <x v="0"/>
    <x v="7"/>
    <x v="8"/>
  </r>
  <r>
    <x v="47"/>
    <x v="52"/>
    <x v="3"/>
    <x v="43"/>
    <x v="60"/>
  </r>
  <r>
    <x v="48"/>
    <x v="53"/>
    <x v="1"/>
    <x v="44"/>
    <x v="61"/>
  </r>
  <r>
    <x v="49"/>
    <x v="54"/>
    <x v="0"/>
    <x v="45"/>
    <x v="62"/>
  </r>
  <r>
    <x v="50"/>
    <x v="55"/>
    <x v="1"/>
    <x v="46"/>
    <x v="63"/>
  </r>
  <r>
    <x v="51"/>
    <x v="56"/>
    <x v="1"/>
    <x v="8"/>
    <x v="9"/>
  </r>
  <r>
    <x v="52"/>
    <x v="57"/>
    <x v="0"/>
    <x v="8"/>
    <x v="9"/>
  </r>
  <r>
    <x v="53"/>
    <x v="58"/>
    <x v="1"/>
    <x v="8"/>
    <x v="9"/>
  </r>
  <r>
    <x v="54"/>
    <x v="59"/>
    <x v="1"/>
    <x v="8"/>
    <x v="9"/>
  </r>
  <r>
    <x v="55"/>
    <x v="60"/>
    <x v="7"/>
    <x v="8"/>
    <x v="9"/>
  </r>
  <r>
    <x v="2"/>
    <x v="2"/>
    <x v="1"/>
    <x v="2"/>
    <x v="22"/>
  </r>
  <r>
    <x v="4"/>
    <x v="4"/>
    <x v="1"/>
    <x v="4"/>
    <x v="64"/>
  </r>
  <r>
    <x v="23"/>
    <x v="0"/>
    <x v="1"/>
    <x v="20"/>
    <x v="42"/>
  </r>
  <r>
    <x v="0"/>
    <x v="0"/>
    <x v="0"/>
    <x v="40"/>
    <x v="53"/>
  </r>
  <r>
    <x v="35"/>
    <x v="38"/>
    <x v="0"/>
    <x v="41"/>
    <x v="54"/>
  </r>
  <r>
    <x v="4"/>
    <x v="4"/>
    <x v="0"/>
    <x v="4"/>
    <x v="5"/>
  </r>
  <r>
    <x v="5"/>
    <x v="5"/>
    <x v="0"/>
    <x v="5"/>
    <x v="65"/>
  </r>
  <r>
    <x v="6"/>
    <x v="6"/>
    <x v="0"/>
    <x v="6"/>
    <x v="41"/>
  </r>
  <r>
    <x v="35"/>
    <x v="38"/>
    <x v="0"/>
    <x v="6"/>
    <x v="41"/>
  </r>
  <r>
    <x v="0"/>
    <x v="0"/>
    <x v="1"/>
    <x v="0"/>
    <x v="45"/>
  </r>
  <r>
    <x v="20"/>
    <x v="21"/>
    <x v="1"/>
    <x v="17"/>
    <x v="57"/>
  </r>
  <r>
    <x v="3"/>
    <x v="3"/>
    <x v="1"/>
    <x v="8"/>
    <x v="9"/>
  </r>
  <r>
    <x v="11"/>
    <x v="22"/>
    <x v="1"/>
    <x v="8"/>
    <x v="9"/>
  </r>
  <r>
    <x v="21"/>
    <x v="23"/>
    <x v="1"/>
    <x v="8"/>
    <x v="9"/>
  </r>
  <r>
    <x v="18"/>
    <x v="19"/>
    <x v="0"/>
    <x v="0"/>
    <x v="0"/>
  </r>
  <r>
    <x v="35"/>
    <x v="38"/>
    <x v="0"/>
    <x v="6"/>
    <x v="41"/>
  </r>
  <r>
    <x v="37"/>
    <x v="40"/>
    <x v="1"/>
    <x v="16"/>
    <x v="66"/>
  </r>
  <r>
    <x v="22"/>
    <x v="24"/>
    <x v="0"/>
    <x v="18"/>
    <x v="19"/>
  </r>
  <r>
    <x v="4"/>
    <x v="4"/>
    <x v="0"/>
    <x v="4"/>
    <x v="5"/>
  </r>
  <r>
    <x v="23"/>
    <x v="0"/>
    <x v="0"/>
    <x v="20"/>
    <x v="21"/>
  </r>
  <r>
    <x v="2"/>
    <x v="2"/>
    <x v="1"/>
    <x v="2"/>
    <x v="22"/>
  </r>
  <r>
    <x v="1"/>
    <x v="1"/>
    <x v="0"/>
    <x v="1"/>
    <x v="39"/>
  </r>
  <r>
    <x v="30"/>
    <x v="33"/>
    <x v="0"/>
    <x v="26"/>
    <x v="40"/>
  </r>
  <r>
    <x v="40"/>
    <x v="44"/>
    <x v="1"/>
    <x v="37"/>
    <x v="49"/>
  </r>
  <r>
    <x v="6"/>
    <x v="6"/>
    <x v="1"/>
    <x v="47"/>
    <x v="67"/>
  </r>
  <r>
    <x v="5"/>
    <x v="5"/>
    <x v="0"/>
    <x v="5"/>
    <x v="65"/>
  </r>
  <r>
    <x v="22"/>
    <x v="24"/>
    <x v="0"/>
    <x v="18"/>
    <x v="19"/>
  </r>
  <r>
    <x v="46"/>
    <x v="51"/>
    <x v="0"/>
    <x v="38"/>
    <x v="50"/>
  </r>
  <r>
    <x v="19"/>
    <x v="20"/>
    <x v="0"/>
    <x v="16"/>
    <x v="17"/>
  </r>
  <r>
    <x v="32"/>
    <x v="35"/>
    <x v="3"/>
    <x v="48"/>
    <x v="68"/>
  </r>
  <r>
    <x v="56"/>
    <x v="61"/>
    <x v="10"/>
    <x v="49"/>
    <x v="69"/>
  </r>
  <r>
    <x v="57"/>
    <x v="62"/>
    <x v="2"/>
    <x v="50"/>
    <x v="70"/>
  </r>
  <r>
    <x v="13"/>
    <x v="25"/>
    <x v="5"/>
    <x v="1"/>
    <x v="71"/>
  </r>
  <r>
    <x v="0"/>
    <x v="0"/>
    <x v="0"/>
    <x v="0"/>
    <x v="0"/>
  </r>
  <r>
    <x v="15"/>
    <x v="16"/>
    <x v="0"/>
    <x v="31"/>
    <x v="34"/>
  </r>
  <r>
    <x v="3"/>
    <x v="3"/>
    <x v="1"/>
    <x v="3"/>
    <x v="56"/>
  </r>
  <r>
    <x v="4"/>
    <x v="4"/>
    <x v="0"/>
    <x v="4"/>
    <x v="5"/>
  </r>
  <r>
    <x v="2"/>
    <x v="2"/>
    <x v="8"/>
    <x v="2"/>
    <x v="72"/>
  </r>
  <r>
    <x v="16"/>
    <x v="9"/>
    <x v="0"/>
    <x v="51"/>
    <x v="73"/>
  </r>
  <r>
    <x v="58"/>
    <x v="63"/>
    <x v="3"/>
    <x v="52"/>
    <x v="74"/>
  </r>
  <r>
    <x v="59"/>
    <x v="64"/>
    <x v="3"/>
    <x v="36"/>
    <x v="75"/>
  </r>
  <r>
    <x v="12"/>
    <x v="65"/>
    <x v="4"/>
    <x v="16"/>
    <x v="76"/>
  </r>
  <r>
    <x v="18"/>
    <x v="19"/>
    <x v="0"/>
    <x v="0"/>
    <x v="0"/>
  </r>
  <r>
    <x v="22"/>
    <x v="24"/>
    <x v="1"/>
    <x v="18"/>
    <x v="24"/>
  </r>
  <r>
    <x v="22"/>
    <x v="24"/>
    <x v="0"/>
    <x v="53"/>
    <x v="77"/>
  </r>
  <r>
    <x v="34"/>
    <x v="37"/>
    <x v="0"/>
    <x v="54"/>
    <x v="78"/>
  </r>
  <r>
    <x v="8"/>
    <x v="66"/>
    <x v="0"/>
    <x v="8"/>
    <x v="9"/>
  </r>
  <r>
    <x v="9"/>
    <x v="9"/>
    <x v="0"/>
    <x v="55"/>
    <x v="79"/>
  </r>
  <r>
    <x v="20"/>
    <x v="21"/>
    <x v="4"/>
    <x v="56"/>
    <x v="80"/>
  </r>
  <r>
    <x v="11"/>
    <x v="11"/>
    <x v="4"/>
    <x v="8"/>
    <x v="9"/>
  </r>
  <r>
    <x v="3"/>
    <x v="14"/>
    <x v="4"/>
    <x v="8"/>
    <x v="9"/>
  </r>
  <r>
    <x v="21"/>
    <x v="67"/>
    <x v="4"/>
    <x v="8"/>
    <x v="9"/>
  </r>
  <r>
    <x v="42"/>
    <x v="47"/>
    <x v="0"/>
    <x v="8"/>
    <x v="9"/>
  </r>
  <r>
    <x v="6"/>
    <x v="6"/>
    <x v="7"/>
    <x v="6"/>
    <x v="81"/>
  </r>
  <r>
    <x v="23"/>
    <x v="0"/>
    <x v="0"/>
    <x v="20"/>
    <x v="21"/>
  </r>
  <r>
    <x v="44"/>
    <x v="49"/>
    <x v="1"/>
    <x v="42"/>
    <x v="55"/>
  </r>
  <r>
    <x v="45"/>
    <x v="50"/>
    <x v="1"/>
    <x v="8"/>
    <x v="9"/>
  </r>
  <r>
    <x v="3"/>
    <x v="3"/>
    <x v="1"/>
    <x v="3"/>
    <x v="56"/>
  </r>
  <r>
    <x v="2"/>
    <x v="2"/>
    <x v="1"/>
    <x v="2"/>
    <x v="22"/>
  </r>
  <r>
    <x v="20"/>
    <x v="21"/>
    <x v="1"/>
    <x v="17"/>
    <x v="57"/>
  </r>
  <r>
    <x v="3"/>
    <x v="3"/>
    <x v="1"/>
    <x v="8"/>
    <x v="9"/>
  </r>
  <r>
    <x v="11"/>
    <x v="22"/>
    <x v="1"/>
    <x v="8"/>
    <x v="9"/>
  </r>
  <r>
    <x v="21"/>
    <x v="23"/>
    <x v="1"/>
    <x v="8"/>
    <x v="9"/>
  </r>
  <r>
    <x v="60"/>
    <x v="68"/>
    <x v="1"/>
    <x v="57"/>
    <x v="82"/>
  </r>
  <r>
    <x v="6"/>
    <x v="6"/>
    <x v="4"/>
    <x v="6"/>
    <x v="7"/>
  </r>
  <r>
    <x v="18"/>
    <x v="19"/>
    <x v="0"/>
    <x v="0"/>
    <x v="0"/>
  </r>
  <r>
    <x v="61"/>
    <x v="69"/>
    <x v="0"/>
    <x v="58"/>
    <x v="83"/>
  </r>
  <r>
    <x v="5"/>
    <x v="5"/>
    <x v="0"/>
    <x v="59"/>
    <x v="84"/>
  </r>
  <r>
    <x v="22"/>
    <x v="24"/>
    <x v="0"/>
    <x v="60"/>
    <x v="85"/>
  </r>
  <r>
    <x v="6"/>
    <x v="6"/>
    <x v="0"/>
    <x v="61"/>
    <x v="86"/>
  </r>
  <r>
    <x v="18"/>
    <x v="19"/>
    <x v="0"/>
    <x v="0"/>
    <x v="0"/>
  </r>
  <r>
    <x v="35"/>
    <x v="38"/>
    <x v="0"/>
    <x v="6"/>
    <x v="41"/>
  </r>
  <r>
    <x v="9"/>
    <x v="9"/>
    <x v="0"/>
    <x v="62"/>
    <x v="87"/>
  </r>
  <r>
    <x v="62"/>
    <x v="70"/>
    <x v="4"/>
    <x v="63"/>
    <x v="88"/>
  </r>
  <r>
    <x v="2"/>
    <x v="2"/>
    <x v="4"/>
    <x v="64"/>
    <x v="89"/>
  </r>
  <r>
    <x v="63"/>
    <x v="71"/>
    <x v="8"/>
    <x v="8"/>
    <x v="9"/>
  </r>
  <r>
    <x v="55"/>
    <x v="60"/>
    <x v="11"/>
    <x v="8"/>
    <x v="9"/>
  </r>
  <r>
    <x v="35"/>
    <x v="38"/>
    <x v="0"/>
    <x v="6"/>
    <x v="41"/>
  </r>
  <r>
    <x v="1"/>
    <x v="1"/>
    <x v="0"/>
    <x v="1"/>
    <x v="39"/>
  </r>
  <r>
    <x v="9"/>
    <x v="9"/>
    <x v="0"/>
    <x v="65"/>
    <x v="90"/>
  </r>
  <r>
    <x v="10"/>
    <x v="10"/>
    <x v="7"/>
    <x v="10"/>
    <x v="91"/>
  </r>
  <r>
    <x v="11"/>
    <x v="11"/>
    <x v="7"/>
    <x v="8"/>
    <x v="9"/>
  </r>
  <r>
    <x v="12"/>
    <x v="12"/>
    <x v="7"/>
    <x v="8"/>
    <x v="9"/>
  </r>
  <r>
    <x v="14"/>
    <x v="15"/>
    <x v="7"/>
    <x v="11"/>
    <x v="92"/>
  </r>
  <r>
    <x v="64"/>
    <x v="72"/>
    <x v="7"/>
    <x v="66"/>
    <x v="93"/>
  </r>
  <r>
    <x v="5"/>
    <x v="5"/>
    <x v="0"/>
    <x v="5"/>
    <x v="65"/>
  </r>
  <r>
    <x v="6"/>
    <x v="6"/>
    <x v="1"/>
    <x v="6"/>
    <x v="37"/>
  </r>
  <r>
    <x v="19"/>
    <x v="20"/>
    <x v="1"/>
    <x v="16"/>
    <x v="66"/>
  </r>
  <r>
    <x v="19"/>
    <x v="20"/>
    <x v="1"/>
    <x v="16"/>
    <x v="66"/>
  </r>
  <r>
    <x v="65"/>
    <x v="73"/>
    <x v="0"/>
    <x v="67"/>
    <x v="94"/>
  </r>
  <r>
    <x v="64"/>
    <x v="72"/>
    <x v="1"/>
    <x v="57"/>
    <x v="82"/>
  </r>
  <r>
    <x v="4"/>
    <x v="4"/>
    <x v="0"/>
    <x v="4"/>
    <x v="5"/>
  </r>
  <r>
    <x v="5"/>
    <x v="5"/>
    <x v="0"/>
    <x v="5"/>
    <x v="65"/>
  </r>
  <r>
    <x v="0"/>
    <x v="0"/>
    <x v="0"/>
    <x v="0"/>
    <x v="0"/>
  </r>
  <r>
    <x v="0"/>
    <x v="0"/>
    <x v="1"/>
    <x v="0"/>
    <x v="45"/>
  </r>
  <r>
    <x v="13"/>
    <x v="25"/>
    <x v="0"/>
    <x v="1"/>
    <x v="39"/>
  </r>
  <r>
    <x v="0"/>
    <x v="0"/>
    <x v="0"/>
    <x v="0"/>
    <x v="0"/>
  </r>
  <r>
    <x v="33"/>
    <x v="36"/>
    <x v="1"/>
    <x v="68"/>
    <x v="95"/>
  </r>
  <r>
    <x v="6"/>
    <x v="6"/>
    <x v="0"/>
    <x v="6"/>
    <x v="41"/>
  </r>
  <r>
    <x v="66"/>
    <x v="74"/>
    <x v="0"/>
    <x v="69"/>
    <x v="96"/>
  </r>
  <r>
    <x v="9"/>
    <x v="9"/>
    <x v="0"/>
    <x v="32"/>
    <x v="97"/>
  </r>
  <r>
    <x v="18"/>
    <x v="19"/>
    <x v="0"/>
    <x v="70"/>
    <x v="98"/>
  </r>
  <r>
    <x v="14"/>
    <x v="15"/>
    <x v="0"/>
    <x v="11"/>
    <x v="99"/>
  </r>
  <r>
    <x v="16"/>
    <x v="9"/>
    <x v="0"/>
    <x v="71"/>
    <x v="100"/>
  </r>
  <r>
    <x v="38"/>
    <x v="75"/>
    <x v="4"/>
    <x v="66"/>
    <x v="101"/>
  </r>
  <r>
    <x v="49"/>
    <x v="76"/>
    <x v="0"/>
    <x v="8"/>
    <x v="9"/>
  </r>
  <r>
    <x v="67"/>
    <x v="77"/>
    <x v="0"/>
    <x v="72"/>
    <x v="102"/>
  </r>
  <r>
    <x v="68"/>
    <x v="78"/>
    <x v="4"/>
    <x v="8"/>
    <x v="9"/>
  </r>
  <r>
    <x v="69"/>
    <x v="79"/>
    <x v="1"/>
    <x v="8"/>
    <x v="9"/>
  </r>
  <r>
    <x v="70"/>
    <x v="80"/>
    <x v="0"/>
    <x v="8"/>
    <x v="9"/>
  </r>
  <r>
    <x v="71"/>
    <x v="81"/>
    <x v="1"/>
    <x v="8"/>
    <x v="9"/>
  </r>
  <r>
    <x v="65"/>
    <x v="73"/>
    <x v="0"/>
    <x v="73"/>
    <x v="103"/>
  </r>
  <r>
    <x v="72"/>
    <x v="82"/>
    <x v="0"/>
    <x v="74"/>
    <x v="104"/>
  </r>
  <r>
    <x v="73"/>
    <x v="83"/>
    <x v="0"/>
    <x v="75"/>
    <x v="105"/>
  </r>
  <r>
    <x v="74"/>
    <x v="84"/>
    <x v="0"/>
    <x v="8"/>
    <x v="9"/>
  </r>
  <r>
    <x v="75"/>
    <x v="85"/>
    <x v="0"/>
    <x v="27"/>
    <x v="106"/>
  </r>
  <r>
    <x v="1"/>
    <x v="1"/>
    <x v="0"/>
    <x v="1"/>
    <x v="39"/>
  </r>
  <r>
    <x v="20"/>
    <x v="21"/>
    <x v="1"/>
    <x v="17"/>
    <x v="57"/>
  </r>
  <r>
    <x v="34"/>
    <x v="37"/>
    <x v="1"/>
    <x v="32"/>
    <x v="107"/>
  </r>
  <r>
    <x v="11"/>
    <x v="22"/>
    <x v="1"/>
    <x v="8"/>
    <x v="9"/>
  </r>
  <r>
    <x v="21"/>
    <x v="23"/>
    <x v="1"/>
    <x v="8"/>
    <x v="9"/>
  </r>
  <r>
    <x v="2"/>
    <x v="2"/>
    <x v="1"/>
    <x v="2"/>
    <x v="22"/>
  </r>
  <r>
    <x v="13"/>
    <x v="25"/>
    <x v="12"/>
    <x v="1"/>
    <x v="108"/>
  </r>
  <r>
    <x v="5"/>
    <x v="5"/>
    <x v="0"/>
    <x v="5"/>
    <x v="65"/>
  </r>
  <r>
    <x v="22"/>
    <x v="24"/>
    <x v="1"/>
    <x v="18"/>
    <x v="24"/>
  </r>
  <r>
    <x v="18"/>
    <x v="19"/>
    <x v="0"/>
    <x v="0"/>
    <x v="0"/>
  </r>
  <r>
    <x v="0"/>
    <x v="0"/>
    <x v="0"/>
    <x v="0"/>
    <x v="0"/>
  </r>
  <r>
    <x v="40"/>
    <x v="44"/>
    <x v="0"/>
    <x v="37"/>
    <x v="58"/>
  </r>
  <r>
    <x v="6"/>
    <x v="6"/>
    <x v="1"/>
    <x v="47"/>
    <x v="67"/>
  </r>
  <r>
    <x v="18"/>
    <x v="19"/>
    <x v="0"/>
    <x v="0"/>
    <x v="0"/>
  </r>
  <r>
    <x v="74"/>
    <x v="84"/>
    <x v="0"/>
    <x v="8"/>
    <x v="9"/>
  </r>
  <r>
    <x v="16"/>
    <x v="9"/>
    <x v="0"/>
    <x v="76"/>
    <x v="109"/>
  </r>
  <r>
    <x v="2"/>
    <x v="2"/>
    <x v="3"/>
    <x v="77"/>
    <x v="110"/>
  </r>
  <r>
    <x v="8"/>
    <x v="86"/>
    <x v="0"/>
    <x v="8"/>
    <x v="9"/>
  </r>
  <r>
    <x v="4"/>
    <x v="4"/>
    <x v="0"/>
    <x v="4"/>
    <x v="5"/>
  </r>
  <r>
    <x v="5"/>
    <x v="5"/>
    <x v="0"/>
    <x v="5"/>
    <x v="65"/>
  </r>
  <r>
    <x v="2"/>
    <x v="2"/>
    <x v="5"/>
    <x v="2"/>
    <x v="111"/>
  </r>
  <r>
    <x v="76"/>
    <x v="9"/>
    <x v="0"/>
    <x v="78"/>
    <x v="112"/>
  </r>
  <r>
    <x v="33"/>
    <x v="36"/>
    <x v="4"/>
    <x v="68"/>
    <x v="113"/>
  </r>
  <r>
    <x v="77"/>
    <x v="87"/>
    <x v="4"/>
    <x v="8"/>
    <x v="9"/>
  </r>
  <r>
    <x v="78"/>
    <x v="88"/>
    <x v="0"/>
    <x v="3"/>
    <x v="4"/>
  </r>
  <r>
    <x v="79"/>
    <x v="89"/>
    <x v="4"/>
    <x v="8"/>
    <x v="9"/>
  </r>
  <r>
    <x v="80"/>
    <x v="90"/>
    <x v="4"/>
    <x v="79"/>
    <x v="114"/>
  </r>
  <r>
    <x v="81"/>
    <x v="91"/>
    <x v="4"/>
    <x v="80"/>
    <x v="115"/>
  </r>
  <r>
    <x v="82"/>
    <x v="92"/>
    <x v="0"/>
    <x v="81"/>
    <x v="116"/>
  </r>
  <r>
    <x v="9"/>
    <x v="9"/>
    <x v="0"/>
    <x v="82"/>
    <x v="117"/>
  </r>
  <r>
    <x v="10"/>
    <x v="10"/>
    <x v="4"/>
    <x v="10"/>
    <x v="118"/>
  </r>
  <r>
    <x v="11"/>
    <x v="11"/>
    <x v="4"/>
    <x v="8"/>
    <x v="9"/>
  </r>
  <r>
    <x v="12"/>
    <x v="12"/>
    <x v="4"/>
    <x v="8"/>
    <x v="9"/>
  </r>
  <r>
    <x v="2"/>
    <x v="2"/>
    <x v="4"/>
    <x v="2"/>
    <x v="119"/>
  </r>
  <r>
    <x v="18"/>
    <x v="19"/>
    <x v="0"/>
    <x v="0"/>
    <x v="0"/>
  </r>
  <r>
    <x v="22"/>
    <x v="24"/>
    <x v="1"/>
    <x v="18"/>
    <x v="24"/>
  </r>
  <r>
    <x v="83"/>
    <x v="93"/>
    <x v="1"/>
    <x v="83"/>
    <x v="120"/>
  </r>
  <r>
    <x v="16"/>
    <x v="9"/>
    <x v="0"/>
    <x v="84"/>
    <x v="121"/>
  </r>
  <r>
    <x v="41"/>
    <x v="45"/>
    <x v="12"/>
    <x v="36"/>
    <x v="122"/>
  </r>
  <r>
    <x v="57"/>
    <x v="62"/>
    <x v="12"/>
    <x v="85"/>
    <x v="123"/>
  </r>
  <r>
    <x v="84"/>
    <x v="94"/>
    <x v="0"/>
    <x v="86"/>
    <x v="124"/>
  </r>
  <r>
    <x v="11"/>
    <x v="11"/>
    <x v="0"/>
    <x v="8"/>
    <x v="9"/>
  </r>
  <r>
    <x v="21"/>
    <x v="67"/>
    <x v="4"/>
    <x v="8"/>
    <x v="9"/>
  </r>
  <r>
    <x v="85"/>
    <x v="95"/>
    <x v="4"/>
    <x v="87"/>
    <x v="125"/>
  </r>
  <r>
    <x v="83"/>
    <x v="93"/>
    <x v="4"/>
    <x v="83"/>
    <x v="126"/>
  </r>
  <r>
    <x v="71"/>
    <x v="81"/>
    <x v="4"/>
    <x v="8"/>
    <x v="9"/>
  </r>
  <r>
    <x v="38"/>
    <x v="42"/>
    <x v="1"/>
    <x v="8"/>
    <x v="9"/>
  </r>
  <r>
    <x v="8"/>
    <x v="96"/>
    <x v="0"/>
    <x v="8"/>
    <x v="9"/>
  </r>
  <r>
    <x v="5"/>
    <x v="5"/>
    <x v="0"/>
    <x v="5"/>
    <x v="65"/>
  </r>
  <r>
    <x v="20"/>
    <x v="21"/>
    <x v="0"/>
    <x v="17"/>
    <x v="18"/>
  </r>
  <r>
    <x v="3"/>
    <x v="3"/>
    <x v="0"/>
    <x v="8"/>
    <x v="9"/>
  </r>
  <r>
    <x v="11"/>
    <x v="22"/>
    <x v="0"/>
    <x v="8"/>
    <x v="9"/>
  </r>
  <r>
    <x v="21"/>
    <x v="23"/>
    <x v="0"/>
    <x v="8"/>
    <x v="9"/>
  </r>
  <r>
    <x v="2"/>
    <x v="2"/>
    <x v="7"/>
    <x v="2"/>
    <x v="127"/>
  </r>
  <r>
    <x v="35"/>
    <x v="38"/>
    <x v="7"/>
    <x v="6"/>
    <x v="81"/>
  </r>
  <r>
    <x v="36"/>
    <x v="39"/>
    <x v="0"/>
    <x v="33"/>
    <x v="128"/>
  </r>
  <r>
    <x v="9"/>
    <x v="9"/>
    <x v="0"/>
    <x v="88"/>
    <x v="129"/>
  </r>
  <r>
    <x v="10"/>
    <x v="10"/>
    <x v="3"/>
    <x v="10"/>
    <x v="11"/>
  </r>
  <r>
    <x v="11"/>
    <x v="11"/>
    <x v="3"/>
    <x v="8"/>
    <x v="9"/>
  </r>
  <r>
    <x v="12"/>
    <x v="12"/>
    <x v="3"/>
    <x v="8"/>
    <x v="9"/>
  </r>
  <r>
    <x v="21"/>
    <x v="67"/>
    <x v="3"/>
    <x v="8"/>
    <x v="9"/>
  </r>
  <r>
    <x v="3"/>
    <x v="14"/>
    <x v="3"/>
    <x v="8"/>
    <x v="9"/>
  </r>
  <r>
    <x v="86"/>
    <x v="97"/>
    <x v="8"/>
    <x v="15"/>
    <x v="130"/>
  </r>
  <r>
    <x v="18"/>
    <x v="19"/>
    <x v="0"/>
    <x v="70"/>
    <x v="98"/>
  </r>
  <r>
    <x v="2"/>
    <x v="2"/>
    <x v="3"/>
    <x v="77"/>
    <x v="110"/>
  </r>
  <r>
    <x v="87"/>
    <x v="98"/>
    <x v="0"/>
    <x v="89"/>
    <x v="131"/>
  </r>
  <r>
    <x v="88"/>
    <x v="99"/>
    <x v="5"/>
    <x v="8"/>
    <x v="9"/>
  </r>
  <r>
    <x v="89"/>
    <x v="100"/>
    <x v="0"/>
    <x v="8"/>
    <x v="9"/>
  </r>
  <r>
    <x v="5"/>
    <x v="5"/>
    <x v="0"/>
    <x v="90"/>
    <x v="132"/>
  </r>
  <r>
    <x v="64"/>
    <x v="72"/>
    <x v="3"/>
    <x v="66"/>
    <x v="133"/>
  </r>
  <r>
    <x v="19"/>
    <x v="20"/>
    <x v="3"/>
    <x v="91"/>
    <x v="134"/>
  </r>
  <r>
    <x v="30"/>
    <x v="33"/>
    <x v="4"/>
    <x v="92"/>
    <x v="135"/>
  </r>
  <r>
    <x v="44"/>
    <x v="49"/>
    <x v="4"/>
    <x v="93"/>
    <x v="136"/>
  </r>
  <r>
    <x v="39"/>
    <x v="101"/>
    <x v="4"/>
    <x v="8"/>
    <x v="9"/>
  </r>
  <r>
    <x v="38"/>
    <x v="102"/>
    <x v="4"/>
    <x v="8"/>
    <x v="9"/>
  </r>
  <r>
    <x v="90"/>
    <x v="103"/>
    <x v="3"/>
    <x v="94"/>
    <x v="137"/>
  </r>
  <r>
    <x v="16"/>
    <x v="9"/>
    <x v="0"/>
    <x v="95"/>
    <x v="138"/>
  </r>
  <r>
    <x v="91"/>
    <x v="104"/>
    <x v="13"/>
    <x v="96"/>
    <x v="139"/>
  </r>
  <r>
    <x v="26"/>
    <x v="105"/>
    <x v="14"/>
    <x v="30"/>
    <x v="140"/>
  </r>
  <r>
    <x v="23"/>
    <x v="0"/>
    <x v="0"/>
    <x v="20"/>
    <x v="21"/>
  </r>
  <r>
    <x v="2"/>
    <x v="2"/>
    <x v="1"/>
    <x v="2"/>
    <x v="22"/>
  </r>
  <r>
    <x v="61"/>
    <x v="69"/>
    <x v="0"/>
    <x v="97"/>
    <x v="141"/>
  </r>
  <r>
    <x v="4"/>
    <x v="4"/>
    <x v="0"/>
    <x v="4"/>
    <x v="5"/>
  </r>
  <r>
    <x v="2"/>
    <x v="2"/>
    <x v="1"/>
    <x v="2"/>
    <x v="22"/>
  </r>
  <r>
    <x v="31"/>
    <x v="34"/>
    <x v="11"/>
    <x v="8"/>
    <x v="9"/>
  </r>
  <r>
    <x v="22"/>
    <x v="24"/>
    <x v="7"/>
    <x v="18"/>
    <x v="142"/>
  </r>
  <r>
    <x v="44"/>
    <x v="49"/>
    <x v="1"/>
    <x v="42"/>
    <x v="55"/>
  </r>
  <r>
    <x v="38"/>
    <x v="75"/>
    <x v="1"/>
    <x v="8"/>
    <x v="9"/>
  </r>
  <r>
    <x v="61"/>
    <x v="69"/>
    <x v="0"/>
    <x v="97"/>
    <x v="141"/>
  </r>
  <r>
    <x v="18"/>
    <x v="19"/>
    <x v="0"/>
    <x v="0"/>
    <x v="0"/>
  </r>
  <r>
    <x v="85"/>
    <x v="106"/>
    <x v="0"/>
    <x v="24"/>
    <x v="143"/>
  </r>
  <r>
    <x v="35"/>
    <x v="38"/>
    <x v="1"/>
    <x v="6"/>
    <x v="37"/>
  </r>
  <r>
    <x v="31"/>
    <x v="34"/>
    <x v="0"/>
    <x v="27"/>
    <x v="106"/>
  </r>
  <r>
    <x v="4"/>
    <x v="4"/>
    <x v="0"/>
    <x v="4"/>
    <x v="5"/>
  </r>
  <r>
    <x v="6"/>
    <x v="6"/>
    <x v="1"/>
    <x v="6"/>
    <x v="37"/>
  </r>
  <r>
    <x v="31"/>
    <x v="34"/>
    <x v="0"/>
    <x v="27"/>
    <x v="106"/>
  </r>
  <r>
    <x v="75"/>
    <x v="85"/>
    <x v="0"/>
    <x v="27"/>
    <x v="106"/>
  </r>
  <r>
    <x v="5"/>
    <x v="5"/>
    <x v="0"/>
    <x v="5"/>
    <x v="65"/>
  </r>
  <r>
    <x v="16"/>
    <x v="9"/>
    <x v="0"/>
    <x v="98"/>
    <x v="144"/>
  </r>
  <r>
    <x v="92"/>
    <x v="107"/>
    <x v="15"/>
    <x v="99"/>
    <x v="145"/>
  </r>
  <r>
    <x v="93"/>
    <x v="108"/>
    <x v="16"/>
    <x v="84"/>
    <x v="146"/>
  </r>
  <r>
    <x v="94"/>
    <x v="109"/>
    <x v="16"/>
    <x v="100"/>
    <x v="147"/>
  </r>
  <r>
    <x v="95"/>
    <x v="110"/>
    <x v="15"/>
    <x v="101"/>
    <x v="148"/>
  </r>
  <r>
    <x v="96"/>
    <x v="111"/>
    <x v="17"/>
    <x v="102"/>
    <x v="149"/>
  </r>
  <r>
    <x v="97"/>
    <x v="112"/>
    <x v="16"/>
    <x v="84"/>
    <x v="146"/>
  </r>
  <r>
    <x v="2"/>
    <x v="2"/>
    <x v="4"/>
    <x v="2"/>
    <x v="119"/>
  </r>
  <r>
    <x v="13"/>
    <x v="25"/>
    <x v="4"/>
    <x v="1"/>
    <x v="150"/>
  </r>
  <r>
    <x v="35"/>
    <x v="38"/>
    <x v="0"/>
    <x v="6"/>
    <x v="41"/>
  </r>
  <r>
    <x v="5"/>
    <x v="5"/>
    <x v="0"/>
    <x v="5"/>
    <x v="65"/>
  </r>
  <r>
    <x v="8"/>
    <x v="8"/>
    <x v="0"/>
    <x v="8"/>
    <x v="9"/>
  </r>
  <r>
    <x v="61"/>
    <x v="69"/>
    <x v="0"/>
    <x v="97"/>
    <x v="141"/>
  </r>
  <r>
    <x v="10"/>
    <x v="10"/>
    <x v="1"/>
    <x v="103"/>
    <x v="151"/>
  </r>
  <r>
    <x v="11"/>
    <x v="22"/>
    <x v="1"/>
    <x v="8"/>
    <x v="9"/>
  </r>
  <r>
    <x v="12"/>
    <x v="65"/>
    <x v="1"/>
    <x v="8"/>
    <x v="9"/>
  </r>
  <r>
    <x v="21"/>
    <x v="23"/>
    <x v="1"/>
    <x v="8"/>
    <x v="9"/>
  </r>
  <r>
    <x v="3"/>
    <x v="3"/>
    <x v="1"/>
    <x v="8"/>
    <x v="9"/>
  </r>
  <r>
    <x v="22"/>
    <x v="24"/>
    <x v="1"/>
    <x v="18"/>
    <x v="24"/>
  </r>
  <r>
    <x v="61"/>
    <x v="69"/>
    <x v="0"/>
    <x v="97"/>
    <x v="141"/>
  </r>
  <r>
    <x v="5"/>
    <x v="5"/>
    <x v="0"/>
    <x v="5"/>
    <x v="65"/>
  </r>
  <r>
    <x v="16"/>
    <x v="9"/>
    <x v="0"/>
    <x v="104"/>
    <x v="152"/>
  </r>
  <r>
    <x v="36"/>
    <x v="39"/>
    <x v="0"/>
    <x v="86"/>
    <x v="124"/>
  </r>
  <r>
    <x v="98"/>
    <x v="113"/>
    <x v="8"/>
    <x v="70"/>
    <x v="153"/>
  </r>
  <r>
    <x v="99"/>
    <x v="114"/>
    <x v="8"/>
    <x v="8"/>
    <x v="9"/>
  </r>
  <r>
    <x v="44"/>
    <x v="49"/>
    <x v="1"/>
    <x v="42"/>
    <x v="55"/>
  </r>
  <r>
    <x v="39"/>
    <x v="101"/>
    <x v="1"/>
    <x v="8"/>
    <x v="9"/>
  </r>
  <r>
    <x v="38"/>
    <x v="75"/>
    <x v="1"/>
    <x v="57"/>
    <x v="82"/>
  </r>
  <r>
    <x v="3"/>
    <x v="3"/>
    <x v="1"/>
    <x v="3"/>
    <x v="56"/>
  </r>
  <r>
    <x v="21"/>
    <x v="23"/>
    <x v="1"/>
    <x v="8"/>
    <x v="9"/>
  </r>
  <r>
    <x v="18"/>
    <x v="19"/>
    <x v="1"/>
    <x v="0"/>
    <x v="45"/>
  </r>
  <r>
    <x v="16"/>
    <x v="9"/>
    <x v="0"/>
    <x v="105"/>
    <x v="154"/>
  </r>
  <r>
    <x v="35"/>
    <x v="38"/>
    <x v="0"/>
    <x v="36"/>
    <x v="155"/>
  </r>
  <r>
    <x v="41"/>
    <x v="45"/>
    <x v="4"/>
    <x v="6"/>
    <x v="7"/>
  </r>
  <r>
    <x v="11"/>
    <x v="22"/>
    <x v="0"/>
    <x v="57"/>
    <x v="156"/>
  </r>
  <r>
    <x v="13"/>
    <x v="115"/>
    <x v="4"/>
    <x v="8"/>
    <x v="9"/>
  </r>
  <r>
    <x v="18"/>
    <x v="19"/>
    <x v="0"/>
    <x v="0"/>
    <x v="0"/>
  </r>
  <r>
    <x v="12"/>
    <x v="65"/>
    <x v="5"/>
    <x v="16"/>
    <x v="157"/>
  </r>
  <r>
    <x v="2"/>
    <x v="2"/>
    <x v="1"/>
    <x v="2"/>
    <x v="22"/>
  </r>
  <r>
    <x v="35"/>
    <x v="38"/>
    <x v="0"/>
    <x v="6"/>
    <x v="41"/>
  </r>
  <r>
    <x v="18"/>
    <x v="19"/>
    <x v="0"/>
    <x v="0"/>
    <x v="0"/>
  </r>
  <r>
    <x v="2"/>
    <x v="2"/>
    <x v="3"/>
    <x v="2"/>
    <x v="158"/>
  </r>
  <r>
    <x v="37"/>
    <x v="40"/>
    <x v="0"/>
    <x v="16"/>
    <x v="17"/>
  </r>
  <r>
    <x v="40"/>
    <x v="44"/>
    <x v="0"/>
    <x v="37"/>
    <x v="58"/>
  </r>
  <r>
    <x v="34"/>
    <x v="37"/>
    <x v="0"/>
    <x v="83"/>
    <x v="159"/>
  </r>
  <r>
    <x v="5"/>
    <x v="5"/>
    <x v="0"/>
    <x v="5"/>
    <x v="65"/>
  </r>
  <r>
    <x v="1"/>
    <x v="1"/>
    <x v="0"/>
    <x v="1"/>
    <x v="39"/>
  </r>
  <r>
    <x v="16"/>
    <x v="9"/>
    <x v="0"/>
    <x v="106"/>
    <x v="160"/>
  </r>
  <r>
    <x v="100"/>
    <x v="116"/>
    <x v="4"/>
    <x v="93"/>
    <x v="136"/>
  </r>
  <r>
    <x v="101"/>
    <x v="117"/>
    <x v="4"/>
    <x v="8"/>
    <x v="9"/>
  </r>
  <r>
    <x v="102"/>
    <x v="118"/>
    <x v="1"/>
    <x v="8"/>
    <x v="9"/>
  </r>
  <r>
    <x v="27"/>
    <x v="30"/>
    <x v="2"/>
    <x v="107"/>
    <x v="161"/>
  </r>
  <r>
    <x v="103"/>
    <x v="119"/>
    <x v="2"/>
    <x v="108"/>
    <x v="147"/>
  </r>
  <r>
    <x v="104"/>
    <x v="120"/>
    <x v="2"/>
    <x v="102"/>
    <x v="162"/>
  </r>
  <r>
    <x v="105"/>
    <x v="121"/>
    <x v="0"/>
    <x v="8"/>
    <x v="9"/>
  </r>
  <r>
    <x v="20"/>
    <x v="21"/>
    <x v="4"/>
    <x v="17"/>
    <x v="35"/>
  </r>
  <r>
    <x v="11"/>
    <x v="22"/>
    <x v="4"/>
    <x v="8"/>
    <x v="9"/>
  </r>
  <r>
    <x v="21"/>
    <x v="67"/>
    <x v="4"/>
    <x v="8"/>
    <x v="9"/>
  </r>
  <r>
    <x v="106"/>
    <x v="122"/>
    <x v="4"/>
    <x v="109"/>
    <x v="163"/>
  </r>
  <r>
    <x v="4"/>
    <x v="4"/>
    <x v="0"/>
    <x v="8"/>
    <x v="9"/>
  </r>
  <r>
    <x v="16"/>
    <x v="9"/>
    <x v="0"/>
    <x v="110"/>
    <x v="164"/>
  </r>
  <r>
    <x v="31"/>
    <x v="34"/>
    <x v="15"/>
    <x v="8"/>
    <x v="9"/>
  </r>
  <r>
    <x v="71"/>
    <x v="81"/>
    <x v="15"/>
    <x v="8"/>
    <x v="9"/>
  </r>
  <r>
    <x v="107"/>
    <x v="123"/>
    <x v="11"/>
    <x v="66"/>
    <x v="165"/>
  </r>
  <r>
    <x v="2"/>
    <x v="2"/>
    <x v="0"/>
    <x v="2"/>
    <x v="43"/>
  </r>
  <r>
    <x v="19"/>
    <x v="20"/>
    <x v="0"/>
    <x v="16"/>
    <x v="17"/>
  </r>
  <r>
    <x v="3"/>
    <x v="3"/>
    <x v="0"/>
    <x v="3"/>
    <x v="4"/>
  </r>
  <r>
    <x v="102"/>
    <x v="118"/>
    <x v="1"/>
    <x v="111"/>
    <x v="166"/>
  </r>
  <r>
    <x v="6"/>
    <x v="6"/>
    <x v="0"/>
    <x v="6"/>
    <x v="41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  <r>
    <x v="108"/>
    <x v="9"/>
    <x v="18"/>
    <x v="112"/>
    <x v="167"/>
  </r>
</pivotCacheRecords>
</file>

<file path=xl/pivotCache/pivotCacheRecords4.xml><?xml version="1.0" encoding="utf-8"?>
<pivotCacheRecords xmlns:r="http://schemas.openxmlformats.org/officeDocument/2006/relationships" xmlns="http://schemas.openxmlformats.org/spreadsheetml/2006/main" count="496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0"/>
    <x v="0"/>
    <x v="0"/>
    <x v="0"/>
    <x v="0"/>
  </r>
  <r>
    <x v="3"/>
    <x v="3"/>
    <x v="3"/>
    <x v="2"/>
    <x v="2"/>
    <x v="0"/>
    <x v="2"/>
    <x v="2"/>
  </r>
  <r>
    <x v="3"/>
    <x v="3"/>
    <x v="3"/>
    <x v="3"/>
    <x v="3"/>
    <x v="0"/>
    <x v="3"/>
    <x v="3"/>
  </r>
  <r>
    <x v="4"/>
    <x v="4"/>
    <x v="4"/>
    <x v="4"/>
    <x v="4"/>
    <x v="0"/>
    <x v="4"/>
    <x v="4"/>
  </r>
  <r>
    <x v="5"/>
    <x v="5"/>
    <x v="5"/>
    <x v="5"/>
    <x v="5"/>
    <x v="0"/>
    <x v="5"/>
    <x v="5"/>
  </r>
  <r>
    <x v="6"/>
    <x v="6"/>
    <x v="6"/>
    <x v="6"/>
    <x v="6"/>
    <x v="0"/>
    <x v="6"/>
    <x v="6"/>
  </r>
  <r>
    <x v="6"/>
    <x v="6"/>
    <x v="6"/>
    <x v="7"/>
    <x v="7"/>
    <x v="2"/>
    <x v="7"/>
    <x v="7"/>
  </r>
  <r>
    <x v="6"/>
    <x v="6"/>
    <x v="6"/>
    <x v="8"/>
    <x v="8"/>
    <x v="2"/>
    <x v="7"/>
    <x v="7"/>
  </r>
  <r>
    <x v="6"/>
    <x v="6"/>
    <x v="6"/>
    <x v="9"/>
    <x v="9"/>
    <x v="3"/>
    <x v="7"/>
    <x v="7"/>
  </r>
  <r>
    <x v="6"/>
    <x v="6"/>
    <x v="6"/>
    <x v="10"/>
    <x v="10"/>
    <x v="4"/>
    <x v="7"/>
    <x v="7"/>
  </r>
  <r>
    <x v="7"/>
    <x v="7"/>
    <x v="6"/>
    <x v="6"/>
    <x v="11"/>
    <x v="0"/>
    <x v="8"/>
    <x v="8"/>
  </r>
  <r>
    <x v="7"/>
    <x v="7"/>
    <x v="6"/>
    <x v="11"/>
    <x v="12"/>
    <x v="0"/>
    <x v="9"/>
    <x v="9"/>
  </r>
  <r>
    <x v="8"/>
    <x v="7"/>
    <x v="6"/>
    <x v="6"/>
    <x v="11"/>
    <x v="0"/>
    <x v="10"/>
    <x v="10"/>
  </r>
  <r>
    <x v="8"/>
    <x v="7"/>
    <x v="6"/>
    <x v="12"/>
    <x v="13"/>
    <x v="0"/>
    <x v="11"/>
    <x v="11"/>
  </r>
  <r>
    <x v="9"/>
    <x v="8"/>
    <x v="7"/>
    <x v="13"/>
    <x v="0"/>
    <x v="4"/>
    <x v="12"/>
    <x v="12"/>
  </r>
  <r>
    <x v="10"/>
    <x v="9"/>
    <x v="8"/>
    <x v="14"/>
    <x v="14"/>
    <x v="5"/>
    <x v="13"/>
    <x v="13"/>
  </r>
  <r>
    <x v="11"/>
    <x v="10"/>
    <x v="9"/>
    <x v="15"/>
    <x v="15"/>
    <x v="4"/>
    <x v="14"/>
    <x v="14"/>
  </r>
  <r>
    <x v="12"/>
    <x v="11"/>
    <x v="10"/>
    <x v="16"/>
    <x v="16"/>
    <x v="0"/>
    <x v="15"/>
    <x v="15"/>
  </r>
  <r>
    <x v="12"/>
    <x v="11"/>
    <x v="10"/>
    <x v="17"/>
    <x v="17"/>
    <x v="4"/>
    <x v="16"/>
    <x v="16"/>
  </r>
  <r>
    <x v="12"/>
    <x v="11"/>
    <x v="10"/>
    <x v="18"/>
    <x v="18"/>
    <x v="4"/>
    <x v="7"/>
    <x v="7"/>
  </r>
  <r>
    <x v="12"/>
    <x v="11"/>
    <x v="10"/>
    <x v="19"/>
    <x v="19"/>
    <x v="4"/>
    <x v="7"/>
    <x v="7"/>
  </r>
  <r>
    <x v="12"/>
    <x v="11"/>
    <x v="10"/>
    <x v="20"/>
    <x v="20"/>
    <x v="4"/>
    <x v="7"/>
    <x v="7"/>
  </r>
  <r>
    <x v="12"/>
    <x v="11"/>
    <x v="10"/>
    <x v="7"/>
    <x v="21"/>
    <x v="4"/>
    <x v="7"/>
    <x v="7"/>
  </r>
  <r>
    <x v="12"/>
    <x v="11"/>
    <x v="10"/>
    <x v="21"/>
    <x v="22"/>
    <x v="4"/>
    <x v="5"/>
    <x v="17"/>
  </r>
  <r>
    <x v="13"/>
    <x v="12"/>
    <x v="11"/>
    <x v="3"/>
    <x v="3"/>
    <x v="0"/>
    <x v="3"/>
    <x v="3"/>
  </r>
  <r>
    <x v="14"/>
    <x v="13"/>
    <x v="12"/>
    <x v="22"/>
    <x v="23"/>
    <x v="6"/>
    <x v="17"/>
    <x v="18"/>
  </r>
  <r>
    <x v="14"/>
    <x v="13"/>
    <x v="12"/>
    <x v="7"/>
    <x v="21"/>
    <x v="6"/>
    <x v="7"/>
    <x v="7"/>
  </r>
  <r>
    <x v="14"/>
    <x v="13"/>
    <x v="12"/>
    <x v="23"/>
    <x v="24"/>
    <x v="6"/>
    <x v="18"/>
    <x v="19"/>
  </r>
  <r>
    <x v="14"/>
    <x v="13"/>
    <x v="12"/>
    <x v="18"/>
    <x v="18"/>
    <x v="6"/>
    <x v="7"/>
    <x v="7"/>
  </r>
  <r>
    <x v="14"/>
    <x v="13"/>
    <x v="12"/>
    <x v="20"/>
    <x v="20"/>
    <x v="6"/>
    <x v="7"/>
    <x v="7"/>
  </r>
  <r>
    <x v="14"/>
    <x v="13"/>
    <x v="12"/>
    <x v="12"/>
    <x v="13"/>
    <x v="0"/>
    <x v="12"/>
    <x v="20"/>
  </r>
  <r>
    <x v="14"/>
    <x v="13"/>
    <x v="12"/>
    <x v="24"/>
    <x v="25"/>
    <x v="7"/>
    <x v="19"/>
    <x v="21"/>
  </r>
  <r>
    <x v="15"/>
    <x v="14"/>
    <x v="13"/>
    <x v="5"/>
    <x v="5"/>
    <x v="4"/>
    <x v="5"/>
    <x v="17"/>
  </r>
  <r>
    <x v="15"/>
    <x v="14"/>
    <x v="13"/>
    <x v="25"/>
    <x v="26"/>
    <x v="0"/>
    <x v="20"/>
    <x v="22"/>
  </r>
  <r>
    <x v="16"/>
    <x v="15"/>
    <x v="14"/>
    <x v="0"/>
    <x v="0"/>
    <x v="0"/>
    <x v="0"/>
    <x v="0"/>
  </r>
  <r>
    <x v="16"/>
    <x v="15"/>
    <x v="14"/>
    <x v="5"/>
    <x v="5"/>
    <x v="0"/>
    <x v="21"/>
    <x v="23"/>
  </r>
  <r>
    <x v="17"/>
    <x v="16"/>
    <x v="15"/>
    <x v="0"/>
    <x v="0"/>
    <x v="0"/>
    <x v="0"/>
    <x v="0"/>
  </r>
  <r>
    <x v="18"/>
    <x v="17"/>
    <x v="16"/>
    <x v="22"/>
    <x v="23"/>
    <x v="0"/>
    <x v="17"/>
    <x v="24"/>
  </r>
  <r>
    <x v="18"/>
    <x v="17"/>
    <x v="16"/>
    <x v="7"/>
    <x v="21"/>
    <x v="0"/>
    <x v="7"/>
    <x v="7"/>
  </r>
  <r>
    <x v="18"/>
    <x v="17"/>
    <x v="16"/>
    <x v="18"/>
    <x v="18"/>
    <x v="0"/>
    <x v="7"/>
    <x v="7"/>
  </r>
  <r>
    <x v="18"/>
    <x v="17"/>
    <x v="16"/>
    <x v="20"/>
    <x v="20"/>
    <x v="0"/>
    <x v="7"/>
    <x v="7"/>
  </r>
  <r>
    <x v="18"/>
    <x v="17"/>
    <x v="16"/>
    <x v="14"/>
    <x v="14"/>
    <x v="0"/>
    <x v="13"/>
    <x v="25"/>
  </r>
  <r>
    <x v="18"/>
    <x v="17"/>
    <x v="16"/>
    <x v="5"/>
    <x v="5"/>
    <x v="6"/>
    <x v="5"/>
    <x v="26"/>
  </r>
  <r>
    <x v="19"/>
    <x v="18"/>
    <x v="17"/>
    <x v="12"/>
    <x v="13"/>
    <x v="0"/>
    <x v="12"/>
    <x v="20"/>
  </r>
  <r>
    <x v="20"/>
    <x v="19"/>
    <x v="18"/>
    <x v="4"/>
    <x v="4"/>
    <x v="0"/>
    <x v="4"/>
    <x v="4"/>
  </r>
  <r>
    <x v="21"/>
    <x v="20"/>
    <x v="19"/>
    <x v="5"/>
    <x v="5"/>
    <x v="0"/>
    <x v="5"/>
    <x v="5"/>
  </r>
  <r>
    <x v="22"/>
    <x v="21"/>
    <x v="20"/>
    <x v="26"/>
    <x v="27"/>
    <x v="3"/>
    <x v="22"/>
    <x v="27"/>
  </r>
  <r>
    <x v="22"/>
    <x v="21"/>
    <x v="20"/>
    <x v="5"/>
    <x v="5"/>
    <x v="4"/>
    <x v="5"/>
    <x v="17"/>
  </r>
  <r>
    <x v="23"/>
    <x v="22"/>
    <x v="21"/>
    <x v="3"/>
    <x v="3"/>
    <x v="4"/>
    <x v="3"/>
    <x v="28"/>
  </r>
  <r>
    <x v="23"/>
    <x v="22"/>
    <x v="21"/>
    <x v="8"/>
    <x v="28"/>
    <x v="4"/>
    <x v="13"/>
    <x v="29"/>
  </r>
  <r>
    <x v="24"/>
    <x v="23"/>
    <x v="22"/>
    <x v="27"/>
    <x v="29"/>
    <x v="4"/>
    <x v="23"/>
    <x v="30"/>
  </r>
  <r>
    <x v="24"/>
    <x v="23"/>
    <x v="22"/>
    <x v="28"/>
    <x v="30"/>
    <x v="0"/>
    <x v="24"/>
    <x v="31"/>
  </r>
  <r>
    <x v="24"/>
    <x v="23"/>
    <x v="22"/>
    <x v="25"/>
    <x v="26"/>
    <x v="8"/>
    <x v="20"/>
    <x v="32"/>
  </r>
  <r>
    <x v="25"/>
    <x v="24"/>
    <x v="23"/>
    <x v="24"/>
    <x v="25"/>
    <x v="3"/>
    <x v="19"/>
    <x v="33"/>
  </r>
  <r>
    <x v="25"/>
    <x v="24"/>
    <x v="23"/>
    <x v="22"/>
    <x v="23"/>
    <x v="4"/>
    <x v="17"/>
    <x v="34"/>
  </r>
  <r>
    <x v="25"/>
    <x v="24"/>
    <x v="23"/>
    <x v="29"/>
    <x v="31"/>
    <x v="4"/>
    <x v="25"/>
    <x v="35"/>
  </r>
  <r>
    <x v="25"/>
    <x v="24"/>
    <x v="23"/>
    <x v="18"/>
    <x v="18"/>
    <x v="4"/>
    <x v="7"/>
    <x v="7"/>
  </r>
  <r>
    <x v="25"/>
    <x v="24"/>
    <x v="23"/>
    <x v="20"/>
    <x v="20"/>
    <x v="4"/>
    <x v="7"/>
    <x v="7"/>
  </r>
  <r>
    <x v="26"/>
    <x v="25"/>
    <x v="24"/>
    <x v="4"/>
    <x v="4"/>
    <x v="0"/>
    <x v="4"/>
    <x v="4"/>
  </r>
  <r>
    <x v="27"/>
    <x v="26"/>
    <x v="25"/>
    <x v="30"/>
    <x v="32"/>
    <x v="4"/>
    <x v="26"/>
    <x v="36"/>
  </r>
  <r>
    <x v="27"/>
    <x v="26"/>
    <x v="25"/>
    <x v="31"/>
    <x v="33"/>
    <x v="4"/>
    <x v="7"/>
    <x v="7"/>
  </r>
  <r>
    <x v="27"/>
    <x v="26"/>
    <x v="25"/>
    <x v="32"/>
    <x v="34"/>
    <x v="4"/>
    <x v="19"/>
    <x v="37"/>
  </r>
  <r>
    <x v="27"/>
    <x v="26"/>
    <x v="25"/>
    <x v="33"/>
    <x v="35"/>
    <x v="6"/>
    <x v="27"/>
    <x v="38"/>
  </r>
  <r>
    <x v="27"/>
    <x v="26"/>
    <x v="25"/>
    <x v="34"/>
    <x v="36"/>
    <x v="0"/>
    <x v="28"/>
    <x v="39"/>
  </r>
  <r>
    <x v="27"/>
    <x v="26"/>
    <x v="25"/>
    <x v="12"/>
    <x v="13"/>
    <x v="0"/>
    <x v="29"/>
    <x v="40"/>
  </r>
  <r>
    <x v="28"/>
    <x v="26"/>
    <x v="25"/>
    <x v="35"/>
    <x v="37"/>
    <x v="0"/>
    <x v="14"/>
    <x v="41"/>
  </r>
  <r>
    <x v="28"/>
    <x v="26"/>
    <x v="25"/>
    <x v="36"/>
    <x v="38"/>
    <x v="0"/>
    <x v="3"/>
    <x v="3"/>
  </r>
  <r>
    <x v="29"/>
    <x v="27"/>
    <x v="25"/>
    <x v="37"/>
    <x v="39"/>
    <x v="0"/>
    <x v="30"/>
    <x v="42"/>
  </r>
  <r>
    <x v="29"/>
    <x v="27"/>
    <x v="25"/>
    <x v="38"/>
    <x v="40"/>
    <x v="3"/>
    <x v="7"/>
    <x v="7"/>
  </r>
  <r>
    <x v="30"/>
    <x v="28"/>
    <x v="25"/>
    <x v="39"/>
    <x v="11"/>
    <x v="0"/>
    <x v="31"/>
    <x v="43"/>
  </r>
  <r>
    <x v="30"/>
    <x v="28"/>
    <x v="25"/>
    <x v="29"/>
    <x v="31"/>
    <x v="4"/>
    <x v="32"/>
    <x v="44"/>
  </r>
  <r>
    <x v="31"/>
    <x v="29"/>
    <x v="25"/>
    <x v="40"/>
    <x v="41"/>
    <x v="0"/>
    <x v="33"/>
    <x v="45"/>
  </r>
  <r>
    <x v="32"/>
    <x v="30"/>
    <x v="25"/>
    <x v="41"/>
    <x v="42"/>
    <x v="0"/>
    <x v="7"/>
    <x v="7"/>
  </r>
  <r>
    <x v="33"/>
    <x v="31"/>
    <x v="26"/>
    <x v="0"/>
    <x v="0"/>
    <x v="0"/>
    <x v="0"/>
    <x v="0"/>
  </r>
  <r>
    <x v="34"/>
    <x v="32"/>
    <x v="27"/>
    <x v="0"/>
    <x v="0"/>
    <x v="0"/>
    <x v="0"/>
    <x v="0"/>
  </r>
  <r>
    <x v="35"/>
    <x v="33"/>
    <x v="28"/>
    <x v="22"/>
    <x v="23"/>
    <x v="3"/>
    <x v="17"/>
    <x v="46"/>
  </r>
  <r>
    <x v="35"/>
    <x v="33"/>
    <x v="28"/>
    <x v="7"/>
    <x v="21"/>
    <x v="3"/>
    <x v="7"/>
    <x v="7"/>
  </r>
  <r>
    <x v="35"/>
    <x v="33"/>
    <x v="28"/>
    <x v="23"/>
    <x v="24"/>
    <x v="3"/>
    <x v="18"/>
    <x v="47"/>
  </r>
  <r>
    <x v="35"/>
    <x v="33"/>
    <x v="28"/>
    <x v="18"/>
    <x v="18"/>
    <x v="3"/>
    <x v="7"/>
    <x v="7"/>
  </r>
  <r>
    <x v="35"/>
    <x v="33"/>
    <x v="28"/>
    <x v="20"/>
    <x v="20"/>
    <x v="3"/>
    <x v="7"/>
    <x v="7"/>
  </r>
  <r>
    <x v="35"/>
    <x v="33"/>
    <x v="28"/>
    <x v="16"/>
    <x v="16"/>
    <x v="0"/>
    <x v="15"/>
    <x v="15"/>
  </r>
  <r>
    <x v="36"/>
    <x v="17"/>
    <x v="29"/>
    <x v="25"/>
    <x v="26"/>
    <x v="0"/>
    <x v="20"/>
    <x v="22"/>
  </r>
  <r>
    <x v="36"/>
    <x v="17"/>
    <x v="29"/>
    <x v="42"/>
    <x v="43"/>
    <x v="6"/>
    <x v="34"/>
    <x v="48"/>
  </r>
  <r>
    <x v="36"/>
    <x v="17"/>
    <x v="29"/>
    <x v="43"/>
    <x v="44"/>
    <x v="0"/>
    <x v="34"/>
    <x v="49"/>
  </r>
  <r>
    <x v="36"/>
    <x v="17"/>
    <x v="29"/>
    <x v="7"/>
    <x v="21"/>
    <x v="0"/>
    <x v="14"/>
    <x v="41"/>
  </r>
  <r>
    <x v="37"/>
    <x v="34"/>
    <x v="30"/>
    <x v="44"/>
    <x v="45"/>
    <x v="0"/>
    <x v="35"/>
    <x v="50"/>
  </r>
  <r>
    <x v="38"/>
    <x v="35"/>
    <x v="31"/>
    <x v="22"/>
    <x v="23"/>
    <x v="4"/>
    <x v="17"/>
    <x v="34"/>
  </r>
  <r>
    <x v="38"/>
    <x v="35"/>
    <x v="31"/>
    <x v="7"/>
    <x v="21"/>
    <x v="4"/>
    <x v="7"/>
    <x v="7"/>
  </r>
  <r>
    <x v="38"/>
    <x v="35"/>
    <x v="31"/>
    <x v="18"/>
    <x v="18"/>
    <x v="4"/>
    <x v="7"/>
    <x v="7"/>
  </r>
  <r>
    <x v="38"/>
    <x v="35"/>
    <x v="31"/>
    <x v="20"/>
    <x v="20"/>
    <x v="4"/>
    <x v="7"/>
    <x v="7"/>
  </r>
  <r>
    <x v="39"/>
    <x v="36"/>
    <x v="32"/>
    <x v="13"/>
    <x v="0"/>
    <x v="0"/>
    <x v="12"/>
    <x v="20"/>
  </r>
  <r>
    <x v="40"/>
    <x v="37"/>
    <x v="33"/>
    <x v="13"/>
    <x v="0"/>
    <x v="0"/>
    <x v="12"/>
    <x v="20"/>
  </r>
  <r>
    <x v="41"/>
    <x v="38"/>
    <x v="34"/>
    <x v="6"/>
    <x v="11"/>
    <x v="0"/>
    <x v="36"/>
    <x v="51"/>
  </r>
  <r>
    <x v="41"/>
    <x v="38"/>
    <x v="34"/>
    <x v="45"/>
    <x v="46"/>
    <x v="7"/>
    <x v="37"/>
    <x v="52"/>
  </r>
  <r>
    <x v="41"/>
    <x v="38"/>
    <x v="34"/>
    <x v="18"/>
    <x v="47"/>
    <x v="7"/>
    <x v="7"/>
    <x v="7"/>
  </r>
  <r>
    <x v="41"/>
    <x v="38"/>
    <x v="34"/>
    <x v="46"/>
    <x v="48"/>
    <x v="3"/>
    <x v="38"/>
    <x v="53"/>
  </r>
  <r>
    <x v="41"/>
    <x v="38"/>
    <x v="34"/>
    <x v="47"/>
    <x v="49"/>
    <x v="0"/>
    <x v="7"/>
    <x v="7"/>
  </r>
  <r>
    <x v="41"/>
    <x v="38"/>
    <x v="34"/>
    <x v="48"/>
    <x v="50"/>
    <x v="2"/>
    <x v="7"/>
    <x v="7"/>
  </r>
  <r>
    <x v="42"/>
    <x v="39"/>
    <x v="34"/>
    <x v="6"/>
    <x v="11"/>
    <x v="0"/>
    <x v="39"/>
    <x v="54"/>
  </r>
  <r>
    <x v="42"/>
    <x v="39"/>
    <x v="34"/>
    <x v="49"/>
    <x v="51"/>
    <x v="6"/>
    <x v="11"/>
    <x v="55"/>
  </r>
  <r>
    <x v="42"/>
    <x v="39"/>
    <x v="34"/>
    <x v="16"/>
    <x v="16"/>
    <x v="4"/>
    <x v="40"/>
    <x v="56"/>
  </r>
  <r>
    <x v="42"/>
    <x v="39"/>
    <x v="34"/>
    <x v="37"/>
    <x v="39"/>
    <x v="0"/>
    <x v="41"/>
    <x v="57"/>
  </r>
  <r>
    <x v="43"/>
    <x v="40"/>
    <x v="34"/>
    <x v="50"/>
    <x v="52"/>
    <x v="0"/>
    <x v="7"/>
    <x v="7"/>
  </r>
  <r>
    <x v="44"/>
    <x v="41"/>
    <x v="34"/>
    <x v="6"/>
    <x v="11"/>
    <x v="0"/>
    <x v="42"/>
    <x v="58"/>
  </r>
  <r>
    <x v="44"/>
    <x v="41"/>
    <x v="34"/>
    <x v="4"/>
    <x v="4"/>
    <x v="4"/>
    <x v="43"/>
    <x v="59"/>
  </r>
  <r>
    <x v="45"/>
    <x v="42"/>
    <x v="35"/>
    <x v="2"/>
    <x v="2"/>
    <x v="0"/>
    <x v="2"/>
    <x v="2"/>
  </r>
  <r>
    <x v="46"/>
    <x v="43"/>
    <x v="36"/>
    <x v="51"/>
    <x v="53"/>
    <x v="4"/>
    <x v="44"/>
    <x v="60"/>
  </r>
  <r>
    <x v="47"/>
    <x v="44"/>
    <x v="37"/>
    <x v="25"/>
    <x v="26"/>
    <x v="4"/>
    <x v="20"/>
    <x v="61"/>
  </r>
  <r>
    <x v="47"/>
    <x v="44"/>
    <x v="37"/>
    <x v="8"/>
    <x v="28"/>
    <x v="0"/>
    <x v="13"/>
    <x v="25"/>
  </r>
  <r>
    <x v="47"/>
    <x v="44"/>
    <x v="37"/>
    <x v="14"/>
    <x v="14"/>
    <x v="0"/>
    <x v="13"/>
    <x v="25"/>
  </r>
  <r>
    <x v="48"/>
    <x v="45"/>
    <x v="38"/>
    <x v="12"/>
    <x v="13"/>
    <x v="4"/>
    <x v="12"/>
    <x v="12"/>
  </r>
  <r>
    <x v="48"/>
    <x v="45"/>
    <x v="38"/>
    <x v="25"/>
    <x v="26"/>
    <x v="1"/>
    <x v="20"/>
    <x v="62"/>
  </r>
  <r>
    <x v="49"/>
    <x v="46"/>
    <x v="39"/>
    <x v="5"/>
    <x v="5"/>
    <x v="3"/>
    <x v="5"/>
    <x v="63"/>
  </r>
  <r>
    <x v="50"/>
    <x v="47"/>
    <x v="40"/>
    <x v="13"/>
    <x v="0"/>
    <x v="0"/>
    <x v="12"/>
    <x v="20"/>
  </r>
  <r>
    <x v="51"/>
    <x v="48"/>
    <x v="41"/>
    <x v="2"/>
    <x v="2"/>
    <x v="4"/>
    <x v="2"/>
    <x v="64"/>
  </r>
  <r>
    <x v="52"/>
    <x v="49"/>
    <x v="42"/>
    <x v="13"/>
    <x v="0"/>
    <x v="0"/>
    <x v="12"/>
    <x v="20"/>
  </r>
  <r>
    <x v="52"/>
    <x v="49"/>
    <x v="42"/>
    <x v="5"/>
    <x v="5"/>
    <x v="0"/>
    <x v="21"/>
    <x v="23"/>
  </r>
  <r>
    <x v="53"/>
    <x v="50"/>
    <x v="43"/>
    <x v="0"/>
    <x v="0"/>
    <x v="4"/>
    <x v="0"/>
    <x v="65"/>
  </r>
  <r>
    <x v="54"/>
    <x v="51"/>
    <x v="44"/>
    <x v="3"/>
    <x v="3"/>
    <x v="0"/>
    <x v="3"/>
    <x v="3"/>
  </r>
  <r>
    <x v="55"/>
    <x v="52"/>
    <x v="45"/>
    <x v="8"/>
    <x v="28"/>
    <x v="0"/>
    <x v="13"/>
    <x v="25"/>
  </r>
  <r>
    <x v="55"/>
    <x v="52"/>
    <x v="45"/>
    <x v="14"/>
    <x v="14"/>
    <x v="0"/>
    <x v="13"/>
    <x v="25"/>
  </r>
  <r>
    <x v="56"/>
    <x v="53"/>
    <x v="46"/>
    <x v="13"/>
    <x v="0"/>
    <x v="0"/>
    <x v="12"/>
    <x v="20"/>
  </r>
  <r>
    <x v="57"/>
    <x v="54"/>
    <x v="47"/>
    <x v="0"/>
    <x v="0"/>
    <x v="0"/>
    <x v="0"/>
    <x v="0"/>
  </r>
  <r>
    <x v="58"/>
    <x v="55"/>
    <x v="48"/>
    <x v="6"/>
    <x v="11"/>
    <x v="0"/>
    <x v="45"/>
    <x v="66"/>
  </r>
  <r>
    <x v="58"/>
    <x v="55"/>
    <x v="48"/>
    <x v="50"/>
    <x v="54"/>
    <x v="0"/>
    <x v="46"/>
    <x v="67"/>
  </r>
  <r>
    <x v="58"/>
    <x v="55"/>
    <x v="48"/>
    <x v="52"/>
    <x v="55"/>
    <x v="0"/>
    <x v="7"/>
    <x v="7"/>
  </r>
  <r>
    <x v="58"/>
    <x v="55"/>
    <x v="48"/>
    <x v="53"/>
    <x v="56"/>
    <x v="0"/>
    <x v="7"/>
    <x v="7"/>
  </r>
  <r>
    <x v="58"/>
    <x v="55"/>
    <x v="48"/>
    <x v="54"/>
    <x v="57"/>
    <x v="0"/>
    <x v="7"/>
    <x v="7"/>
  </r>
  <r>
    <x v="59"/>
    <x v="7"/>
    <x v="48"/>
    <x v="41"/>
    <x v="58"/>
    <x v="0"/>
    <x v="7"/>
    <x v="7"/>
  </r>
  <r>
    <x v="60"/>
    <x v="56"/>
    <x v="48"/>
    <x v="50"/>
    <x v="59"/>
    <x v="9"/>
    <x v="47"/>
    <x v="68"/>
  </r>
  <r>
    <x v="60"/>
    <x v="56"/>
    <x v="48"/>
    <x v="55"/>
    <x v="60"/>
    <x v="4"/>
    <x v="48"/>
    <x v="69"/>
  </r>
  <r>
    <x v="60"/>
    <x v="56"/>
    <x v="48"/>
    <x v="56"/>
    <x v="61"/>
    <x v="3"/>
    <x v="49"/>
    <x v="70"/>
  </r>
  <r>
    <x v="60"/>
    <x v="56"/>
    <x v="48"/>
    <x v="57"/>
    <x v="62"/>
    <x v="0"/>
    <x v="5"/>
    <x v="5"/>
  </r>
  <r>
    <x v="61"/>
    <x v="57"/>
    <x v="48"/>
    <x v="39"/>
    <x v="11"/>
    <x v="0"/>
    <x v="50"/>
    <x v="71"/>
  </r>
  <r>
    <x v="61"/>
    <x v="57"/>
    <x v="48"/>
    <x v="58"/>
    <x v="63"/>
    <x v="0"/>
    <x v="28"/>
    <x v="39"/>
  </r>
  <r>
    <x v="61"/>
    <x v="57"/>
    <x v="48"/>
    <x v="59"/>
    <x v="64"/>
    <x v="0"/>
    <x v="7"/>
    <x v="7"/>
  </r>
  <r>
    <x v="61"/>
    <x v="57"/>
    <x v="48"/>
    <x v="60"/>
    <x v="65"/>
    <x v="0"/>
    <x v="7"/>
    <x v="7"/>
  </r>
  <r>
    <x v="62"/>
    <x v="58"/>
    <x v="48"/>
    <x v="22"/>
    <x v="23"/>
    <x v="3"/>
    <x v="17"/>
    <x v="46"/>
  </r>
  <r>
    <x v="62"/>
    <x v="58"/>
    <x v="48"/>
    <x v="18"/>
    <x v="47"/>
    <x v="3"/>
    <x v="7"/>
    <x v="7"/>
  </r>
  <r>
    <x v="62"/>
    <x v="58"/>
    <x v="48"/>
    <x v="7"/>
    <x v="66"/>
    <x v="3"/>
    <x v="7"/>
    <x v="7"/>
  </r>
  <r>
    <x v="62"/>
    <x v="58"/>
    <x v="48"/>
    <x v="20"/>
    <x v="67"/>
    <x v="3"/>
    <x v="7"/>
    <x v="7"/>
  </r>
  <r>
    <x v="62"/>
    <x v="58"/>
    <x v="48"/>
    <x v="16"/>
    <x v="16"/>
    <x v="0"/>
    <x v="15"/>
    <x v="15"/>
  </r>
  <r>
    <x v="63"/>
    <x v="59"/>
    <x v="48"/>
    <x v="6"/>
    <x v="11"/>
    <x v="0"/>
    <x v="51"/>
    <x v="72"/>
  </r>
  <r>
    <x v="63"/>
    <x v="59"/>
    <x v="48"/>
    <x v="61"/>
    <x v="68"/>
    <x v="4"/>
    <x v="52"/>
    <x v="73"/>
  </r>
  <r>
    <x v="64"/>
    <x v="60"/>
    <x v="49"/>
    <x v="62"/>
    <x v="69"/>
    <x v="4"/>
    <x v="53"/>
    <x v="74"/>
  </r>
  <r>
    <x v="65"/>
    <x v="61"/>
    <x v="50"/>
    <x v="43"/>
    <x v="44"/>
    <x v="4"/>
    <x v="34"/>
    <x v="75"/>
  </r>
  <r>
    <x v="65"/>
    <x v="61"/>
    <x v="50"/>
    <x v="63"/>
    <x v="70"/>
    <x v="4"/>
    <x v="19"/>
    <x v="37"/>
  </r>
  <r>
    <x v="66"/>
    <x v="62"/>
    <x v="51"/>
    <x v="12"/>
    <x v="13"/>
    <x v="0"/>
    <x v="12"/>
    <x v="20"/>
  </r>
  <r>
    <x v="67"/>
    <x v="63"/>
    <x v="52"/>
    <x v="12"/>
    <x v="13"/>
    <x v="0"/>
    <x v="12"/>
    <x v="20"/>
  </r>
  <r>
    <x v="68"/>
    <x v="64"/>
    <x v="53"/>
    <x v="64"/>
    <x v="71"/>
    <x v="0"/>
    <x v="5"/>
    <x v="5"/>
  </r>
  <r>
    <x v="69"/>
    <x v="17"/>
    <x v="54"/>
    <x v="65"/>
    <x v="72"/>
    <x v="0"/>
    <x v="54"/>
    <x v="76"/>
  </r>
  <r>
    <x v="69"/>
    <x v="17"/>
    <x v="54"/>
    <x v="33"/>
    <x v="35"/>
    <x v="4"/>
    <x v="55"/>
    <x v="77"/>
  </r>
  <r>
    <x v="69"/>
    <x v="17"/>
    <x v="54"/>
    <x v="26"/>
    <x v="27"/>
    <x v="6"/>
    <x v="22"/>
    <x v="78"/>
  </r>
  <r>
    <x v="70"/>
    <x v="65"/>
    <x v="55"/>
    <x v="5"/>
    <x v="5"/>
    <x v="4"/>
    <x v="5"/>
    <x v="17"/>
  </r>
  <r>
    <x v="70"/>
    <x v="65"/>
    <x v="55"/>
    <x v="8"/>
    <x v="28"/>
    <x v="0"/>
    <x v="13"/>
    <x v="25"/>
  </r>
  <r>
    <x v="71"/>
    <x v="66"/>
    <x v="56"/>
    <x v="4"/>
    <x v="4"/>
    <x v="0"/>
    <x v="4"/>
    <x v="4"/>
  </r>
  <r>
    <x v="71"/>
    <x v="66"/>
    <x v="56"/>
    <x v="5"/>
    <x v="5"/>
    <x v="4"/>
    <x v="21"/>
    <x v="79"/>
  </r>
  <r>
    <x v="72"/>
    <x v="67"/>
    <x v="57"/>
    <x v="0"/>
    <x v="0"/>
    <x v="0"/>
    <x v="0"/>
    <x v="0"/>
  </r>
  <r>
    <x v="73"/>
    <x v="68"/>
    <x v="58"/>
    <x v="1"/>
    <x v="1"/>
    <x v="6"/>
    <x v="7"/>
    <x v="7"/>
  </r>
  <r>
    <x v="74"/>
    <x v="69"/>
    <x v="59"/>
    <x v="66"/>
    <x v="11"/>
    <x v="0"/>
    <x v="7"/>
    <x v="7"/>
  </r>
  <r>
    <x v="74"/>
    <x v="69"/>
    <x v="59"/>
    <x v="0"/>
    <x v="0"/>
    <x v="0"/>
    <x v="0"/>
    <x v="0"/>
  </r>
  <r>
    <x v="75"/>
    <x v="70"/>
    <x v="60"/>
    <x v="66"/>
    <x v="11"/>
    <x v="0"/>
    <x v="7"/>
    <x v="7"/>
  </r>
  <r>
    <x v="75"/>
    <x v="70"/>
    <x v="60"/>
    <x v="64"/>
    <x v="71"/>
    <x v="4"/>
    <x v="5"/>
    <x v="17"/>
  </r>
  <r>
    <x v="76"/>
    <x v="71"/>
    <x v="61"/>
    <x v="66"/>
    <x v="11"/>
    <x v="0"/>
    <x v="7"/>
    <x v="7"/>
  </r>
  <r>
    <x v="76"/>
    <x v="71"/>
    <x v="61"/>
    <x v="14"/>
    <x v="14"/>
    <x v="7"/>
    <x v="13"/>
    <x v="80"/>
  </r>
  <r>
    <x v="77"/>
    <x v="72"/>
    <x v="62"/>
    <x v="66"/>
    <x v="11"/>
    <x v="0"/>
    <x v="7"/>
    <x v="7"/>
  </r>
  <r>
    <x v="77"/>
    <x v="72"/>
    <x v="62"/>
    <x v="33"/>
    <x v="35"/>
    <x v="4"/>
    <x v="55"/>
    <x v="77"/>
  </r>
  <r>
    <x v="78"/>
    <x v="17"/>
    <x v="63"/>
    <x v="66"/>
    <x v="11"/>
    <x v="0"/>
    <x v="7"/>
    <x v="7"/>
  </r>
  <r>
    <x v="78"/>
    <x v="17"/>
    <x v="63"/>
    <x v="64"/>
    <x v="71"/>
    <x v="4"/>
    <x v="5"/>
    <x v="17"/>
  </r>
  <r>
    <x v="78"/>
    <x v="17"/>
    <x v="63"/>
    <x v="5"/>
    <x v="5"/>
    <x v="6"/>
    <x v="5"/>
    <x v="26"/>
  </r>
  <r>
    <x v="78"/>
    <x v="17"/>
    <x v="63"/>
    <x v="12"/>
    <x v="13"/>
    <x v="0"/>
    <x v="12"/>
    <x v="20"/>
  </r>
  <r>
    <x v="79"/>
    <x v="73"/>
    <x v="64"/>
    <x v="66"/>
    <x v="11"/>
    <x v="0"/>
    <x v="7"/>
    <x v="7"/>
  </r>
  <r>
    <x v="79"/>
    <x v="73"/>
    <x v="64"/>
    <x v="14"/>
    <x v="14"/>
    <x v="4"/>
    <x v="13"/>
    <x v="29"/>
  </r>
  <r>
    <x v="80"/>
    <x v="73"/>
    <x v="65"/>
    <x v="66"/>
    <x v="11"/>
    <x v="0"/>
    <x v="7"/>
    <x v="7"/>
  </r>
  <r>
    <x v="80"/>
    <x v="73"/>
    <x v="65"/>
    <x v="22"/>
    <x v="23"/>
    <x v="7"/>
    <x v="17"/>
    <x v="81"/>
  </r>
  <r>
    <x v="80"/>
    <x v="73"/>
    <x v="65"/>
    <x v="7"/>
    <x v="21"/>
    <x v="7"/>
    <x v="7"/>
    <x v="7"/>
  </r>
  <r>
    <x v="80"/>
    <x v="73"/>
    <x v="65"/>
    <x v="18"/>
    <x v="18"/>
    <x v="7"/>
    <x v="7"/>
    <x v="7"/>
  </r>
  <r>
    <x v="80"/>
    <x v="73"/>
    <x v="65"/>
    <x v="20"/>
    <x v="20"/>
    <x v="7"/>
    <x v="7"/>
    <x v="7"/>
  </r>
  <r>
    <x v="80"/>
    <x v="73"/>
    <x v="65"/>
    <x v="37"/>
    <x v="39"/>
    <x v="0"/>
    <x v="30"/>
    <x v="42"/>
  </r>
  <r>
    <x v="81"/>
    <x v="74"/>
    <x v="66"/>
    <x v="66"/>
    <x v="11"/>
    <x v="0"/>
    <x v="7"/>
    <x v="7"/>
  </r>
  <r>
    <x v="81"/>
    <x v="74"/>
    <x v="66"/>
    <x v="4"/>
    <x v="4"/>
    <x v="0"/>
    <x v="4"/>
    <x v="4"/>
  </r>
  <r>
    <x v="82"/>
    <x v="75"/>
    <x v="67"/>
    <x v="66"/>
    <x v="11"/>
    <x v="0"/>
    <x v="7"/>
    <x v="7"/>
  </r>
  <r>
    <x v="82"/>
    <x v="75"/>
    <x v="67"/>
    <x v="13"/>
    <x v="0"/>
    <x v="0"/>
    <x v="12"/>
    <x v="20"/>
  </r>
  <r>
    <x v="83"/>
    <x v="38"/>
    <x v="68"/>
    <x v="67"/>
    <x v="73"/>
    <x v="7"/>
    <x v="56"/>
    <x v="82"/>
  </r>
  <r>
    <x v="83"/>
    <x v="38"/>
    <x v="68"/>
    <x v="18"/>
    <x v="47"/>
    <x v="7"/>
    <x v="7"/>
    <x v="7"/>
  </r>
  <r>
    <x v="83"/>
    <x v="38"/>
    <x v="68"/>
    <x v="28"/>
    <x v="74"/>
    <x v="10"/>
    <x v="57"/>
    <x v="83"/>
  </r>
  <r>
    <x v="83"/>
    <x v="38"/>
    <x v="68"/>
    <x v="21"/>
    <x v="22"/>
    <x v="10"/>
    <x v="58"/>
    <x v="84"/>
  </r>
  <r>
    <x v="83"/>
    <x v="38"/>
    <x v="68"/>
    <x v="68"/>
    <x v="75"/>
    <x v="4"/>
    <x v="59"/>
    <x v="85"/>
  </r>
  <r>
    <x v="83"/>
    <x v="38"/>
    <x v="68"/>
    <x v="69"/>
    <x v="76"/>
    <x v="4"/>
    <x v="7"/>
    <x v="7"/>
  </r>
  <r>
    <x v="83"/>
    <x v="38"/>
    <x v="68"/>
    <x v="70"/>
    <x v="77"/>
    <x v="4"/>
    <x v="7"/>
    <x v="7"/>
  </r>
  <r>
    <x v="84"/>
    <x v="76"/>
    <x v="68"/>
    <x v="39"/>
    <x v="11"/>
    <x v="0"/>
    <x v="60"/>
    <x v="86"/>
  </r>
  <r>
    <x v="84"/>
    <x v="76"/>
    <x v="68"/>
    <x v="22"/>
    <x v="23"/>
    <x v="3"/>
    <x v="17"/>
    <x v="46"/>
  </r>
  <r>
    <x v="84"/>
    <x v="76"/>
    <x v="68"/>
    <x v="71"/>
    <x v="78"/>
    <x v="3"/>
    <x v="61"/>
    <x v="87"/>
  </r>
  <r>
    <x v="84"/>
    <x v="76"/>
    <x v="68"/>
    <x v="23"/>
    <x v="24"/>
    <x v="3"/>
    <x v="18"/>
    <x v="47"/>
  </r>
  <r>
    <x v="84"/>
    <x v="76"/>
    <x v="68"/>
    <x v="18"/>
    <x v="18"/>
    <x v="3"/>
    <x v="7"/>
    <x v="7"/>
  </r>
  <r>
    <x v="84"/>
    <x v="76"/>
    <x v="68"/>
    <x v="20"/>
    <x v="79"/>
    <x v="3"/>
    <x v="7"/>
    <x v="7"/>
  </r>
  <r>
    <x v="85"/>
    <x v="77"/>
    <x v="68"/>
    <x v="66"/>
    <x v="11"/>
    <x v="0"/>
    <x v="7"/>
    <x v="7"/>
  </r>
  <r>
    <x v="85"/>
    <x v="77"/>
    <x v="68"/>
    <x v="72"/>
    <x v="80"/>
    <x v="0"/>
    <x v="7"/>
    <x v="7"/>
  </r>
  <r>
    <x v="85"/>
    <x v="77"/>
    <x v="68"/>
    <x v="73"/>
    <x v="81"/>
    <x v="0"/>
    <x v="7"/>
    <x v="7"/>
  </r>
  <r>
    <x v="86"/>
    <x v="6"/>
    <x v="68"/>
    <x v="39"/>
    <x v="11"/>
    <x v="0"/>
    <x v="62"/>
    <x v="88"/>
  </r>
  <r>
    <x v="86"/>
    <x v="6"/>
    <x v="68"/>
    <x v="74"/>
    <x v="82"/>
    <x v="7"/>
    <x v="56"/>
    <x v="82"/>
  </r>
  <r>
    <x v="86"/>
    <x v="6"/>
    <x v="68"/>
    <x v="18"/>
    <x v="47"/>
    <x v="7"/>
    <x v="7"/>
    <x v="7"/>
  </r>
  <r>
    <x v="86"/>
    <x v="6"/>
    <x v="68"/>
    <x v="7"/>
    <x v="66"/>
    <x v="10"/>
    <x v="7"/>
    <x v="7"/>
  </r>
  <r>
    <x v="86"/>
    <x v="6"/>
    <x v="68"/>
    <x v="8"/>
    <x v="83"/>
    <x v="10"/>
    <x v="7"/>
    <x v="7"/>
  </r>
  <r>
    <x v="86"/>
    <x v="6"/>
    <x v="68"/>
    <x v="12"/>
    <x v="13"/>
    <x v="4"/>
    <x v="11"/>
    <x v="89"/>
  </r>
  <r>
    <x v="87"/>
    <x v="72"/>
    <x v="69"/>
    <x v="30"/>
    <x v="32"/>
    <x v="4"/>
    <x v="63"/>
    <x v="90"/>
  </r>
  <r>
    <x v="87"/>
    <x v="72"/>
    <x v="69"/>
    <x v="75"/>
    <x v="84"/>
    <x v="4"/>
    <x v="7"/>
    <x v="7"/>
  </r>
  <r>
    <x v="87"/>
    <x v="72"/>
    <x v="69"/>
    <x v="0"/>
    <x v="0"/>
    <x v="0"/>
    <x v="0"/>
    <x v="0"/>
  </r>
  <r>
    <x v="88"/>
    <x v="78"/>
    <x v="70"/>
    <x v="2"/>
    <x v="2"/>
    <x v="0"/>
    <x v="2"/>
    <x v="2"/>
  </r>
  <r>
    <x v="88"/>
    <x v="78"/>
    <x v="70"/>
    <x v="7"/>
    <x v="21"/>
    <x v="0"/>
    <x v="14"/>
    <x v="41"/>
  </r>
  <r>
    <x v="89"/>
    <x v="79"/>
    <x v="71"/>
    <x v="76"/>
    <x v="85"/>
    <x v="3"/>
    <x v="52"/>
    <x v="91"/>
  </r>
  <r>
    <x v="90"/>
    <x v="80"/>
    <x v="72"/>
    <x v="18"/>
    <x v="18"/>
    <x v="0"/>
    <x v="19"/>
    <x v="92"/>
  </r>
  <r>
    <x v="91"/>
    <x v="81"/>
    <x v="73"/>
    <x v="77"/>
    <x v="86"/>
    <x v="4"/>
    <x v="24"/>
    <x v="93"/>
  </r>
  <r>
    <x v="92"/>
    <x v="82"/>
    <x v="74"/>
    <x v="43"/>
    <x v="44"/>
    <x v="1"/>
    <x v="34"/>
    <x v="94"/>
  </r>
  <r>
    <x v="92"/>
    <x v="82"/>
    <x v="74"/>
    <x v="63"/>
    <x v="70"/>
    <x v="11"/>
    <x v="19"/>
    <x v="95"/>
  </r>
  <r>
    <x v="92"/>
    <x v="82"/>
    <x v="74"/>
    <x v="1"/>
    <x v="1"/>
    <x v="12"/>
    <x v="1"/>
    <x v="96"/>
  </r>
  <r>
    <x v="92"/>
    <x v="82"/>
    <x v="74"/>
    <x v="3"/>
    <x v="3"/>
    <x v="4"/>
    <x v="3"/>
    <x v="28"/>
  </r>
  <r>
    <x v="93"/>
    <x v="83"/>
    <x v="75"/>
    <x v="3"/>
    <x v="3"/>
    <x v="4"/>
    <x v="3"/>
    <x v="28"/>
  </r>
  <r>
    <x v="94"/>
    <x v="84"/>
    <x v="76"/>
    <x v="13"/>
    <x v="0"/>
    <x v="0"/>
    <x v="12"/>
    <x v="20"/>
  </r>
  <r>
    <x v="95"/>
    <x v="85"/>
    <x v="77"/>
    <x v="12"/>
    <x v="13"/>
    <x v="0"/>
    <x v="12"/>
    <x v="20"/>
  </r>
  <r>
    <x v="96"/>
    <x v="86"/>
    <x v="78"/>
    <x v="13"/>
    <x v="0"/>
    <x v="0"/>
    <x v="12"/>
    <x v="20"/>
  </r>
  <r>
    <x v="97"/>
    <x v="87"/>
    <x v="79"/>
    <x v="0"/>
    <x v="0"/>
    <x v="0"/>
    <x v="0"/>
    <x v="0"/>
  </r>
  <r>
    <x v="97"/>
    <x v="87"/>
    <x v="79"/>
    <x v="14"/>
    <x v="14"/>
    <x v="0"/>
    <x v="13"/>
    <x v="25"/>
  </r>
  <r>
    <x v="98"/>
    <x v="88"/>
    <x v="80"/>
    <x v="8"/>
    <x v="28"/>
    <x v="0"/>
    <x v="13"/>
    <x v="25"/>
  </r>
  <r>
    <x v="98"/>
    <x v="88"/>
    <x v="80"/>
    <x v="14"/>
    <x v="14"/>
    <x v="0"/>
    <x v="13"/>
    <x v="25"/>
  </r>
  <r>
    <x v="99"/>
    <x v="89"/>
    <x v="81"/>
    <x v="78"/>
    <x v="11"/>
    <x v="0"/>
    <x v="64"/>
    <x v="97"/>
  </r>
  <r>
    <x v="99"/>
    <x v="89"/>
    <x v="81"/>
    <x v="2"/>
    <x v="2"/>
    <x v="4"/>
    <x v="2"/>
    <x v="64"/>
  </r>
  <r>
    <x v="100"/>
    <x v="90"/>
    <x v="82"/>
    <x v="0"/>
    <x v="0"/>
    <x v="0"/>
    <x v="0"/>
    <x v="0"/>
  </r>
  <r>
    <x v="101"/>
    <x v="91"/>
    <x v="83"/>
    <x v="4"/>
    <x v="4"/>
    <x v="0"/>
    <x v="4"/>
    <x v="4"/>
  </r>
  <r>
    <x v="102"/>
    <x v="92"/>
    <x v="84"/>
    <x v="5"/>
    <x v="5"/>
    <x v="4"/>
    <x v="5"/>
    <x v="17"/>
  </r>
  <r>
    <x v="103"/>
    <x v="93"/>
    <x v="85"/>
    <x v="18"/>
    <x v="18"/>
    <x v="0"/>
    <x v="19"/>
    <x v="92"/>
  </r>
  <r>
    <x v="104"/>
    <x v="94"/>
    <x v="86"/>
    <x v="5"/>
    <x v="5"/>
    <x v="4"/>
    <x v="5"/>
    <x v="17"/>
  </r>
  <r>
    <x v="105"/>
    <x v="95"/>
    <x v="87"/>
    <x v="8"/>
    <x v="28"/>
    <x v="0"/>
    <x v="13"/>
    <x v="25"/>
  </r>
  <r>
    <x v="105"/>
    <x v="95"/>
    <x v="87"/>
    <x v="65"/>
    <x v="72"/>
    <x v="0"/>
    <x v="54"/>
    <x v="76"/>
  </r>
  <r>
    <x v="106"/>
    <x v="96"/>
    <x v="88"/>
    <x v="51"/>
    <x v="53"/>
    <x v="0"/>
    <x v="44"/>
    <x v="98"/>
  </r>
  <r>
    <x v="107"/>
    <x v="97"/>
    <x v="89"/>
    <x v="21"/>
    <x v="22"/>
    <x v="4"/>
    <x v="5"/>
    <x v="17"/>
  </r>
  <r>
    <x v="107"/>
    <x v="97"/>
    <x v="89"/>
    <x v="71"/>
    <x v="87"/>
    <x v="4"/>
    <x v="23"/>
    <x v="30"/>
  </r>
  <r>
    <x v="108"/>
    <x v="98"/>
    <x v="90"/>
    <x v="12"/>
    <x v="13"/>
    <x v="0"/>
    <x v="12"/>
    <x v="20"/>
  </r>
  <r>
    <x v="109"/>
    <x v="99"/>
    <x v="91"/>
    <x v="39"/>
    <x v="11"/>
    <x v="0"/>
    <x v="65"/>
    <x v="99"/>
  </r>
  <r>
    <x v="109"/>
    <x v="99"/>
    <x v="91"/>
    <x v="45"/>
    <x v="23"/>
    <x v="4"/>
    <x v="66"/>
    <x v="100"/>
  </r>
  <r>
    <x v="109"/>
    <x v="99"/>
    <x v="91"/>
    <x v="18"/>
    <x v="47"/>
    <x v="4"/>
    <x v="7"/>
    <x v="7"/>
  </r>
  <r>
    <x v="109"/>
    <x v="99"/>
    <x v="91"/>
    <x v="71"/>
    <x v="88"/>
    <x v="4"/>
    <x v="67"/>
    <x v="101"/>
  </r>
  <r>
    <x v="109"/>
    <x v="99"/>
    <x v="91"/>
    <x v="71"/>
    <x v="87"/>
    <x v="4"/>
    <x v="38"/>
    <x v="102"/>
  </r>
  <r>
    <x v="109"/>
    <x v="99"/>
    <x v="91"/>
    <x v="15"/>
    <x v="15"/>
    <x v="4"/>
    <x v="68"/>
    <x v="103"/>
  </r>
  <r>
    <x v="109"/>
    <x v="99"/>
    <x v="91"/>
    <x v="62"/>
    <x v="69"/>
    <x v="4"/>
    <x v="69"/>
    <x v="104"/>
  </r>
  <r>
    <x v="109"/>
    <x v="99"/>
    <x v="91"/>
    <x v="79"/>
    <x v="89"/>
    <x v="2"/>
    <x v="70"/>
    <x v="105"/>
  </r>
  <r>
    <x v="109"/>
    <x v="99"/>
    <x v="91"/>
    <x v="42"/>
    <x v="43"/>
    <x v="2"/>
    <x v="71"/>
    <x v="106"/>
  </r>
  <r>
    <x v="109"/>
    <x v="99"/>
    <x v="91"/>
    <x v="51"/>
    <x v="53"/>
    <x v="3"/>
    <x v="72"/>
    <x v="107"/>
  </r>
  <r>
    <x v="110"/>
    <x v="100"/>
    <x v="91"/>
    <x v="45"/>
    <x v="23"/>
    <x v="4"/>
    <x v="73"/>
    <x v="108"/>
  </r>
  <r>
    <x v="110"/>
    <x v="100"/>
    <x v="91"/>
    <x v="7"/>
    <x v="66"/>
    <x v="4"/>
    <x v="14"/>
    <x v="14"/>
  </r>
  <r>
    <x v="110"/>
    <x v="100"/>
    <x v="91"/>
    <x v="8"/>
    <x v="90"/>
    <x v="4"/>
    <x v="7"/>
    <x v="7"/>
  </r>
  <r>
    <x v="110"/>
    <x v="100"/>
    <x v="91"/>
    <x v="80"/>
    <x v="91"/>
    <x v="4"/>
    <x v="5"/>
    <x v="17"/>
  </r>
  <r>
    <x v="110"/>
    <x v="100"/>
    <x v="91"/>
    <x v="14"/>
    <x v="14"/>
    <x v="0"/>
    <x v="7"/>
    <x v="7"/>
  </r>
  <r>
    <x v="111"/>
    <x v="101"/>
    <x v="91"/>
    <x v="0"/>
    <x v="0"/>
    <x v="0"/>
    <x v="0"/>
    <x v="0"/>
  </r>
  <r>
    <x v="112"/>
    <x v="59"/>
    <x v="91"/>
    <x v="6"/>
    <x v="11"/>
    <x v="0"/>
    <x v="74"/>
    <x v="109"/>
  </r>
  <r>
    <x v="112"/>
    <x v="59"/>
    <x v="91"/>
    <x v="81"/>
    <x v="92"/>
    <x v="8"/>
    <x v="75"/>
    <x v="110"/>
  </r>
  <r>
    <x v="113"/>
    <x v="102"/>
    <x v="92"/>
    <x v="18"/>
    <x v="18"/>
    <x v="4"/>
    <x v="19"/>
    <x v="37"/>
  </r>
  <r>
    <x v="113"/>
    <x v="102"/>
    <x v="92"/>
    <x v="7"/>
    <x v="21"/>
    <x v="0"/>
    <x v="14"/>
    <x v="41"/>
  </r>
  <r>
    <x v="113"/>
    <x v="102"/>
    <x v="92"/>
    <x v="14"/>
    <x v="14"/>
    <x v="0"/>
    <x v="13"/>
    <x v="25"/>
  </r>
  <r>
    <x v="114"/>
    <x v="103"/>
    <x v="93"/>
    <x v="82"/>
    <x v="93"/>
    <x v="0"/>
    <x v="7"/>
    <x v="7"/>
  </r>
  <r>
    <x v="114"/>
    <x v="103"/>
    <x v="93"/>
    <x v="83"/>
    <x v="94"/>
    <x v="0"/>
    <x v="7"/>
    <x v="7"/>
  </r>
  <r>
    <x v="115"/>
    <x v="104"/>
    <x v="93"/>
    <x v="6"/>
    <x v="11"/>
    <x v="0"/>
    <x v="76"/>
    <x v="111"/>
  </r>
  <r>
    <x v="115"/>
    <x v="104"/>
    <x v="93"/>
    <x v="84"/>
    <x v="95"/>
    <x v="2"/>
    <x v="68"/>
    <x v="112"/>
  </r>
  <r>
    <x v="115"/>
    <x v="104"/>
    <x v="93"/>
    <x v="58"/>
    <x v="63"/>
    <x v="1"/>
    <x v="38"/>
    <x v="113"/>
  </r>
  <r>
    <x v="115"/>
    <x v="104"/>
    <x v="93"/>
    <x v="85"/>
    <x v="96"/>
    <x v="7"/>
    <x v="77"/>
    <x v="114"/>
  </r>
  <r>
    <x v="115"/>
    <x v="104"/>
    <x v="93"/>
    <x v="62"/>
    <x v="69"/>
    <x v="4"/>
    <x v="69"/>
    <x v="104"/>
  </r>
  <r>
    <x v="115"/>
    <x v="104"/>
    <x v="93"/>
    <x v="31"/>
    <x v="97"/>
    <x v="3"/>
    <x v="75"/>
    <x v="115"/>
  </r>
  <r>
    <x v="115"/>
    <x v="104"/>
    <x v="93"/>
    <x v="86"/>
    <x v="98"/>
    <x v="10"/>
    <x v="7"/>
    <x v="7"/>
  </r>
  <r>
    <x v="115"/>
    <x v="104"/>
    <x v="93"/>
    <x v="87"/>
    <x v="99"/>
    <x v="10"/>
    <x v="78"/>
    <x v="116"/>
  </r>
  <r>
    <x v="116"/>
    <x v="105"/>
    <x v="93"/>
    <x v="17"/>
    <x v="100"/>
    <x v="5"/>
    <x v="79"/>
    <x v="117"/>
  </r>
  <r>
    <x v="116"/>
    <x v="105"/>
    <x v="93"/>
    <x v="18"/>
    <x v="101"/>
    <x v="5"/>
    <x v="7"/>
    <x v="7"/>
  </r>
  <r>
    <x v="116"/>
    <x v="105"/>
    <x v="93"/>
    <x v="19"/>
    <x v="102"/>
    <x v="5"/>
    <x v="7"/>
    <x v="7"/>
  </r>
  <r>
    <x v="116"/>
    <x v="105"/>
    <x v="93"/>
    <x v="76"/>
    <x v="103"/>
    <x v="5"/>
    <x v="52"/>
    <x v="118"/>
  </r>
  <r>
    <x v="116"/>
    <x v="105"/>
    <x v="93"/>
    <x v="63"/>
    <x v="104"/>
    <x v="7"/>
    <x v="19"/>
    <x v="21"/>
  </r>
  <r>
    <x v="116"/>
    <x v="105"/>
    <x v="93"/>
    <x v="26"/>
    <x v="105"/>
    <x v="1"/>
    <x v="22"/>
    <x v="119"/>
  </r>
  <r>
    <x v="116"/>
    <x v="105"/>
    <x v="93"/>
    <x v="8"/>
    <x v="106"/>
    <x v="12"/>
    <x v="80"/>
    <x v="120"/>
  </r>
  <r>
    <x v="117"/>
    <x v="104"/>
    <x v="93"/>
    <x v="41"/>
    <x v="107"/>
    <x v="0"/>
    <x v="7"/>
    <x v="7"/>
  </r>
  <r>
    <x v="118"/>
    <x v="106"/>
    <x v="93"/>
    <x v="6"/>
    <x v="11"/>
    <x v="0"/>
    <x v="81"/>
    <x v="121"/>
  </r>
  <r>
    <x v="118"/>
    <x v="106"/>
    <x v="93"/>
    <x v="0"/>
    <x v="0"/>
    <x v="4"/>
    <x v="82"/>
    <x v="122"/>
  </r>
  <r>
    <x v="119"/>
    <x v="107"/>
    <x v="94"/>
    <x v="2"/>
    <x v="2"/>
    <x v="0"/>
    <x v="2"/>
    <x v="2"/>
  </r>
  <r>
    <x v="119"/>
    <x v="107"/>
    <x v="94"/>
    <x v="5"/>
    <x v="5"/>
    <x v="0"/>
    <x v="21"/>
    <x v="23"/>
  </r>
  <r>
    <x v="120"/>
    <x v="108"/>
    <x v="95"/>
    <x v="33"/>
    <x v="35"/>
    <x v="0"/>
    <x v="55"/>
    <x v="123"/>
  </r>
  <r>
    <x v="121"/>
    <x v="109"/>
    <x v="96"/>
    <x v="4"/>
    <x v="4"/>
    <x v="4"/>
    <x v="4"/>
    <x v="124"/>
  </r>
  <r>
    <x v="122"/>
    <x v="110"/>
    <x v="97"/>
    <x v="5"/>
    <x v="5"/>
    <x v="4"/>
    <x v="5"/>
    <x v="17"/>
  </r>
  <r>
    <x v="123"/>
    <x v="111"/>
    <x v="98"/>
    <x v="17"/>
    <x v="17"/>
    <x v="0"/>
    <x v="16"/>
    <x v="125"/>
  </r>
  <r>
    <x v="123"/>
    <x v="111"/>
    <x v="98"/>
    <x v="18"/>
    <x v="18"/>
    <x v="0"/>
    <x v="7"/>
    <x v="7"/>
  </r>
  <r>
    <x v="123"/>
    <x v="111"/>
    <x v="98"/>
    <x v="19"/>
    <x v="19"/>
    <x v="0"/>
    <x v="7"/>
    <x v="7"/>
  </r>
  <r>
    <x v="123"/>
    <x v="111"/>
    <x v="98"/>
    <x v="20"/>
    <x v="20"/>
    <x v="0"/>
    <x v="7"/>
    <x v="7"/>
  </r>
  <r>
    <x v="123"/>
    <x v="111"/>
    <x v="98"/>
    <x v="7"/>
    <x v="21"/>
    <x v="0"/>
    <x v="7"/>
    <x v="7"/>
  </r>
  <r>
    <x v="123"/>
    <x v="111"/>
    <x v="98"/>
    <x v="5"/>
    <x v="5"/>
    <x v="4"/>
    <x v="5"/>
    <x v="17"/>
  </r>
  <r>
    <x v="124"/>
    <x v="112"/>
    <x v="99"/>
    <x v="13"/>
    <x v="0"/>
    <x v="0"/>
    <x v="12"/>
    <x v="20"/>
  </r>
  <r>
    <x v="125"/>
    <x v="30"/>
    <x v="100"/>
    <x v="88"/>
    <x v="108"/>
    <x v="4"/>
    <x v="83"/>
    <x v="126"/>
  </r>
  <r>
    <x v="125"/>
    <x v="30"/>
    <x v="100"/>
    <x v="18"/>
    <x v="47"/>
    <x v="4"/>
    <x v="7"/>
    <x v="7"/>
  </r>
  <r>
    <x v="125"/>
    <x v="30"/>
    <x v="100"/>
    <x v="19"/>
    <x v="109"/>
    <x v="4"/>
    <x v="7"/>
    <x v="7"/>
  </r>
  <r>
    <x v="125"/>
    <x v="30"/>
    <x v="100"/>
    <x v="29"/>
    <x v="31"/>
    <x v="4"/>
    <x v="32"/>
    <x v="44"/>
  </r>
  <r>
    <x v="125"/>
    <x v="30"/>
    <x v="100"/>
    <x v="20"/>
    <x v="67"/>
    <x v="4"/>
    <x v="7"/>
    <x v="7"/>
  </r>
  <r>
    <x v="125"/>
    <x v="30"/>
    <x v="100"/>
    <x v="80"/>
    <x v="91"/>
    <x v="0"/>
    <x v="58"/>
    <x v="127"/>
  </r>
  <r>
    <x v="126"/>
    <x v="7"/>
    <x v="100"/>
    <x v="89"/>
    <x v="110"/>
    <x v="1"/>
    <x v="7"/>
    <x v="7"/>
  </r>
  <r>
    <x v="127"/>
    <x v="113"/>
    <x v="101"/>
    <x v="5"/>
    <x v="5"/>
    <x v="0"/>
    <x v="5"/>
    <x v="5"/>
  </r>
  <r>
    <x v="128"/>
    <x v="114"/>
    <x v="102"/>
    <x v="51"/>
    <x v="53"/>
    <x v="0"/>
    <x v="44"/>
    <x v="98"/>
  </r>
  <r>
    <x v="129"/>
    <x v="115"/>
    <x v="103"/>
    <x v="39"/>
    <x v="11"/>
    <x v="0"/>
    <x v="84"/>
    <x v="128"/>
  </r>
  <r>
    <x v="129"/>
    <x v="115"/>
    <x v="103"/>
    <x v="26"/>
    <x v="27"/>
    <x v="7"/>
    <x v="85"/>
    <x v="129"/>
  </r>
  <r>
    <x v="130"/>
    <x v="116"/>
    <x v="103"/>
    <x v="74"/>
    <x v="82"/>
    <x v="4"/>
    <x v="86"/>
    <x v="130"/>
  </r>
  <r>
    <x v="130"/>
    <x v="116"/>
    <x v="103"/>
    <x v="18"/>
    <x v="47"/>
    <x v="4"/>
    <x v="7"/>
    <x v="7"/>
  </r>
  <r>
    <x v="130"/>
    <x v="116"/>
    <x v="103"/>
    <x v="7"/>
    <x v="66"/>
    <x v="2"/>
    <x v="7"/>
    <x v="7"/>
  </r>
  <r>
    <x v="130"/>
    <x v="116"/>
    <x v="103"/>
    <x v="8"/>
    <x v="83"/>
    <x v="2"/>
    <x v="7"/>
    <x v="7"/>
  </r>
  <r>
    <x v="130"/>
    <x v="116"/>
    <x v="103"/>
    <x v="17"/>
    <x v="17"/>
    <x v="4"/>
    <x v="16"/>
    <x v="16"/>
  </r>
  <r>
    <x v="130"/>
    <x v="116"/>
    <x v="103"/>
    <x v="18"/>
    <x v="47"/>
    <x v="4"/>
    <x v="7"/>
    <x v="7"/>
  </r>
  <r>
    <x v="130"/>
    <x v="116"/>
    <x v="103"/>
    <x v="19"/>
    <x v="109"/>
    <x v="4"/>
    <x v="7"/>
    <x v="7"/>
  </r>
  <r>
    <x v="130"/>
    <x v="116"/>
    <x v="103"/>
    <x v="29"/>
    <x v="111"/>
    <x v="4"/>
    <x v="87"/>
    <x v="131"/>
  </r>
  <r>
    <x v="130"/>
    <x v="116"/>
    <x v="103"/>
    <x v="8"/>
    <x v="83"/>
    <x v="4"/>
    <x v="7"/>
    <x v="7"/>
  </r>
  <r>
    <x v="130"/>
    <x v="116"/>
    <x v="103"/>
    <x v="16"/>
    <x v="16"/>
    <x v="0"/>
    <x v="88"/>
    <x v="132"/>
  </r>
  <r>
    <x v="130"/>
    <x v="116"/>
    <x v="103"/>
    <x v="25"/>
    <x v="26"/>
    <x v="4"/>
    <x v="89"/>
    <x v="133"/>
  </r>
  <r>
    <x v="130"/>
    <x v="116"/>
    <x v="103"/>
    <x v="43"/>
    <x v="112"/>
    <x v="3"/>
    <x v="7"/>
    <x v="7"/>
  </r>
  <r>
    <x v="131"/>
    <x v="117"/>
    <x v="103"/>
    <x v="6"/>
    <x v="11"/>
    <x v="0"/>
    <x v="90"/>
    <x v="134"/>
  </r>
  <r>
    <x v="131"/>
    <x v="117"/>
    <x v="103"/>
    <x v="90"/>
    <x v="113"/>
    <x v="0"/>
    <x v="91"/>
    <x v="135"/>
  </r>
  <r>
    <x v="131"/>
    <x v="117"/>
    <x v="103"/>
    <x v="91"/>
    <x v="114"/>
    <x v="0"/>
    <x v="92"/>
    <x v="136"/>
  </r>
  <r>
    <x v="132"/>
    <x v="118"/>
    <x v="104"/>
    <x v="64"/>
    <x v="71"/>
    <x v="0"/>
    <x v="5"/>
    <x v="5"/>
  </r>
  <r>
    <x v="133"/>
    <x v="119"/>
    <x v="105"/>
    <x v="63"/>
    <x v="70"/>
    <x v="0"/>
    <x v="19"/>
    <x v="92"/>
  </r>
  <r>
    <x v="133"/>
    <x v="119"/>
    <x v="105"/>
    <x v="19"/>
    <x v="19"/>
    <x v="0"/>
    <x v="34"/>
    <x v="49"/>
  </r>
  <r>
    <x v="134"/>
    <x v="120"/>
    <x v="106"/>
    <x v="0"/>
    <x v="0"/>
    <x v="0"/>
    <x v="0"/>
    <x v="0"/>
  </r>
  <r>
    <x v="134"/>
    <x v="120"/>
    <x v="106"/>
    <x v="5"/>
    <x v="5"/>
    <x v="4"/>
    <x v="21"/>
    <x v="79"/>
  </r>
  <r>
    <x v="135"/>
    <x v="121"/>
    <x v="107"/>
    <x v="5"/>
    <x v="5"/>
    <x v="3"/>
    <x v="5"/>
    <x v="63"/>
  </r>
  <r>
    <x v="136"/>
    <x v="122"/>
    <x v="108"/>
    <x v="64"/>
    <x v="71"/>
    <x v="0"/>
    <x v="5"/>
    <x v="5"/>
  </r>
  <r>
    <x v="137"/>
    <x v="123"/>
    <x v="109"/>
    <x v="14"/>
    <x v="14"/>
    <x v="4"/>
    <x v="13"/>
    <x v="29"/>
  </r>
  <r>
    <x v="138"/>
    <x v="104"/>
    <x v="110"/>
    <x v="6"/>
    <x v="11"/>
    <x v="0"/>
    <x v="93"/>
    <x v="137"/>
  </r>
  <r>
    <x v="138"/>
    <x v="104"/>
    <x v="110"/>
    <x v="0"/>
    <x v="0"/>
    <x v="4"/>
    <x v="82"/>
    <x v="122"/>
  </r>
  <r>
    <x v="139"/>
    <x v="124"/>
    <x v="110"/>
    <x v="18"/>
    <x v="18"/>
    <x v="13"/>
    <x v="94"/>
    <x v="138"/>
  </r>
  <r>
    <x v="140"/>
    <x v="12"/>
    <x v="111"/>
    <x v="3"/>
    <x v="3"/>
    <x v="4"/>
    <x v="3"/>
    <x v="28"/>
  </r>
  <r>
    <x v="141"/>
    <x v="125"/>
    <x v="112"/>
    <x v="0"/>
    <x v="0"/>
    <x v="0"/>
    <x v="0"/>
    <x v="0"/>
  </r>
  <r>
    <x v="141"/>
    <x v="125"/>
    <x v="112"/>
    <x v="33"/>
    <x v="35"/>
    <x v="0"/>
    <x v="55"/>
    <x v="123"/>
  </r>
  <r>
    <x v="141"/>
    <x v="125"/>
    <x v="112"/>
    <x v="25"/>
    <x v="26"/>
    <x v="0"/>
    <x v="20"/>
    <x v="22"/>
  </r>
  <r>
    <x v="141"/>
    <x v="125"/>
    <x v="112"/>
    <x v="14"/>
    <x v="14"/>
    <x v="0"/>
    <x v="13"/>
    <x v="25"/>
  </r>
  <r>
    <x v="142"/>
    <x v="126"/>
    <x v="113"/>
    <x v="18"/>
    <x v="18"/>
    <x v="0"/>
    <x v="19"/>
    <x v="92"/>
  </r>
  <r>
    <x v="143"/>
    <x v="127"/>
    <x v="114"/>
    <x v="22"/>
    <x v="23"/>
    <x v="0"/>
    <x v="17"/>
    <x v="24"/>
  </r>
  <r>
    <x v="143"/>
    <x v="127"/>
    <x v="114"/>
    <x v="7"/>
    <x v="21"/>
    <x v="0"/>
    <x v="7"/>
    <x v="7"/>
  </r>
  <r>
    <x v="143"/>
    <x v="127"/>
    <x v="114"/>
    <x v="18"/>
    <x v="18"/>
    <x v="0"/>
    <x v="7"/>
    <x v="7"/>
  </r>
  <r>
    <x v="143"/>
    <x v="127"/>
    <x v="114"/>
    <x v="20"/>
    <x v="20"/>
    <x v="0"/>
    <x v="7"/>
    <x v="7"/>
  </r>
  <r>
    <x v="143"/>
    <x v="127"/>
    <x v="114"/>
    <x v="25"/>
    <x v="26"/>
    <x v="4"/>
    <x v="20"/>
    <x v="61"/>
  </r>
  <r>
    <x v="144"/>
    <x v="128"/>
    <x v="115"/>
    <x v="25"/>
    <x v="26"/>
    <x v="0"/>
    <x v="20"/>
    <x v="22"/>
  </r>
  <r>
    <x v="145"/>
    <x v="129"/>
    <x v="116"/>
    <x v="13"/>
    <x v="0"/>
    <x v="0"/>
    <x v="12"/>
    <x v="20"/>
  </r>
  <r>
    <x v="146"/>
    <x v="130"/>
    <x v="117"/>
    <x v="92"/>
    <x v="115"/>
    <x v="4"/>
    <x v="3"/>
    <x v="28"/>
  </r>
  <r>
    <x v="146"/>
    <x v="130"/>
    <x v="117"/>
    <x v="93"/>
    <x v="116"/>
    <x v="4"/>
    <x v="54"/>
    <x v="139"/>
  </r>
  <r>
    <x v="147"/>
    <x v="131"/>
    <x v="117"/>
    <x v="6"/>
    <x v="11"/>
    <x v="0"/>
    <x v="95"/>
    <x v="140"/>
  </r>
  <r>
    <x v="147"/>
    <x v="131"/>
    <x v="117"/>
    <x v="94"/>
    <x v="117"/>
    <x v="12"/>
    <x v="7"/>
    <x v="7"/>
  </r>
  <r>
    <x v="147"/>
    <x v="131"/>
    <x v="117"/>
    <x v="1"/>
    <x v="1"/>
    <x v="14"/>
    <x v="7"/>
    <x v="7"/>
  </r>
  <r>
    <x v="147"/>
    <x v="131"/>
    <x v="117"/>
    <x v="95"/>
    <x v="118"/>
    <x v="3"/>
    <x v="38"/>
    <x v="53"/>
  </r>
  <r>
    <x v="148"/>
    <x v="132"/>
    <x v="117"/>
    <x v="96"/>
    <x v="119"/>
    <x v="2"/>
    <x v="96"/>
    <x v="141"/>
  </r>
  <r>
    <x v="148"/>
    <x v="132"/>
    <x v="117"/>
    <x v="43"/>
    <x v="44"/>
    <x v="2"/>
    <x v="97"/>
    <x v="142"/>
  </r>
  <r>
    <x v="149"/>
    <x v="133"/>
    <x v="117"/>
    <x v="6"/>
    <x v="11"/>
    <x v="0"/>
    <x v="98"/>
    <x v="143"/>
  </r>
  <r>
    <x v="149"/>
    <x v="133"/>
    <x v="117"/>
    <x v="16"/>
    <x v="16"/>
    <x v="0"/>
    <x v="15"/>
    <x v="15"/>
  </r>
  <r>
    <x v="149"/>
    <x v="133"/>
    <x v="117"/>
    <x v="14"/>
    <x v="14"/>
    <x v="1"/>
    <x v="13"/>
    <x v="144"/>
  </r>
  <r>
    <x v="149"/>
    <x v="133"/>
    <x v="117"/>
    <x v="8"/>
    <x v="28"/>
    <x v="3"/>
    <x v="13"/>
    <x v="145"/>
  </r>
  <r>
    <x v="150"/>
    <x v="103"/>
    <x v="117"/>
    <x v="50"/>
    <x v="120"/>
    <x v="0"/>
    <x v="7"/>
    <x v="7"/>
  </r>
  <r>
    <x v="151"/>
    <x v="134"/>
    <x v="118"/>
    <x v="18"/>
    <x v="18"/>
    <x v="4"/>
    <x v="19"/>
    <x v="37"/>
  </r>
  <r>
    <x v="151"/>
    <x v="134"/>
    <x v="118"/>
    <x v="93"/>
    <x v="116"/>
    <x v="0"/>
    <x v="54"/>
    <x v="76"/>
  </r>
  <r>
    <x v="152"/>
    <x v="135"/>
    <x v="119"/>
    <x v="30"/>
    <x v="32"/>
    <x v="0"/>
    <x v="63"/>
    <x v="146"/>
  </r>
  <r>
    <x v="152"/>
    <x v="135"/>
    <x v="119"/>
    <x v="75"/>
    <x v="84"/>
    <x v="0"/>
    <x v="7"/>
    <x v="7"/>
  </r>
  <r>
    <x v="152"/>
    <x v="135"/>
    <x v="119"/>
    <x v="7"/>
    <x v="21"/>
    <x v="0"/>
    <x v="14"/>
    <x v="41"/>
  </r>
  <r>
    <x v="153"/>
    <x v="136"/>
    <x v="120"/>
    <x v="8"/>
    <x v="28"/>
    <x v="0"/>
    <x v="13"/>
    <x v="25"/>
  </r>
  <r>
    <x v="154"/>
    <x v="30"/>
    <x v="121"/>
    <x v="88"/>
    <x v="108"/>
    <x v="4"/>
    <x v="83"/>
    <x v="126"/>
  </r>
  <r>
    <x v="154"/>
    <x v="30"/>
    <x v="121"/>
    <x v="29"/>
    <x v="31"/>
    <x v="4"/>
    <x v="32"/>
    <x v="44"/>
  </r>
  <r>
    <x v="154"/>
    <x v="30"/>
    <x v="121"/>
    <x v="80"/>
    <x v="91"/>
    <x v="0"/>
    <x v="58"/>
    <x v="127"/>
  </r>
  <r>
    <x v="155"/>
    <x v="7"/>
    <x v="121"/>
    <x v="39"/>
    <x v="11"/>
    <x v="0"/>
    <x v="33"/>
    <x v="45"/>
  </r>
  <r>
    <x v="155"/>
    <x v="7"/>
    <x v="121"/>
    <x v="97"/>
    <x v="121"/>
    <x v="4"/>
    <x v="99"/>
    <x v="147"/>
  </r>
  <r>
    <x v="155"/>
    <x v="7"/>
    <x v="121"/>
    <x v="76"/>
    <x v="85"/>
    <x v="4"/>
    <x v="100"/>
    <x v="148"/>
  </r>
  <r>
    <x v="155"/>
    <x v="7"/>
    <x v="121"/>
    <x v="98"/>
    <x v="122"/>
    <x v="4"/>
    <x v="101"/>
    <x v="149"/>
  </r>
  <r>
    <x v="155"/>
    <x v="7"/>
    <x v="121"/>
    <x v="99"/>
    <x v="123"/>
    <x v="3"/>
    <x v="102"/>
    <x v="150"/>
  </r>
  <r>
    <x v="156"/>
    <x v="137"/>
    <x v="121"/>
    <x v="39"/>
    <x v="11"/>
    <x v="0"/>
    <x v="103"/>
    <x v="151"/>
  </r>
  <r>
    <x v="156"/>
    <x v="137"/>
    <x v="121"/>
    <x v="91"/>
    <x v="124"/>
    <x v="4"/>
    <x v="104"/>
    <x v="152"/>
  </r>
  <r>
    <x v="156"/>
    <x v="137"/>
    <x v="121"/>
    <x v="62"/>
    <x v="69"/>
    <x v="4"/>
    <x v="53"/>
    <x v="74"/>
  </r>
  <r>
    <x v="156"/>
    <x v="137"/>
    <x v="121"/>
    <x v="79"/>
    <x v="125"/>
    <x v="4"/>
    <x v="44"/>
    <x v="60"/>
  </r>
  <r>
    <x v="156"/>
    <x v="137"/>
    <x v="121"/>
    <x v="7"/>
    <x v="21"/>
    <x v="3"/>
    <x v="14"/>
    <x v="153"/>
  </r>
  <r>
    <x v="156"/>
    <x v="137"/>
    <x v="121"/>
    <x v="12"/>
    <x v="13"/>
    <x v="0"/>
    <x v="12"/>
    <x v="20"/>
  </r>
  <r>
    <x v="157"/>
    <x v="138"/>
    <x v="121"/>
    <x v="100"/>
    <x v="126"/>
    <x v="0"/>
    <x v="7"/>
    <x v="7"/>
  </r>
  <r>
    <x v="158"/>
    <x v="139"/>
    <x v="122"/>
    <x v="51"/>
    <x v="53"/>
    <x v="0"/>
    <x v="44"/>
    <x v="98"/>
  </r>
  <r>
    <x v="159"/>
    <x v="140"/>
    <x v="123"/>
    <x v="3"/>
    <x v="3"/>
    <x v="0"/>
    <x v="3"/>
    <x v="3"/>
  </r>
  <r>
    <x v="160"/>
    <x v="141"/>
    <x v="124"/>
    <x v="13"/>
    <x v="0"/>
    <x v="0"/>
    <x v="12"/>
    <x v="20"/>
  </r>
  <r>
    <x v="161"/>
    <x v="142"/>
    <x v="125"/>
    <x v="51"/>
    <x v="53"/>
    <x v="0"/>
    <x v="44"/>
    <x v="98"/>
  </r>
  <r>
    <x v="162"/>
    <x v="143"/>
    <x v="126"/>
    <x v="5"/>
    <x v="5"/>
    <x v="4"/>
    <x v="5"/>
    <x v="17"/>
  </r>
  <r>
    <x v="163"/>
    <x v="144"/>
    <x v="127"/>
    <x v="13"/>
    <x v="0"/>
    <x v="0"/>
    <x v="12"/>
    <x v="20"/>
  </r>
  <r>
    <x v="164"/>
    <x v="145"/>
    <x v="128"/>
    <x v="13"/>
    <x v="0"/>
    <x v="0"/>
    <x v="12"/>
    <x v="20"/>
  </r>
  <r>
    <x v="164"/>
    <x v="145"/>
    <x v="128"/>
    <x v="14"/>
    <x v="14"/>
    <x v="0"/>
    <x v="13"/>
    <x v="25"/>
  </r>
  <r>
    <x v="164"/>
    <x v="145"/>
    <x v="128"/>
    <x v="1"/>
    <x v="1"/>
    <x v="3"/>
    <x v="1"/>
    <x v="154"/>
  </r>
  <r>
    <x v="164"/>
    <x v="145"/>
    <x v="128"/>
    <x v="77"/>
    <x v="86"/>
    <x v="0"/>
    <x v="24"/>
    <x v="31"/>
  </r>
  <r>
    <x v="164"/>
    <x v="145"/>
    <x v="128"/>
    <x v="8"/>
    <x v="28"/>
    <x v="0"/>
    <x v="13"/>
    <x v="25"/>
  </r>
  <r>
    <x v="165"/>
    <x v="146"/>
    <x v="129"/>
    <x v="2"/>
    <x v="2"/>
    <x v="0"/>
    <x v="2"/>
    <x v="2"/>
  </r>
  <r>
    <x v="166"/>
    <x v="147"/>
    <x v="130"/>
    <x v="5"/>
    <x v="5"/>
    <x v="0"/>
    <x v="5"/>
    <x v="5"/>
  </r>
  <r>
    <x v="166"/>
    <x v="147"/>
    <x v="130"/>
    <x v="0"/>
    <x v="0"/>
    <x v="0"/>
    <x v="0"/>
    <x v="0"/>
  </r>
  <r>
    <x v="167"/>
    <x v="148"/>
    <x v="131"/>
    <x v="30"/>
    <x v="32"/>
    <x v="15"/>
    <x v="63"/>
    <x v="155"/>
  </r>
  <r>
    <x v="167"/>
    <x v="148"/>
    <x v="131"/>
    <x v="75"/>
    <x v="84"/>
    <x v="15"/>
    <x v="7"/>
    <x v="7"/>
  </r>
  <r>
    <x v="168"/>
    <x v="149"/>
    <x v="132"/>
    <x v="38"/>
    <x v="40"/>
    <x v="3"/>
    <x v="34"/>
    <x v="156"/>
  </r>
  <r>
    <x v="169"/>
    <x v="149"/>
    <x v="132"/>
    <x v="101"/>
    <x v="127"/>
    <x v="0"/>
    <x v="7"/>
    <x v="7"/>
  </r>
  <r>
    <x v="170"/>
    <x v="150"/>
    <x v="133"/>
    <x v="0"/>
    <x v="0"/>
    <x v="4"/>
    <x v="0"/>
    <x v="65"/>
  </r>
  <r>
    <x v="171"/>
    <x v="151"/>
    <x v="134"/>
    <x v="0"/>
    <x v="0"/>
    <x v="0"/>
    <x v="0"/>
    <x v="0"/>
  </r>
  <r>
    <x v="172"/>
    <x v="152"/>
    <x v="135"/>
    <x v="0"/>
    <x v="0"/>
    <x v="0"/>
    <x v="0"/>
    <x v="0"/>
  </r>
  <r>
    <x v="173"/>
    <x v="153"/>
    <x v="136"/>
    <x v="0"/>
    <x v="0"/>
    <x v="0"/>
    <x v="105"/>
    <x v="157"/>
  </r>
  <r>
    <x v="174"/>
    <x v="154"/>
    <x v="137"/>
    <x v="0"/>
    <x v="0"/>
    <x v="4"/>
    <x v="0"/>
    <x v="65"/>
  </r>
  <r>
    <x v="175"/>
    <x v="151"/>
    <x v="138"/>
    <x v="5"/>
    <x v="5"/>
    <x v="4"/>
    <x v="21"/>
    <x v="79"/>
  </r>
  <r>
    <x v="176"/>
    <x v="155"/>
    <x v="138"/>
    <x v="16"/>
    <x v="16"/>
    <x v="0"/>
    <x v="15"/>
    <x v="15"/>
  </r>
  <r>
    <x v="176"/>
    <x v="155"/>
    <x v="138"/>
    <x v="102"/>
    <x v="128"/>
    <x v="2"/>
    <x v="7"/>
    <x v="7"/>
  </r>
  <r>
    <x v="176"/>
    <x v="155"/>
    <x v="138"/>
    <x v="103"/>
    <x v="129"/>
    <x v="2"/>
    <x v="7"/>
    <x v="7"/>
  </r>
  <r>
    <x v="176"/>
    <x v="155"/>
    <x v="138"/>
    <x v="104"/>
    <x v="130"/>
    <x v="2"/>
    <x v="7"/>
    <x v="7"/>
  </r>
  <r>
    <x v="177"/>
    <x v="7"/>
    <x v="138"/>
    <x v="45"/>
    <x v="23"/>
    <x v="4"/>
    <x v="66"/>
    <x v="100"/>
  </r>
  <r>
    <x v="177"/>
    <x v="7"/>
    <x v="138"/>
    <x v="18"/>
    <x v="47"/>
    <x v="4"/>
    <x v="7"/>
    <x v="7"/>
  </r>
  <r>
    <x v="177"/>
    <x v="7"/>
    <x v="138"/>
    <x v="97"/>
    <x v="121"/>
    <x v="4"/>
    <x v="83"/>
    <x v="126"/>
  </r>
  <r>
    <x v="177"/>
    <x v="7"/>
    <x v="138"/>
    <x v="18"/>
    <x v="47"/>
    <x v="4"/>
    <x v="7"/>
    <x v="7"/>
  </r>
  <r>
    <x v="177"/>
    <x v="7"/>
    <x v="138"/>
    <x v="12"/>
    <x v="13"/>
    <x v="0"/>
    <x v="11"/>
    <x v="11"/>
  </r>
  <r>
    <x v="177"/>
    <x v="7"/>
    <x v="138"/>
    <x v="37"/>
    <x v="39"/>
    <x v="0"/>
    <x v="106"/>
    <x v="158"/>
  </r>
  <r>
    <x v="177"/>
    <x v="7"/>
    <x v="138"/>
    <x v="5"/>
    <x v="5"/>
    <x v="3"/>
    <x v="58"/>
    <x v="26"/>
  </r>
  <r>
    <x v="177"/>
    <x v="7"/>
    <x v="138"/>
    <x v="77"/>
    <x v="86"/>
    <x v="3"/>
    <x v="57"/>
    <x v="101"/>
  </r>
  <r>
    <x v="177"/>
    <x v="7"/>
    <x v="138"/>
    <x v="60"/>
    <x v="131"/>
    <x v="4"/>
    <x v="7"/>
    <x v="7"/>
  </r>
  <r>
    <x v="177"/>
    <x v="7"/>
    <x v="138"/>
    <x v="8"/>
    <x v="132"/>
    <x v="3"/>
    <x v="7"/>
    <x v="7"/>
  </r>
  <r>
    <x v="177"/>
    <x v="7"/>
    <x v="138"/>
    <x v="68"/>
    <x v="75"/>
    <x v="0"/>
    <x v="59"/>
    <x v="159"/>
  </r>
  <r>
    <x v="177"/>
    <x v="7"/>
    <x v="138"/>
    <x v="105"/>
    <x v="133"/>
    <x v="6"/>
    <x v="7"/>
    <x v="7"/>
  </r>
  <r>
    <x v="177"/>
    <x v="7"/>
    <x v="138"/>
    <x v="70"/>
    <x v="77"/>
    <x v="0"/>
    <x v="7"/>
    <x v="7"/>
  </r>
  <r>
    <x v="178"/>
    <x v="156"/>
    <x v="138"/>
    <x v="6"/>
    <x v="11"/>
    <x v="0"/>
    <x v="107"/>
    <x v="160"/>
  </r>
  <r>
    <x v="178"/>
    <x v="156"/>
    <x v="138"/>
    <x v="62"/>
    <x v="69"/>
    <x v="4"/>
    <x v="69"/>
    <x v="104"/>
  </r>
  <r>
    <x v="178"/>
    <x v="156"/>
    <x v="138"/>
    <x v="106"/>
    <x v="134"/>
    <x v="2"/>
    <x v="108"/>
    <x v="161"/>
  </r>
  <r>
    <x v="178"/>
    <x v="156"/>
    <x v="138"/>
    <x v="107"/>
    <x v="135"/>
    <x v="7"/>
    <x v="68"/>
    <x v="162"/>
  </r>
  <r>
    <x v="178"/>
    <x v="156"/>
    <x v="138"/>
    <x v="29"/>
    <x v="136"/>
    <x v="6"/>
    <x v="32"/>
    <x v="163"/>
  </r>
  <r>
    <x v="178"/>
    <x v="156"/>
    <x v="138"/>
    <x v="3"/>
    <x v="3"/>
    <x v="3"/>
    <x v="109"/>
    <x v="164"/>
  </r>
  <r>
    <x v="179"/>
    <x v="157"/>
    <x v="139"/>
    <x v="18"/>
    <x v="18"/>
    <x v="0"/>
    <x v="19"/>
    <x v="92"/>
  </r>
  <r>
    <x v="180"/>
    <x v="158"/>
    <x v="140"/>
    <x v="2"/>
    <x v="2"/>
    <x v="0"/>
    <x v="2"/>
    <x v="2"/>
  </r>
  <r>
    <x v="180"/>
    <x v="158"/>
    <x v="140"/>
    <x v="4"/>
    <x v="4"/>
    <x v="0"/>
    <x v="4"/>
    <x v="4"/>
  </r>
  <r>
    <x v="181"/>
    <x v="159"/>
    <x v="141"/>
    <x v="12"/>
    <x v="13"/>
    <x v="0"/>
    <x v="12"/>
    <x v="20"/>
  </r>
  <r>
    <x v="182"/>
    <x v="160"/>
    <x v="142"/>
    <x v="22"/>
    <x v="23"/>
    <x v="4"/>
    <x v="17"/>
    <x v="34"/>
  </r>
  <r>
    <x v="182"/>
    <x v="160"/>
    <x v="142"/>
    <x v="7"/>
    <x v="21"/>
    <x v="4"/>
    <x v="7"/>
    <x v="7"/>
  </r>
  <r>
    <x v="182"/>
    <x v="160"/>
    <x v="142"/>
    <x v="18"/>
    <x v="18"/>
    <x v="4"/>
    <x v="7"/>
    <x v="7"/>
  </r>
  <r>
    <x v="182"/>
    <x v="160"/>
    <x v="142"/>
    <x v="20"/>
    <x v="20"/>
    <x v="4"/>
    <x v="7"/>
    <x v="7"/>
  </r>
  <r>
    <x v="182"/>
    <x v="160"/>
    <x v="142"/>
    <x v="25"/>
    <x v="26"/>
    <x v="1"/>
    <x v="20"/>
    <x v="62"/>
  </r>
  <r>
    <x v="183"/>
    <x v="161"/>
    <x v="143"/>
    <x v="108"/>
    <x v="137"/>
    <x v="3"/>
    <x v="110"/>
    <x v="165"/>
  </r>
  <r>
    <x v="184"/>
    <x v="162"/>
    <x v="144"/>
    <x v="109"/>
    <x v="138"/>
    <x v="0"/>
    <x v="54"/>
    <x v="76"/>
  </r>
  <r>
    <x v="185"/>
    <x v="163"/>
    <x v="145"/>
    <x v="25"/>
    <x v="26"/>
    <x v="4"/>
    <x v="20"/>
    <x v="61"/>
  </r>
  <r>
    <x v="186"/>
    <x v="164"/>
    <x v="146"/>
    <x v="44"/>
    <x v="45"/>
    <x v="0"/>
    <x v="35"/>
    <x v="50"/>
  </r>
  <r>
    <x v="187"/>
    <x v="140"/>
    <x v="147"/>
    <x v="2"/>
    <x v="2"/>
    <x v="0"/>
    <x v="2"/>
    <x v="2"/>
  </r>
  <r>
    <x v="188"/>
    <x v="165"/>
    <x v="148"/>
    <x v="63"/>
    <x v="70"/>
    <x v="4"/>
    <x v="19"/>
    <x v="37"/>
  </r>
  <r>
    <x v="189"/>
    <x v="166"/>
    <x v="149"/>
    <x v="44"/>
    <x v="45"/>
    <x v="0"/>
    <x v="35"/>
    <x v="50"/>
  </r>
  <r>
    <x v="190"/>
    <x v="103"/>
    <x v="150"/>
    <x v="110"/>
    <x v="11"/>
    <x v="0"/>
    <x v="111"/>
    <x v="166"/>
  </r>
  <r>
    <x v="190"/>
    <x v="103"/>
    <x v="150"/>
    <x v="39"/>
    <x v="11"/>
    <x v="0"/>
    <x v="112"/>
    <x v="167"/>
  </r>
  <r>
    <x v="190"/>
    <x v="103"/>
    <x v="150"/>
    <x v="111"/>
    <x v="139"/>
    <x v="7"/>
    <x v="77"/>
    <x v="114"/>
  </r>
  <r>
    <x v="190"/>
    <x v="103"/>
    <x v="150"/>
    <x v="31"/>
    <x v="140"/>
    <x v="7"/>
    <x v="7"/>
    <x v="7"/>
  </r>
  <r>
    <x v="191"/>
    <x v="138"/>
    <x v="150"/>
    <x v="107"/>
    <x v="141"/>
    <x v="0"/>
    <x v="46"/>
    <x v="67"/>
  </r>
  <r>
    <x v="191"/>
    <x v="138"/>
    <x v="150"/>
    <x v="18"/>
    <x v="18"/>
    <x v="4"/>
    <x v="19"/>
    <x v="37"/>
  </r>
  <r>
    <x v="192"/>
    <x v="162"/>
    <x v="151"/>
    <x v="19"/>
    <x v="19"/>
    <x v="4"/>
    <x v="34"/>
    <x v="75"/>
  </r>
  <r>
    <x v="193"/>
    <x v="167"/>
    <x v="152"/>
    <x v="112"/>
    <x v="142"/>
    <x v="0"/>
    <x v="55"/>
    <x v="123"/>
  </r>
  <r>
    <x v="193"/>
    <x v="167"/>
    <x v="152"/>
    <x v="19"/>
    <x v="19"/>
    <x v="0"/>
    <x v="34"/>
    <x v="49"/>
  </r>
  <r>
    <x v="193"/>
    <x v="167"/>
    <x v="152"/>
    <x v="43"/>
    <x v="44"/>
    <x v="0"/>
    <x v="34"/>
    <x v="49"/>
  </r>
  <r>
    <x v="193"/>
    <x v="167"/>
    <x v="152"/>
    <x v="42"/>
    <x v="43"/>
    <x v="0"/>
    <x v="34"/>
    <x v="49"/>
  </r>
  <r>
    <x v="194"/>
    <x v="168"/>
    <x v="153"/>
    <x v="16"/>
    <x v="16"/>
    <x v="0"/>
    <x v="15"/>
    <x v="15"/>
  </r>
  <r>
    <x v="195"/>
    <x v="169"/>
    <x v="154"/>
    <x v="51"/>
    <x v="53"/>
    <x v="0"/>
    <x v="44"/>
    <x v="98"/>
  </r>
  <r>
    <x v="196"/>
    <x v="170"/>
    <x v="155"/>
    <x v="39"/>
    <x v="11"/>
    <x v="0"/>
    <x v="113"/>
    <x v="168"/>
  </r>
  <r>
    <x v="196"/>
    <x v="170"/>
    <x v="155"/>
    <x v="88"/>
    <x v="108"/>
    <x v="7"/>
    <x v="114"/>
    <x v="169"/>
  </r>
  <r>
    <x v="196"/>
    <x v="170"/>
    <x v="155"/>
    <x v="7"/>
    <x v="66"/>
    <x v="7"/>
    <x v="7"/>
    <x v="7"/>
  </r>
  <r>
    <x v="196"/>
    <x v="170"/>
    <x v="155"/>
    <x v="7"/>
    <x v="143"/>
    <x v="0"/>
    <x v="115"/>
    <x v="170"/>
  </r>
  <r>
    <x v="196"/>
    <x v="170"/>
    <x v="155"/>
    <x v="18"/>
    <x v="47"/>
    <x v="7"/>
    <x v="7"/>
    <x v="7"/>
  </r>
  <r>
    <x v="196"/>
    <x v="170"/>
    <x v="155"/>
    <x v="19"/>
    <x v="109"/>
    <x v="7"/>
    <x v="7"/>
    <x v="7"/>
  </r>
  <r>
    <x v="196"/>
    <x v="170"/>
    <x v="155"/>
    <x v="76"/>
    <x v="85"/>
    <x v="7"/>
    <x v="116"/>
    <x v="171"/>
  </r>
  <r>
    <x v="196"/>
    <x v="170"/>
    <x v="155"/>
    <x v="68"/>
    <x v="75"/>
    <x v="0"/>
    <x v="59"/>
    <x v="159"/>
  </r>
  <r>
    <x v="196"/>
    <x v="170"/>
    <x v="155"/>
    <x v="105"/>
    <x v="144"/>
    <x v="6"/>
    <x v="7"/>
    <x v="7"/>
  </r>
  <r>
    <x v="196"/>
    <x v="170"/>
    <x v="155"/>
    <x v="70"/>
    <x v="77"/>
    <x v="0"/>
    <x v="7"/>
    <x v="7"/>
  </r>
  <r>
    <x v="197"/>
    <x v="171"/>
    <x v="155"/>
    <x v="6"/>
    <x v="11"/>
    <x v="0"/>
    <x v="117"/>
    <x v="172"/>
  </r>
  <r>
    <x v="197"/>
    <x v="171"/>
    <x v="155"/>
    <x v="113"/>
    <x v="145"/>
    <x v="0"/>
    <x v="118"/>
    <x v="173"/>
  </r>
  <r>
    <x v="197"/>
    <x v="171"/>
    <x v="155"/>
    <x v="114"/>
    <x v="146"/>
    <x v="0"/>
    <x v="119"/>
    <x v="174"/>
  </r>
  <r>
    <x v="197"/>
    <x v="171"/>
    <x v="155"/>
    <x v="73"/>
    <x v="81"/>
    <x v="0"/>
    <x v="120"/>
    <x v="175"/>
  </r>
  <r>
    <x v="198"/>
    <x v="57"/>
    <x v="155"/>
    <x v="6"/>
    <x v="11"/>
    <x v="0"/>
    <x v="13"/>
    <x v="25"/>
  </r>
  <r>
    <x v="198"/>
    <x v="57"/>
    <x v="155"/>
    <x v="79"/>
    <x v="147"/>
    <x v="0"/>
    <x v="121"/>
    <x v="176"/>
  </r>
  <r>
    <x v="199"/>
    <x v="172"/>
    <x v="156"/>
    <x v="5"/>
    <x v="5"/>
    <x v="6"/>
    <x v="5"/>
    <x v="26"/>
  </r>
  <r>
    <x v="200"/>
    <x v="173"/>
    <x v="157"/>
    <x v="45"/>
    <x v="23"/>
    <x v="4"/>
    <x v="73"/>
    <x v="108"/>
  </r>
  <r>
    <x v="200"/>
    <x v="173"/>
    <x v="157"/>
    <x v="7"/>
    <x v="21"/>
    <x v="4"/>
    <x v="7"/>
    <x v="7"/>
  </r>
  <r>
    <x v="200"/>
    <x v="173"/>
    <x v="157"/>
    <x v="18"/>
    <x v="18"/>
    <x v="4"/>
    <x v="7"/>
    <x v="7"/>
  </r>
  <r>
    <x v="200"/>
    <x v="173"/>
    <x v="157"/>
    <x v="20"/>
    <x v="20"/>
    <x v="4"/>
    <x v="7"/>
    <x v="7"/>
  </r>
  <r>
    <x v="200"/>
    <x v="173"/>
    <x v="157"/>
    <x v="12"/>
    <x v="13"/>
    <x v="0"/>
    <x v="12"/>
    <x v="20"/>
  </r>
  <r>
    <x v="201"/>
    <x v="174"/>
    <x v="158"/>
    <x v="5"/>
    <x v="5"/>
    <x v="0"/>
    <x v="5"/>
    <x v="5"/>
  </r>
  <r>
    <x v="201"/>
    <x v="174"/>
    <x v="158"/>
    <x v="71"/>
    <x v="87"/>
    <x v="0"/>
    <x v="23"/>
    <x v="177"/>
  </r>
  <r>
    <x v="201"/>
    <x v="174"/>
    <x v="158"/>
    <x v="8"/>
    <x v="28"/>
    <x v="0"/>
    <x v="13"/>
    <x v="25"/>
  </r>
  <r>
    <x v="202"/>
    <x v="175"/>
    <x v="159"/>
    <x v="21"/>
    <x v="22"/>
    <x v="4"/>
    <x v="5"/>
    <x v="17"/>
  </r>
  <r>
    <x v="203"/>
    <x v="176"/>
    <x v="159"/>
    <x v="6"/>
    <x v="11"/>
    <x v="0"/>
    <x v="122"/>
    <x v="178"/>
  </r>
  <r>
    <x v="203"/>
    <x v="176"/>
    <x v="159"/>
    <x v="18"/>
    <x v="148"/>
    <x v="16"/>
    <x v="75"/>
    <x v="179"/>
  </r>
  <r>
    <x v="204"/>
    <x v="177"/>
    <x v="160"/>
    <x v="2"/>
    <x v="2"/>
    <x v="0"/>
    <x v="2"/>
    <x v="2"/>
  </r>
  <r>
    <x v="205"/>
    <x v="150"/>
    <x v="161"/>
    <x v="65"/>
    <x v="72"/>
    <x v="4"/>
    <x v="54"/>
    <x v="139"/>
  </r>
  <r>
    <x v="206"/>
    <x v="178"/>
    <x v="162"/>
    <x v="7"/>
    <x v="21"/>
    <x v="0"/>
    <x v="14"/>
    <x v="41"/>
  </r>
  <r>
    <x v="207"/>
    <x v="179"/>
    <x v="163"/>
    <x v="0"/>
    <x v="0"/>
    <x v="0"/>
    <x v="0"/>
    <x v="0"/>
  </r>
  <r>
    <x v="208"/>
    <x v="180"/>
    <x v="164"/>
    <x v="5"/>
    <x v="5"/>
    <x v="0"/>
    <x v="5"/>
    <x v="5"/>
  </r>
  <r>
    <x v="209"/>
    <x v="181"/>
    <x v="165"/>
    <x v="2"/>
    <x v="2"/>
    <x v="0"/>
    <x v="2"/>
    <x v="2"/>
  </r>
  <r>
    <x v="210"/>
    <x v="182"/>
    <x v="166"/>
    <x v="13"/>
    <x v="0"/>
    <x v="0"/>
    <x v="12"/>
    <x v="20"/>
  </r>
  <r>
    <x v="210"/>
    <x v="182"/>
    <x v="166"/>
    <x v="25"/>
    <x v="26"/>
    <x v="0"/>
    <x v="20"/>
    <x v="22"/>
  </r>
  <r>
    <x v="211"/>
    <x v="183"/>
    <x v="167"/>
    <x v="50"/>
    <x v="149"/>
    <x v="0"/>
    <x v="123"/>
    <x v="180"/>
  </r>
  <r>
    <x v="212"/>
    <x v="176"/>
    <x v="167"/>
    <x v="89"/>
    <x v="110"/>
    <x v="6"/>
    <x v="7"/>
    <x v="7"/>
  </r>
  <r>
    <x v="213"/>
    <x v="184"/>
    <x v="168"/>
    <x v="13"/>
    <x v="0"/>
    <x v="0"/>
    <x v="12"/>
    <x v="20"/>
  </r>
  <r>
    <x v="214"/>
    <x v="149"/>
    <x v="169"/>
    <x v="37"/>
    <x v="39"/>
    <x v="0"/>
    <x v="30"/>
    <x v="42"/>
  </r>
  <r>
    <x v="214"/>
    <x v="149"/>
    <x v="169"/>
    <x v="115"/>
    <x v="150"/>
    <x v="4"/>
    <x v="7"/>
    <x v="7"/>
  </r>
  <r>
    <x v="215"/>
    <x v="103"/>
    <x v="169"/>
    <x v="6"/>
    <x v="11"/>
    <x v="0"/>
    <x v="124"/>
    <x v="181"/>
  </r>
  <r>
    <x v="215"/>
    <x v="103"/>
    <x v="169"/>
    <x v="37"/>
    <x v="39"/>
    <x v="0"/>
    <x v="106"/>
    <x v="158"/>
  </r>
</pivotCacheRecords>
</file>

<file path=xl/pivotCache/pivotCacheRecords5.xml><?xml version="1.0" encoding="utf-8"?>
<pivotCacheRecords xmlns:r="http://schemas.openxmlformats.org/officeDocument/2006/relationships" xmlns="http://schemas.openxmlformats.org/spreadsheetml/2006/main" count="496">
  <r>
    <x v="0"/>
    <x v="0"/>
    <x v="0"/>
  </r>
  <r>
    <x v="1"/>
    <x v="1"/>
    <x v="1"/>
  </r>
  <r>
    <x v="0"/>
    <x v="0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2"/>
  </r>
  <r>
    <x v="8"/>
    <x v="8"/>
    <x v="2"/>
  </r>
  <r>
    <x v="9"/>
    <x v="9"/>
    <x v="3"/>
  </r>
  <r>
    <x v="10"/>
    <x v="10"/>
    <x v="4"/>
  </r>
  <r>
    <x v="6"/>
    <x v="11"/>
    <x v="0"/>
  </r>
  <r>
    <x v="11"/>
    <x v="12"/>
    <x v="0"/>
  </r>
  <r>
    <x v="6"/>
    <x v="11"/>
    <x v="0"/>
  </r>
  <r>
    <x v="12"/>
    <x v="13"/>
    <x v="0"/>
  </r>
  <r>
    <x v="13"/>
    <x v="0"/>
    <x v="4"/>
  </r>
  <r>
    <x v="14"/>
    <x v="14"/>
    <x v="5"/>
  </r>
  <r>
    <x v="15"/>
    <x v="15"/>
    <x v="4"/>
  </r>
  <r>
    <x v="16"/>
    <x v="16"/>
    <x v="0"/>
  </r>
  <r>
    <x v="17"/>
    <x v="17"/>
    <x v="4"/>
  </r>
  <r>
    <x v="18"/>
    <x v="18"/>
    <x v="4"/>
  </r>
  <r>
    <x v="19"/>
    <x v="19"/>
    <x v="4"/>
  </r>
  <r>
    <x v="20"/>
    <x v="20"/>
    <x v="4"/>
  </r>
  <r>
    <x v="7"/>
    <x v="21"/>
    <x v="4"/>
  </r>
  <r>
    <x v="21"/>
    <x v="22"/>
    <x v="4"/>
  </r>
  <r>
    <x v="3"/>
    <x v="3"/>
    <x v="0"/>
  </r>
  <r>
    <x v="22"/>
    <x v="23"/>
    <x v="6"/>
  </r>
  <r>
    <x v="7"/>
    <x v="21"/>
    <x v="6"/>
  </r>
  <r>
    <x v="23"/>
    <x v="24"/>
    <x v="6"/>
  </r>
  <r>
    <x v="18"/>
    <x v="18"/>
    <x v="6"/>
  </r>
  <r>
    <x v="20"/>
    <x v="20"/>
    <x v="6"/>
  </r>
  <r>
    <x v="12"/>
    <x v="13"/>
    <x v="0"/>
  </r>
  <r>
    <x v="24"/>
    <x v="25"/>
    <x v="7"/>
  </r>
  <r>
    <x v="5"/>
    <x v="5"/>
    <x v="4"/>
  </r>
  <r>
    <x v="25"/>
    <x v="26"/>
    <x v="0"/>
  </r>
  <r>
    <x v="0"/>
    <x v="0"/>
    <x v="0"/>
  </r>
  <r>
    <x v="5"/>
    <x v="5"/>
    <x v="0"/>
  </r>
  <r>
    <x v="0"/>
    <x v="0"/>
    <x v="0"/>
  </r>
  <r>
    <x v="22"/>
    <x v="23"/>
    <x v="0"/>
  </r>
  <r>
    <x v="7"/>
    <x v="21"/>
    <x v="0"/>
  </r>
  <r>
    <x v="18"/>
    <x v="18"/>
    <x v="0"/>
  </r>
  <r>
    <x v="20"/>
    <x v="20"/>
    <x v="0"/>
  </r>
  <r>
    <x v="14"/>
    <x v="14"/>
    <x v="0"/>
  </r>
  <r>
    <x v="5"/>
    <x v="5"/>
    <x v="6"/>
  </r>
  <r>
    <x v="12"/>
    <x v="13"/>
    <x v="0"/>
  </r>
  <r>
    <x v="4"/>
    <x v="4"/>
    <x v="0"/>
  </r>
  <r>
    <x v="5"/>
    <x v="5"/>
    <x v="0"/>
  </r>
  <r>
    <x v="26"/>
    <x v="27"/>
    <x v="3"/>
  </r>
  <r>
    <x v="5"/>
    <x v="5"/>
    <x v="4"/>
  </r>
  <r>
    <x v="3"/>
    <x v="3"/>
    <x v="4"/>
  </r>
  <r>
    <x v="8"/>
    <x v="28"/>
    <x v="4"/>
  </r>
  <r>
    <x v="27"/>
    <x v="29"/>
    <x v="4"/>
  </r>
  <r>
    <x v="28"/>
    <x v="30"/>
    <x v="0"/>
  </r>
  <r>
    <x v="25"/>
    <x v="26"/>
    <x v="8"/>
  </r>
  <r>
    <x v="24"/>
    <x v="25"/>
    <x v="3"/>
  </r>
  <r>
    <x v="22"/>
    <x v="23"/>
    <x v="4"/>
  </r>
  <r>
    <x v="29"/>
    <x v="31"/>
    <x v="4"/>
  </r>
  <r>
    <x v="18"/>
    <x v="18"/>
    <x v="4"/>
  </r>
  <r>
    <x v="20"/>
    <x v="20"/>
    <x v="4"/>
  </r>
  <r>
    <x v="4"/>
    <x v="4"/>
    <x v="0"/>
  </r>
  <r>
    <x v="30"/>
    <x v="32"/>
    <x v="4"/>
  </r>
  <r>
    <x v="31"/>
    <x v="33"/>
    <x v="4"/>
  </r>
  <r>
    <x v="32"/>
    <x v="34"/>
    <x v="4"/>
  </r>
  <r>
    <x v="33"/>
    <x v="35"/>
    <x v="6"/>
  </r>
  <r>
    <x v="34"/>
    <x v="36"/>
    <x v="0"/>
  </r>
  <r>
    <x v="12"/>
    <x v="13"/>
    <x v="0"/>
  </r>
  <r>
    <x v="35"/>
    <x v="37"/>
    <x v="0"/>
  </r>
  <r>
    <x v="36"/>
    <x v="38"/>
    <x v="0"/>
  </r>
  <r>
    <x v="37"/>
    <x v="39"/>
    <x v="0"/>
  </r>
  <r>
    <x v="38"/>
    <x v="40"/>
    <x v="3"/>
  </r>
  <r>
    <x v="39"/>
    <x v="11"/>
    <x v="0"/>
  </r>
  <r>
    <x v="29"/>
    <x v="31"/>
    <x v="4"/>
  </r>
  <r>
    <x v="40"/>
    <x v="41"/>
    <x v="0"/>
  </r>
  <r>
    <x v="41"/>
    <x v="42"/>
    <x v="0"/>
  </r>
  <r>
    <x v="0"/>
    <x v="0"/>
    <x v="0"/>
  </r>
  <r>
    <x v="0"/>
    <x v="0"/>
    <x v="0"/>
  </r>
  <r>
    <x v="22"/>
    <x v="23"/>
    <x v="3"/>
  </r>
  <r>
    <x v="7"/>
    <x v="21"/>
    <x v="3"/>
  </r>
  <r>
    <x v="23"/>
    <x v="24"/>
    <x v="3"/>
  </r>
  <r>
    <x v="18"/>
    <x v="18"/>
    <x v="3"/>
  </r>
  <r>
    <x v="20"/>
    <x v="20"/>
    <x v="3"/>
  </r>
  <r>
    <x v="16"/>
    <x v="16"/>
    <x v="0"/>
  </r>
  <r>
    <x v="25"/>
    <x v="26"/>
    <x v="0"/>
  </r>
  <r>
    <x v="42"/>
    <x v="43"/>
    <x v="6"/>
  </r>
  <r>
    <x v="43"/>
    <x v="44"/>
    <x v="0"/>
  </r>
  <r>
    <x v="7"/>
    <x v="21"/>
    <x v="0"/>
  </r>
  <r>
    <x v="44"/>
    <x v="45"/>
    <x v="0"/>
  </r>
  <r>
    <x v="22"/>
    <x v="23"/>
    <x v="4"/>
  </r>
  <r>
    <x v="7"/>
    <x v="21"/>
    <x v="4"/>
  </r>
  <r>
    <x v="18"/>
    <x v="18"/>
    <x v="4"/>
  </r>
  <r>
    <x v="20"/>
    <x v="20"/>
    <x v="4"/>
  </r>
  <r>
    <x v="13"/>
    <x v="0"/>
    <x v="0"/>
  </r>
  <r>
    <x v="13"/>
    <x v="0"/>
    <x v="0"/>
  </r>
  <r>
    <x v="6"/>
    <x v="11"/>
    <x v="0"/>
  </r>
  <r>
    <x v="45"/>
    <x v="46"/>
    <x v="7"/>
  </r>
  <r>
    <x v="18"/>
    <x v="47"/>
    <x v="7"/>
  </r>
  <r>
    <x v="46"/>
    <x v="48"/>
    <x v="3"/>
  </r>
  <r>
    <x v="47"/>
    <x v="49"/>
    <x v="0"/>
  </r>
  <r>
    <x v="48"/>
    <x v="50"/>
    <x v="2"/>
  </r>
  <r>
    <x v="6"/>
    <x v="11"/>
    <x v="0"/>
  </r>
  <r>
    <x v="49"/>
    <x v="51"/>
    <x v="6"/>
  </r>
  <r>
    <x v="16"/>
    <x v="16"/>
    <x v="4"/>
  </r>
  <r>
    <x v="37"/>
    <x v="39"/>
    <x v="0"/>
  </r>
  <r>
    <x v="50"/>
    <x v="52"/>
    <x v="0"/>
  </r>
  <r>
    <x v="6"/>
    <x v="11"/>
    <x v="0"/>
  </r>
  <r>
    <x v="4"/>
    <x v="4"/>
    <x v="4"/>
  </r>
  <r>
    <x v="2"/>
    <x v="2"/>
    <x v="0"/>
  </r>
  <r>
    <x v="51"/>
    <x v="53"/>
    <x v="4"/>
  </r>
  <r>
    <x v="25"/>
    <x v="26"/>
    <x v="4"/>
  </r>
  <r>
    <x v="8"/>
    <x v="28"/>
    <x v="0"/>
  </r>
  <r>
    <x v="14"/>
    <x v="14"/>
    <x v="0"/>
  </r>
  <r>
    <x v="12"/>
    <x v="13"/>
    <x v="4"/>
  </r>
  <r>
    <x v="25"/>
    <x v="26"/>
    <x v="1"/>
  </r>
  <r>
    <x v="5"/>
    <x v="5"/>
    <x v="3"/>
  </r>
  <r>
    <x v="13"/>
    <x v="0"/>
    <x v="0"/>
  </r>
  <r>
    <x v="2"/>
    <x v="2"/>
    <x v="4"/>
  </r>
  <r>
    <x v="13"/>
    <x v="0"/>
    <x v="0"/>
  </r>
  <r>
    <x v="5"/>
    <x v="5"/>
    <x v="0"/>
  </r>
  <r>
    <x v="0"/>
    <x v="0"/>
    <x v="4"/>
  </r>
  <r>
    <x v="3"/>
    <x v="3"/>
    <x v="0"/>
  </r>
  <r>
    <x v="8"/>
    <x v="28"/>
    <x v="0"/>
  </r>
  <r>
    <x v="14"/>
    <x v="14"/>
    <x v="0"/>
  </r>
  <r>
    <x v="13"/>
    <x v="0"/>
    <x v="0"/>
  </r>
  <r>
    <x v="0"/>
    <x v="0"/>
    <x v="0"/>
  </r>
  <r>
    <x v="6"/>
    <x v="11"/>
    <x v="0"/>
  </r>
  <r>
    <x v="50"/>
    <x v="54"/>
    <x v="0"/>
  </r>
  <r>
    <x v="52"/>
    <x v="55"/>
    <x v="0"/>
  </r>
  <r>
    <x v="53"/>
    <x v="56"/>
    <x v="0"/>
  </r>
  <r>
    <x v="54"/>
    <x v="57"/>
    <x v="0"/>
  </r>
  <r>
    <x v="41"/>
    <x v="58"/>
    <x v="0"/>
  </r>
  <r>
    <x v="50"/>
    <x v="59"/>
    <x v="9"/>
  </r>
  <r>
    <x v="55"/>
    <x v="60"/>
    <x v="4"/>
  </r>
  <r>
    <x v="56"/>
    <x v="61"/>
    <x v="3"/>
  </r>
  <r>
    <x v="57"/>
    <x v="62"/>
    <x v="0"/>
  </r>
  <r>
    <x v="39"/>
    <x v="11"/>
    <x v="0"/>
  </r>
  <r>
    <x v="58"/>
    <x v="63"/>
    <x v="0"/>
  </r>
  <r>
    <x v="59"/>
    <x v="64"/>
    <x v="0"/>
  </r>
  <r>
    <x v="60"/>
    <x v="65"/>
    <x v="0"/>
  </r>
  <r>
    <x v="22"/>
    <x v="23"/>
    <x v="3"/>
  </r>
  <r>
    <x v="18"/>
    <x v="47"/>
    <x v="3"/>
  </r>
  <r>
    <x v="7"/>
    <x v="66"/>
    <x v="3"/>
  </r>
  <r>
    <x v="20"/>
    <x v="67"/>
    <x v="3"/>
  </r>
  <r>
    <x v="16"/>
    <x v="16"/>
    <x v="0"/>
  </r>
  <r>
    <x v="6"/>
    <x v="11"/>
    <x v="0"/>
  </r>
  <r>
    <x v="61"/>
    <x v="68"/>
    <x v="4"/>
  </r>
  <r>
    <x v="62"/>
    <x v="69"/>
    <x v="4"/>
  </r>
  <r>
    <x v="43"/>
    <x v="44"/>
    <x v="4"/>
  </r>
  <r>
    <x v="63"/>
    <x v="70"/>
    <x v="4"/>
  </r>
  <r>
    <x v="12"/>
    <x v="13"/>
    <x v="0"/>
  </r>
  <r>
    <x v="12"/>
    <x v="13"/>
    <x v="0"/>
  </r>
  <r>
    <x v="64"/>
    <x v="71"/>
    <x v="0"/>
  </r>
  <r>
    <x v="65"/>
    <x v="72"/>
    <x v="0"/>
  </r>
  <r>
    <x v="33"/>
    <x v="35"/>
    <x v="4"/>
  </r>
  <r>
    <x v="26"/>
    <x v="27"/>
    <x v="6"/>
  </r>
  <r>
    <x v="5"/>
    <x v="5"/>
    <x v="4"/>
  </r>
  <r>
    <x v="8"/>
    <x v="28"/>
    <x v="0"/>
  </r>
  <r>
    <x v="4"/>
    <x v="4"/>
    <x v="0"/>
  </r>
  <r>
    <x v="5"/>
    <x v="5"/>
    <x v="4"/>
  </r>
  <r>
    <x v="0"/>
    <x v="0"/>
    <x v="0"/>
  </r>
  <r>
    <x v="1"/>
    <x v="1"/>
    <x v="6"/>
  </r>
  <r>
    <x v="66"/>
    <x v="11"/>
    <x v="0"/>
  </r>
  <r>
    <x v="0"/>
    <x v="0"/>
    <x v="0"/>
  </r>
  <r>
    <x v="66"/>
    <x v="11"/>
    <x v="0"/>
  </r>
  <r>
    <x v="64"/>
    <x v="71"/>
    <x v="4"/>
  </r>
  <r>
    <x v="66"/>
    <x v="11"/>
    <x v="0"/>
  </r>
  <r>
    <x v="14"/>
    <x v="14"/>
    <x v="7"/>
  </r>
  <r>
    <x v="66"/>
    <x v="11"/>
    <x v="0"/>
  </r>
  <r>
    <x v="33"/>
    <x v="35"/>
    <x v="4"/>
  </r>
  <r>
    <x v="66"/>
    <x v="11"/>
    <x v="0"/>
  </r>
  <r>
    <x v="64"/>
    <x v="71"/>
    <x v="4"/>
  </r>
  <r>
    <x v="5"/>
    <x v="5"/>
    <x v="6"/>
  </r>
  <r>
    <x v="12"/>
    <x v="13"/>
    <x v="0"/>
  </r>
  <r>
    <x v="66"/>
    <x v="11"/>
    <x v="0"/>
  </r>
  <r>
    <x v="14"/>
    <x v="14"/>
    <x v="4"/>
  </r>
  <r>
    <x v="66"/>
    <x v="11"/>
    <x v="0"/>
  </r>
  <r>
    <x v="22"/>
    <x v="23"/>
    <x v="7"/>
  </r>
  <r>
    <x v="7"/>
    <x v="21"/>
    <x v="7"/>
  </r>
  <r>
    <x v="18"/>
    <x v="18"/>
    <x v="7"/>
  </r>
  <r>
    <x v="20"/>
    <x v="20"/>
    <x v="7"/>
  </r>
  <r>
    <x v="37"/>
    <x v="39"/>
    <x v="0"/>
  </r>
  <r>
    <x v="66"/>
    <x v="11"/>
    <x v="0"/>
  </r>
  <r>
    <x v="4"/>
    <x v="4"/>
    <x v="0"/>
  </r>
  <r>
    <x v="66"/>
    <x v="11"/>
    <x v="0"/>
  </r>
  <r>
    <x v="13"/>
    <x v="0"/>
    <x v="0"/>
  </r>
  <r>
    <x v="67"/>
    <x v="73"/>
    <x v="7"/>
  </r>
  <r>
    <x v="18"/>
    <x v="47"/>
    <x v="7"/>
  </r>
  <r>
    <x v="28"/>
    <x v="74"/>
    <x v="10"/>
  </r>
  <r>
    <x v="21"/>
    <x v="22"/>
    <x v="10"/>
  </r>
  <r>
    <x v="68"/>
    <x v="75"/>
    <x v="4"/>
  </r>
  <r>
    <x v="69"/>
    <x v="76"/>
    <x v="4"/>
  </r>
  <r>
    <x v="70"/>
    <x v="77"/>
    <x v="4"/>
  </r>
  <r>
    <x v="39"/>
    <x v="11"/>
    <x v="0"/>
  </r>
  <r>
    <x v="22"/>
    <x v="23"/>
    <x v="3"/>
  </r>
  <r>
    <x v="71"/>
    <x v="78"/>
    <x v="3"/>
  </r>
  <r>
    <x v="23"/>
    <x v="24"/>
    <x v="3"/>
  </r>
  <r>
    <x v="18"/>
    <x v="18"/>
    <x v="3"/>
  </r>
  <r>
    <x v="20"/>
    <x v="79"/>
    <x v="3"/>
  </r>
  <r>
    <x v="66"/>
    <x v="11"/>
    <x v="0"/>
  </r>
  <r>
    <x v="72"/>
    <x v="80"/>
    <x v="0"/>
  </r>
  <r>
    <x v="73"/>
    <x v="81"/>
    <x v="0"/>
  </r>
  <r>
    <x v="39"/>
    <x v="11"/>
    <x v="0"/>
  </r>
  <r>
    <x v="74"/>
    <x v="82"/>
    <x v="7"/>
  </r>
  <r>
    <x v="18"/>
    <x v="47"/>
    <x v="7"/>
  </r>
  <r>
    <x v="7"/>
    <x v="66"/>
    <x v="10"/>
  </r>
  <r>
    <x v="8"/>
    <x v="83"/>
    <x v="10"/>
  </r>
  <r>
    <x v="12"/>
    <x v="13"/>
    <x v="4"/>
  </r>
  <r>
    <x v="30"/>
    <x v="32"/>
    <x v="4"/>
  </r>
  <r>
    <x v="75"/>
    <x v="84"/>
    <x v="4"/>
  </r>
  <r>
    <x v="0"/>
    <x v="0"/>
    <x v="0"/>
  </r>
  <r>
    <x v="2"/>
    <x v="2"/>
    <x v="0"/>
  </r>
  <r>
    <x v="7"/>
    <x v="21"/>
    <x v="0"/>
  </r>
  <r>
    <x v="76"/>
    <x v="85"/>
    <x v="3"/>
  </r>
  <r>
    <x v="18"/>
    <x v="18"/>
    <x v="0"/>
  </r>
  <r>
    <x v="77"/>
    <x v="86"/>
    <x v="4"/>
  </r>
  <r>
    <x v="43"/>
    <x v="44"/>
    <x v="1"/>
  </r>
  <r>
    <x v="63"/>
    <x v="70"/>
    <x v="11"/>
  </r>
  <r>
    <x v="1"/>
    <x v="1"/>
    <x v="12"/>
  </r>
  <r>
    <x v="3"/>
    <x v="3"/>
    <x v="4"/>
  </r>
  <r>
    <x v="3"/>
    <x v="3"/>
    <x v="4"/>
  </r>
  <r>
    <x v="13"/>
    <x v="0"/>
    <x v="0"/>
  </r>
  <r>
    <x v="12"/>
    <x v="13"/>
    <x v="0"/>
  </r>
  <r>
    <x v="13"/>
    <x v="0"/>
    <x v="0"/>
  </r>
  <r>
    <x v="0"/>
    <x v="0"/>
    <x v="0"/>
  </r>
  <r>
    <x v="14"/>
    <x v="14"/>
    <x v="0"/>
  </r>
  <r>
    <x v="8"/>
    <x v="28"/>
    <x v="0"/>
  </r>
  <r>
    <x v="14"/>
    <x v="14"/>
    <x v="0"/>
  </r>
  <r>
    <x v="78"/>
    <x v="11"/>
    <x v="0"/>
  </r>
  <r>
    <x v="2"/>
    <x v="2"/>
    <x v="4"/>
  </r>
  <r>
    <x v="0"/>
    <x v="0"/>
    <x v="0"/>
  </r>
  <r>
    <x v="4"/>
    <x v="4"/>
    <x v="0"/>
  </r>
  <r>
    <x v="5"/>
    <x v="5"/>
    <x v="4"/>
  </r>
  <r>
    <x v="18"/>
    <x v="18"/>
    <x v="0"/>
  </r>
  <r>
    <x v="5"/>
    <x v="5"/>
    <x v="4"/>
  </r>
  <r>
    <x v="8"/>
    <x v="28"/>
    <x v="0"/>
  </r>
  <r>
    <x v="65"/>
    <x v="72"/>
    <x v="0"/>
  </r>
  <r>
    <x v="51"/>
    <x v="53"/>
    <x v="0"/>
  </r>
  <r>
    <x v="21"/>
    <x v="22"/>
    <x v="4"/>
  </r>
  <r>
    <x v="71"/>
    <x v="87"/>
    <x v="4"/>
  </r>
  <r>
    <x v="12"/>
    <x v="13"/>
    <x v="0"/>
  </r>
  <r>
    <x v="39"/>
    <x v="11"/>
    <x v="0"/>
  </r>
  <r>
    <x v="45"/>
    <x v="23"/>
    <x v="4"/>
  </r>
  <r>
    <x v="18"/>
    <x v="47"/>
    <x v="4"/>
  </r>
  <r>
    <x v="71"/>
    <x v="88"/>
    <x v="4"/>
  </r>
  <r>
    <x v="71"/>
    <x v="87"/>
    <x v="4"/>
  </r>
  <r>
    <x v="15"/>
    <x v="15"/>
    <x v="4"/>
  </r>
  <r>
    <x v="62"/>
    <x v="69"/>
    <x v="4"/>
  </r>
  <r>
    <x v="79"/>
    <x v="89"/>
    <x v="2"/>
  </r>
  <r>
    <x v="42"/>
    <x v="43"/>
    <x v="2"/>
  </r>
  <r>
    <x v="51"/>
    <x v="53"/>
    <x v="3"/>
  </r>
  <r>
    <x v="45"/>
    <x v="23"/>
    <x v="4"/>
  </r>
  <r>
    <x v="7"/>
    <x v="66"/>
    <x v="4"/>
  </r>
  <r>
    <x v="8"/>
    <x v="90"/>
    <x v="4"/>
  </r>
  <r>
    <x v="80"/>
    <x v="91"/>
    <x v="4"/>
  </r>
  <r>
    <x v="14"/>
    <x v="14"/>
    <x v="0"/>
  </r>
  <r>
    <x v="0"/>
    <x v="0"/>
    <x v="0"/>
  </r>
  <r>
    <x v="6"/>
    <x v="11"/>
    <x v="0"/>
  </r>
  <r>
    <x v="81"/>
    <x v="92"/>
    <x v="8"/>
  </r>
  <r>
    <x v="18"/>
    <x v="18"/>
    <x v="4"/>
  </r>
  <r>
    <x v="7"/>
    <x v="21"/>
    <x v="0"/>
  </r>
  <r>
    <x v="14"/>
    <x v="14"/>
    <x v="0"/>
  </r>
  <r>
    <x v="82"/>
    <x v="93"/>
    <x v="0"/>
  </r>
  <r>
    <x v="83"/>
    <x v="94"/>
    <x v="0"/>
  </r>
  <r>
    <x v="6"/>
    <x v="11"/>
    <x v="0"/>
  </r>
  <r>
    <x v="84"/>
    <x v="95"/>
    <x v="2"/>
  </r>
  <r>
    <x v="58"/>
    <x v="63"/>
    <x v="1"/>
  </r>
  <r>
    <x v="85"/>
    <x v="96"/>
    <x v="7"/>
  </r>
  <r>
    <x v="62"/>
    <x v="69"/>
    <x v="4"/>
  </r>
  <r>
    <x v="31"/>
    <x v="97"/>
    <x v="3"/>
  </r>
  <r>
    <x v="86"/>
    <x v="98"/>
    <x v="10"/>
  </r>
  <r>
    <x v="87"/>
    <x v="99"/>
    <x v="10"/>
  </r>
  <r>
    <x v="17"/>
    <x v="100"/>
    <x v="5"/>
  </r>
  <r>
    <x v="18"/>
    <x v="101"/>
    <x v="5"/>
  </r>
  <r>
    <x v="19"/>
    <x v="102"/>
    <x v="5"/>
  </r>
  <r>
    <x v="76"/>
    <x v="103"/>
    <x v="5"/>
  </r>
  <r>
    <x v="63"/>
    <x v="104"/>
    <x v="7"/>
  </r>
  <r>
    <x v="26"/>
    <x v="105"/>
    <x v="1"/>
  </r>
  <r>
    <x v="8"/>
    <x v="106"/>
    <x v="12"/>
  </r>
  <r>
    <x v="41"/>
    <x v="107"/>
    <x v="0"/>
  </r>
  <r>
    <x v="6"/>
    <x v="11"/>
    <x v="0"/>
  </r>
  <r>
    <x v="0"/>
    <x v="0"/>
    <x v="4"/>
  </r>
  <r>
    <x v="2"/>
    <x v="2"/>
    <x v="0"/>
  </r>
  <r>
    <x v="5"/>
    <x v="5"/>
    <x v="0"/>
  </r>
  <r>
    <x v="33"/>
    <x v="35"/>
    <x v="0"/>
  </r>
  <r>
    <x v="4"/>
    <x v="4"/>
    <x v="4"/>
  </r>
  <r>
    <x v="5"/>
    <x v="5"/>
    <x v="4"/>
  </r>
  <r>
    <x v="17"/>
    <x v="17"/>
    <x v="0"/>
  </r>
  <r>
    <x v="18"/>
    <x v="18"/>
    <x v="0"/>
  </r>
  <r>
    <x v="19"/>
    <x v="19"/>
    <x v="0"/>
  </r>
  <r>
    <x v="20"/>
    <x v="20"/>
    <x v="0"/>
  </r>
  <r>
    <x v="7"/>
    <x v="21"/>
    <x v="0"/>
  </r>
  <r>
    <x v="5"/>
    <x v="5"/>
    <x v="4"/>
  </r>
  <r>
    <x v="13"/>
    <x v="0"/>
    <x v="0"/>
  </r>
  <r>
    <x v="88"/>
    <x v="108"/>
    <x v="4"/>
  </r>
  <r>
    <x v="18"/>
    <x v="47"/>
    <x v="4"/>
  </r>
  <r>
    <x v="19"/>
    <x v="109"/>
    <x v="4"/>
  </r>
  <r>
    <x v="29"/>
    <x v="31"/>
    <x v="4"/>
  </r>
  <r>
    <x v="20"/>
    <x v="67"/>
    <x v="4"/>
  </r>
  <r>
    <x v="80"/>
    <x v="91"/>
    <x v="0"/>
  </r>
  <r>
    <x v="89"/>
    <x v="110"/>
    <x v="1"/>
  </r>
  <r>
    <x v="5"/>
    <x v="5"/>
    <x v="0"/>
  </r>
  <r>
    <x v="51"/>
    <x v="53"/>
    <x v="0"/>
  </r>
  <r>
    <x v="39"/>
    <x v="11"/>
    <x v="0"/>
  </r>
  <r>
    <x v="26"/>
    <x v="27"/>
    <x v="7"/>
  </r>
  <r>
    <x v="74"/>
    <x v="82"/>
    <x v="4"/>
  </r>
  <r>
    <x v="18"/>
    <x v="47"/>
    <x v="4"/>
  </r>
  <r>
    <x v="7"/>
    <x v="66"/>
    <x v="2"/>
  </r>
  <r>
    <x v="8"/>
    <x v="83"/>
    <x v="2"/>
  </r>
  <r>
    <x v="17"/>
    <x v="17"/>
    <x v="4"/>
  </r>
  <r>
    <x v="18"/>
    <x v="47"/>
    <x v="4"/>
  </r>
  <r>
    <x v="19"/>
    <x v="109"/>
    <x v="4"/>
  </r>
  <r>
    <x v="29"/>
    <x v="111"/>
    <x v="4"/>
  </r>
  <r>
    <x v="8"/>
    <x v="83"/>
    <x v="4"/>
  </r>
  <r>
    <x v="16"/>
    <x v="16"/>
    <x v="0"/>
  </r>
  <r>
    <x v="25"/>
    <x v="26"/>
    <x v="4"/>
  </r>
  <r>
    <x v="43"/>
    <x v="112"/>
    <x v="3"/>
  </r>
  <r>
    <x v="6"/>
    <x v="11"/>
    <x v="0"/>
  </r>
  <r>
    <x v="90"/>
    <x v="113"/>
    <x v="0"/>
  </r>
  <r>
    <x v="91"/>
    <x v="114"/>
    <x v="0"/>
  </r>
  <r>
    <x v="64"/>
    <x v="71"/>
    <x v="0"/>
  </r>
  <r>
    <x v="63"/>
    <x v="70"/>
    <x v="0"/>
  </r>
  <r>
    <x v="19"/>
    <x v="19"/>
    <x v="0"/>
  </r>
  <r>
    <x v="0"/>
    <x v="0"/>
    <x v="0"/>
  </r>
  <r>
    <x v="5"/>
    <x v="5"/>
    <x v="4"/>
  </r>
  <r>
    <x v="5"/>
    <x v="5"/>
    <x v="3"/>
  </r>
  <r>
    <x v="64"/>
    <x v="71"/>
    <x v="0"/>
  </r>
  <r>
    <x v="14"/>
    <x v="14"/>
    <x v="4"/>
  </r>
  <r>
    <x v="6"/>
    <x v="11"/>
    <x v="0"/>
  </r>
  <r>
    <x v="0"/>
    <x v="0"/>
    <x v="4"/>
  </r>
  <r>
    <x v="18"/>
    <x v="18"/>
    <x v="13"/>
  </r>
  <r>
    <x v="3"/>
    <x v="3"/>
    <x v="4"/>
  </r>
  <r>
    <x v="0"/>
    <x v="0"/>
    <x v="0"/>
  </r>
  <r>
    <x v="33"/>
    <x v="35"/>
    <x v="0"/>
  </r>
  <r>
    <x v="25"/>
    <x v="26"/>
    <x v="0"/>
  </r>
  <r>
    <x v="14"/>
    <x v="14"/>
    <x v="0"/>
  </r>
  <r>
    <x v="18"/>
    <x v="18"/>
    <x v="0"/>
  </r>
  <r>
    <x v="22"/>
    <x v="23"/>
    <x v="0"/>
  </r>
  <r>
    <x v="7"/>
    <x v="21"/>
    <x v="0"/>
  </r>
  <r>
    <x v="18"/>
    <x v="18"/>
    <x v="0"/>
  </r>
  <r>
    <x v="20"/>
    <x v="20"/>
    <x v="0"/>
  </r>
  <r>
    <x v="25"/>
    <x v="26"/>
    <x v="4"/>
  </r>
  <r>
    <x v="25"/>
    <x v="26"/>
    <x v="0"/>
  </r>
  <r>
    <x v="13"/>
    <x v="0"/>
    <x v="0"/>
  </r>
  <r>
    <x v="92"/>
    <x v="115"/>
    <x v="4"/>
  </r>
  <r>
    <x v="93"/>
    <x v="116"/>
    <x v="4"/>
  </r>
  <r>
    <x v="6"/>
    <x v="11"/>
    <x v="0"/>
  </r>
  <r>
    <x v="94"/>
    <x v="117"/>
    <x v="12"/>
  </r>
  <r>
    <x v="1"/>
    <x v="1"/>
    <x v="14"/>
  </r>
  <r>
    <x v="95"/>
    <x v="118"/>
    <x v="3"/>
  </r>
  <r>
    <x v="96"/>
    <x v="119"/>
    <x v="2"/>
  </r>
  <r>
    <x v="43"/>
    <x v="44"/>
    <x v="2"/>
  </r>
  <r>
    <x v="6"/>
    <x v="11"/>
    <x v="0"/>
  </r>
  <r>
    <x v="16"/>
    <x v="16"/>
    <x v="0"/>
  </r>
  <r>
    <x v="14"/>
    <x v="14"/>
    <x v="1"/>
  </r>
  <r>
    <x v="8"/>
    <x v="28"/>
    <x v="3"/>
  </r>
  <r>
    <x v="50"/>
    <x v="120"/>
    <x v="0"/>
  </r>
  <r>
    <x v="18"/>
    <x v="18"/>
    <x v="4"/>
  </r>
  <r>
    <x v="93"/>
    <x v="116"/>
    <x v="0"/>
  </r>
  <r>
    <x v="30"/>
    <x v="32"/>
    <x v="0"/>
  </r>
  <r>
    <x v="75"/>
    <x v="84"/>
    <x v="0"/>
  </r>
  <r>
    <x v="7"/>
    <x v="21"/>
    <x v="0"/>
  </r>
  <r>
    <x v="8"/>
    <x v="28"/>
    <x v="0"/>
  </r>
  <r>
    <x v="88"/>
    <x v="108"/>
    <x v="4"/>
  </r>
  <r>
    <x v="29"/>
    <x v="31"/>
    <x v="4"/>
  </r>
  <r>
    <x v="80"/>
    <x v="91"/>
    <x v="0"/>
  </r>
  <r>
    <x v="39"/>
    <x v="11"/>
    <x v="0"/>
  </r>
  <r>
    <x v="97"/>
    <x v="121"/>
    <x v="4"/>
  </r>
  <r>
    <x v="76"/>
    <x v="85"/>
    <x v="4"/>
  </r>
  <r>
    <x v="98"/>
    <x v="122"/>
    <x v="4"/>
  </r>
  <r>
    <x v="99"/>
    <x v="123"/>
    <x v="3"/>
  </r>
  <r>
    <x v="39"/>
    <x v="11"/>
    <x v="0"/>
  </r>
  <r>
    <x v="91"/>
    <x v="124"/>
    <x v="4"/>
  </r>
  <r>
    <x v="62"/>
    <x v="69"/>
    <x v="4"/>
  </r>
  <r>
    <x v="79"/>
    <x v="125"/>
    <x v="4"/>
  </r>
  <r>
    <x v="7"/>
    <x v="21"/>
    <x v="3"/>
  </r>
  <r>
    <x v="12"/>
    <x v="13"/>
    <x v="0"/>
  </r>
  <r>
    <x v="100"/>
    <x v="126"/>
    <x v="0"/>
  </r>
  <r>
    <x v="51"/>
    <x v="53"/>
    <x v="0"/>
  </r>
  <r>
    <x v="3"/>
    <x v="3"/>
    <x v="0"/>
  </r>
  <r>
    <x v="13"/>
    <x v="0"/>
    <x v="0"/>
  </r>
  <r>
    <x v="51"/>
    <x v="53"/>
    <x v="0"/>
  </r>
  <r>
    <x v="5"/>
    <x v="5"/>
    <x v="4"/>
  </r>
  <r>
    <x v="13"/>
    <x v="0"/>
    <x v="0"/>
  </r>
  <r>
    <x v="13"/>
    <x v="0"/>
    <x v="0"/>
  </r>
  <r>
    <x v="14"/>
    <x v="14"/>
    <x v="0"/>
  </r>
  <r>
    <x v="1"/>
    <x v="1"/>
    <x v="3"/>
  </r>
  <r>
    <x v="77"/>
    <x v="86"/>
    <x v="0"/>
  </r>
  <r>
    <x v="8"/>
    <x v="28"/>
    <x v="0"/>
  </r>
  <r>
    <x v="2"/>
    <x v="2"/>
    <x v="0"/>
  </r>
  <r>
    <x v="5"/>
    <x v="5"/>
    <x v="0"/>
  </r>
  <r>
    <x v="0"/>
    <x v="0"/>
    <x v="0"/>
  </r>
  <r>
    <x v="30"/>
    <x v="32"/>
    <x v="15"/>
  </r>
  <r>
    <x v="75"/>
    <x v="84"/>
    <x v="15"/>
  </r>
  <r>
    <x v="38"/>
    <x v="40"/>
    <x v="3"/>
  </r>
  <r>
    <x v="101"/>
    <x v="127"/>
    <x v="0"/>
  </r>
  <r>
    <x v="0"/>
    <x v="0"/>
    <x v="4"/>
  </r>
  <r>
    <x v="0"/>
    <x v="0"/>
    <x v="0"/>
  </r>
  <r>
    <x v="0"/>
    <x v="0"/>
    <x v="0"/>
  </r>
  <r>
    <x v="0"/>
    <x v="0"/>
    <x v="0"/>
  </r>
  <r>
    <x v="0"/>
    <x v="0"/>
    <x v="4"/>
  </r>
  <r>
    <x v="5"/>
    <x v="5"/>
    <x v="4"/>
  </r>
  <r>
    <x v="16"/>
    <x v="16"/>
    <x v="0"/>
  </r>
  <r>
    <x v="102"/>
    <x v="128"/>
    <x v="2"/>
  </r>
  <r>
    <x v="103"/>
    <x v="129"/>
    <x v="2"/>
  </r>
  <r>
    <x v="104"/>
    <x v="130"/>
    <x v="2"/>
  </r>
  <r>
    <x v="45"/>
    <x v="23"/>
    <x v="4"/>
  </r>
  <r>
    <x v="18"/>
    <x v="47"/>
    <x v="4"/>
  </r>
  <r>
    <x v="97"/>
    <x v="121"/>
    <x v="4"/>
  </r>
  <r>
    <x v="18"/>
    <x v="47"/>
    <x v="4"/>
  </r>
  <r>
    <x v="12"/>
    <x v="13"/>
    <x v="0"/>
  </r>
  <r>
    <x v="37"/>
    <x v="39"/>
    <x v="0"/>
  </r>
  <r>
    <x v="5"/>
    <x v="5"/>
    <x v="3"/>
  </r>
  <r>
    <x v="77"/>
    <x v="86"/>
    <x v="3"/>
  </r>
  <r>
    <x v="60"/>
    <x v="131"/>
    <x v="4"/>
  </r>
  <r>
    <x v="8"/>
    <x v="132"/>
    <x v="3"/>
  </r>
  <r>
    <x v="68"/>
    <x v="75"/>
    <x v="0"/>
  </r>
  <r>
    <x v="105"/>
    <x v="133"/>
    <x v="6"/>
  </r>
  <r>
    <x v="70"/>
    <x v="77"/>
    <x v="0"/>
  </r>
  <r>
    <x v="6"/>
    <x v="11"/>
    <x v="0"/>
  </r>
  <r>
    <x v="62"/>
    <x v="69"/>
    <x v="4"/>
  </r>
  <r>
    <x v="106"/>
    <x v="134"/>
    <x v="2"/>
  </r>
  <r>
    <x v="107"/>
    <x v="135"/>
    <x v="7"/>
  </r>
  <r>
    <x v="29"/>
    <x v="136"/>
    <x v="6"/>
  </r>
  <r>
    <x v="3"/>
    <x v="3"/>
    <x v="3"/>
  </r>
  <r>
    <x v="18"/>
    <x v="18"/>
    <x v="0"/>
  </r>
  <r>
    <x v="2"/>
    <x v="2"/>
    <x v="0"/>
  </r>
  <r>
    <x v="4"/>
    <x v="4"/>
    <x v="0"/>
  </r>
  <r>
    <x v="12"/>
    <x v="13"/>
    <x v="0"/>
  </r>
  <r>
    <x v="22"/>
    <x v="23"/>
    <x v="4"/>
  </r>
  <r>
    <x v="7"/>
    <x v="21"/>
    <x v="4"/>
  </r>
  <r>
    <x v="18"/>
    <x v="18"/>
    <x v="4"/>
  </r>
  <r>
    <x v="20"/>
    <x v="20"/>
    <x v="4"/>
  </r>
  <r>
    <x v="25"/>
    <x v="26"/>
    <x v="1"/>
  </r>
  <r>
    <x v="108"/>
    <x v="137"/>
    <x v="3"/>
  </r>
  <r>
    <x v="109"/>
    <x v="138"/>
    <x v="0"/>
  </r>
  <r>
    <x v="25"/>
    <x v="26"/>
    <x v="4"/>
  </r>
  <r>
    <x v="44"/>
    <x v="45"/>
    <x v="0"/>
  </r>
  <r>
    <x v="2"/>
    <x v="2"/>
    <x v="0"/>
  </r>
  <r>
    <x v="63"/>
    <x v="70"/>
    <x v="4"/>
  </r>
  <r>
    <x v="44"/>
    <x v="45"/>
    <x v="0"/>
  </r>
  <r>
    <x v="110"/>
    <x v="11"/>
    <x v="0"/>
  </r>
  <r>
    <x v="39"/>
    <x v="11"/>
    <x v="0"/>
  </r>
  <r>
    <x v="111"/>
    <x v="139"/>
    <x v="7"/>
  </r>
  <r>
    <x v="31"/>
    <x v="140"/>
    <x v="7"/>
  </r>
  <r>
    <x v="107"/>
    <x v="141"/>
    <x v="0"/>
  </r>
  <r>
    <x v="18"/>
    <x v="18"/>
    <x v="4"/>
  </r>
  <r>
    <x v="19"/>
    <x v="19"/>
    <x v="4"/>
  </r>
  <r>
    <x v="112"/>
    <x v="142"/>
    <x v="0"/>
  </r>
  <r>
    <x v="19"/>
    <x v="19"/>
    <x v="0"/>
  </r>
  <r>
    <x v="43"/>
    <x v="44"/>
    <x v="0"/>
  </r>
  <r>
    <x v="42"/>
    <x v="43"/>
    <x v="0"/>
  </r>
  <r>
    <x v="16"/>
    <x v="16"/>
    <x v="0"/>
  </r>
  <r>
    <x v="51"/>
    <x v="53"/>
    <x v="0"/>
  </r>
  <r>
    <x v="39"/>
    <x v="11"/>
    <x v="0"/>
  </r>
  <r>
    <x v="88"/>
    <x v="108"/>
    <x v="7"/>
  </r>
  <r>
    <x v="7"/>
    <x v="66"/>
    <x v="7"/>
  </r>
  <r>
    <x v="7"/>
    <x v="143"/>
    <x v="0"/>
  </r>
  <r>
    <x v="18"/>
    <x v="47"/>
    <x v="7"/>
  </r>
  <r>
    <x v="19"/>
    <x v="109"/>
    <x v="7"/>
  </r>
  <r>
    <x v="76"/>
    <x v="85"/>
    <x v="7"/>
  </r>
  <r>
    <x v="68"/>
    <x v="75"/>
    <x v="0"/>
  </r>
  <r>
    <x v="105"/>
    <x v="144"/>
    <x v="6"/>
  </r>
  <r>
    <x v="70"/>
    <x v="77"/>
    <x v="0"/>
  </r>
  <r>
    <x v="6"/>
    <x v="11"/>
    <x v="0"/>
  </r>
  <r>
    <x v="113"/>
    <x v="145"/>
    <x v="0"/>
  </r>
  <r>
    <x v="114"/>
    <x v="146"/>
    <x v="0"/>
  </r>
  <r>
    <x v="73"/>
    <x v="81"/>
    <x v="0"/>
  </r>
  <r>
    <x v="6"/>
    <x v="11"/>
    <x v="0"/>
  </r>
  <r>
    <x v="79"/>
    <x v="147"/>
    <x v="0"/>
  </r>
  <r>
    <x v="5"/>
    <x v="5"/>
    <x v="6"/>
  </r>
  <r>
    <x v="45"/>
    <x v="23"/>
    <x v="4"/>
  </r>
  <r>
    <x v="7"/>
    <x v="21"/>
    <x v="4"/>
  </r>
  <r>
    <x v="18"/>
    <x v="18"/>
    <x v="4"/>
  </r>
  <r>
    <x v="20"/>
    <x v="20"/>
    <x v="4"/>
  </r>
  <r>
    <x v="12"/>
    <x v="13"/>
    <x v="0"/>
  </r>
  <r>
    <x v="5"/>
    <x v="5"/>
    <x v="0"/>
  </r>
  <r>
    <x v="71"/>
    <x v="87"/>
    <x v="0"/>
  </r>
  <r>
    <x v="8"/>
    <x v="28"/>
    <x v="0"/>
  </r>
  <r>
    <x v="21"/>
    <x v="22"/>
    <x v="4"/>
  </r>
  <r>
    <x v="6"/>
    <x v="11"/>
    <x v="0"/>
  </r>
  <r>
    <x v="18"/>
    <x v="148"/>
    <x v="16"/>
  </r>
  <r>
    <x v="2"/>
    <x v="2"/>
    <x v="0"/>
  </r>
  <r>
    <x v="65"/>
    <x v="72"/>
    <x v="4"/>
  </r>
  <r>
    <x v="7"/>
    <x v="21"/>
    <x v="0"/>
  </r>
  <r>
    <x v="0"/>
    <x v="0"/>
    <x v="0"/>
  </r>
  <r>
    <x v="5"/>
    <x v="5"/>
    <x v="0"/>
  </r>
  <r>
    <x v="2"/>
    <x v="2"/>
    <x v="0"/>
  </r>
  <r>
    <x v="13"/>
    <x v="0"/>
    <x v="0"/>
  </r>
  <r>
    <x v="25"/>
    <x v="26"/>
    <x v="0"/>
  </r>
  <r>
    <x v="50"/>
    <x v="149"/>
    <x v="0"/>
  </r>
  <r>
    <x v="89"/>
    <x v="110"/>
    <x v="6"/>
  </r>
  <r>
    <x v="13"/>
    <x v="0"/>
    <x v="0"/>
  </r>
  <r>
    <x v="37"/>
    <x v="39"/>
    <x v="0"/>
  </r>
  <r>
    <x v="115"/>
    <x v="150"/>
    <x v="4"/>
  </r>
  <r>
    <x v="6"/>
    <x v="11"/>
    <x v="0"/>
  </r>
  <r>
    <x v="37"/>
    <x v="39"/>
    <x v="0"/>
  </r>
</pivotCacheRecords>
</file>

<file path=xl/pivotCache/pivotCacheRecords6.xml><?xml version="1.0" encoding="utf-8"?>
<pivotCacheRecords xmlns:r="http://schemas.openxmlformats.org/officeDocument/2006/relationships" xmlns="http://schemas.openxmlformats.org/spreadsheetml/2006/main" count="496">
  <r>
    <x v="0"/>
    <x v="0"/>
    <x v="0"/>
    <x v="0"/>
    <x v="0"/>
  </r>
  <r>
    <x v="1"/>
    <x v="1"/>
    <x v="1"/>
    <x v="1"/>
    <x v="1"/>
  </r>
  <r>
    <x v="0"/>
    <x v="0"/>
    <x v="0"/>
    <x v="0"/>
    <x v="0"/>
  </r>
  <r>
    <x v="2"/>
    <x v="2"/>
    <x v="0"/>
    <x v="2"/>
    <x v="2"/>
  </r>
  <r>
    <x v="3"/>
    <x v="3"/>
    <x v="0"/>
    <x v="3"/>
    <x v="3"/>
  </r>
  <r>
    <x v="4"/>
    <x v="4"/>
    <x v="0"/>
    <x v="4"/>
    <x v="4"/>
  </r>
  <r>
    <x v="5"/>
    <x v="5"/>
    <x v="0"/>
    <x v="5"/>
    <x v="5"/>
  </r>
  <r>
    <x v="6"/>
    <x v="6"/>
    <x v="0"/>
    <x v="6"/>
    <x v="6"/>
  </r>
  <r>
    <x v="7"/>
    <x v="7"/>
    <x v="2"/>
    <x v="7"/>
    <x v="7"/>
  </r>
  <r>
    <x v="8"/>
    <x v="8"/>
    <x v="2"/>
    <x v="7"/>
    <x v="7"/>
  </r>
  <r>
    <x v="9"/>
    <x v="9"/>
    <x v="3"/>
    <x v="7"/>
    <x v="7"/>
  </r>
  <r>
    <x v="10"/>
    <x v="10"/>
    <x v="4"/>
    <x v="7"/>
    <x v="7"/>
  </r>
  <r>
    <x v="6"/>
    <x v="11"/>
    <x v="0"/>
    <x v="8"/>
    <x v="8"/>
  </r>
  <r>
    <x v="11"/>
    <x v="12"/>
    <x v="0"/>
    <x v="9"/>
    <x v="9"/>
  </r>
  <r>
    <x v="6"/>
    <x v="11"/>
    <x v="0"/>
    <x v="10"/>
    <x v="10"/>
  </r>
  <r>
    <x v="12"/>
    <x v="13"/>
    <x v="0"/>
    <x v="11"/>
    <x v="11"/>
  </r>
  <r>
    <x v="13"/>
    <x v="0"/>
    <x v="4"/>
    <x v="12"/>
    <x v="12"/>
  </r>
  <r>
    <x v="14"/>
    <x v="14"/>
    <x v="5"/>
    <x v="13"/>
    <x v="13"/>
  </r>
  <r>
    <x v="15"/>
    <x v="15"/>
    <x v="4"/>
    <x v="14"/>
    <x v="14"/>
  </r>
  <r>
    <x v="16"/>
    <x v="16"/>
    <x v="0"/>
    <x v="15"/>
    <x v="15"/>
  </r>
  <r>
    <x v="17"/>
    <x v="17"/>
    <x v="4"/>
    <x v="16"/>
    <x v="16"/>
  </r>
  <r>
    <x v="18"/>
    <x v="18"/>
    <x v="4"/>
    <x v="7"/>
    <x v="7"/>
  </r>
  <r>
    <x v="19"/>
    <x v="19"/>
    <x v="4"/>
    <x v="7"/>
    <x v="7"/>
  </r>
  <r>
    <x v="20"/>
    <x v="20"/>
    <x v="4"/>
    <x v="7"/>
    <x v="7"/>
  </r>
  <r>
    <x v="7"/>
    <x v="21"/>
    <x v="4"/>
    <x v="7"/>
    <x v="7"/>
  </r>
  <r>
    <x v="21"/>
    <x v="22"/>
    <x v="4"/>
    <x v="5"/>
    <x v="17"/>
  </r>
  <r>
    <x v="3"/>
    <x v="3"/>
    <x v="0"/>
    <x v="3"/>
    <x v="3"/>
  </r>
  <r>
    <x v="22"/>
    <x v="23"/>
    <x v="6"/>
    <x v="17"/>
    <x v="18"/>
  </r>
  <r>
    <x v="7"/>
    <x v="21"/>
    <x v="6"/>
    <x v="7"/>
    <x v="7"/>
  </r>
  <r>
    <x v="23"/>
    <x v="24"/>
    <x v="6"/>
    <x v="18"/>
    <x v="19"/>
  </r>
  <r>
    <x v="18"/>
    <x v="18"/>
    <x v="6"/>
    <x v="7"/>
    <x v="7"/>
  </r>
  <r>
    <x v="20"/>
    <x v="20"/>
    <x v="6"/>
    <x v="7"/>
    <x v="7"/>
  </r>
  <r>
    <x v="12"/>
    <x v="13"/>
    <x v="0"/>
    <x v="12"/>
    <x v="20"/>
  </r>
  <r>
    <x v="24"/>
    <x v="25"/>
    <x v="7"/>
    <x v="19"/>
    <x v="21"/>
  </r>
  <r>
    <x v="5"/>
    <x v="5"/>
    <x v="4"/>
    <x v="5"/>
    <x v="17"/>
  </r>
  <r>
    <x v="25"/>
    <x v="26"/>
    <x v="0"/>
    <x v="20"/>
    <x v="22"/>
  </r>
  <r>
    <x v="0"/>
    <x v="0"/>
    <x v="0"/>
    <x v="0"/>
    <x v="0"/>
  </r>
  <r>
    <x v="5"/>
    <x v="5"/>
    <x v="0"/>
    <x v="21"/>
    <x v="23"/>
  </r>
  <r>
    <x v="0"/>
    <x v="0"/>
    <x v="0"/>
    <x v="0"/>
    <x v="0"/>
  </r>
  <r>
    <x v="22"/>
    <x v="23"/>
    <x v="0"/>
    <x v="17"/>
    <x v="24"/>
  </r>
  <r>
    <x v="7"/>
    <x v="21"/>
    <x v="0"/>
    <x v="7"/>
    <x v="7"/>
  </r>
  <r>
    <x v="18"/>
    <x v="18"/>
    <x v="0"/>
    <x v="7"/>
    <x v="7"/>
  </r>
  <r>
    <x v="20"/>
    <x v="20"/>
    <x v="0"/>
    <x v="7"/>
    <x v="7"/>
  </r>
  <r>
    <x v="14"/>
    <x v="14"/>
    <x v="0"/>
    <x v="13"/>
    <x v="25"/>
  </r>
  <r>
    <x v="5"/>
    <x v="5"/>
    <x v="6"/>
    <x v="5"/>
    <x v="26"/>
  </r>
  <r>
    <x v="12"/>
    <x v="13"/>
    <x v="0"/>
    <x v="12"/>
    <x v="20"/>
  </r>
  <r>
    <x v="4"/>
    <x v="4"/>
    <x v="0"/>
    <x v="4"/>
    <x v="4"/>
  </r>
  <r>
    <x v="5"/>
    <x v="5"/>
    <x v="0"/>
    <x v="5"/>
    <x v="5"/>
  </r>
  <r>
    <x v="26"/>
    <x v="27"/>
    <x v="3"/>
    <x v="22"/>
    <x v="27"/>
  </r>
  <r>
    <x v="5"/>
    <x v="5"/>
    <x v="4"/>
    <x v="5"/>
    <x v="17"/>
  </r>
  <r>
    <x v="3"/>
    <x v="3"/>
    <x v="4"/>
    <x v="3"/>
    <x v="28"/>
  </r>
  <r>
    <x v="8"/>
    <x v="28"/>
    <x v="4"/>
    <x v="13"/>
    <x v="29"/>
  </r>
  <r>
    <x v="27"/>
    <x v="29"/>
    <x v="4"/>
    <x v="23"/>
    <x v="30"/>
  </r>
  <r>
    <x v="28"/>
    <x v="30"/>
    <x v="0"/>
    <x v="24"/>
    <x v="31"/>
  </r>
  <r>
    <x v="25"/>
    <x v="26"/>
    <x v="8"/>
    <x v="20"/>
    <x v="32"/>
  </r>
  <r>
    <x v="24"/>
    <x v="25"/>
    <x v="3"/>
    <x v="19"/>
    <x v="33"/>
  </r>
  <r>
    <x v="22"/>
    <x v="23"/>
    <x v="4"/>
    <x v="17"/>
    <x v="34"/>
  </r>
  <r>
    <x v="29"/>
    <x v="31"/>
    <x v="4"/>
    <x v="25"/>
    <x v="35"/>
  </r>
  <r>
    <x v="18"/>
    <x v="18"/>
    <x v="4"/>
    <x v="7"/>
    <x v="7"/>
  </r>
  <r>
    <x v="20"/>
    <x v="20"/>
    <x v="4"/>
    <x v="7"/>
    <x v="7"/>
  </r>
  <r>
    <x v="4"/>
    <x v="4"/>
    <x v="0"/>
    <x v="4"/>
    <x v="4"/>
  </r>
  <r>
    <x v="30"/>
    <x v="32"/>
    <x v="4"/>
    <x v="26"/>
    <x v="36"/>
  </r>
  <r>
    <x v="31"/>
    <x v="33"/>
    <x v="4"/>
    <x v="7"/>
    <x v="7"/>
  </r>
  <r>
    <x v="32"/>
    <x v="34"/>
    <x v="4"/>
    <x v="19"/>
    <x v="37"/>
  </r>
  <r>
    <x v="33"/>
    <x v="35"/>
    <x v="6"/>
    <x v="27"/>
    <x v="38"/>
  </r>
  <r>
    <x v="34"/>
    <x v="36"/>
    <x v="0"/>
    <x v="28"/>
    <x v="39"/>
  </r>
  <r>
    <x v="12"/>
    <x v="13"/>
    <x v="0"/>
    <x v="29"/>
    <x v="40"/>
  </r>
  <r>
    <x v="35"/>
    <x v="37"/>
    <x v="0"/>
    <x v="14"/>
    <x v="41"/>
  </r>
  <r>
    <x v="36"/>
    <x v="38"/>
    <x v="0"/>
    <x v="3"/>
    <x v="3"/>
  </r>
  <r>
    <x v="37"/>
    <x v="39"/>
    <x v="0"/>
    <x v="30"/>
    <x v="42"/>
  </r>
  <r>
    <x v="38"/>
    <x v="40"/>
    <x v="3"/>
    <x v="7"/>
    <x v="7"/>
  </r>
  <r>
    <x v="39"/>
    <x v="11"/>
    <x v="0"/>
    <x v="31"/>
    <x v="43"/>
  </r>
  <r>
    <x v="29"/>
    <x v="31"/>
    <x v="4"/>
    <x v="32"/>
    <x v="44"/>
  </r>
  <r>
    <x v="40"/>
    <x v="41"/>
    <x v="0"/>
    <x v="33"/>
    <x v="45"/>
  </r>
  <r>
    <x v="41"/>
    <x v="42"/>
    <x v="0"/>
    <x v="7"/>
    <x v="7"/>
  </r>
  <r>
    <x v="0"/>
    <x v="0"/>
    <x v="0"/>
    <x v="0"/>
    <x v="0"/>
  </r>
  <r>
    <x v="0"/>
    <x v="0"/>
    <x v="0"/>
    <x v="0"/>
    <x v="0"/>
  </r>
  <r>
    <x v="22"/>
    <x v="23"/>
    <x v="3"/>
    <x v="17"/>
    <x v="46"/>
  </r>
  <r>
    <x v="7"/>
    <x v="21"/>
    <x v="3"/>
    <x v="7"/>
    <x v="7"/>
  </r>
  <r>
    <x v="23"/>
    <x v="24"/>
    <x v="3"/>
    <x v="18"/>
    <x v="47"/>
  </r>
  <r>
    <x v="18"/>
    <x v="18"/>
    <x v="3"/>
    <x v="7"/>
    <x v="7"/>
  </r>
  <r>
    <x v="20"/>
    <x v="20"/>
    <x v="3"/>
    <x v="7"/>
    <x v="7"/>
  </r>
  <r>
    <x v="16"/>
    <x v="16"/>
    <x v="0"/>
    <x v="15"/>
    <x v="15"/>
  </r>
  <r>
    <x v="25"/>
    <x v="26"/>
    <x v="0"/>
    <x v="20"/>
    <x v="22"/>
  </r>
  <r>
    <x v="42"/>
    <x v="43"/>
    <x v="6"/>
    <x v="34"/>
    <x v="48"/>
  </r>
  <r>
    <x v="43"/>
    <x v="44"/>
    <x v="0"/>
    <x v="34"/>
    <x v="49"/>
  </r>
  <r>
    <x v="7"/>
    <x v="21"/>
    <x v="0"/>
    <x v="14"/>
    <x v="41"/>
  </r>
  <r>
    <x v="44"/>
    <x v="45"/>
    <x v="0"/>
    <x v="35"/>
    <x v="50"/>
  </r>
  <r>
    <x v="22"/>
    <x v="23"/>
    <x v="4"/>
    <x v="17"/>
    <x v="34"/>
  </r>
  <r>
    <x v="7"/>
    <x v="21"/>
    <x v="4"/>
    <x v="7"/>
    <x v="7"/>
  </r>
  <r>
    <x v="18"/>
    <x v="18"/>
    <x v="4"/>
    <x v="7"/>
    <x v="7"/>
  </r>
  <r>
    <x v="20"/>
    <x v="20"/>
    <x v="4"/>
    <x v="7"/>
    <x v="7"/>
  </r>
  <r>
    <x v="13"/>
    <x v="0"/>
    <x v="0"/>
    <x v="12"/>
    <x v="20"/>
  </r>
  <r>
    <x v="13"/>
    <x v="0"/>
    <x v="0"/>
    <x v="12"/>
    <x v="20"/>
  </r>
  <r>
    <x v="6"/>
    <x v="11"/>
    <x v="0"/>
    <x v="36"/>
    <x v="51"/>
  </r>
  <r>
    <x v="45"/>
    <x v="46"/>
    <x v="7"/>
    <x v="37"/>
    <x v="52"/>
  </r>
  <r>
    <x v="18"/>
    <x v="47"/>
    <x v="7"/>
    <x v="7"/>
    <x v="7"/>
  </r>
  <r>
    <x v="46"/>
    <x v="48"/>
    <x v="3"/>
    <x v="38"/>
    <x v="53"/>
  </r>
  <r>
    <x v="47"/>
    <x v="49"/>
    <x v="0"/>
    <x v="7"/>
    <x v="7"/>
  </r>
  <r>
    <x v="48"/>
    <x v="50"/>
    <x v="2"/>
    <x v="7"/>
    <x v="7"/>
  </r>
  <r>
    <x v="6"/>
    <x v="11"/>
    <x v="0"/>
    <x v="39"/>
    <x v="54"/>
  </r>
  <r>
    <x v="49"/>
    <x v="51"/>
    <x v="6"/>
    <x v="11"/>
    <x v="55"/>
  </r>
  <r>
    <x v="16"/>
    <x v="16"/>
    <x v="4"/>
    <x v="40"/>
    <x v="56"/>
  </r>
  <r>
    <x v="37"/>
    <x v="39"/>
    <x v="0"/>
    <x v="41"/>
    <x v="57"/>
  </r>
  <r>
    <x v="50"/>
    <x v="52"/>
    <x v="0"/>
    <x v="7"/>
    <x v="7"/>
  </r>
  <r>
    <x v="6"/>
    <x v="11"/>
    <x v="0"/>
    <x v="42"/>
    <x v="58"/>
  </r>
  <r>
    <x v="4"/>
    <x v="4"/>
    <x v="4"/>
    <x v="43"/>
    <x v="59"/>
  </r>
  <r>
    <x v="2"/>
    <x v="2"/>
    <x v="0"/>
    <x v="2"/>
    <x v="2"/>
  </r>
  <r>
    <x v="51"/>
    <x v="53"/>
    <x v="4"/>
    <x v="44"/>
    <x v="60"/>
  </r>
  <r>
    <x v="25"/>
    <x v="26"/>
    <x v="4"/>
    <x v="20"/>
    <x v="61"/>
  </r>
  <r>
    <x v="8"/>
    <x v="28"/>
    <x v="0"/>
    <x v="13"/>
    <x v="25"/>
  </r>
  <r>
    <x v="14"/>
    <x v="14"/>
    <x v="0"/>
    <x v="13"/>
    <x v="25"/>
  </r>
  <r>
    <x v="12"/>
    <x v="13"/>
    <x v="4"/>
    <x v="12"/>
    <x v="12"/>
  </r>
  <r>
    <x v="25"/>
    <x v="26"/>
    <x v="1"/>
    <x v="20"/>
    <x v="62"/>
  </r>
  <r>
    <x v="5"/>
    <x v="5"/>
    <x v="3"/>
    <x v="5"/>
    <x v="63"/>
  </r>
  <r>
    <x v="13"/>
    <x v="0"/>
    <x v="0"/>
    <x v="12"/>
    <x v="20"/>
  </r>
  <r>
    <x v="2"/>
    <x v="2"/>
    <x v="4"/>
    <x v="2"/>
    <x v="64"/>
  </r>
  <r>
    <x v="13"/>
    <x v="0"/>
    <x v="0"/>
    <x v="12"/>
    <x v="20"/>
  </r>
  <r>
    <x v="5"/>
    <x v="5"/>
    <x v="0"/>
    <x v="21"/>
    <x v="23"/>
  </r>
  <r>
    <x v="0"/>
    <x v="0"/>
    <x v="4"/>
    <x v="0"/>
    <x v="65"/>
  </r>
  <r>
    <x v="3"/>
    <x v="3"/>
    <x v="0"/>
    <x v="3"/>
    <x v="3"/>
  </r>
  <r>
    <x v="8"/>
    <x v="28"/>
    <x v="0"/>
    <x v="13"/>
    <x v="25"/>
  </r>
  <r>
    <x v="14"/>
    <x v="14"/>
    <x v="0"/>
    <x v="13"/>
    <x v="25"/>
  </r>
  <r>
    <x v="13"/>
    <x v="0"/>
    <x v="0"/>
    <x v="12"/>
    <x v="20"/>
  </r>
  <r>
    <x v="0"/>
    <x v="0"/>
    <x v="0"/>
    <x v="0"/>
    <x v="0"/>
  </r>
  <r>
    <x v="6"/>
    <x v="11"/>
    <x v="0"/>
    <x v="45"/>
    <x v="66"/>
  </r>
  <r>
    <x v="50"/>
    <x v="54"/>
    <x v="0"/>
    <x v="46"/>
    <x v="67"/>
  </r>
  <r>
    <x v="52"/>
    <x v="55"/>
    <x v="0"/>
    <x v="7"/>
    <x v="7"/>
  </r>
  <r>
    <x v="53"/>
    <x v="56"/>
    <x v="0"/>
    <x v="7"/>
    <x v="7"/>
  </r>
  <r>
    <x v="54"/>
    <x v="57"/>
    <x v="0"/>
    <x v="7"/>
    <x v="7"/>
  </r>
  <r>
    <x v="41"/>
    <x v="58"/>
    <x v="0"/>
    <x v="7"/>
    <x v="7"/>
  </r>
  <r>
    <x v="50"/>
    <x v="59"/>
    <x v="9"/>
    <x v="47"/>
    <x v="68"/>
  </r>
  <r>
    <x v="55"/>
    <x v="60"/>
    <x v="4"/>
    <x v="48"/>
    <x v="69"/>
  </r>
  <r>
    <x v="56"/>
    <x v="61"/>
    <x v="3"/>
    <x v="49"/>
    <x v="70"/>
  </r>
  <r>
    <x v="57"/>
    <x v="62"/>
    <x v="0"/>
    <x v="5"/>
    <x v="5"/>
  </r>
  <r>
    <x v="39"/>
    <x v="11"/>
    <x v="0"/>
    <x v="50"/>
    <x v="71"/>
  </r>
  <r>
    <x v="58"/>
    <x v="63"/>
    <x v="0"/>
    <x v="28"/>
    <x v="39"/>
  </r>
  <r>
    <x v="59"/>
    <x v="64"/>
    <x v="0"/>
    <x v="7"/>
    <x v="7"/>
  </r>
  <r>
    <x v="60"/>
    <x v="65"/>
    <x v="0"/>
    <x v="7"/>
    <x v="7"/>
  </r>
  <r>
    <x v="22"/>
    <x v="23"/>
    <x v="3"/>
    <x v="17"/>
    <x v="46"/>
  </r>
  <r>
    <x v="18"/>
    <x v="47"/>
    <x v="3"/>
    <x v="7"/>
    <x v="7"/>
  </r>
  <r>
    <x v="7"/>
    <x v="66"/>
    <x v="3"/>
    <x v="7"/>
    <x v="7"/>
  </r>
  <r>
    <x v="20"/>
    <x v="67"/>
    <x v="3"/>
    <x v="7"/>
    <x v="7"/>
  </r>
  <r>
    <x v="16"/>
    <x v="16"/>
    <x v="0"/>
    <x v="15"/>
    <x v="15"/>
  </r>
  <r>
    <x v="6"/>
    <x v="11"/>
    <x v="0"/>
    <x v="51"/>
    <x v="72"/>
  </r>
  <r>
    <x v="61"/>
    <x v="68"/>
    <x v="4"/>
    <x v="52"/>
    <x v="73"/>
  </r>
  <r>
    <x v="62"/>
    <x v="69"/>
    <x v="4"/>
    <x v="53"/>
    <x v="74"/>
  </r>
  <r>
    <x v="43"/>
    <x v="44"/>
    <x v="4"/>
    <x v="34"/>
    <x v="75"/>
  </r>
  <r>
    <x v="63"/>
    <x v="70"/>
    <x v="4"/>
    <x v="19"/>
    <x v="37"/>
  </r>
  <r>
    <x v="12"/>
    <x v="13"/>
    <x v="0"/>
    <x v="12"/>
    <x v="20"/>
  </r>
  <r>
    <x v="12"/>
    <x v="13"/>
    <x v="0"/>
    <x v="12"/>
    <x v="20"/>
  </r>
  <r>
    <x v="64"/>
    <x v="71"/>
    <x v="0"/>
    <x v="5"/>
    <x v="5"/>
  </r>
  <r>
    <x v="65"/>
    <x v="72"/>
    <x v="0"/>
    <x v="54"/>
    <x v="76"/>
  </r>
  <r>
    <x v="33"/>
    <x v="35"/>
    <x v="4"/>
    <x v="55"/>
    <x v="77"/>
  </r>
  <r>
    <x v="26"/>
    <x v="27"/>
    <x v="6"/>
    <x v="22"/>
    <x v="78"/>
  </r>
  <r>
    <x v="5"/>
    <x v="5"/>
    <x v="4"/>
    <x v="5"/>
    <x v="17"/>
  </r>
  <r>
    <x v="8"/>
    <x v="28"/>
    <x v="0"/>
    <x v="13"/>
    <x v="25"/>
  </r>
  <r>
    <x v="4"/>
    <x v="4"/>
    <x v="0"/>
    <x v="4"/>
    <x v="4"/>
  </r>
  <r>
    <x v="5"/>
    <x v="5"/>
    <x v="4"/>
    <x v="21"/>
    <x v="79"/>
  </r>
  <r>
    <x v="0"/>
    <x v="0"/>
    <x v="0"/>
    <x v="0"/>
    <x v="0"/>
  </r>
  <r>
    <x v="1"/>
    <x v="1"/>
    <x v="6"/>
    <x v="7"/>
    <x v="7"/>
  </r>
  <r>
    <x v="66"/>
    <x v="11"/>
    <x v="0"/>
    <x v="7"/>
    <x v="7"/>
  </r>
  <r>
    <x v="0"/>
    <x v="0"/>
    <x v="0"/>
    <x v="0"/>
    <x v="0"/>
  </r>
  <r>
    <x v="66"/>
    <x v="11"/>
    <x v="0"/>
    <x v="7"/>
    <x v="7"/>
  </r>
  <r>
    <x v="64"/>
    <x v="71"/>
    <x v="4"/>
    <x v="5"/>
    <x v="17"/>
  </r>
  <r>
    <x v="66"/>
    <x v="11"/>
    <x v="0"/>
    <x v="7"/>
    <x v="7"/>
  </r>
  <r>
    <x v="14"/>
    <x v="14"/>
    <x v="7"/>
    <x v="13"/>
    <x v="80"/>
  </r>
  <r>
    <x v="66"/>
    <x v="11"/>
    <x v="0"/>
    <x v="7"/>
    <x v="7"/>
  </r>
  <r>
    <x v="33"/>
    <x v="35"/>
    <x v="4"/>
    <x v="55"/>
    <x v="77"/>
  </r>
  <r>
    <x v="66"/>
    <x v="11"/>
    <x v="0"/>
    <x v="7"/>
    <x v="7"/>
  </r>
  <r>
    <x v="64"/>
    <x v="71"/>
    <x v="4"/>
    <x v="5"/>
    <x v="17"/>
  </r>
  <r>
    <x v="5"/>
    <x v="5"/>
    <x v="6"/>
    <x v="5"/>
    <x v="26"/>
  </r>
  <r>
    <x v="12"/>
    <x v="13"/>
    <x v="0"/>
    <x v="12"/>
    <x v="20"/>
  </r>
  <r>
    <x v="66"/>
    <x v="11"/>
    <x v="0"/>
    <x v="7"/>
    <x v="7"/>
  </r>
  <r>
    <x v="14"/>
    <x v="14"/>
    <x v="4"/>
    <x v="13"/>
    <x v="29"/>
  </r>
  <r>
    <x v="66"/>
    <x v="11"/>
    <x v="0"/>
    <x v="7"/>
    <x v="7"/>
  </r>
  <r>
    <x v="22"/>
    <x v="23"/>
    <x v="7"/>
    <x v="17"/>
    <x v="81"/>
  </r>
  <r>
    <x v="7"/>
    <x v="21"/>
    <x v="7"/>
    <x v="7"/>
    <x v="7"/>
  </r>
  <r>
    <x v="18"/>
    <x v="18"/>
    <x v="7"/>
    <x v="7"/>
    <x v="7"/>
  </r>
  <r>
    <x v="20"/>
    <x v="20"/>
    <x v="7"/>
    <x v="7"/>
    <x v="7"/>
  </r>
  <r>
    <x v="37"/>
    <x v="39"/>
    <x v="0"/>
    <x v="30"/>
    <x v="42"/>
  </r>
  <r>
    <x v="66"/>
    <x v="11"/>
    <x v="0"/>
    <x v="7"/>
    <x v="7"/>
  </r>
  <r>
    <x v="4"/>
    <x v="4"/>
    <x v="0"/>
    <x v="4"/>
    <x v="4"/>
  </r>
  <r>
    <x v="66"/>
    <x v="11"/>
    <x v="0"/>
    <x v="7"/>
    <x v="7"/>
  </r>
  <r>
    <x v="13"/>
    <x v="0"/>
    <x v="0"/>
    <x v="12"/>
    <x v="20"/>
  </r>
  <r>
    <x v="67"/>
    <x v="73"/>
    <x v="7"/>
    <x v="56"/>
    <x v="82"/>
  </r>
  <r>
    <x v="18"/>
    <x v="47"/>
    <x v="7"/>
    <x v="7"/>
    <x v="7"/>
  </r>
  <r>
    <x v="28"/>
    <x v="74"/>
    <x v="10"/>
    <x v="57"/>
    <x v="83"/>
  </r>
  <r>
    <x v="21"/>
    <x v="22"/>
    <x v="10"/>
    <x v="58"/>
    <x v="84"/>
  </r>
  <r>
    <x v="68"/>
    <x v="75"/>
    <x v="4"/>
    <x v="59"/>
    <x v="85"/>
  </r>
  <r>
    <x v="69"/>
    <x v="76"/>
    <x v="4"/>
    <x v="7"/>
    <x v="7"/>
  </r>
  <r>
    <x v="70"/>
    <x v="77"/>
    <x v="4"/>
    <x v="7"/>
    <x v="7"/>
  </r>
  <r>
    <x v="39"/>
    <x v="11"/>
    <x v="0"/>
    <x v="60"/>
    <x v="86"/>
  </r>
  <r>
    <x v="22"/>
    <x v="23"/>
    <x v="3"/>
    <x v="17"/>
    <x v="46"/>
  </r>
  <r>
    <x v="71"/>
    <x v="78"/>
    <x v="3"/>
    <x v="61"/>
    <x v="87"/>
  </r>
  <r>
    <x v="23"/>
    <x v="24"/>
    <x v="3"/>
    <x v="18"/>
    <x v="47"/>
  </r>
  <r>
    <x v="18"/>
    <x v="18"/>
    <x v="3"/>
    <x v="7"/>
    <x v="7"/>
  </r>
  <r>
    <x v="20"/>
    <x v="79"/>
    <x v="3"/>
    <x v="7"/>
    <x v="7"/>
  </r>
  <r>
    <x v="66"/>
    <x v="11"/>
    <x v="0"/>
    <x v="7"/>
    <x v="7"/>
  </r>
  <r>
    <x v="72"/>
    <x v="80"/>
    <x v="0"/>
    <x v="7"/>
    <x v="7"/>
  </r>
  <r>
    <x v="73"/>
    <x v="81"/>
    <x v="0"/>
    <x v="7"/>
    <x v="7"/>
  </r>
  <r>
    <x v="39"/>
    <x v="11"/>
    <x v="0"/>
    <x v="62"/>
    <x v="88"/>
  </r>
  <r>
    <x v="74"/>
    <x v="82"/>
    <x v="7"/>
    <x v="56"/>
    <x v="82"/>
  </r>
  <r>
    <x v="18"/>
    <x v="47"/>
    <x v="7"/>
    <x v="7"/>
    <x v="7"/>
  </r>
  <r>
    <x v="7"/>
    <x v="66"/>
    <x v="10"/>
    <x v="7"/>
    <x v="7"/>
  </r>
  <r>
    <x v="8"/>
    <x v="83"/>
    <x v="10"/>
    <x v="7"/>
    <x v="7"/>
  </r>
  <r>
    <x v="12"/>
    <x v="13"/>
    <x v="4"/>
    <x v="11"/>
    <x v="89"/>
  </r>
  <r>
    <x v="30"/>
    <x v="32"/>
    <x v="4"/>
    <x v="63"/>
    <x v="90"/>
  </r>
  <r>
    <x v="75"/>
    <x v="84"/>
    <x v="4"/>
    <x v="7"/>
    <x v="7"/>
  </r>
  <r>
    <x v="0"/>
    <x v="0"/>
    <x v="0"/>
    <x v="0"/>
    <x v="0"/>
  </r>
  <r>
    <x v="2"/>
    <x v="2"/>
    <x v="0"/>
    <x v="2"/>
    <x v="2"/>
  </r>
  <r>
    <x v="7"/>
    <x v="21"/>
    <x v="0"/>
    <x v="14"/>
    <x v="41"/>
  </r>
  <r>
    <x v="76"/>
    <x v="85"/>
    <x v="3"/>
    <x v="52"/>
    <x v="91"/>
  </r>
  <r>
    <x v="18"/>
    <x v="18"/>
    <x v="0"/>
    <x v="19"/>
    <x v="92"/>
  </r>
  <r>
    <x v="77"/>
    <x v="86"/>
    <x v="4"/>
    <x v="24"/>
    <x v="93"/>
  </r>
  <r>
    <x v="43"/>
    <x v="44"/>
    <x v="1"/>
    <x v="34"/>
    <x v="94"/>
  </r>
  <r>
    <x v="63"/>
    <x v="70"/>
    <x v="11"/>
    <x v="19"/>
    <x v="95"/>
  </r>
  <r>
    <x v="1"/>
    <x v="1"/>
    <x v="12"/>
    <x v="1"/>
    <x v="96"/>
  </r>
  <r>
    <x v="3"/>
    <x v="3"/>
    <x v="4"/>
    <x v="3"/>
    <x v="28"/>
  </r>
  <r>
    <x v="3"/>
    <x v="3"/>
    <x v="4"/>
    <x v="3"/>
    <x v="28"/>
  </r>
  <r>
    <x v="13"/>
    <x v="0"/>
    <x v="0"/>
    <x v="12"/>
    <x v="20"/>
  </r>
  <r>
    <x v="12"/>
    <x v="13"/>
    <x v="0"/>
    <x v="12"/>
    <x v="20"/>
  </r>
  <r>
    <x v="13"/>
    <x v="0"/>
    <x v="0"/>
    <x v="12"/>
    <x v="20"/>
  </r>
  <r>
    <x v="0"/>
    <x v="0"/>
    <x v="0"/>
    <x v="0"/>
    <x v="0"/>
  </r>
  <r>
    <x v="14"/>
    <x v="14"/>
    <x v="0"/>
    <x v="13"/>
    <x v="25"/>
  </r>
  <r>
    <x v="8"/>
    <x v="28"/>
    <x v="0"/>
    <x v="13"/>
    <x v="25"/>
  </r>
  <r>
    <x v="14"/>
    <x v="14"/>
    <x v="0"/>
    <x v="13"/>
    <x v="25"/>
  </r>
  <r>
    <x v="78"/>
    <x v="11"/>
    <x v="0"/>
    <x v="64"/>
    <x v="97"/>
  </r>
  <r>
    <x v="2"/>
    <x v="2"/>
    <x v="4"/>
    <x v="2"/>
    <x v="64"/>
  </r>
  <r>
    <x v="0"/>
    <x v="0"/>
    <x v="0"/>
    <x v="0"/>
    <x v="0"/>
  </r>
  <r>
    <x v="4"/>
    <x v="4"/>
    <x v="0"/>
    <x v="4"/>
    <x v="4"/>
  </r>
  <r>
    <x v="5"/>
    <x v="5"/>
    <x v="4"/>
    <x v="5"/>
    <x v="17"/>
  </r>
  <r>
    <x v="18"/>
    <x v="18"/>
    <x v="0"/>
    <x v="19"/>
    <x v="92"/>
  </r>
  <r>
    <x v="5"/>
    <x v="5"/>
    <x v="4"/>
    <x v="5"/>
    <x v="17"/>
  </r>
  <r>
    <x v="8"/>
    <x v="28"/>
    <x v="0"/>
    <x v="13"/>
    <x v="25"/>
  </r>
  <r>
    <x v="65"/>
    <x v="72"/>
    <x v="0"/>
    <x v="54"/>
    <x v="76"/>
  </r>
  <r>
    <x v="51"/>
    <x v="53"/>
    <x v="0"/>
    <x v="44"/>
    <x v="98"/>
  </r>
  <r>
    <x v="21"/>
    <x v="22"/>
    <x v="4"/>
    <x v="5"/>
    <x v="17"/>
  </r>
  <r>
    <x v="71"/>
    <x v="87"/>
    <x v="4"/>
    <x v="23"/>
    <x v="30"/>
  </r>
  <r>
    <x v="12"/>
    <x v="13"/>
    <x v="0"/>
    <x v="12"/>
    <x v="20"/>
  </r>
  <r>
    <x v="39"/>
    <x v="11"/>
    <x v="0"/>
    <x v="65"/>
    <x v="99"/>
  </r>
  <r>
    <x v="45"/>
    <x v="23"/>
    <x v="4"/>
    <x v="66"/>
    <x v="100"/>
  </r>
  <r>
    <x v="18"/>
    <x v="47"/>
    <x v="4"/>
    <x v="7"/>
    <x v="7"/>
  </r>
  <r>
    <x v="71"/>
    <x v="88"/>
    <x v="4"/>
    <x v="67"/>
    <x v="101"/>
  </r>
  <r>
    <x v="71"/>
    <x v="87"/>
    <x v="4"/>
    <x v="38"/>
    <x v="102"/>
  </r>
  <r>
    <x v="15"/>
    <x v="15"/>
    <x v="4"/>
    <x v="68"/>
    <x v="103"/>
  </r>
  <r>
    <x v="62"/>
    <x v="69"/>
    <x v="4"/>
    <x v="69"/>
    <x v="104"/>
  </r>
  <r>
    <x v="79"/>
    <x v="89"/>
    <x v="2"/>
    <x v="70"/>
    <x v="105"/>
  </r>
  <r>
    <x v="42"/>
    <x v="43"/>
    <x v="2"/>
    <x v="71"/>
    <x v="106"/>
  </r>
  <r>
    <x v="51"/>
    <x v="53"/>
    <x v="3"/>
    <x v="72"/>
    <x v="107"/>
  </r>
  <r>
    <x v="45"/>
    <x v="23"/>
    <x v="4"/>
    <x v="73"/>
    <x v="108"/>
  </r>
  <r>
    <x v="7"/>
    <x v="66"/>
    <x v="4"/>
    <x v="14"/>
    <x v="14"/>
  </r>
  <r>
    <x v="8"/>
    <x v="90"/>
    <x v="4"/>
    <x v="7"/>
    <x v="7"/>
  </r>
  <r>
    <x v="80"/>
    <x v="91"/>
    <x v="4"/>
    <x v="5"/>
    <x v="17"/>
  </r>
  <r>
    <x v="14"/>
    <x v="14"/>
    <x v="0"/>
    <x v="7"/>
    <x v="7"/>
  </r>
  <r>
    <x v="0"/>
    <x v="0"/>
    <x v="0"/>
    <x v="0"/>
    <x v="0"/>
  </r>
  <r>
    <x v="6"/>
    <x v="11"/>
    <x v="0"/>
    <x v="74"/>
    <x v="109"/>
  </r>
  <r>
    <x v="81"/>
    <x v="92"/>
    <x v="8"/>
    <x v="75"/>
    <x v="110"/>
  </r>
  <r>
    <x v="18"/>
    <x v="18"/>
    <x v="4"/>
    <x v="19"/>
    <x v="37"/>
  </r>
  <r>
    <x v="7"/>
    <x v="21"/>
    <x v="0"/>
    <x v="14"/>
    <x v="41"/>
  </r>
  <r>
    <x v="14"/>
    <x v="14"/>
    <x v="0"/>
    <x v="13"/>
    <x v="25"/>
  </r>
  <r>
    <x v="82"/>
    <x v="93"/>
    <x v="0"/>
    <x v="7"/>
    <x v="7"/>
  </r>
  <r>
    <x v="83"/>
    <x v="94"/>
    <x v="0"/>
    <x v="7"/>
    <x v="7"/>
  </r>
  <r>
    <x v="6"/>
    <x v="11"/>
    <x v="0"/>
    <x v="76"/>
    <x v="111"/>
  </r>
  <r>
    <x v="84"/>
    <x v="95"/>
    <x v="2"/>
    <x v="68"/>
    <x v="112"/>
  </r>
  <r>
    <x v="58"/>
    <x v="63"/>
    <x v="1"/>
    <x v="38"/>
    <x v="113"/>
  </r>
  <r>
    <x v="85"/>
    <x v="96"/>
    <x v="7"/>
    <x v="77"/>
    <x v="114"/>
  </r>
  <r>
    <x v="62"/>
    <x v="69"/>
    <x v="4"/>
    <x v="69"/>
    <x v="104"/>
  </r>
  <r>
    <x v="31"/>
    <x v="97"/>
    <x v="3"/>
    <x v="75"/>
    <x v="115"/>
  </r>
  <r>
    <x v="86"/>
    <x v="98"/>
    <x v="10"/>
    <x v="7"/>
    <x v="7"/>
  </r>
  <r>
    <x v="87"/>
    <x v="99"/>
    <x v="10"/>
    <x v="78"/>
    <x v="116"/>
  </r>
  <r>
    <x v="17"/>
    <x v="100"/>
    <x v="5"/>
    <x v="79"/>
    <x v="117"/>
  </r>
  <r>
    <x v="18"/>
    <x v="101"/>
    <x v="5"/>
    <x v="7"/>
    <x v="7"/>
  </r>
  <r>
    <x v="19"/>
    <x v="102"/>
    <x v="5"/>
    <x v="7"/>
    <x v="7"/>
  </r>
  <r>
    <x v="76"/>
    <x v="103"/>
    <x v="5"/>
    <x v="52"/>
    <x v="118"/>
  </r>
  <r>
    <x v="63"/>
    <x v="104"/>
    <x v="7"/>
    <x v="19"/>
    <x v="21"/>
  </r>
  <r>
    <x v="26"/>
    <x v="105"/>
    <x v="1"/>
    <x v="22"/>
    <x v="119"/>
  </r>
  <r>
    <x v="8"/>
    <x v="106"/>
    <x v="12"/>
    <x v="80"/>
    <x v="120"/>
  </r>
  <r>
    <x v="41"/>
    <x v="107"/>
    <x v="0"/>
    <x v="7"/>
    <x v="7"/>
  </r>
  <r>
    <x v="6"/>
    <x v="11"/>
    <x v="0"/>
    <x v="81"/>
    <x v="121"/>
  </r>
  <r>
    <x v="0"/>
    <x v="0"/>
    <x v="4"/>
    <x v="82"/>
    <x v="122"/>
  </r>
  <r>
    <x v="2"/>
    <x v="2"/>
    <x v="0"/>
    <x v="2"/>
    <x v="2"/>
  </r>
  <r>
    <x v="5"/>
    <x v="5"/>
    <x v="0"/>
    <x v="21"/>
    <x v="23"/>
  </r>
  <r>
    <x v="33"/>
    <x v="35"/>
    <x v="0"/>
    <x v="55"/>
    <x v="123"/>
  </r>
  <r>
    <x v="4"/>
    <x v="4"/>
    <x v="4"/>
    <x v="4"/>
    <x v="124"/>
  </r>
  <r>
    <x v="5"/>
    <x v="5"/>
    <x v="4"/>
    <x v="5"/>
    <x v="17"/>
  </r>
  <r>
    <x v="17"/>
    <x v="17"/>
    <x v="0"/>
    <x v="16"/>
    <x v="125"/>
  </r>
  <r>
    <x v="18"/>
    <x v="18"/>
    <x v="0"/>
    <x v="7"/>
    <x v="7"/>
  </r>
  <r>
    <x v="19"/>
    <x v="19"/>
    <x v="0"/>
    <x v="7"/>
    <x v="7"/>
  </r>
  <r>
    <x v="20"/>
    <x v="20"/>
    <x v="0"/>
    <x v="7"/>
    <x v="7"/>
  </r>
  <r>
    <x v="7"/>
    <x v="21"/>
    <x v="0"/>
    <x v="7"/>
    <x v="7"/>
  </r>
  <r>
    <x v="5"/>
    <x v="5"/>
    <x v="4"/>
    <x v="5"/>
    <x v="17"/>
  </r>
  <r>
    <x v="13"/>
    <x v="0"/>
    <x v="0"/>
    <x v="12"/>
    <x v="20"/>
  </r>
  <r>
    <x v="88"/>
    <x v="108"/>
    <x v="4"/>
    <x v="83"/>
    <x v="126"/>
  </r>
  <r>
    <x v="18"/>
    <x v="47"/>
    <x v="4"/>
    <x v="7"/>
    <x v="7"/>
  </r>
  <r>
    <x v="19"/>
    <x v="109"/>
    <x v="4"/>
    <x v="7"/>
    <x v="7"/>
  </r>
  <r>
    <x v="29"/>
    <x v="31"/>
    <x v="4"/>
    <x v="32"/>
    <x v="44"/>
  </r>
  <r>
    <x v="20"/>
    <x v="67"/>
    <x v="4"/>
    <x v="7"/>
    <x v="7"/>
  </r>
  <r>
    <x v="80"/>
    <x v="91"/>
    <x v="0"/>
    <x v="58"/>
    <x v="127"/>
  </r>
  <r>
    <x v="89"/>
    <x v="110"/>
    <x v="1"/>
    <x v="7"/>
    <x v="7"/>
  </r>
  <r>
    <x v="5"/>
    <x v="5"/>
    <x v="0"/>
    <x v="5"/>
    <x v="5"/>
  </r>
  <r>
    <x v="51"/>
    <x v="53"/>
    <x v="0"/>
    <x v="44"/>
    <x v="98"/>
  </r>
  <r>
    <x v="39"/>
    <x v="11"/>
    <x v="0"/>
    <x v="84"/>
    <x v="128"/>
  </r>
  <r>
    <x v="26"/>
    <x v="27"/>
    <x v="7"/>
    <x v="85"/>
    <x v="129"/>
  </r>
  <r>
    <x v="74"/>
    <x v="82"/>
    <x v="4"/>
    <x v="86"/>
    <x v="130"/>
  </r>
  <r>
    <x v="18"/>
    <x v="47"/>
    <x v="4"/>
    <x v="7"/>
    <x v="7"/>
  </r>
  <r>
    <x v="7"/>
    <x v="66"/>
    <x v="2"/>
    <x v="7"/>
    <x v="7"/>
  </r>
  <r>
    <x v="8"/>
    <x v="83"/>
    <x v="2"/>
    <x v="7"/>
    <x v="7"/>
  </r>
  <r>
    <x v="17"/>
    <x v="17"/>
    <x v="4"/>
    <x v="16"/>
    <x v="16"/>
  </r>
  <r>
    <x v="18"/>
    <x v="47"/>
    <x v="4"/>
    <x v="7"/>
    <x v="7"/>
  </r>
  <r>
    <x v="19"/>
    <x v="109"/>
    <x v="4"/>
    <x v="7"/>
    <x v="7"/>
  </r>
  <r>
    <x v="29"/>
    <x v="111"/>
    <x v="4"/>
    <x v="87"/>
    <x v="131"/>
  </r>
  <r>
    <x v="8"/>
    <x v="83"/>
    <x v="4"/>
    <x v="7"/>
    <x v="7"/>
  </r>
  <r>
    <x v="16"/>
    <x v="16"/>
    <x v="0"/>
    <x v="88"/>
    <x v="132"/>
  </r>
  <r>
    <x v="25"/>
    <x v="26"/>
    <x v="4"/>
    <x v="89"/>
    <x v="133"/>
  </r>
  <r>
    <x v="43"/>
    <x v="112"/>
    <x v="3"/>
    <x v="7"/>
    <x v="7"/>
  </r>
  <r>
    <x v="6"/>
    <x v="11"/>
    <x v="0"/>
    <x v="90"/>
    <x v="134"/>
  </r>
  <r>
    <x v="90"/>
    <x v="113"/>
    <x v="0"/>
    <x v="91"/>
    <x v="135"/>
  </r>
  <r>
    <x v="91"/>
    <x v="114"/>
    <x v="0"/>
    <x v="92"/>
    <x v="136"/>
  </r>
  <r>
    <x v="64"/>
    <x v="71"/>
    <x v="0"/>
    <x v="5"/>
    <x v="5"/>
  </r>
  <r>
    <x v="63"/>
    <x v="70"/>
    <x v="0"/>
    <x v="19"/>
    <x v="92"/>
  </r>
  <r>
    <x v="19"/>
    <x v="19"/>
    <x v="0"/>
    <x v="34"/>
    <x v="49"/>
  </r>
  <r>
    <x v="0"/>
    <x v="0"/>
    <x v="0"/>
    <x v="0"/>
    <x v="0"/>
  </r>
  <r>
    <x v="5"/>
    <x v="5"/>
    <x v="4"/>
    <x v="21"/>
    <x v="79"/>
  </r>
  <r>
    <x v="5"/>
    <x v="5"/>
    <x v="3"/>
    <x v="5"/>
    <x v="63"/>
  </r>
  <r>
    <x v="64"/>
    <x v="71"/>
    <x v="0"/>
    <x v="5"/>
    <x v="5"/>
  </r>
  <r>
    <x v="14"/>
    <x v="14"/>
    <x v="4"/>
    <x v="13"/>
    <x v="29"/>
  </r>
  <r>
    <x v="6"/>
    <x v="11"/>
    <x v="0"/>
    <x v="93"/>
    <x v="137"/>
  </r>
  <r>
    <x v="0"/>
    <x v="0"/>
    <x v="4"/>
    <x v="82"/>
    <x v="122"/>
  </r>
  <r>
    <x v="18"/>
    <x v="18"/>
    <x v="13"/>
    <x v="94"/>
    <x v="138"/>
  </r>
  <r>
    <x v="3"/>
    <x v="3"/>
    <x v="4"/>
    <x v="3"/>
    <x v="28"/>
  </r>
  <r>
    <x v="0"/>
    <x v="0"/>
    <x v="0"/>
    <x v="0"/>
    <x v="0"/>
  </r>
  <r>
    <x v="33"/>
    <x v="35"/>
    <x v="0"/>
    <x v="55"/>
    <x v="123"/>
  </r>
  <r>
    <x v="25"/>
    <x v="26"/>
    <x v="0"/>
    <x v="20"/>
    <x v="22"/>
  </r>
  <r>
    <x v="14"/>
    <x v="14"/>
    <x v="0"/>
    <x v="13"/>
    <x v="25"/>
  </r>
  <r>
    <x v="18"/>
    <x v="18"/>
    <x v="0"/>
    <x v="19"/>
    <x v="92"/>
  </r>
  <r>
    <x v="22"/>
    <x v="23"/>
    <x v="0"/>
    <x v="17"/>
    <x v="24"/>
  </r>
  <r>
    <x v="7"/>
    <x v="21"/>
    <x v="0"/>
    <x v="7"/>
    <x v="7"/>
  </r>
  <r>
    <x v="18"/>
    <x v="18"/>
    <x v="0"/>
    <x v="7"/>
    <x v="7"/>
  </r>
  <r>
    <x v="20"/>
    <x v="20"/>
    <x v="0"/>
    <x v="7"/>
    <x v="7"/>
  </r>
  <r>
    <x v="25"/>
    <x v="26"/>
    <x v="4"/>
    <x v="20"/>
    <x v="61"/>
  </r>
  <r>
    <x v="25"/>
    <x v="26"/>
    <x v="0"/>
    <x v="20"/>
    <x v="22"/>
  </r>
  <r>
    <x v="13"/>
    <x v="0"/>
    <x v="0"/>
    <x v="12"/>
    <x v="20"/>
  </r>
  <r>
    <x v="92"/>
    <x v="115"/>
    <x v="4"/>
    <x v="3"/>
    <x v="28"/>
  </r>
  <r>
    <x v="93"/>
    <x v="116"/>
    <x v="4"/>
    <x v="54"/>
    <x v="139"/>
  </r>
  <r>
    <x v="6"/>
    <x v="11"/>
    <x v="0"/>
    <x v="95"/>
    <x v="140"/>
  </r>
  <r>
    <x v="94"/>
    <x v="117"/>
    <x v="12"/>
    <x v="7"/>
    <x v="7"/>
  </r>
  <r>
    <x v="1"/>
    <x v="1"/>
    <x v="14"/>
    <x v="7"/>
    <x v="7"/>
  </r>
  <r>
    <x v="95"/>
    <x v="118"/>
    <x v="3"/>
    <x v="38"/>
    <x v="53"/>
  </r>
  <r>
    <x v="96"/>
    <x v="119"/>
    <x v="2"/>
    <x v="96"/>
    <x v="141"/>
  </r>
  <r>
    <x v="43"/>
    <x v="44"/>
    <x v="2"/>
    <x v="97"/>
    <x v="142"/>
  </r>
  <r>
    <x v="6"/>
    <x v="11"/>
    <x v="0"/>
    <x v="98"/>
    <x v="143"/>
  </r>
  <r>
    <x v="16"/>
    <x v="16"/>
    <x v="0"/>
    <x v="15"/>
    <x v="15"/>
  </r>
  <r>
    <x v="14"/>
    <x v="14"/>
    <x v="1"/>
    <x v="13"/>
    <x v="144"/>
  </r>
  <r>
    <x v="8"/>
    <x v="28"/>
    <x v="3"/>
    <x v="13"/>
    <x v="145"/>
  </r>
  <r>
    <x v="50"/>
    <x v="120"/>
    <x v="0"/>
    <x v="7"/>
    <x v="7"/>
  </r>
  <r>
    <x v="18"/>
    <x v="18"/>
    <x v="4"/>
    <x v="19"/>
    <x v="37"/>
  </r>
  <r>
    <x v="93"/>
    <x v="116"/>
    <x v="0"/>
    <x v="54"/>
    <x v="76"/>
  </r>
  <r>
    <x v="30"/>
    <x v="32"/>
    <x v="0"/>
    <x v="63"/>
    <x v="146"/>
  </r>
  <r>
    <x v="75"/>
    <x v="84"/>
    <x v="0"/>
    <x v="7"/>
    <x v="7"/>
  </r>
  <r>
    <x v="7"/>
    <x v="21"/>
    <x v="0"/>
    <x v="14"/>
    <x v="41"/>
  </r>
  <r>
    <x v="8"/>
    <x v="28"/>
    <x v="0"/>
    <x v="13"/>
    <x v="25"/>
  </r>
  <r>
    <x v="88"/>
    <x v="108"/>
    <x v="4"/>
    <x v="83"/>
    <x v="126"/>
  </r>
  <r>
    <x v="29"/>
    <x v="31"/>
    <x v="4"/>
    <x v="32"/>
    <x v="44"/>
  </r>
  <r>
    <x v="80"/>
    <x v="91"/>
    <x v="0"/>
    <x v="58"/>
    <x v="127"/>
  </r>
  <r>
    <x v="39"/>
    <x v="11"/>
    <x v="0"/>
    <x v="33"/>
    <x v="45"/>
  </r>
  <r>
    <x v="97"/>
    <x v="121"/>
    <x v="4"/>
    <x v="99"/>
    <x v="147"/>
  </r>
  <r>
    <x v="76"/>
    <x v="85"/>
    <x v="4"/>
    <x v="100"/>
    <x v="148"/>
  </r>
  <r>
    <x v="98"/>
    <x v="122"/>
    <x v="4"/>
    <x v="101"/>
    <x v="149"/>
  </r>
  <r>
    <x v="99"/>
    <x v="123"/>
    <x v="3"/>
    <x v="102"/>
    <x v="150"/>
  </r>
  <r>
    <x v="39"/>
    <x v="11"/>
    <x v="0"/>
    <x v="103"/>
    <x v="151"/>
  </r>
  <r>
    <x v="91"/>
    <x v="124"/>
    <x v="4"/>
    <x v="104"/>
    <x v="152"/>
  </r>
  <r>
    <x v="62"/>
    <x v="69"/>
    <x v="4"/>
    <x v="53"/>
    <x v="74"/>
  </r>
  <r>
    <x v="79"/>
    <x v="125"/>
    <x v="4"/>
    <x v="44"/>
    <x v="60"/>
  </r>
  <r>
    <x v="7"/>
    <x v="21"/>
    <x v="3"/>
    <x v="14"/>
    <x v="153"/>
  </r>
  <r>
    <x v="12"/>
    <x v="13"/>
    <x v="0"/>
    <x v="12"/>
    <x v="20"/>
  </r>
  <r>
    <x v="100"/>
    <x v="126"/>
    <x v="0"/>
    <x v="7"/>
    <x v="7"/>
  </r>
  <r>
    <x v="51"/>
    <x v="53"/>
    <x v="0"/>
    <x v="44"/>
    <x v="98"/>
  </r>
  <r>
    <x v="3"/>
    <x v="3"/>
    <x v="0"/>
    <x v="3"/>
    <x v="3"/>
  </r>
  <r>
    <x v="13"/>
    <x v="0"/>
    <x v="0"/>
    <x v="12"/>
    <x v="20"/>
  </r>
  <r>
    <x v="51"/>
    <x v="53"/>
    <x v="0"/>
    <x v="44"/>
    <x v="98"/>
  </r>
  <r>
    <x v="5"/>
    <x v="5"/>
    <x v="4"/>
    <x v="5"/>
    <x v="17"/>
  </r>
  <r>
    <x v="13"/>
    <x v="0"/>
    <x v="0"/>
    <x v="12"/>
    <x v="20"/>
  </r>
  <r>
    <x v="13"/>
    <x v="0"/>
    <x v="0"/>
    <x v="12"/>
    <x v="20"/>
  </r>
  <r>
    <x v="14"/>
    <x v="14"/>
    <x v="0"/>
    <x v="13"/>
    <x v="25"/>
  </r>
  <r>
    <x v="1"/>
    <x v="1"/>
    <x v="3"/>
    <x v="1"/>
    <x v="154"/>
  </r>
  <r>
    <x v="77"/>
    <x v="86"/>
    <x v="0"/>
    <x v="24"/>
    <x v="31"/>
  </r>
  <r>
    <x v="8"/>
    <x v="28"/>
    <x v="0"/>
    <x v="13"/>
    <x v="25"/>
  </r>
  <r>
    <x v="2"/>
    <x v="2"/>
    <x v="0"/>
    <x v="2"/>
    <x v="2"/>
  </r>
  <r>
    <x v="5"/>
    <x v="5"/>
    <x v="0"/>
    <x v="5"/>
    <x v="5"/>
  </r>
  <r>
    <x v="0"/>
    <x v="0"/>
    <x v="0"/>
    <x v="0"/>
    <x v="0"/>
  </r>
  <r>
    <x v="30"/>
    <x v="32"/>
    <x v="15"/>
    <x v="63"/>
    <x v="155"/>
  </r>
  <r>
    <x v="75"/>
    <x v="84"/>
    <x v="15"/>
    <x v="7"/>
    <x v="7"/>
  </r>
  <r>
    <x v="38"/>
    <x v="40"/>
    <x v="3"/>
    <x v="34"/>
    <x v="156"/>
  </r>
  <r>
    <x v="101"/>
    <x v="127"/>
    <x v="0"/>
    <x v="7"/>
    <x v="7"/>
  </r>
  <r>
    <x v="0"/>
    <x v="0"/>
    <x v="4"/>
    <x v="0"/>
    <x v="65"/>
  </r>
  <r>
    <x v="0"/>
    <x v="0"/>
    <x v="0"/>
    <x v="0"/>
    <x v="0"/>
  </r>
  <r>
    <x v="0"/>
    <x v="0"/>
    <x v="0"/>
    <x v="0"/>
    <x v="0"/>
  </r>
  <r>
    <x v="0"/>
    <x v="0"/>
    <x v="0"/>
    <x v="105"/>
    <x v="157"/>
  </r>
  <r>
    <x v="0"/>
    <x v="0"/>
    <x v="4"/>
    <x v="0"/>
    <x v="65"/>
  </r>
  <r>
    <x v="5"/>
    <x v="5"/>
    <x v="4"/>
    <x v="21"/>
    <x v="79"/>
  </r>
  <r>
    <x v="16"/>
    <x v="16"/>
    <x v="0"/>
    <x v="15"/>
    <x v="15"/>
  </r>
  <r>
    <x v="102"/>
    <x v="128"/>
    <x v="2"/>
    <x v="7"/>
    <x v="7"/>
  </r>
  <r>
    <x v="103"/>
    <x v="129"/>
    <x v="2"/>
    <x v="7"/>
    <x v="7"/>
  </r>
  <r>
    <x v="104"/>
    <x v="130"/>
    <x v="2"/>
    <x v="7"/>
    <x v="7"/>
  </r>
  <r>
    <x v="45"/>
    <x v="23"/>
    <x v="4"/>
    <x v="66"/>
    <x v="100"/>
  </r>
  <r>
    <x v="18"/>
    <x v="47"/>
    <x v="4"/>
    <x v="7"/>
    <x v="7"/>
  </r>
  <r>
    <x v="97"/>
    <x v="121"/>
    <x v="4"/>
    <x v="83"/>
    <x v="126"/>
  </r>
  <r>
    <x v="18"/>
    <x v="47"/>
    <x v="4"/>
    <x v="7"/>
    <x v="7"/>
  </r>
  <r>
    <x v="12"/>
    <x v="13"/>
    <x v="0"/>
    <x v="11"/>
    <x v="11"/>
  </r>
  <r>
    <x v="37"/>
    <x v="39"/>
    <x v="0"/>
    <x v="106"/>
    <x v="158"/>
  </r>
  <r>
    <x v="5"/>
    <x v="5"/>
    <x v="3"/>
    <x v="58"/>
    <x v="26"/>
  </r>
  <r>
    <x v="77"/>
    <x v="86"/>
    <x v="3"/>
    <x v="57"/>
    <x v="101"/>
  </r>
  <r>
    <x v="60"/>
    <x v="131"/>
    <x v="4"/>
    <x v="7"/>
    <x v="7"/>
  </r>
  <r>
    <x v="8"/>
    <x v="132"/>
    <x v="3"/>
    <x v="7"/>
    <x v="7"/>
  </r>
  <r>
    <x v="68"/>
    <x v="75"/>
    <x v="0"/>
    <x v="59"/>
    <x v="159"/>
  </r>
  <r>
    <x v="105"/>
    <x v="133"/>
    <x v="6"/>
    <x v="7"/>
    <x v="7"/>
  </r>
  <r>
    <x v="70"/>
    <x v="77"/>
    <x v="0"/>
    <x v="7"/>
    <x v="7"/>
  </r>
  <r>
    <x v="6"/>
    <x v="11"/>
    <x v="0"/>
    <x v="107"/>
    <x v="160"/>
  </r>
  <r>
    <x v="62"/>
    <x v="69"/>
    <x v="4"/>
    <x v="69"/>
    <x v="104"/>
  </r>
  <r>
    <x v="106"/>
    <x v="134"/>
    <x v="2"/>
    <x v="108"/>
    <x v="161"/>
  </r>
  <r>
    <x v="107"/>
    <x v="135"/>
    <x v="7"/>
    <x v="68"/>
    <x v="162"/>
  </r>
  <r>
    <x v="29"/>
    <x v="136"/>
    <x v="6"/>
    <x v="32"/>
    <x v="163"/>
  </r>
  <r>
    <x v="3"/>
    <x v="3"/>
    <x v="3"/>
    <x v="109"/>
    <x v="164"/>
  </r>
  <r>
    <x v="18"/>
    <x v="18"/>
    <x v="0"/>
    <x v="19"/>
    <x v="92"/>
  </r>
  <r>
    <x v="2"/>
    <x v="2"/>
    <x v="0"/>
    <x v="2"/>
    <x v="2"/>
  </r>
  <r>
    <x v="4"/>
    <x v="4"/>
    <x v="0"/>
    <x v="4"/>
    <x v="4"/>
  </r>
  <r>
    <x v="12"/>
    <x v="13"/>
    <x v="0"/>
    <x v="12"/>
    <x v="20"/>
  </r>
  <r>
    <x v="22"/>
    <x v="23"/>
    <x v="4"/>
    <x v="17"/>
    <x v="34"/>
  </r>
  <r>
    <x v="7"/>
    <x v="21"/>
    <x v="4"/>
    <x v="7"/>
    <x v="7"/>
  </r>
  <r>
    <x v="18"/>
    <x v="18"/>
    <x v="4"/>
    <x v="7"/>
    <x v="7"/>
  </r>
  <r>
    <x v="20"/>
    <x v="20"/>
    <x v="4"/>
    <x v="7"/>
    <x v="7"/>
  </r>
  <r>
    <x v="25"/>
    <x v="26"/>
    <x v="1"/>
    <x v="20"/>
    <x v="62"/>
  </r>
  <r>
    <x v="108"/>
    <x v="137"/>
    <x v="3"/>
    <x v="110"/>
    <x v="165"/>
  </r>
  <r>
    <x v="109"/>
    <x v="138"/>
    <x v="0"/>
    <x v="54"/>
    <x v="76"/>
  </r>
  <r>
    <x v="25"/>
    <x v="26"/>
    <x v="4"/>
    <x v="20"/>
    <x v="61"/>
  </r>
  <r>
    <x v="44"/>
    <x v="45"/>
    <x v="0"/>
    <x v="35"/>
    <x v="50"/>
  </r>
  <r>
    <x v="2"/>
    <x v="2"/>
    <x v="0"/>
    <x v="2"/>
    <x v="2"/>
  </r>
  <r>
    <x v="63"/>
    <x v="70"/>
    <x v="4"/>
    <x v="19"/>
    <x v="37"/>
  </r>
  <r>
    <x v="44"/>
    <x v="45"/>
    <x v="0"/>
    <x v="35"/>
    <x v="50"/>
  </r>
  <r>
    <x v="110"/>
    <x v="11"/>
    <x v="0"/>
    <x v="111"/>
    <x v="166"/>
  </r>
  <r>
    <x v="39"/>
    <x v="11"/>
    <x v="0"/>
    <x v="112"/>
    <x v="167"/>
  </r>
  <r>
    <x v="111"/>
    <x v="139"/>
    <x v="7"/>
    <x v="77"/>
    <x v="114"/>
  </r>
  <r>
    <x v="31"/>
    <x v="140"/>
    <x v="7"/>
    <x v="7"/>
    <x v="7"/>
  </r>
  <r>
    <x v="107"/>
    <x v="141"/>
    <x v="0"/>
    <x v="46"/>
    <x v="67"/>
  </r>
  <r>
    <x v="18"/>
    <x v="18"/>
    <x v="4"/>
    <x v="19"/>
    <x v="37"/>
  </r>
  <r>
    <x v="19"/>
    <x v="19"/>
    <x v="4"/>
    <x v="34"/>
    <x v="75"/>
  </r>
  <r>
    <x v="112"/>
    <x v="142"/>
    <x v="0"/>
    <x v="55"/>
    <x v="123"/>
  </r>
  <r>
    <x v="19"/>
    <x v="19"/>
    <x v="0"/>
    <x v="34"/>
    <x v="49"/>
  </r>
  <r>
    <x v="43"/>
    <x v="44"/>
    <x v="0"/>
    <x v="34"/>
    <x v="49"/>
  </r>
  <r>
    <x v="42"/>
    <x v="43"/>
    <x v="0"/>
    <x v="34"/>
    <x v="49"/>
  </r>
  <r>
    <x v="16"/>
    <x v="16"/>
    <x v="0"/>
    <x v="15"/>
    <x v="15"/>
  </r>
  <r>
    <x v="51"/>
    <x v="53"/>
    <x v="0"/>
    <x v="44"/>
    <x v="98"/>
  </r>
  <r>
    <x v="39"/>
    <x v="11"/>
    <x v="0"/>
    <x v="113"/>
    <x v="168"/>
  </r>
  <r>
    <x v="88"/>
    <x v="108"/>
    <x v="7"/>
    <x v="114"/>
    <x v="169"/>
  </r>
  <r>
    <x v="7"/>
    <x v="66"/>
    <x v="7"/>
    <x v="7"/>
    <x v="7"/>
  </r>
  <r>
    <x v="7"/>
    <x v="143"/>
    <x v="0"/>
    <x v="115"/>
    <x v="170"/>
  </r>
  <r>
    <x v="18"/>
    <x v="47"/>
    <x v="7"/>
    <x v="7"/>
    <x v="7"/>
  </r>
  <r>
    <x v="19"/>
    <x v="109"/>
    <x v="7"/>
    <x v="7"/>
    <x v="7"/>
  </r>
  <r>
    <x v="76"/>
    <x v="85"/>
    <x v="7"/>
    <x v="116"/>
    <x v="171"/>
  </r>
  <r>
    <x v="68"/>
    <x v="75"/>
    <x v="0"/>
    <x v="59"/>
    <x v="159"/>
  </r>
  <r>
    <x v="105"/>
    <x v="144"/>
    <x v="6"/>
    <x v="7"/>
    <x v="7"/>
  </r>
  <r>
    <x v="70"/>
    <x v="77"/>
    <x v="0"/>
    <x v="7"/>
    <x v="7"/>
  </r>
  <r>
    <x v="6"/>
    <x v="11"/>
    <x v="0"/>
    <x v="117"/>
    <x v="172"/>
  </r>
  <r>
    <x v="113"/>
    <x v="145"/>
    <x v="0"/>
    <x v="118"/>
    <x v="173"/>
  </r>
  <r>
    <x v="114"/>
    <x v="146"/>
    <x v="0"/>
    <x v="119"/>
    <x v="174"/>
  </r>
  <r>
    <x v="73"/>
    <x v="81"/>
    <x v="0"/>
    <x v="120"/>
    <x v="175"/>
  </r>
  <r>
    <x v="6"/>
    <x v="11"/>
    <x v="0"/>
    <x v="13"/>
    <x v="25"/>
  </r>
  <r>
    <x v="79"/>
    <x v="147"/>
    <x v="0"/>
    <x v="121"/>
    <x v="176"/>
  </r>
  <r>
    <x v="5"/>
    <x v="5"/>
    <x v="6"/>
    <x v="5"/>
    <x v="26"/>
  </r>
  <r>
    <x v="45"/>
    <x v="23"/>
    <x v="4"/>
    <x v="73"/>
    <x v="108"/>
  </r>
  <r>
    <x v="7"/>
    <x v="21"/>
    <x v="4"/>
    <x v="7"/>
    <x v="7"/>
  </r>
  <r>
    <x v="18"/>
    <x v="18"/>
    <x v="4"/>
    <x v="7"/>
    <x v="7"/>
  </r>
  <r>
    <x v="20"/>
    <x v="20"/>
    <x v="4"/>
    <x v="7"/>
    <x v="7"/>
  </r>
  <r>
    <x v="12"/>
    <x v="13"/>
    <x v="0"/>
    <x v="12"/>
    <x v="20"/>
  </r>
  <r>
    <x v="5"/>
    <x v="5"/>
    <x v="0"/>
    <x v="5"/>
    <x v="5"/>
  </r>
  <r>
    <x v="71"/>
    <x v="87"/>
    <x v="0"/>
    <x v="23"/>
    <x v="177"/>
  </r>
  <r>
    <x v="8"/>
    <x v="28"/>
    <x v="0"/>
    <x v="13"/>
    <x v="25"/>
  </r>
  <r>
    <x v="21"/>
    <x v="22"/>
    <x v="4"/>
    <x v="5"/>
    <x v="17"/>
  </r>
  <r>
    <x v="6"/>
    <x v="11"/>
    <x v="0"/>
    <x v="122"/>
    <x v="178"/>
  </r>
  <r>
    <x v="18"/>
    <x v="148"/>
    <x v="16"/>
    <x v="75"/>
    <x v="179"/>
  </r>
  <r>
    <x v="2"/>
    <x v="2"/>
    <x v="0"/>
    <x v="2"/>
    <x v="2"/>
  </r>
  <r>
    <x v="65"/>
    <x v="72"/>
    <x v="4"/>
    <x v="54"/>
    <x v="139"/>
  </r>
  <r>
    <x v="7"/>
    <x v="21"/>
    <x v="0"/>
    <x v="14"/>
    <x v="41"/>
  </r>
  <r>
    <x v="0"/>
    <x v="0"/>
    <x v="0"/>
    <x v="0"/>
    <x v="0"/>
  </r>
  <r>
    <x v="5"/>
    <x v="5"/>
    <x v="0"/>
    <x v="5"/>
    <x v="5"/>
  </r>
  <r>
    <x v="2"/>
    <x v="2"/>
    <x v="0"/>
    <x v="2"/>
    <x v="2"/>
  </r>
  <r>
    <x v="13"/>
    <x v="0"/>
    <x v="0"/>
    <x v="12"/>
    <x v="20"/>
  </r>
  <r>
    <x v="25"/>
    <x v="26"/>
    <x v="0"/>
    <x v="20"/>
    <x v="22"/>
  </r>
  <r>
    <x v="50"/>
    <x v="149"/>
    <x v="0"/>
    <x v="123"/>
    <x v="180"/>
  </r>
  <r>
    <x v="89"/>
    <x v="110"/>
    <x v="6"/>
    <x v="7"/>
    <x v="7"/>
  </r>
  <r>
    <x v="13"/>
    <x v="0"/>
    <x v="0"/>
    <x v="12"/>
    <x v="20"/>
  </r>
  <r>
    <x v="37"/>
    <x v="39"/>
    <x v="0"/>
    <x v="30"/>
    <x v="42"/>
  </r>
  <r>
    <x v="115"/>
    <x v="150"/>
    <x v="4"/>
    <x v="7"/>
    <x v="7"/>
  </r>
  <r>
    <x v="6"/>
    <x v="11"/>
    <x v="0"/>
    <x v="124"/>
    <x v="181"/>
  </r>
  <r>
    <x v="37"/>
    <x v="39"/>
    <x v="0"/>
    <x v="106"/>
    <x v="158"/>
  </r>
</pivotCacheRecords>
</file>

<file path=xl/pivotCache/pivotCacheRecords7.xml><?xml version="1.0" encoding="utf-8"?>
<pivotCacheRecords xmlns:r="http://schemas.openxmlformats.org/officeDocument/2006/relationships" xmlns="http://schemas.openxmlformats.org/spreadsheetml/2006/main" count="346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0"/>
    <x v="0"/>
    <x v="0"/>
    <x v="2"/>
    <x v="2"/>
    <x v="0"/>
    <x v="1"/>
    <x v="1"/>
  </r>
  <r>
    <x v="0"/>
    <x v="0"/>
    <x v="0"/>
    <x v="3"/>
    <x v="3"/>
    <x v="0"/>
    <x v="1"/>
    <x v="1"/>
  </r>
  <r>
    <x v="0"/>
    <x v="0"/>
    <x v="0"/>
    <x v="4"/>
    <x v="4"/>
    <x v="0"/>
    <x v="2"/>
    <x v="2"/>
  </r>
  <r>
    <x v="0"/>
    <x v="0"/>
    <x v="0"/>
    <x v="5"/>
    <x v="5"/>
    <x v="0"/>
    <x v="3"/>
    <x v="3"/>
  </r>
  <r>
    <x v="0"/>
    <x v="0"/>
    <x v="0"/>
    <x v="5"/>
    <x v="5"/>
    <x v="1"/>
    <x v="3"/>
    <x v="4"/>
  </r>
  <r>
    <x v="1"/>
    <x v="1"/>
    <x v="1"/>
    <x v="6"/>
    <x v="6"/>
    <x v="2"/>
    <x v="4"/>
    <x v="5"/>
  </r>
  <r>
    <x v="2"/>
    <x v="2"/>
    <x v="2"/>
    <x v="7"/>
    <x v="7"/>
    <x v="3"/>
    <x v="5"/>
    <x v="6"/>
  </r>
  <r>
    <x v="3"/>
    <x v="3"/>
    <x v="3"/>
    <x v="8"/>
    <x v="8"/>
    <x v="2"/>
    <x v="6"/>
    <x v="7"/>
  </r>
  <r>
    <x v="3"/>
    <x v="3"/>
    <x v="3"/>
    <x v="7"/>
    <x v="7"/>
    <x v="2"/>
    <x v="7"/>
    <x v="8"/>
  </r>
  <r>
    <x v="4"/>
    <x v="4"/>
    <x v="4"/>
    <x v="9"/>
    <x v="9"/>
    <x v="2"/>
    <x v="8"/>
    <x v="9"/>
  </r>
  <r>
    <x v="5"/>
    <x v="5"/>
    <x v="5"/>
    <x v="10"/>
    <x v="10"/>
    <x v="2"/>
    <x v="9"/>
    <x v="10"/>
  </r>
  <r>
    <x v="5"/>
    <x v="5"/>
    <x v="5"/>
    <x v="11"/>
    <x v="11"/>
    <x v="2"/>
    <x v="10"/>
    <x v="11"/>
  </r>
  <r>
    <x v="5"/>
    <x v="5"/>
    <x v="5"/>
    <x v="7"/>
    <x v="7"/>
    <x v="2"/>
    <x v="7"/>
    <x v="8"/>
  </r>
  <r>
    <x v="6"/>
    <x v="6"/>
    <x v="6"/>
    <x v="7"/>
    <x v="7"/>
    <x v="2"/>
    <x v="5"/>
    <x v="12"/>
  </r>
  <r>
    <x v="7"/>
    <x v="7"/>
    <x v="7"/>
    <x v="11"/>
    <x v="11"/>
    <x v="2"/>
    <x v="10"/>
    <x v="11"/>
  </r>
  <r>
    <x v="8"/>
    <x v="8"/>
    <x v="8"/>
    <x v="12"/>
    <x v="12"/>
    <x v="2"/>
    <x v="11"/>
    <x v="13"/>
  </r>
  <r>
    <x v="8"/>
    <x v="8"/>
    <x v="8"/>
    <x v="13"/>
    <x v="13"/>
    <x v="1"/>
    <x v="12"/>
    <x v="14"/>
  </r>
  <r>
    <x v="8"/>
    <x v="8"/>
    <x v="8"/>
    <x v="1"/>
    <x v="14"/>
    <x v="1"/>
    <x v="1"/>
    <x v="1"/>
  </r>
  <r>
    <x v="8"/>
    <x v="8"/>
    <x v="8"/>
    <x v="14"/>
    <x v="15"/>
    <x v="4"/>
    <x v="1"/>
    <x v="1"/>
  </r>
  <r>
    <x v="8"/>
    <x v="8"/>
    <x v="8"/>
    <x v="14"/>
    <x v="16"/>
    <x v="5"/>
    <x v="13"/>
    <x v="15"/>
  </r>
  <r>
    <x v="8"/>
    <x v="8"/>
    <x v="8"/>
    <x v="15"/>
    <x v="17"/>
    <x v="6"/>
    <x v="14"/>
    <x v="16"/>
  </r>
  <r>
    <x v="8"/>
    <x v="8"/>
    <x v="8"/>
    <x v="16"/>
    <x v="18"/>
    <x v="4"/>
    <x v="15"/>
    <x v="17"/>
  </r>
  <r>
    <x v="8"/>
    <x v="8"/>
    <x v="8"/>
    <x v="17"/>
    <x v="19"/>
    <x v="7"/>
    <x v="16"/>
    <x v="18"/>
  </r>
  <r>
    <x v="8"/>
    <x v="8"/>
    <x v="8"/>
    <x v="18"/>
    <x v="20"/>
    <x v="7"/>
    <x v="17"/>
    <x v="19"/>
  </r>
  <r>
    <x v="8"/>
    <x v="8"/>
    <x v="8"/>
    <x v="19"/>
    <x v="21"/>
    <x v="2"/>
    <x v="18"/>
    <x v="20"/>
  </r>
  <r>
    <x v="9"/>
    <x v="9"/>
    <x v="9"/>
    <x v="20"/>
    <x v="22"/>
    <x v="2"/>
    <x v="19"/>
    <x v="21"/>
  </r>
  <r>
    <x v="10"/>
    <x v="10"/>
    <x v="10"/>
    <x v="11"/>
    <x v="11"/>
    <x v="2"/>
    <x v="10"/>
    <x v="11"/>
  </r>
  <r>
    <x v="10"/>
    <x v="10"/>
    <x v="10"/>
    <x v="21"/>
    <x v="23"/>
    <x v="0"/>
    <x v="20"/>
    <x v="22"/>
  </r>
  <r>
    <x v="10"/>
    <x v="10"/>
    <x v="10"/>
    <x v="6"/>
    <x v="6"/>
    <x v="0"/>
    <x v="1"/>
    <x v="1"/>
  </r>
  <r>
    <x v="10"/>
    <x v="10"/>
    <x v="10"/>
    <x v="1"/>
    <x v="1"/>
    <x v="0"/>
    <x v="1"/>
    <x v="1"/>
  </r>
  <r>
    <x v="10"/>
    <x v="10"/>
    <x v="10"/>
    <x v="3"/>
    <x v="3"/>
    <x v="0"/>
    <x v="1"/>
    <x v="1"/>
  </r>
  <r>
    <x v="10"/>
    <x v="10"/>
    <x v="10"/>
    <x v="20"/>
    <x v="22"/>
    <x v="2"/>
    <x v="19"/>
    <x v="21"/>
  </r>
  <r>
    <x v="10"/>
    <x v="10"/>
    <x v="10"/>
    <x v="7"/>
    <x v="7"/>
    <x v="2"/>
    <x v="7"/>
    <x v="8"/>
  </r>
  <r>
    <x v="11"/>
    <x v="11"/>
    <x v="11"/>
    <x v="22"/>
    <x v="24"/>
    <x v="2"/>
    <x v="21"/>
    <x v="23"/>
  </r>
  <r>
    <x v="12"/>
    <x v="12"/>
    <x v="12"/>
    <x v="23"/>
    <x v="23"/>
    <x v="1"/>
    <x v="22"/>
    <x v="24"/>
  </r>
  <r>
    <x v="12"/>
    <x v="12"/>
    <x v="12"/>
    <x v="6"/>
    <x v="6"/>
    <x v="1"/>
    <x v="1"/>
    <x v="1"/>
  </r>
  <r>
    <x v="12"/>
    <x v="12"/>
    <x v="12"/>
    <x v="1"/>
    <x v="1"/>
    <x v="1"/>
    <x v="1"/>
    <x v="1"/>
  </r>
  <r>
    <x v="12"/>
    <x v="12"/>
    <x v="12"/>
    <x v="3"/>
    <x v="3"/>
    <x v="1"/>
    <x v="1"/>
    <x v="1"/>
  </r>
  <r>
    <x v="13"/>
    <x v="13"/>
    <x v="13"/>
    <x v="7"/>
    <x v="7"/>
    <x v="2"/>
    <x v="5"/>
    <x v="12"/>
  </r>
  <r>
    <x v="14"/>
    <x v="14"/>
    <x v="14"/>
    <x v="22"/>
    <x v="24"/>
    <x v="0"/>
    <x v="21"/>
    <x v="25"/>
  </r>
  <r>
    <x v="15"/>
    <x v="15"/>
    <x v="15"/>
    <x v="9"/>
    <x v="9"/>
    <x v="0"/>
    <x v="8"/>
    <x v="26"/>
  </r>
  <r>
    <x v="16"/>
    <x v="16"/>
    <x v="16"/>
    <x v="24"/>
    <x v="25"/>
    <x v="2"/>
    <x v="23"/>
    <x v="27"/>
  </r>
  <r>
    <x v="16"/>
    <x v="16"/>
    <x v="16"/>
    <x v="20"/>
    <x v="22"/>
    <x v="2"/>
    <x v="19"/>
    <x v="21"/>
  </r>
  <r>
    <x v="17"/>
    <x v="17"/>
    <x v="17"/>
    <x v="25"/>
    <x v="26"/>
    <x v="0"/>
    <x v="24"/>
    <x v="28"/>
  </r>
  <r>
    <x v="17"/>
    <x v="17"/>
    <x v="17"/>
    <x v="26"/>
    <x v="27"/>
    <x v="0"/>
    <x v="1"/>
    <x v="1"/>
  </r>
  <r>
    <x v="17"/>
    <x v="17"/>
    <x v="17"/>
    <x v="6"/>
    <x v="6"/>
    <x v="0"/>
    <x v="4"/>
    <x v="29"/>
  </r>
  <r>
    <x v="17"/>
    <x v="17"/>
    <x v="17"/>
    <x v="27"/>
    <x v="28"/>
    <x v="0"/>
    <x v="1"/>
    <x v="1"/>
  </r>
  <r>
    <x v="18"/>
    <x v="18"/>
    <x v="17"/>
    <x v="28"/>
    <x v="12"/>
    <x v="2"/>
    <x v="25"/>
    <x v="30"/>
  </r>
  <r>
    <x v="18"/>
    <x v="18"/>
    <x v="17"/>
    <x v="29"/>
    <x v="29"/>
    <x v="2"/>
    <x v="26"/>
    <x v="31"/>
  </r>
  <r>
    <x v="19"/>
    <x v="19"/>
    <x v="17"/>
    <x v="30"/>
    <x v="12"/>
    <x v="2"/>
    <x v="27"/>
    <x v="32"/>
  </r>
  <r>
    <x v="19"/>
    <x v="19"/>
    <x v="17"/>
    <x v="31"/>
    <x v="30"/>
    <x v="2"/>
    <x v="28"/>
    <x v="33"/>
  </r>
  <r>
    <x v="19"/>
    <x v="19"/>
    <x v="17"/>
    <x v="2"/>
    <x v="31"/>
    <x v="1"/>
    <x v="29"/>
    <x v="34"/>
  </r>
  <r>
    <x v="19"/>
    <x v="19"/>
    <x v="17"/>
    <x v="32"/>
    <x v="32"/>
    <x v="1"/>
    <x v="1"/>
    <x v="1"/>
  </r>
  <r>
    <x v="19"/>
    <x v="19"/>
    <x v="17"/>
    <x v="33"/>
    <x v="33"/>
    <x v="0"/>
    <x v="1"/>
    <x v="1"/>
  </r>
  <r>
    <x v="19"/>
    <x v="19"/>
    <x v="17"/>
    <x v="22"/>
    <x v="24"/>
    <x v="1"/>
    <x v="30"/>
    <x v="35"/>
  </r>
  <r>
    <x v="20"/>
    <x v="20"/>
    <x v="18"/>
    <x v="11"/>
    <x v="11"/>
    <x v="2"/>
    <x v="10"/>
    <x v="11"/>
  </r>
  <r>
    <x v="21"/>
    <x v="21"/>
    <x v="19"/>
    <x v="9"/>
    <x v="9"/>
    <x v="8"/>
    <x v="8"/>
    <x v="36"/>
  </r>
  <r>
    <x v="22"/>
    <x v="22"/>
    <x v="20"/>
    <x v="7"/>
    <x v="7"/>
    <x v="0"/>
    <x v="5"/>
    <x v="37"/>
  </r>
  <r>
    <x v="23"/>
    <x v="23"/>
    <x v="21"/>
    <x v="10"/>
    <x v="10"/>
    <x v="0"/>
    <x v="9"/>
    <x v="38"/>
  </r>
  <r>
    <x v="24"/>
    <x v="4"/>
    <x v="22"/>
    <x v="34"/>
    <x v="34"/>
    <x v="2"/>
    <x v="31"/>
    <x v="39"/>
  </r>
  <r>
    <x v="24"/>
    <x v="4"/>
    <x v="22"/>
    <x v="27"/>
    <x v="35"/>
    <x v="0"/>
    <x v="31"/>
    <x v="40"/>
  </r>
  <r>
    <x v="24"/>
    <x v="4"/>
    <x v="22"/>
    <x v="7"/>
    <x v="7"/>
    <x v="0"/>
    <x v="5"/>
    <x v="37"/>
  </r>
  <r>
    <x v="24"/>
    <x v="4"/>
    <x v="22"/>
    <x v="9"/>
    <x v="9"/>
    <x v="2"/>
    <x v="8"/>
    <x v="9"/>
  </r>
  <r>
    <x v="25"/>
    <x v="24"/>
    <x v="23"/>
    <x v="35"/>
    <x v="36"/>
    <x v="1"/>
    <x v="32"/>
    <x v="41"/>
  </r>
  <r>
    <x v="26"/>
    <x v="25"/>
    <x v="24"/>
    <x v="36"/>
    <x v="12"/>
    <x v="2"/>
    <x v="33"/>
    <x v="42"/>
  </r>
  <r>
    <x v="26"/>
    <x v="25"/>
    <x v="24"/>
    <x v="37"/>
    <x v="37"/>
    <x v="0"/>
    <x v="1"/>
    <x v="1"/>
  </r>
  <r>
    <x v="26"/>
    <x v="25"/>
    <x v="24"/>
    <x v="38"/>
    <x v="38"/>
    <x v="0"/>
    <x v="34"/>
    <x v="43"/>
  </r>
  <r>
    <x v="26"/>
    <x v="25"/>
    <x v="24"/>
    <x v="39"/>
    <x v="39"/>
    <x v="0"/>
    <x v="1"/>
    <x v="1"/>
  </r>
  <r>
    <x v="26"/>
    <x v="25"/>
    <x v="24"/>
    <x v="40"/>
    <x v="40"/>
    <x v="2"/>
    <x v="34"/>
    <x v="44"/>
  </r>
  <r>
    <x v="26"/>
    <x v="25"/>
    <x v="24"/>
    <x v="41"/>
    <x v="41"/>
    <x v="2"/>
    <x v="35"/>
    <x v="45"/>
  </r>
  <r>
    <x v="26"/>
    <x v="25"/>
    <x v="24"/>
    <x v="42"/>
    <x v="42"/>
    <x v="1"/>
    <x v="36"/>
    <x v="46"/>
  </r>
  <r>
    <x v="27"/>
    <x v="26"/>
    <x v="25"/>
    <x v="11"/>
    <x v="11"/>
    <x v="2"/>
    <x v="10"/>
    <x v="11"/>
  </r>
  <r>
    <x v="28"/>
    <x v="22"/>
    <x v="26"/>
    <x v="43"/>
    <x v="43"/>
    <x v="2"/>
    <x v="5"/>
    <x v="12"/>
  </r>
  <r>
    <x v="29"/>
    <x v="27"/>
    <x v="27"/>
    <x v="44"/>
    <x v="44"/>
    <x v="0"/>
    <x v="37"/>
    <x v="47"/>
  </r>
  <r>
    <x v="29"/>
    <x v="27"/>
    <x v="27"/>
    <x v="0"/>
    <x v="0"/>
    <x v="0"/>
    <x v="0"/>
    <x v="0"/>
  </r>
  <r>
    <x v="29"/>
    <x v="27"/>
    <x v="27"/>
    <x v="1"/>
    <x v="1"/>
    <x v="0"/>
    <x v="1"/>
    <x v="1"/>
  </r>
  <r>
    <x v="29"/>
    <x v="27"/>
    <x v="27"/>
    <x v="2"/>
    <x v="2"/>
    <x v="0"/>
    <x v="1"/>
    <x v="1"/>
  </r>
  <r>
    <x v="29"/>
    <x v="27"/>
    <x v="27"/>
    <x v="3"/>
    <x v="3"/>
    <x v="0"/>
    <x v="1"/>
    <x v="1"/>
  </r>
  <r>
    <x v="29"/>
    <x v="27"/>
    <x v="27"/>
    <x v="4"/>
    <x v="4"/>
    <x v="0"/>
    <x v="2"/>
    <x v="2"/>
  </r>
  <r>
    <x v="30"/>
    <x v="28"/>
    <x v="28"/>
    <x v="28"/>
    <x v="12"/>
    <x v="2"/>
    <x v="38"/>
    <x v="48"/>
  </r>
  <r>
    <x v="30"/>
    <x v="28"/>
    <x v="28"/>
    <x v="20"/>
    <x v="22"/>
    <x v="0"/>
    <x v="39"/>
    <x v="49"/>
  </r>
  <r>
    <x v="30"/>
    <x v="28"/>
    <x v="28"/>
    <x v="45"/>
    <x v="45"/>
    <x v="3"/>
    <x v="40"/>
    <x v="50"/>
  </r>
  <r>
    <x v="31"/>
    <x v="29"/>
    <x v="29"/>
    <x v="46"/>
    <x v="46"/>
    <x v="2"/>
    <x v="37"/>
    <x v="51"/>
  </r>
  <r>
    <x v="32"/>
    <x v="30"/>
    <x v="30"/>
    <x v="7"/>
    <x v="7"/>
    <x v="2"/>
    <x v="5"/>
    <x v="12"/>
  </r>
  <r>
    <x v="33"/>
    <x v="31"/>
    <x v="31"/>
    <x v="47"/>
    <x v="47"/>
    <x v="2"/>
    <x v="41"/>
    <x v="52"/>
  </r>
  <r>
    <x v="34"/>
    <x v="32"/>
    <x v="32"/>
    <x v="20"/>
    <x v="22"/>
    <x v="2"/>
    <x v="19"/>
    <x v="21"/>
  </r>
  <r>
    <x v="35"/>
    <x v="33"/>
    <x v="33"/>
    <x v="12"/>
    <x v="12"/>
    <x v="2"/>
    <x v="42"/>
    <x v="2"/>
  </r>
  <r>
    <x v="35"/>
    <x v="33"/>
    <x v="33"/>
    <x v="48"/>
    <x v="48"/>
    <x v="9"/>
    <x v="43"/>
    <x v="2"/>
  </r>
  <r>
    <x v="35"/>
    <x v="33"/>
    <x v="33"/>
    <x v="49"/>
    <x v="48"/>
    <x v="10"/>
    <x v="43"/>
    <x v="53"/>
  </r>
  <r>
    <x v="35"/>
    <x v="33"/>
    <x v="33"/>
    <x v="50"/>
    <x v="48"/>
    <x v="10"/>
    <x v="43"/>
    <x v="53"/>
  </r>
  <r>
    <x v="35"/>
    <x v="33"/>
    <x v="33"/>
    <x v="51"/>
    <x v="48"/>
    <x v="11"/>
    <x v="43"/>
    <x v="54"/>
  </r>
  <r>
    <x v="35"/>
    <x v="33"/>
    <x v="33"/>
    <x v="52"/>
    <x v="48"/>
    <x v="10"/>
    <x v="43"/>
    <x v="53"/>
  </r>
  <r>
    <x v="35"/>
    <x v="33"/>
    <x v="33"/>
    <x v="53"/>
    <x v="48"/>
    <x v="12"/>
    <x v="43"/>
    <x v="55"/>
  </r>
  <r>
    <x v="35"/>
    <x v="33"/>
    <x v="33"/>
    <x v="54"/>
    <x v="48"/>
    <x v="12"/>
    <x v="43"/>
    <x v="55"/>
  </r>
  <r>
    <x v="35"/>
    <x v="33"/>
    <x v="33"/>
    <x v="55"/>
    <x v="48"/>
    <x v="13"/>
    <x v="43"/>
    <x v="56"/>
  </r>
  <r>
    <x v="35"/>
    <x v="33"/>
    <x v="33"/>
    <x v="56"/>
    <x v="48"/>
    <x v="14"/>
    <x v="43"/>
    <x v="57"/>
  </r>
  <r>
    <x v="35"/>
    <x v="33"/>
    <x v="33"/>
    <x v="57"/>
    <x v="48"/>
    <x v="15"/>
    <x v="43"/>
    <x v="58"/>
  </r>
  <r>
    <x v="36"/>
    <x v="34"/>
    <x v="33"/>
    <x v="58"/>
    <x v="49"/>
    <x v="2"/>
    <x v="1"/>
    <x v="1"/>
  </r>
  <r>
    <x v="36"/>
    <x v="34"/>
    <x v="33"/>
    <x v="59"/>
    <x v="50"/>
    <x v="2"/>
    <x v="1"/>
    <x v="1"/>
  </r>
  <r>
    <x v="37"/>
    <x v="35"/>
    <x v="34"/>
    <x v="35"/>
    <x v="36"/>
    <x v="7"/>
    <x v="32"/>
    <x v="59"/>
  </r>
  <r>
    <x v="38"/>
    <x v="36"/>
    <x v="35"/>
    <x v="11"/>
    <x v="11"/>
    <x v="2"/>
    <x v="10"/>
    <x v="11"/>
  </r>
  <r>
    <x v="39"/>
    <x v="37"/>
    <x v="36"/>
    <x v="9"/>
    <x v="9"/>
    <x v="1"/>
    <x v="8"/>
    <x v="60"/>
  </r>
  <r>
    <x v="40"/>
    <x v="38"/>
    <x v="37"/>
    <x v="60"/>
    <x v="51"/>
    <x v="1"/>
    <x v="44"/>
    <x v="61"/>
  </r>
  <r>
    <x v="40"/>
    <x v="38"/>
    <x v="37"/>
    <x v="61"/>
    <x v="52"/>
    <x v="1"/>
    <x v="45"/>
    <x v="62"/>
  </r>
  <r>
    <x v="40"/>
    <x v="38"/>
    <x v="37"/>
    <x v="62"/>
    <x v="53"/>
    <x v="16"/>
    <x v="46"/>
    <x v="63"/>
  </r>
  <r>
    <x v="41"/>
    <x v="39"/>
    <x v="38"/>
    <x v="43"/>
    <x v="43"/>
    <x v="2"/>
    <x v="5"/>
    <x v="12"/>
  </r>
  <r>
    <x v="42"/>
    <x v="40"/>
    <x v="39"/>
    <x v="11"/>
    <x v="11"/>
    <x v="0"/>
    <x v="10"/>
    <x v="64"/>
  </r>
  <r>
    <x v="43"/>
    <x v="41"/>
    <x v="40"/>
    <x v="43"/>
    <x v="43"/>
    <x v="3"/>
    <x v="5"/>
    <x v="6"/>
  </r>
  <r>
    <x v="44"/>
    <x v="42"/>
    <x v="41"/>
    <x v="63"/>
    <x v="54"/>
    <x v="0"/>
    <x v="47"/>
    <x v="65"/>
  </r>
  <r>
    <x v="44"/>
    <x v="42"/>
    <x v="41"/>
    <x v="20"/>
    <x v="22"/>
    <x v="2"/>
    <x v="19"/>
    <x v="21"/>
  </r>
  <r>
    <x v="44"/>
    <x v="42"/>
    <x v="41"/>
    <x v="21"/>
    <x v="23"/>
    <x v="0"/>
    <x v="20"/>
    <x v="22"/>
  </r>
  <r>
    <x v="44"/>
    <x v="42"/>
    <x v="41"/>
    <x v="1"/>
    <x v="1"/>
    <x v="0"/>
    <x v="1"/>
    <x v="1"/>
  </r>
  <r>
    <x v="45"/>
    <x v="43"/>
    <x v="41"/>
    <x v="64"/>
    <x v="55"/>
    <x v="7"/>
    <x v="18"/>
    <x v="66"/>
  </r>
  <r>
    <x v="46"/>
    <x v="44"/>
    <x v="41"/>
    <x v="47"/>
    <x v="56"/>
    <x v="0"/>
    <x v="1"/>
    <x v="1"/>
  </r>
  <r>
    <x v="47"/>
    <x v="8"/>
    <x v="41"/>
    <x v="28"/>
    <x v="12"/>
    <x v="2"/>
    <x v="48"/>
    <x v="67"/>
  </r>
  <r>
    <x v="47"/>
    <x v="8"/>
    <x v="41"/>
    <x v="65"/>
    <x v="57"/>
    <x v="7"/>
    <x v="49"/>
    <x v="68"/>
  </r>
  <r>
    <x v="47"/>
    <x v="8"/>
    <x v="41"/>
    <x v="26"/>
    <x v="27"/>
    <x v="7"/>
    <x v="1"/>
    <x v="1"/>
  </r>
  <r>
    <x v="47"/>
    <x v="8"/>
    <x v="41"/>
    <x v="66"/>
    <x v="58"/>
    <x v="7"/>
    <x v="14"/>
    <x v="69"/>
  </r>
  <r>
    <x v="47"/>
    <x v="8"/>
    <x v="41"/>
    <x v="67"/>
    <x v="59"/>
    <x v="1"/>
    <x v="50"/>
    <x v="70"/>
  </r>
  <r>
    <x v="48"/>
    <x v="33"/>
    <x v="41"/>
    <x v="28"/>
    <x v="12"/>
    <x v="2"/>
    <x v="51"/>
    <x v="71"/>
  </r>
  <r>
    <x v="48"/>
    <x v="33"/>
    <x v="41"/>
    <x v="68"/>
    <x v="60"/>
    <x v="17"/>
    <x v="52"/>
    <x v="72"/>
  </r>
  <r>
    <x v="49"/>
    <x v="45"/>
    <x v="42"/>
    <x v="69"/>
    <x v="61"/>
    <x v="2"/>
    <x v="53"/>
    <x v="73"/>
  </r>
  <r>
    <x v="50"/>
    <x v="46"/>
    <x v="43"/>
    <x v="22"/>
    <x v="24"/>
    <x v="0"/>
    <x v="21"/>
    <x v="25"/>
  </r>
  <r>
    <x v="51"/>
    <x v="47"/>
    <x v="44"/>
    <x v="70"/>
    <x v="11"/>
    <x v="0"/>
    <x v="19"/>
    <x v="74"/>
  </r>
  <r>
    <x v="52"/>
    <x v="46"/>
    <x v="45"/>
    <x v="47"/>
    <x v="47"/>
    <x v="0"/>
    <x v="41"/>
    <x v="75"/>
  </r>
  <r>
    <x v="52"/>
    <x v="46"/>
    <x v="45"/>
    <x v="27"/>
    <x v="35"/>
    <x v="2"/>
    <x v="31"/>
    <x v="39"/>
  </r>
  <r>
    <x v="53"/>
    <x v="48"/>
    <x v="46"/>
    <x v="71"/>
    <x v="62"/>
    <x v="0"/>
    <x v="4"/>
    <x v="29"/>
  </r>
  <r>
    <x v="54"/>
    <x v="49"/>
    <x v="47"/>
    <x v="11"/>
    <x v="11"/>
    <x v="2"/>
    <x v="10"/>
    <x v="11"/>
  </r>
  <r>
    <x v="55"/>
    <x v="41"/>
    <x v="48"/>
    <x v="46"/>
    <x v="46"/>
    <x v="3"/>
    <x v="37"/>
    <x v="76"/>
  </r>
  <r>
    <x v="55"/>
    <x v="41"/>
    <x v="48"/>
    <x v="22"/>
    <x v="24"/>
    <x v="1"/>
    <x v="21"/>
    <x v="77"/>
  </r>
  <r>
    <x v="56"/>
    <x v="50"/>
    <x v="49"/>
    <x v="11"/>
    <x v="11"/>
    <x v="2"/>
    <x v="10"/>
    <x v="11"/>
  </r>
  <r>
    <x v="57"/>
    <x v="51"/>
    <x v="50"/>
    <x v="31"/>
    <x v="63"/>
    <x v="2"/>
    <x v="1"/>
    <x v="1"/>
  </r>
  <r>
    <x v="58"/>
    <x v="52"/>
    <x v="51"/>
    <x v="64"/>
    <x v="55"/>
    <x v="0"/>
    <x v="54"/>
    <x v="78"/>
  </r>
  <r>
    <x v="59"/>
    <x v="53"/>
    <x v="52"/>
    <x v="43"/>
    <x v="43"/>
    <x v="0"/>
    <x v="5"/>
    <x v="37"/>
  </r>
  <r>
    <x v="60"/>
    <x v="54"/>
    <x v="53"/>
    <x v="11"/>
    <x v="11"/>
    <x v="0"/>
    <x v="55"/>
    <x v="79"/>
  </r>
  <r>
    <x v="61"/>
    <x v="55"/>
    <x v="54"/>
    <x v="72"/>
    <x v="64"/>
    <x v="2"/>
    <x v="56"/>
    <x v="80"/>
  </r>
  <r>
    <x v="61"/>
    <x v="55"/>
    <x v="54"/>
    <x v="73"/>
    <x v="65"/>
    <x v="18"/>
    <x v="57"/>
    <x v="81"/>
  </r>
  <r>
    <x v="61"/>
    <x v="55"/>
    <x v="54"/>
    <x v="74"/>
    <x v="66"/>
    <x v="18"/>
    <x v="58"/>
    <x v="82"/>
  </r>
  <r>
    <x v="61"/>
    <x v="55"/>
    <x v="54"/>
    <x v="75"/>
    <x v="67"/>
    <x v="18"/>
    <x v="59"/>
    <x v="83"/>
  </r>
  <r>
    <x v="61"/>
    <x v="55"/>
    <x v="54"/>
    <x v="76"/>
    <x v="68"/>
    <x v="2"/>
    <x v="60"/>
    <x v="84"/>
  </r>
  <r>
    <x v="61"/>
    <x v="55"/>
    <x v="54"/>
    <x v="77"/>
    <x v="69"/>
    <x v="2"/>
    <x v="61"/>
    <x v="85"/>
  </r>
  <r>
    <x v="62"/>
    <x v="56"/>
    <x v="54"/>
    <x v="28"/>
    <x v="12"/>
    <x v="2"/>
    <x v="62"/>
    <x v="86"/>
  </r>
  <r>
    <x v="62"/>
    <x v="56"/>
    <x v="54"/>
    <x v="24"/>
    <x v="25"/>
    <x v="2"/>
    <x v="63"/>
    <x v="87"/>
  </r>
  <r>
    <x v="63"/>
    <x v="33"/>
    <x v="54"/>
    <x v="78"/>
    <x v="70"/>
    <x v="2"/>
    <x v="1"/>
    <x v="1"/>
  </r>
  <r>
    <x v="63"/>
    <x v="33"/>
    <x v="54"/>
    <x v="79"/>
    <x v="71"/>
    <x v="2"/>
    <x v="1"/>
    <x v="1"/>
  </r>
  <r>
    <x v="63"/>
    <x v="33"/>
    <x v="54"/>
    <x v="80"/>
    <x v="72"/>
    <x v="0"/>
    <x v="1"/>
    <x v="1"/>
  </r>
  <r>
    <x v="64"/>
    <x v="57"/>
    <x v="54"/>
    <x v="17"/>
    <x v="19"/>
    <x v="19"/>
    <x v="1"/>
    <x v="1"/>
  </r>
  <r>
    <x v="65"/>
    <x v="58"/>
    <x v="54"/>
    <x v="81"/>
    <x v="73"/>
    <x v="0"/>
    <x v="64"/>
    <x v="88"/>
  </r>
  <r>
    <x v="66"/>
    <x v="59"/>
    <x v="55"/>
    <x v="35"/>
    <x v="36"/>
    <x v="2"/>
    <x v="32"/>
    <x v="89"/>
  </r>
  <r>
    <x v="67"/>
    <x v="60"/>
    <x v="56"/>
    <x v="29"/>
    <x v="29"/>
    <x v="2"/>
    <x v="65"/>
    <x v="90"/>
  </r>
  <r>
    <x v="67"/>
    <x v="60"/>
    <x v="56"/>
    <x v="71"/>
    <x v="62"/>
    <x v="2"/>
    <x v="4"/>
    <x v="5"/>
  </r>
  <r>
    <x v="67"/>
    <x v="60"/>
    <x v="56"/>
    <x v="44"/>
    <x v="44"/>
    <x v="2"/>
    <x v="37"/>
    <x v="51"/>
  </r>
  <r>
    <x v="68"/>
    <x v="61"/>
    <x v="57"/>
    <x v="7"/>
    <x v="7"/>
    <x v="2"/>
    <x v="5"/>
    <x v="12"/>
  </r>
  <r>
    <x v="69"/>
    <x v="62"/>
    <x v="58"/>
    <x v="45"/>
    <x v="45"/>
    <x v="2"/>
    <x v="66"/>
    <x v="91"/>
  </r>
  <r>
    <x v="70"/>
    <x v="63"/>
    <x v="59"/>
    <x v="21"/>
    <x v="23"/>
    <x v="0"/>
    <x v="20"/>
    <x v="22"/>
  </r>
  <r>
    <x v="70"/>
    <x v="63"/>
    <x v="59"/>
    <x v="6"/>
    <x v="6"/>
    <x v="0"/>
    <x v="1"/>
    <x v="1"/>
  </r>
  <r>
    <x v="70"/>
    <x v="63"/>
    <x v="59"/>
    <x v="1"/>
    <x v="1"/>
    <x v="0"/>
    <x v="1"/>
    <x v="1"/>
  </r>
  <r>
    <x v="70"/>
    <x v="63"/>
    <x v="59"/>
    <x v="3"/>
    <x v="3"/>
    <x v="0"/>
    <x v="1"/>
    <x v="1"/>
  </r>
  <r>
    <x v="71"/>
    <x v="64"/>
    <x v="60"/>
    <x v="35"/>
    <x v="36"/>
    <x v="2"/>
    <x v="32"/>
    <x v="89"/>
  </r>
  <r>
    <x v="72"/>
    <x v="65"/>
    <x v="61"/>
    <x v="82"/>
    <x v="74"/>
    <x v="2"/>
    <x v="34"/>
    <x v="44"/>
  </r>
  <r>
    <x v="73"/>
    <x v="66"/>
    <x v="62"/>
    <x v="25"/>
    <x v="26"/>
    <x v="1"/>
    <x v="24"/>
    <x v="92"/>
  </r>
  <r>
    <x v="73"/>
    <x v="66"/>
    <x v="62"/>
    <x v="26"/>
    <x v="27"/>
    <x v="1"/>
    <x v="1"/>
    <x v="1"/>
  </r>
  <r>
    <x v="73"/>
    <x v="66"/>
    <x v="62"/>
    <x v="66"/>
    <x v="58"/>
    <x v="1"/>
    <x v="67"/>
    <x v="93"/>
  </r>
  <r>
    <x v="73"/>
    <x v="66"/>
    <x v="62"/>
    <x v="6"/>
    <x v="6"/>
    <x v="1"/>
    <x v="4"/>
    <x v="94"/>
  </r>
  <r>
    <x v="73"/>
    <x v="66"/>
    <x v="62"/>
    <x v="83"/>
    <x v="75"/>
    <x v="0"/>
    <x v="4"/>
    <x v="29"/>
  </r>
  <r>
    <x v="73"/>
    <x v="66"/>
    <x v="62"/>
    <x v="1"/>
    <x v="76"/>
    <x v="0"/>
    <x v="1"/>
    <x v="1"/>
  </r>
  <r>
    <x v="73"/>
    <x v="66"/>
    <x v="62"/>
    <x v="84"/>
    <x v="77"/>
    <x v="0"/>
    <x v="68"/>
    <x v="95"/>
  </r>
  <r>
    <x v="73"/>
    <x v="66"/>
    <x v="62"/>
    <x v="85"/>
    <x v="78"/>
    <x v="0"/>
    <x v="5"/>
    <x v="37"/>
  </r>
  <r>
    <x v="73"/>
    <x v="66"/>
    <x v="62"/>
    <x v="27"/>
    <x v="35"/>
    <x v="1"/>
    <x v="1"/>
    <x v="1"/>
  </r>
  <r>
    <x v="74"/>
    <x v="67"/>
    <x v="62"/>
    <x v="86"/>
    <x v="79"/>
    <x v="4"/>
    <x v="69"/>
    <x v="96"/>
  </r>
  <r>
    <x v="74"/>
    <x v="67"/>
    <x v="62"/>
    <x v="68"/>
    <x v="80"/>
    <x v="4"/>
    <x v="1"/>
    <x v="1"/>
  </r>
  <r>
    <x v="75"/>
    <x v="68"/>
    <x v="62"/>
    <x v="28"/>
    <x v="12"/>
    <x v="2"/>
    <x v="70"/>
    <x v="97"/>
  </r>
  <r>
    <x v="75"/>
    <x v="68"/>
    <x v="62"/>
    <x v="21"/>
    <x v="23"/>
    <x v="6"/>
    <x v="20"/>
    <x v="98"/>
  </r>
  <r>
    <x v="75"/>
    <x v="68"/>
    <x v="62"/>
    <x v="1"/>
    <x v="14"/>
    <x v="6"/>
    <x v="1"/>
    <x v="1"/>
  </r>
  <r>
    <x v="75"/>
    <x v="68"/>
    <x v="62"/>
    <x v="3"/>
    <x v="81"/>
    <x v="6"/>
    <x v="1"/>
    <x v="1"/>
  </r>
  <r>
    <x v="75"/>
    <x v="68"/>
    <x v="62"/>
    <x v="29"/>
    <x v="29"/>
    <x v="6"/>
    <x v="71"/>
    <x v="53"/>
  </r>
  <r>
    <x v="76"/>
    <x v="69"/>
    <x v="63"/>
    <x v="47"/>
    <x v="47"/>
    <x v="0"/>
    <x v="41"/>
    <x v="75"/>
  </r>
  <r>
    <x v="76"/>
    <x v="69"/>
    <x v="63"/>
    <x v="7"/>
    <x v="7"/>
    <x v="0"/>
    <x v="7"/>
    <x v="99"/>
  </r>
  <r>
    <x v="77"/>
    <x v="70"/>
    <x v="64"/>
    <x v="9"/>
    <x v="9"/>
    <x v="8"/>
    <x v="8"/>
    <x v="36"/>
  </r>
  <r>
    <x v="78"/>
    <x v="71"/>
    <x v="65"/>
    <x v="31"/>
    <x v="82"/>
    <x v="2"/>
    <x v="1"/>
    <x v="1"/>
  </r>
  <r>
    <x v="78"/>
    <x v="71"/>
    <x v="65"/>
    <x v="31"/>
    <x v="83"/>
    <x v="2"/>
    <x v="1"/>
    <x v="1"/>
  </r>
  <r>
    <x v="78"/>
    <x v="71"/>
    <x v="65"/>
    <x v="87"/>
    <x v="84"/>
    <x v="0"/>
    <x v="1"/>
    <x v="1"/>
  </r>
  <r>
    <x v="79"/>
    <x v="69"/>
    <x v="65"/>
    <x v="29"/>
    <x v="85"/>
    <x v="0"/>
    <x v="71"/>
    <x v="100"/>
  </r>
  <r>
    <x v="80"/>
    <x v="72"/>
    <x v="66"/>
    <x v="11"/>
    <x v="11"/>
    <x v="0"/>
    <x v="10"/>
    <x v="64"/>
  </r>
  <r>
    <x v="81"/>
    <x v="73"/>
    <x v="67"/>
    <x v="29"/>
    <x v="29"/>
    <x v="2"/>
    <x v="65"/>
    <x v="90"/>
  </r>
  <r>
    <x v="81"/>
    <x v="73"/>
    <x v="67"/>
    <x v="4"/>
    <x v="4"/>
    <x v="2"/>
    <x v="72"/>
    <x v="101"/>
  </r>
  <r>
    <x v="82"/>
    <x v="74"/>
    <x v="68"/>
    <x v="0"/>
    <x v="0"/>
    <x v="0"/>
    <x v="0"/>
    <x v="0"/>
  </r>
  <r>
    <x v="82"/>
    <x v="74"/>
    <x v="68"/>
    <x v="1"/>
    <x v="1"/>
    <x v="0"/>
    <x v="1"/>
    <x v="1"/>
  </r>
  <r>
    <x v="82"/>
    <x v="74"/>
    <x v="68"/>
    <x v="2"/>
    <x v="2"/>
    <x v="0"/>
    <x v="1"/>
    <x v="1"/>
  </r>
  <r>
    <x v="82"/>
    <x v="74"/>
    <x v="68"/>
    <x v="3"/>
    <x v="3"/>
    <x v="0"/>
    <x v="1"/>
    <x v="1"/>
  </r>
  <r>
    <x v="82"/>
    <x v="74"/>
    <x v="68"/>
    <x v="6"/>
    <x v="6"/>
    <x v="0"/>
    <x v="1"/>
    <x v="1"/>
  </r>
  <r>
    <x v="82"/>
    <x v="74"/>
    <x v="68"/>
    <x v="24"/>
    <x v="25"/>
    <x v="2"/>
    <x v="23"/>
    <x v="27"/>
  </r>
  <r>
    <x v="83"/>
    <x v="75"/>
    <x v="69"/>
    <x v="70"/>
    <x v="11"/>
    <x v="2"/>
    <x v="19"/>
    <x v="21"/>
  </r>
  <r>
    <x v="84"/>
    <x v="51"/>
    <x v="70"/>
    <x v="88"/>
    <x v="86"/>
    <x v="1"/>
    <x v="73"/>
    <x v="102"/>
  </r>
  <r>
    <x v="84"/>
    <x v="51"/>
    <x v="70"/>
    <x v="89"/>
    <x v="87"/>
    <x v="20"/>
    <x v="74"/>
    <x v="103"/>
  </r>
  <r>
    <x v="84"/>
    <x v="51"/>
    <x v="70"/>
    <x v="90"/>
    <x v="88"/>
    <x v="0"/>
    <x v="1"/>
    <x v="1"/>
  </r>
  <r>
    <x v="84"/>
    <x v="51"/>
    <x v="70"/>
    <x v="91"/>
    <x v="89"/>
    <x v="7"/>
    <x v="1"/>
    <x v="1"/>
  </r>
  <r>
    <x v="85"/>
    <x v="76"/>
    <x v="70"/>
    <x v="92"/>
    <x v="12"/>
    <x v="2"/>
    <x v="75"/>
    <x v="104"/>
  </r>
  <r>
    <x v="85"/>
    <x v="76"/>
    <x v="70"/>
    <x v="31"/>
    <x v="90"/>
    <x v="2"/>
    <x v="1"/>
    <x v="1"/>
  </r>
  <r>
    <x v="85"/>
    <x v="76"/>
    <x v="70"/>
    <x v="93"/>
    <x v="91"/>
    <x v="2"/>
    <x v="1"/>
    <x v="1"/>
  </r>
  <r>
    <x v="85"/>
    <x v="76"/>
    <x v="70"/>
    <x v="94"/>
    <x v="92"/>
    <x v="2"/>
    <x v="1"/>
    <x v="1"/>
  </r>
  <r>
    <x v="85"/>
    <x v="76"/>
    <x v="70"/>
    <x v="95"/>
    <x v="93"/>
    <x v="2"/>
    <x v="1"/>
    <x v="1"/>
  </r>
  <r>
    <x v="86"/>
    <x v="51"/>
    <x v="70"/>
    <x v="28"/>
    <x v="12"/>
    <x v="2"/>
    <x v="76"/>
    <x v="105"/>
  </r>
  <r>
    <x v="86"/>
    <x v="51"/>
    <x v="70"/>
    <x v="96"/>
    <x v="94"/>
    <x v="6"/>
    <x v="77"/>
    <x v="106"/>
  </r>
  <r>
    <x v="86"/>
    <x v="51"/>
    <x v="70"/>
    <x v="1"/>
    <x v="14"/>
    <x v="6"/>
    <x v="1"/>
    <x v="1"/>
  </r>
  <r>
    <x v="87"/>
    <x v="51"/>
    <x v="70"/>
    <x v="28"/>
    <x v="12"/>
    <x v="2"/>
    <x v="78"/>
    <x v="107"/>
  </r>
  <r>
    <x v="87"/>
    <x v="51"/>
    <x v="70"/>
    <x v="96"/>
    <x v="95"/>
    <x v="1"/>
    <x v="77"/>
    <x v="108"/>
  </r>
  <r>
    <x v="87"/>
    <x v="51"/>
    <x v="70"/>
    <x v="1"/>
    <x v="14"/>
    <x v="1"/>
    <x v="1"/>
    <x v="1"/>
  </r>
  <r>
    <x v="88"/>
    <x v="77"/>
    <x v="70"/>
    <x v="24"/>
    <x v="25"/>
    <x v="8"/>
    <x v="79"/>
    <x v="109"/>
  </r>
  <r>
    <x v="89"/>
    <x v="78"/>
    <x v="71"/>
    <x v="11"/>
    <x v="11"/>
    <x v="2"/>
    <x v="10"/>
    <x v="11"/>
  </r>
  <r>
    <x v="90"/>
    <x v="79"/>
    <x v="72"/>
    <x v="70"/>
    <x v="11"/>
    <x v="2"/>
    <x v="19"/>
    <x v="21"/>
  </r>
  <r>
    <x v="91"/>
    <x v="80"/>
    <x v="73"/>
    <x v="47"/>
    <x v="47"/>
    <x v="2"/>
    <x v="41"/>
    <x v="52"/>
  </r>
  <r>
    <x v="92"/>
    <x v="22"/>
    <x v="74"/>
    <x v="27"/>
    <x v="35"/>
    <x v="2"/>
    <x v="31"/>
    <x v="39"/>
  </r>
  <r>
    <x v="92"/>
    <x v="22"/>
    <x v="74"/>
    <x v="43"/>
    <x v="43"/>
    <x v="2"/>
    <x v="5"/>
    <x v="12"/>
  </r>
  <r>
    <x v="93"/>
    <x v="22"/>
    <x v="75"/>
    <x v="7"/>
    <x v="7"/>
    <x v="0"/>
    <x v="5"/>
    <x v="37"/>
  </r>
  <r>
    <x v="94"/>
    <x v="77"/>
    <x v="76"/>
    <x v="97"/>
    <x v="96"/>
    <x v="2"/>
    <x v="80"/>
    <x v="110"/>
  </r>
  <r>
    <x v="95"/>
    <x v="81"/>
    <x v="77"/>
    <x v="70"/>
    <x v="11"/>
    <x v="2"/>
    <x v="19"/>
    <x v="21"/>
  </r>
  <r>
    <x v="96"/>
    <x v="81"/>
    <x v="78"/>
    <x v="11"/>
    <x v="11"/>
    <x v="2"/>
    <x v="10"/>
    <x v="11"/>
  </r>
  <r>
    <x v="97"/>
    <x v="82"/>
    <x v="79"/>
    <x v="6"/>
    <x v="6"/>
    <x v="2"/>
    <x v="4"/>
    <x v="5"/>
  </r>
  <r>
    <x v="98"/>
    <x v="83"/>
    <x v="80"/>
    <x v="34"/>
    <x v="34"/>
    <x v="0"/>
    <x v="31"/>
    <x v="40"/>
  </r>
  <r>
    <x v="99"/>
    <x v="84"/>
    <x v="81"/>
    <x v="29"/>
    <x v="29"/>
    <x v="1"/>
    <x v="26"/>
    <x v="111"/>
  </r>
  <r>
    <x v="100"/>
    <x v="85"/>
    <x v="81"/>
    <x v="59"/>
    <x v="50"/>
    <x v="2"/>
    <x v="1"/>
    <x v="1"/>
  </r>
  <r>
    <x v="100"/>
    <x v="85"/>
    <x v="81"/>
    <x v="58"/>
    <x v="49"/>
    <x v="2"/>
    <x v="1"/>
    <x v="1"/>
  </r>
  <r>
    <x v="101"/>
    <x v="86"/>
    <x v="82"/>
    <x v="22"/>
    <x v="24"/>
    <x v="0"/>
    <x v="21"/>
    <x v="25"/>
  </r>
  <r>
    <x v="102"/>
    <x v="51"/>
    <x v="83"/>
    <x v="98"/>
    <x v="97"/>
    <x v="2"/>
    <x v="1"/>
    <x v="1"/>
  </r>
  <r>
    <x v="103"/>
    <x v="87"/>
    <x v="84"/>
    <x v="20"/>
    <x v="22"/>
    <x v="2"/>
    <x v="19"/>
    <x v="21"/>
  </r>
  <r>
    <x v="104"/>
    <x v="88"/>
    <x v="85"/>
    <x v="11"/>
    <x v="11"/>
    <x v="2"/>
    <x v="10"/>
    <x v="11"/>
  </r>
  <r>
    <x v="105"/>
    <x v="89"/>
    <x v="86"/>
    <x v="28"/>
    <x v="12"/>
    <x v="2"/>
    <x v="81"/>
    <x v="112"/>
  </r>
  <r>
    <x v="105"/>
    <x v="89"/>
    <x v="86"/>
    <x v="21"/>
    <x v="23"/>
    <x v="1"/>
    <x v="82"/>
    <x v="113"/>
  </r>
  <r>
    <x v="105"/>
    <x v="89"/>
    <x v="86"/>
    <x v="1"/>
    <x v="14"/>
    <x v="1"/>
    <x v="1"/>
    <x v="1"/>
  </r>
  <r>
    <x v="105"/>
    <x v="89"/>
    <x v="86"/>
    <x v="6"/>
    <x v="98"/>
    <x v="0"/>
    <x v="1"/>
    <x v="1"/>
  </r>
  <r>
    <x v="105"/>
    <x v="89"/>
    <x v="86"/>
    <x v="29"/>
    <x v="99"/>
    <x v="0"/>
    <x v="83"/>
    <x v="114"/>
  </r>
  <r>
    <x v="105"/>
    <x v="89"/>
    <x v="86"/>
    <x v="3"/>
    <x v="81"/>
    <x v="1"/>
    <x v="1"/>
    <x v="1"/>
  </r>
  <r>
    <x v="105"/>
    <x v="89"/>
    <x v="86"/>
    <x v="20"/>
    <x v="22"/>
    <x v="0"/>
    <x v="39"/>
    <x v="49"/>
  </r>
  <r>
    <x v="106"/>
    <x v="90"/>
    <x v="86"/>
    <x v="30"/>
    <x v="12"/>
    <x v="2"/>
    <x v="84"/>
    <x v="115"/>
  </r>
  <r>
    <x v="106"/>
    <x v="90"/>
    <x v="86"/>
    <x v="47"/>
    <x v="47"/>
    <x v="0"/>
    <x v="41"/>
    <x v="75"/>
  </r>
  <r>
    <x v="107"/>
    <x v="91"/>
    <x v="86"/>
    <x v="99"/>
    <x v="100"/>
    <x v="8"/>
    <x v="85"/>
    <x v="116"/>
  </r>
  <r>
    <x v="108"/>
    <x v="92"/>
    <x v="86"/>
    <x v="30"/>
    <x v="12"/>
    <x v="2"/>
    <x v="1"/>
    <x v="1"/>
  </r>
  <r>
    <x v="108"/>
    <x v="92"/>
    <x v="86"/>
    <x v="3"/>
    <x v="3"/>
    <x v="2"/>
    <x v="1"/>
    <x v="1"/>
  </r>
  <r>
    <x v="109"/>
    <x v="93"/>
    <x v="86"/>
    <x v="100"/>
    <x v="101"/>
    <x v="8"/>
    <x v="1"/>
    <x v="1"/>
  </r>
  <r>
    <x v="110"/>
    <x v="94"/>
    <x v="87"/>
    <x v="43"/>
    <x v="43"/>
    <x v="0"/>
    <x v="5"/>
    <x v="37"/>
  </r>
  <r>
    <x v="111"/>
    <x v="38"/>
    <x v="88"/>
    <x v="28"/>
    <x v="12"/>
    <x v="2"/>
    <x v="86"/>
    <x v="117"/>
  </r>
  <r>
    <x v="111"/>
    <x v="38"/>
    <x v="88"/>
    <x v="101"/>
    <x v="102"/>
    <x v="0"/>
    <x v="87"/>
    <x v="118"/>
  </r>
  <r>
    <x v="112"/>
    <x v="95"/>
    <x v="88"/>
    <x v="12"/>
    <x v="12"/>
    <x v="2"/>
    <x v="88"/>
    <x v="119"/>
  </r>
  <r>
    <x v="112"/>
    <x v="95"/>
    <x v="88"/>
    <x v="0"/>
    <x v="0"/>
    <x v="6"/>
    <x v="89"/>
    <x v="120"/>
  </r>
  <r>
    <x v="112"/>
    <x v="95"/>
    <x v="88"/>
    <x v="1"/>
    <x v="14"/>
    <x v="6"/>
    <x v="1"/>
    <x v="1"/>
  </r>
  <r>
    <x v="112"/>
    <x v="95"/>
    <x v="88"/>
    <x v="2"/>
    <x v="31"/>
    <x v="6"/>
    <x v="1"/>
    <x v="1"/>
  </r>
  <r>
    <x v="112"/>
    <x v="95"/>
    <x v="88"/>
    <x v="27"/>
    <x v="103"/>
    <x v="6"/>
    <x v="1"/>
    <x v="1"/>
  </r>
  <r>
    <x v="112"/>
    <x v="95"/>
    <x v="88"/>
    <x v="102"/>
    <x v="104"/>
    <x v="1"/>
    <x v="1"/>
    <x v="1"/>
  </r>
  <r>
    <x v="112"/>
    <x v="95"/>
    <x v="88"/>
    <x v="6"/>
    <x v="98"/>
    <x v="0"/>
    <x v="1"/>
    <x v="1"/>
  </r>
  <r>
    <x v="112"/>
    <x v="95"/>
    <x v="88"/>
    <x v="64"/>
    <x v="55"/>
    <x v="0"/>
    <x v="18"/>
    <x v="121"/>
  </r>
  <r>
    <x v="112"/>
    <x v="95"/>
    <x v="88"/>
    <x v="4"/>
    <x v="4"/>
    <x v="0"/>
    <x v="87"/>
    <x v="118"/>
  </r>
  <r>
    <x v="112"/>
    <x v="95"/>
    <x v="88"/>
    <x v="24"/>
    <x v="25"/>
    <x v="2"/>
    <x v="63"/>
    <x v="87"/>
  </r>
  <r>
    <x v="112"/>
    <x v="95"/>
    <x v="88"/>
    <x v="41"/>
    <x v="105"/>
    <x v="1"/>
    <x v="1"/>
    <x v="1"/>
  </r>
  <r>
    <x v="112"/>
    <x v="95"/>
    <x v="88"/>
    <x v="103"/>
    <x v="106"/>
    <x v="2"/>
    <x v="90"/>
    <x v="122"/>
  </r>
  <r>
    <x v="112"/>
    <x v="95"/>
    <x v="88"/>
    <x v="104"/>
    <x v="107"/>
    <x v="8"/>
    <x v="1"/>
    <x v="1"/>
  </r>
  <r>
    <x v="112"/>
    <x v="95"/>
    <x v="88"/>
    <x v="105"/>
    <x v="108"/>
    <x v="2"/>
    <x v="1"/>
    <x v="1"/>
  </r>
  <r>
    <x v="112"/>
    <x v="95"/>
    <x v="88"/>
    <x v="22"/>
    <x v="24"/>
    <x v="19"/>
    <x v="91"/>
    <x v="123"/>
  </r>
  <r>
    <x v="112"/>
    <x v="95"/>
    <x v="88"/>
    <x v="43"/>
    <x v="43"/>
    <x v="0"/>
    <x v="92"/>
    <x v="124"/>
  </r>
  <r>
    <x v="112"/>
    <x v="95"/>
    <x v="88"/>
    <x v="106"/>
    <x v="5"/>
    <x v="0"/>
    <x v="93"/>
    <x v="125"/>
  </r>
  <r>
    <x v="112"/>
    <x v="95"/>
    <x v="88"/>
    <x v="20"/>
    <x v="22"/>
    <x v="2"/>
    <x v="39"/>
    <x v="126"/>
  </r>
  <r>
    <x v="113"/>
    <x v="18"/>
    <x v="88"/>
    <x v="28"/>
    <x v="12"/>
    <x v="2"/>
    <x v="94"/>
    <x v="127"/>
  </r>
  <r>
    <x v="113"/>
    <x v="18"/>
    <x v="88"/>
    <x v="24"/>
    <x v="25"/>
    <x v="2"/>
    <x v="63"/>
    <x v="87"/>
  </r>
  <r>
    <x v="113"/>
    <x v="18"/>
    <x v="88"/>
    <x v="20"/>
    <x v="22"/>
    <x v="2"/>
    <x v="39"/>
    <x v="126"/>
  </r>
  <r>
    <x v="114"/>
    <x v="96"/>
    <x v="89"/>
    <x v="11"/>
    <x v="11"/>
    <x v="0"/>
    <x v="10"/>
    <x v="64"/>
  </r>
  <r>
    <x v="115"/>
    <x v="97"/>
    <x v="90"/>
    <x v="11"/>
    <x v="11"/>
    <x v="2"/>
    <x v="10"/>
    <x v="11"/>
  </r>
  <r>
    <x v="116"/>
    <x v="98"/>
    <x v="91"/>
    <x v="28"/>
    <x v="12"/>
    <x v="2"/>
    <x v="95"/>
    <x v="128"/>
  </r>
  <r>
    <x v="116"/>
    <x v="98"/>
    <x v="91"/>
    <x v="0"/>
    <x v="0"/>
    <x v="1"/>
    <x v="89"/>
    <x v="129"/>
  </r>
  <r>
    <x v="116"/>
    <x v="98"/>
    <x v="91"/>
    <x v="1"/>
    <x v="14"/>
    <x v="1"/>
    <x v="1"/>
    <x v="1"/>
  </r>
  <r>
    <x v="116"/>
    <x v="98"/>
    <x v="91"/>
    <x v="2"/>
    <x v="31"/>
    <x v="1"/>
    <x v="1"/>
    <x v="1"/>
  </r>
  <r>
    <x v="116"/>
    <x v="98"/>
    <x v="91"/>
    <x v="29"/>
    <x v="99"/>
    <x v="1"/>
    <x v="83"/>
    <x v="130"/>
  </r>
  <r>
    <x v="116"/>
    <x v="98"/>
    <x v="91"/>
    <x v="3"/>
    <x v="81"/>
    <x v="1"/>
    <x v="1"/>
    <x v="1"/>
  </r>
  <r>
    <x v="117"/>
    <x v="91"/>
    <x v="91"/>
    <x v="107"/>
    <x v="109"/>
    <x v="2"/>
    <x v="96"/>
    <x v="131"/>
  </r>
  <r>
    <x v="117"/>
    <x v="91"/>
    <x v="91"/>
    <x v="12"/>
    <x v="12"/>
    <x v="2"/>
    <x v="97"/>
    <x v="132"/>
  </r>
  <r>
    <x v="117"/>
    <x v="91"/>
    <x v="91"/>
    <x v="102"/>
    <x v="110"/>
    <x v="1"/>
    <x v="98"/>
    <x v="133"/>
  </r>
  <r>
    <x v="117"/>
    <x v="91"/>
    <x v="91"/>
    <x v="99"/>
    <x v="100"/>
    <x v="1"/>
    <x v="85"/>
    <x v="134"/>
  </r>
  <r>
    <x v="118"/>
    <x v="99"/>
    <x v="91"/>
    <x v="20"/>
    <x v="22"/>
    <x v="2"/>
    <x v="1"/>
    <x v="1"/>
  </r>
  <r>
    <x v="119"/>
    <x v="28"/>
    <x v="91"/>
    <x v="28"/>
    <x v="12"/>
    <x v="2"/>
    <x v="99"/>
    <x v="135"/>
  </r>
  <r>
    <x v="119"/>
    <x v="28"/>
    <x v="91"/>
    <x v="35"/>
    <x v="36"/>
    <x v="3"/>
    <x v="100"/>
    <x v="136"/>
  </r>
  <r>
    <x v="120"/>
    <x v="91"/>
    <x v="91"/>
    <x v="99"/>
    <x v="100"/>
    <x v="1"/>
    <x v="1"/>
    <x v="1"/>
  </r>
  <r>
    <x v="121"/>
    <x v="98"/>
    <x v="91"/>
    <x v="12"/>
    <x v="12"/>
    <x v="2"/>
    <x v="101"/>
    <x v="137"/>
  </r>
  <r>
    <x v="121"/>
    <x v="98"/>
    <x v="91"/>
    <x v="106"/>
    <x v="5"/>
    <x v="1"/>
    <x v="93"/>
    <x v="138"/>
  </r>
  <r>
    <x v="122"/>
    <x v="85"/>
    <x v="92"/>
    <x v="43"/>
    <x v="43"/>
    <x v="2"/>
    <x v="5"/>
    <x v="12"/>
  </r>
  <r>
    <x v="123"/>
    <x v="100"/>
    <x v="93"/>
    <x v="24"/>
    <x v="25"/>
    <x v="2"/>
    <x v="23"/>
    <x v="27"/>
  </r>
  <r>
    <x v="124"/>
    <x v="101"/>
    <x v="94"/>
    <x v="1"/>
    <x v="1"/>
    <x v="8"/>
    <x v="67"/>
    <x v="139"/>
  </r>
  <r>
    <x v="125"/>
    <x v="102"/>
    <x v="95"/>
    <x v="35"/>
    <x v="36"/>
    <x v="2"/>
    <x v="32"/>
    <x v="89"/>
  </r>
  <r>
    <x v="126"/>
    <x v="103"/>
    <x v="96"/>
    <x v="20"/>
    <x v="22"/>
    <x v="2"/>
    <x v="19"/>
    <x v="21"/>
  </r>
  <r>
    <x v="127"/>
    <x v="104"/>
    <x v="97"/>
    <x v="1"/>
    <x v="1"/>
    <x v="0"/>
    <x v="67"/>
    <x v="140"/>
  </r>
  <r>
    <x v="127"/>
    <x v="104"/>
    <x v="97"/>
    <x v="108"/>
    <x v="111"/>
    <x v="0"/>
    <x v="102"/>
    <x v="141"/>
  </r>
  <r>
    <x v="128"/>
    <x v="105"/>
    <x v="98"/>
    <x v="22"/>
    <x v="24"/>
    <x v="1"/>
    <x v="21"/>
    <x v="77"/>
  </r>
  <r>
    <x v="129"/>
    <x v="106"/>
    <x v="99"/>
    <x v="47"/>
    <x v="47"/>
    <x v="2"/>
    <x v="41"/>
    <x v="52"/>
  </r>
  <r>
    <x v="130"/>
    <x v="107"/>
    <x v="100"/>
    <x v="11"/>
    <x v="11"/>
    <x v="2"/>
    <x v="10"/>
    <x v="11"/>
  </r>
  <r>
    <x v="131"/>
    <x v="108"/>
    <x v="101"/>
    <x v="12"/>
    <x v="12"/>
    <x v="2"/>
    <x v="103"/>
    <x v="142"/>
  </r>
  <r>
    <x v="131"/>
    <x v="108"/>
    <x v="101"/>
    <x v="109"/>
    <x v="112"/>
    <x v="2"/>
    <x v="35"/>
    <x v="45"/>
  </r>
  <r>
    <x v="131"/>
    <x v="108"/>
    <x v="101"/>
    <x v="110"/>
    <x v="113"/>
    <x v="2"/>
    <x v="104"/>
    <x v="143"/>
  </r>
  <r>
    <x v="132"/>
    <x v="109"/>
    <x v="102"/>
    <x v="7"/>
    <x v="7"/>
    <x v="0"/>
    <x v="5"/>
    <x v="37"/>
  </r>
  <r>
    <x v="132"/>
    <x v="109"/>
    <x v="102"/>
    <x v="22"/>
    <x v="24"/>
    <x v="2"/>
    <x v="21"/>
    <x v="23"/>
  </r>
  <r>
    <x v="133"/>
    <x v="110"/>
    <x v="103"/>
    <x v="11"/>
    <x v="11"/>
    <x v="2"/>
    <x v="105"/>
    <x v="144"/>
  </r>
  <r>
    <x v="134"/>
    <x v="99"/>
    <x v="104"/>
    <x v="31"/>
    <x v="114"/>
    <x v="2"/>
    <x v="1"/>
    <x v="1"/>
  </r>
  <r>
    <x v="134"/>
    <x v="99"/>
    <x v="104"/>
    <x v="111"/>
    <x v="115"/>
    <x v="2"/>
    <x v="1"/>
    <x v="1"/>
  </r>
  <r>
    <x v="134"/>
    <x v="99"/>
    <x v="104"/>
    <x v="87"/>
    <x v="116"/>
    <x v="2"/>
    <x v="1"/>
    <x v="1"/>
  </r>
  <r>
    <x v="135"/>
    <x v="43"/>
    <x v="104"/>
    <x v="47"/>
    <x v="47"/>
    <x v="8"/>
    <x v="106"/>
    <x v="145"/>
  </r>
  <r>
    <x v="135"/>
    <x v="43"/>
    <x v="104"/>
    <x v="64"/>
    <x v="55"/>
    <x v="8"/>
    <x v="18"/>
    <x v="146"/>
  </r>
  <r>
    <x v="136"/>
    <x v="111"/>
    <x v="104"/>
    <x v="112"/>
    <x v="117"/>
    <x v="2"/>
    <x v="107"/>
    <x v="147"/>
  </r>
  <r>
    <x v="137"/>
    <x v="112"/>
    <x v="105"/>
    <x v="47"/>
    <x v="47"/>
    <x v="2"/>
    <x v="41"/>
    <x v="52"/>
  </r>
  <r>
    <x v="138"/>
    <x v="113"/>
    <x v="106"/>
    <x v="21"/>
    <x v="23"/>
    <x v="0"/>
    <x v="20"/>
    <x v="22"/>
  </r>
  <r>
    <x v="138"/>
    <x v="113"/>
    <x v="106"/>
    <x v="6"/>
    <x v="6"/>
    <x v="0"/>
    <x v="1"/>
    <x v="1"/>
  </r>
  <r>
    <x v="138"/>
    <x v="113"/>
    <x v="106"/>
    <x v="1"/>
    <x v="1"/>
    <x v="0"/>
    <x v="1"/>
    <x v="1"/>
  </r>
  <r>
    <x v="138"/>
    <x v="113"/>
    <x v="106"/>
    <x v="3"/>
    <x v="3"/>
    <x v="0"/>
    <x v="1"/>
    <x v="1"/>
  </r>
  <r>
    <x v="139"/>
    <x v="114"/>
    <x v="107"/>
    <x v="34"/>
    <x v="34"/>
    <x v="8"/>
    <x v="31"/>
    <x v="148"/>
  </r>
  <r>
    <x v="139"/>
    <x v="114"/>
    <x v="107"/>
    <x v="113"/>
    <x v="118"/>
    <x v="0"/>
    <x v="5"/>
    <x v="37"/>
  </r>
  <r>
    <x v="140"/>
    <x v="18"/>
    <x v="108"/>
    <x v="12"/>
    <x v="12"/>
    <x v="2"/>
    <x v="108"/>
    <x v="149"/>
  </r>
  <r>
    <x v="140"/>
    <x v="18"/>
    <x v="108"/>
    <x v="21"/>
    <x v="119"/>
    <x v="6"/>
    <x v="109"/>
    <x v="150"/>
  </r>
  <r>
    <x v="140"/>
    <x v="18"/>
    <x v="108"/>
    <x v="1"/>
    <x v="14"/>
    <x v="6"/>
    <x v="1"/>
    <x v="1"/>
  </r>
  <r>
    <x v="140"/>
    <x v="18"/>
    <x v="108"/>
    <x v="4"/>
    <x v="120"/>
    <x v="0"/>
    <x v="87"/>
    <x v="118"/>
  </r>
  <r>
    <x v="140"/>
    <x v="18"/>
    <x v="108"/>
    <x v="114"/>
    <x v="121"/>
    <x v="2"/>
    <x v="26"/>
    <x v="31"/>
  </r>
  <r>
    <x v="140"/>
    <x v="18"/>
    <x v="108"/>
    <x v="63"/>
    <x v="122"/>
    <x v="0"/>
    <x v="110"/>
    <x v="151"/>
  </r>
  <r>
    <x v="140"/>
    <x v="18"/>
    <x v="108"/>
    <x v="63"/>
    <x v="123"/>
    <x v="2"/>
    <x v="111"/>
    <x v="152"/>
  </r>
  <r>
    <x v="140"/>
    <x v="18"/>
    <x v="108"/>
    <x v="115"/>
    <x v="124"/>
    <x v="2"/>
    <x v="18"/>
    <x v="20"/>
  </r>
  <r>
    <x v="140"/>
    <x v="18"/>
    <x v="108"/>
    <x v="20"/>
    <x v="22"/>
    <x v="2"/>
    <x v="39"/>
    <x v="126"/>
  </r>
  <r>
    <x v="140"/>
    <x v="18"/>
    <x v="108"/>
    <x v="7"/>
    <x v="7"/>
    <x v="1"/>
    <x v="92"/>
    <x v="153"/>
  </r>
  <r>
    <x v="140"/>
    <x v="18"/>
    <x v="108"/>
    <x v="9"/>
    <x v="9"/>
    <x v="1"/>
    <x v="112"/>
    <x v="36"/>
  </r>
  <r>
    <x v="141"/>
    <x v="115"/>
    <x v="108"/>
    <x v="116"/>
    <x v="125"/>
    <x v="8"/>
    <x v="1"/>
    <x v="1"/>
  </r>
  <r>
    <x v="141"/>
    <x v="115"/>
    <x v="108"/>
    <x v="117"/>
    <x v="126"/>
    <x v="3"/>
    <x v="1"/>
    <x v="1"/>
  </r>
  <r>
    <x v="142"/>
    <x v="51"/>
    <x v="108"/>
    <x v="28"/>
    <x v="12"/>
    <x v="2"/>
    <x v="113"/>
    <x v="154"/>
  </r>
  <r>
    <x v="142"/>
    <x v="51"/>
    <x v="108"/>
    <x v="118"/>
    <x v="127"/>
    <x v="1"/>
    <x v="114"/>
    <x v="155"/>
  </r>
  <r>
    <x v="143"/>
    <x v="113"/>
    <x v="108"/>
    <x v="28"/>
    <x v="12"/>
    <x v="2"/>
    <x v="115"/>
    <x v="156"/>
  </r>
  <r>
    <x v="143"/>
    <x v="113"/>
    <x v="108"/>
    <x v="119"/>
    <x v="128"/>
    <x v="0"/>
    <x v="116"/>
    <x v="157"/>
  </r>
  <r>
    <x v="144"/>
    <x v="116"/>
    <x v="109"/>
    <x v="101"/>
    <x v="102"/>
    <x v="2"/>
    <x v="72"/>
    <x v="101"/>
  </r>
  <r>
    <x v="145"/>
    <x v="117"/>
    <x v="110"/>
    <x v="24"/>
    <x v="25"/>
    <x v="2"/>
    <x v="23"/>
    <x v="27"/>
  </r>
  <r>
    <x v="146"/>
    <x v="118"/>
    <x v="111"/>
    <x v="10"/>
    <x v="10"/>
    <x v="0"/>
    <x v="9"/>
    <x v="38"/>
  </r>
  <r>
    <x v="147"/>
    <x v="91"/>
    <x v="112"/>
    <x v="12"/>
    <x v="12"/>
    <x v="2"/>
    <x v="117"/>
    <x v="158"/>
  </r>
  <r>
    <x v="147"/>
    <x v="91"/>
    <x v="112"/>
    <x v="22"/>
    <x v="24"/>
    <x v="1"/>
    <x v="118"/>
    <x v="159"/>
  </r>
  <r>
    <x v="147"/>
    <x v="91"/>
    <x v="112"/>
    <x v="41"/>
    <x v="41"/>
    <x v="1"/>
    <x v="119"/>
    <x v="160"/>
  </r>
  <r>
    <x v="147"/>
    <x v="91"/>
    <x v="112"/>
    <x v="44"/>
    <x v="44"/>
    <x v="3"/>
    <x v="120"/>
    <x v="161"/>
  </r>
  <r>
    <x v="147"/>
    <x v="91"/>
    <x v="112"/>
    <x v="113"/>
    <x v="118"/>
    <x v="1"/>
    <x v="121"/>
    <x v="162"/>
  </r>
  <r>
    <x v="147"/>
    <x v="91"/>
    <x v="112"/>
    <x v="102"/>
    <x v="110"/>
    <x v="2"/>
    <x v="98"/>
    <x v="163"/>
  </r>
  <r>
    <x v="147"/>
    <x v="91"/>
    <x v="112"/>
    <x v="29"/>
    <x v="29"/>
    <x v="0"/>
    <x v="122"/>
    <x v="164"/>
  </r>
  <r>
    <x v="147"/>
    <x v="91"/>
    <x v="112"/>
    <x v="64"/>
    <x v="55"/>
    <x v="1"/>
    <x v="123"/>
    <x v="165"/>
  </r>
  <r>
    <x v="148"/>
    <x v="119"/>
    <x v="112"/>
    <x v="17"/>
    <x v="19"/>
    <x v="2"/>
    <x v="1"/>
    <x v="1"/>
  </r>
  <r>
    <x v="149"/>
    <x v="109"/>
    <x v="112"/>
    <x v="17"/>
    <x v="19"/>
    <x v="2"/>
    <x v="1"/>
    <x v="1"/>
  </r>
  <r>
    <x v="150"/>
    <x v="120"/>
    <x v="112"/>
    <x v="120"/>
    <x v="129"/>
    <x v="2"/>
    <x v="1"/>
    <x v="1"/>
  </r>
  <r>
    <x v="151"/>
    <x v="121"/>
    <x v="112"/>
    <x v="1"/>
    <x v="1"/>
    <x v="3"/>
    <x v="124"/>
    <x v="16"/>
  </r>
  <r>
    <x v="152"/>
    <x v="33"/>
    <x v="112"/>
    <x v="121"/>
    <x v="130"/>
    <x v="19"/>
    <x v="1"/>
    <x v="1"/>
  </r>
</pivotCacheRecords>
</file>

<file path=xl/pivotCache/pivotCacheRecords8.xml><?xml version="1.0" encoding="utf-8"?>
<pivotCacheRecords xmlns:r="http://schemas.openxmlformats.org/officeDocument/2006/relationships" xmlns="http://schemas.openxmlformats.org/spreadsheetml/2006/main" count="346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0"/>
    <x v="0"/>
    <x v="0"/>
    <x v="2"/>
    <x v="2"/>
    <x v="0"/>
    <x v="1"/>
    <x v="1"/>
  </r>
  <r>
    <x v="0"/>
    <x v="0"/>
    <x v="0"/>
    <x v="3"/>
    <x v="3"/>
    <x v="0"/>
    <x v="1"/>
    <x v="1"/>
  </r>
  <r>
    <x v="0"/>
    <x v="0"/>
    <x v="0"/>
    <x v="4"/>
    <x v="4"/>
    <x v="0"/>
    <x v="2"/>
    <x v="2"/>
  </r>
  <r>
    <x v="0"/>
    <x v="0"/>
    <x v="0"/>
    <x v="5"/>
    <x v="5"/>
    <x v="0"/>
    <x v="3"/>
    <x v="3"/>
  </r>
  <r>
    <x v="0"/>
    <x v="0"/>
    <x v="0"/>
    <x v="5"/>
    <x v="5"/>
    <x v="1"/>
    <x v="3"/>
    <x v="4"/>
  </r>
  <r>
    <x v="1"/>
    <x v="1"/>
    <x v="1"/>
    <x v="6"/>
    <x v="6"/>
    <x v="2"/>
    <x v="4"/>
    <x v="5"/>
  </r>
  <r>
    <x v="2"/>
    <x v="2"/>
    <x v="2"/>
    <x v="7"/>
    <x v="7"/>
    <x v="3"/>
    <x v="5"/>
    <x v="6"/>
  </r>
  <r>
    <x v="3"/>
    <x v="3"/>
    <x v="3"/>
    <x v="8"/>
    <x v="8"/>
    <x v="2"/>
    <x v="6"/>
    <x v="7"/>
  </r>
  <r>
    <x v="3"/>
    <x v="3"/>
    <x v="3"/>
    <x v="7"/>
    <x v="7"/>
    <x v="2"/>
    <x v="7"/>
    <x v="8"/>
  </r>
  <r>
    <x v="4"/>
    <x v="4"/>
    <x v="4"/>
    <x v="9"/>
    <x v="9"/>
    <x v="2"/>
    <x v="8"/>
    <x v="9"/>
  </r>
  <r>
    <x v="5"/>
    <x v="5"/>
    <x v="5"/>
    <x v="10"/>
    <x v="10"/>
    <x v="2"/>
    <x v="9"/>
    <x v="10"/>
  </r>
  <r>
    <x v="5"/>
    <x v="5"/>
    <x v="5"/>
    <x v="11"/>
    <x v="11"/>
    <x v="2"/>
    <x v="10"/>
    <x v="11"/>
  </r>
  <r>
    <x v="5"/>
    <x v="5"/>
    <x v="5"/>
    <x v="7"/>
    <x v="7"/>
    <x v="2"/>
    <x v="7"/>
    <x v="8"/>
  </r>
  <r>
    <x v="6"/>
    <x v="6"/>
    <x v="6"/>
    <x v="7"/>
    <x v="7"/>
    <x v="2"/>
    <x v="5"/>
    <x v="12"/>
  </r>
  <r>
    <x v="7"/>
    <x v="7"/>
    <x v="7"/>
    <x v="11"/>
    <x v="11"/>
    <x v="2"/>
    <x v="10"/>
    <x v="11"/>
  </r>
  <r>
    <x v="8"/>
    <x v="8"/>
    <x v="8"/>
    <x v="12"/>
    <x v="12"/>
    <x v="2"/>
    <x v="11"/>
    <x v="13"/>
  </r>
  <r>
    <x v="8"/>
    <x v="8"/>
    <x v="8"/>
    <x v="13"/>
    <x v="13"/>
    <x v="1"/>
    <x v="12"/>
    <x v="14"/>
  </r>
  <r>
    <x v="8"/>
    <x v="8"/>
    <x v="8"/>
    <x v="1"/>
    <x v="14"/>
    <x v="1"/>
    <x v="1"/>
    <x v="1"/>
  </r>
  <r>
    <x v="8"/>
    <x v="8"/>
    <x v="8"/>
    <x v="14"/>
    <x v="15"/>
    <x v="4"/>
    <x v="1"/>
    <x v="1"/>
  </r>
  <r>
    <x v="8"/>
    <x v="8"/>
    <x v="8"/>
    <x v="14"/>
    <x v="16"/>
    <x v="5"/>
    <x v="13"/>
    <x v="15"/>
  </r>
  <r>
    <x v="8"/>
    <x v="8"/>
    <x v="8"/>
    <x v="15"/>
    <x v="17"/>
    <x v="6"/>
    <x v="14"/>
    <x v="16"/>
  </r>
  <r>
    <x v="8"/>
    <x v="8"/>
    <x v="8"/>
    <x v="16"/>
    <x v="18"/>
    <x v="4"/>
    <x v="15"/>
    <x v="17"/>
  </r>
  <r>
    <x v="8"/>
    <x v="8"/>
    <x v="8"/>
    <x v="17"/>
    <x v="19"/>
    <x v="7"/>
    <x v="16"/>
    <x v="18"/>
  </r>
  <r>
    <x v="8"/>
    <x v="8"/>
    <x v="8"/>
    <x v="18"/>
    <x v="20"/>
    <x v="7"/>
    <x v="17"/>
    <x v="19"/>
  </r>
  <r>
    <x v="8"/>
    <x v="8"/>
    <x v="8"/>
    <x v="19"/>
    <x v="21"/>
    <x v="2"/>
    <x v="18"/>
    <x v="20"/>
  </r>
  <r>
    <x v="9"/>
    <x v="9"/>
    <x v="9"/>
    <x v="20"/>
    <x v="22"/>
    <x v="2"/>
    <x v="19"/>
    <x v="21"/>
  </r>
  <r>
    <x v="10"/>
    <x v="10"/>
    <x v="10"/>
    <x v="11"/>
    <x v="11"/>
    <x v="2"/>
    <x v="10"/>
    <x v="11"/>
  </r>
  <r>
    <x v="10"/>
    <x v="10"/>
    <x v="10"/>
    <x v="21"/>
    <x v="23"/>
    <x v="0"/>
    <x v="20"/>
    <x v="22"/>
  </r>
  <r>
    <x v="10"/>
    <x v="10"/>
    <x v="10"/>
    <x v="6"/>
    <x v="6"/>
    <x v="0"/>
    <x v="1"/>
    <x v="1"/>
  </r>
  <r>
    <x v="10"/>
    <x v="10"/>
    <x v="10"/>
    <x v="1"/>
    <x v="1"/>
    <x v="0"/>
    <x v="1"/>
    <x v="1"/>
  </r>
  <r>
    <x v="10"/>
    <x v="10"/>
    <x v="10"/>
    <x v="3"/>
    <x v="3"/>
    <x v="0"/>
    <x v="1"/>
    <x v="1"/>
  </r>
  <r>
    <x v="10"/>
    <x v="10"/>
    <x v="10"/>
    <x v="20"/>
    <x v="22"/>
    <x v="2"/>
    <x v="19"/>
    <x v="21"/>
  </r>
  <r>
    <x v="10"/>
    <x v="10"/>
    <x v="10"/>
    <x v="7"/>
    <x v="7"/>
    <x v="2"/>
    <x v="7"/>
    <x v="8"/>
  </r>
  <r>
    <x v="11"/>
    <x v="11"/>
    <x v="11"/>
    <x v="22"/>
    <x v="24"/>
    <x v="2"/>
    <x v="21"/>
    <x v="23"/>
  </r>
  <r>
    <x v="12"/>
    <x v="12"/>
    <x v="12"/>
    <x v="23"/>
    <x v="23"/>
    <x v="1"/>
    <x v="22"/>
    <x v="24"/>
  </r>
  <r>
    <x v="12"/>
    <x v="12"/>
    <x v="12"/>
    <x v="6"/>
    <x v="6"/>
    <x v="1"/>
    <x v="1"/>
    <x v="1"/>
  </r>
  <r>
    <x v="12"/>
    <x v="12"/>
    <x v="12"/>
    <x v="1"/>
    <x v="1"/>
    <x v="1"/>
    <x v="1"/>
    <x v="1"/>
  </r>
  <r>
    <x v="12"/>
    <x v="12"/>
    <x v="12"/>
    <x v="3"/>
    <x v="3"/>
    <x v="1"/>
    <x v="1"/>
    <x v="1"/>
  </r>
  <r>
    <x v="13"/>
    <x v="13"/>
    <x v="13"/>
    <x v="7"/>
    <x v="7"/>
    <x v="2"/>
    <x v="5"/>
    <x v="12"/>
  </r>
  <r>
    <x v="14"/>
    <x v="14"/>
    <x v="14"/>
    <x v="22"/>
    <x v="24"/>
    <x v="0"/>
    <x v="21"/>
    <x v="25"/>
  </r>
  <r>
    <x v="15"/>
    <x v="15"/>
    <x v="15"/>
    <x v="9"/>
    <x v="9"/>
    <x v="0"/>
    <x v="8"/>
    <x v="26"/>
  </r>
  <r>
    <x v="16"/>
    <x v="16"/>
    <x v="16"/>
    <x v="24"/>
    <x v="25"/>
    <x v="2"/>
    <x v="23"/>
    <x v="27"/>
  </r>
  <r>
    <x v="16"/>
    <x v="16"/>
    <x v="16"/>
    <x v="20"/>
    <x v="22"/>
    <x v="2"/>
    <x v="19"/>
    <x v="21"/>
  </r>
  <r>
    <x v="17"/>
    <x v="17"/>
    <x v="17"/>
    <x v="25"/>
    <x v="26"/>
    <x v="0"/>
    <x v="24"/>
    <x v="28"/>
  </r>
  <r>
    <x v="17"/>
    <x v="17"/>
    <x v="17"/>
    <x v="26"/>
    <x v="27"/>
    <x v="0"/>
    <x v="1"/>
    <x v="1"/>
  </r>
  <r>
    <x v="17"/>
    <x v="17"/>
    <x v="17"/>
    <x v="6"/>
    <x v="6"/>
    <x v="0"/>
    <x v="4"/>
    <x v="29"/>
  </r>
  <r>
    <x v="17"/>
    <x v="17"/>
    <x v="17"/>
    <x v="27"/>
    <x v="28"/>
    <x v="0"/>
    <x v="1"/>
    <x v="1"/>
  </r>
  <r>
    <x v="18"/>
    <x v="18"/>
    <x v="17"/>
    <x v="28"/>
    <x v="12"/>
    <x v="2"/>
    <x v="25"/>
    <x v="30"/>
  </r>
  <r>
    <x v="18"/>
    <x v="18"/>
    <x v="17"/>
    <x v="29"/>
    <x v="29"/>
    <x v="2"/>
    <x v="26"/>
    <x v="31"/>
  </r>
  <r>
    <x v="19"/>
    <x v="19"/>
    <x v="17"/>
    <x v="30"/>
    <x v="12"/>
    <x v="2"/>
    <x v="27"/>
    <x v="32"/>
  </r>
  <r>
    <x v="19"/>
    <x v="19"/>
    <x v="17"/>
    <x v="31"/>
    <x v="30"/>
    <x v="2"/>
    <x v="28"/>
    <x v="33"/>
  </r>
  <r>
    <x v="19"/>
    <x v="19"/>
    <x v="17"/>
    <x v="2"/>
    <x v="31"/>
    <x v="1"/>
    <x v="29"/>
    <x v="34"/>
  </r>
  <r>
    <x v="19"/>
    <x v="19"/>
    <x v="17"/>
    <x v="32"/>
    <x v="32"/>
    <x v="1"/>
    <x v="1"/>
    <x v="1"/>
  </r>
  <r>
    <x v="19"/>
    <x v="19"/>
    <x v="17"/>
    <x v="33"/>
    <x v="33"/>
    <x v="0"/>
    <x v="1"/>
    <x v="1"/>
  </r>
  <r>
    <x v="19"/>
    <x v="19"/>
    <x v="17"/>
    <x v="22"/>
    <x v="24"/>
    <x v="1"/>
    <x v="30"/>
    <x v="35"/>
  </r>
  <r>
    <x v="20"/>
    <x v="20"/>
    <x v="18"/>
    <x v="11"/>
    <x v="11"/>
    <x v="2"/>
    <x v="10"/>
    <x v="11"/>
  </r>
  <r>
    <x v="21"/>
    <x v="21"/>
    <x v="19"/>
    <x v="9"/>
    <x v="9"/>
    <x v="8"/>
    <x v="8"/>
    <x v="36"/>
  </r>
  <r>
    <x v="22"/>
    <x v="22"/>
    <x v="20"/>
    <x v="7"/>
    <x v="7"/>
    <x v="0"/>
    <x v="5"/>
    <x v="37"/>
  </r>
  <r>
    <x v="23"/>
    <x v="23"/>
    <x v="21"/>
    <x v="10"/>
    <x v="10"/>
    <x v="0"/>
    <x v="9"/>
    <x v="38"/>
  </r>
  <r>
    <x v="24"/>
    <x v="4"/>
    <x v="22"/>
    <x v="34"/>
    <x v="34"/>
    <x v="2"/>
    <x v="31"/>
    <x v="39"/>
  </r>
  <r>
    <x v="24"/>
    <x v="4"/>
    <x v="22"/>
    <x v="27"/>
    <x v="35"/>
    <x v="0"/>
    <x v="31"/>
    <x v="40"/>
  </r>
  <r>
    <x v="24"/>
    <x v="4"/>
    <x v="22"/>
    <x v="7"/>
    <x v="7"/>
    <x v="0"/>
    <x v="5"/>
    <x v="37"/>
  </r>
  <r>
    <x v="24"/>
    <x v="4"/>
    <x v="22"/>
    <x v="9"/>
    <x v="9"/>
    <x v="2"/>
    <x v="8"/>
    <x v="9"/>
  </r>
  <r>
    <x v="25"/>
    <x v="24"/>
    <x v="23"/>
    <x v="35"/>
    <x v="36"/>
    <x v="1"/>
    <x v="32"/>
    <x v="41"/>
  </r>
  <r>
    <x v="26"/>
    <x v="25"/>
    <x v="24"/>
    <x v="36"/>
    <x v="12"/>
    <x v="2"/>
    <x v="33"/>
    <x v="42"/>
  </r>
  <r>
    <x v="26"/>
    <x v="25"/>
    <x v="24"/>
    <x v="37"/>
    <x v="37"/>
    <x v="0"/>
    <x v="1"/>
    <x v="1"/>
  </r>
  <r>
    <x v="26"/>
    <x v="25"/>
    <x v="24"/>
    <x v="38"/>
    <x v="38"/>
    <x v="0"/>
    <x v="34"/>
    <x v="43"/>
  </r>
  <r>
    <x v="26"/>
    <x v="25"/>
    <x v="24"/>
    <x v="39"/>
    <x v="39"/>
    <x v="0"/>
    <x v="1"/>
    <x v="1"/>
  </r>
  <r>
    <x v="26"/>
    <x v="25"/>
    <x v="24"/>
    <x v="40"/>
    <x v="40"/>
    <x v="2"/>
    <x v="34"/>
    <x v="44"/>
  </r>
  <r>
    <x v="26"/>
    <x v="25"/>
    <x v="24"/>
    <x v="41"/>
    <x v="41"/>
    <x v="2"/>
    <x v="35"/>
    <x v="45"/>
  </r>
  <r>
    <x v="26"/>
    <x v="25"/>
    <x v="24"/>
    <x v="42"/>
    <x v="42"/>
    <x v="1"/>
    <x v="36"/>
    <x v="46"/>
  </r>
  <r>
    <x v="27"/>
    <x v="26"/>
    <x v="25"/>
    <x v="11"/>
    <x v="11"/>
    <x v="2"/>
    <x v="10"/>
    <x v="11"/>
  </r>
  <r>
    <x v="28"/>
    <x v="22"/>
    <x v="26"/>
    <x v="43"/>
    <x v="43"/>
    <x v="2"/>
    <x v="5"/>
    <x v="12"/>
  </r>
  <r>
    <x v="29"/>
    <x v="27"/>
    <x v="27"/>
    <x v="44"/>
    <x v="44"/>
    <x v="0"/>
    <x v="37"/>
    <x v="47"/>
  </r>
  <r>
    <x v="29"/>
    <x v="27"/>
    <x v="27"/>
    <x v="0"/>
    <x v="0"/>
    <x v="0"/>
    <x v="0"/>
    <x v="0"/>
  </r>
  <r>
    <x v="29"/>
    <x v="27"/>
    <x v="27"/>
    <x v="1"/>
    <x v="1"/>
    <x v="0"/>
    <x v="1"/>
    <x v="1"/>
  </r>
  <r>
    <x v="29"/>
    <x v="27"/>
    <x v="27"/>
    <x v="2"/>
    <x v="2"/>
    <x v="0"/>
    <x v="1"/>
    <x v="1"/>
  </r>
  <r>
    <x v="29"/>
    <x v="27"/>
    <x v="27"/>
    <x v="3"/>
    <x v="3"/>
    <x v="0"/>
    <x v="1"/>
    <x v="1"/>
  </r>
  <r>
    <x v="29"/>
    <x v="27"/>
    <x v="27"/>
    <x v="4"/>
    <x v="4"/>
    <x v="0"/>
    <x v="2"/>
    <x v="2"/>
  </r>
  <r>
    <x v="30"/>
    <x v="28"/>
    <x v="28"/>
    <x v="28"/>
    <x v="12"/>
    <x v="2"/>
    <x v="38"/>
    <x v="48"/>
  </r>
  <r>
    <x v="30"/>
    <x v="28"/>
    <x v="28"/>
    <x v="20"/>
    <x v="22"/>
    <x v="0"/>
    <x v="39"/>
    <x v="49"/>
  </r>
  <r>
    <x v="30"/>
    <x v="28"/>
    <x v="28"/>
    <x v="45"/>
    <x v="45"/>
    <x v="3"/>
    <x v="40"/>
    <x v="50"/>
  </r>
  <r>
    <x v="31"/>
    <x v="29"/>
    <x v="29"/>
    <x v="46"/>
    <x v="46"/>
    <x v="2"/>
    <x v="37"/>
    <x v="51"/>
  </r>
  <r>
    <x v="32"/>
    <x v="30"/>
    <x v="30"/>
    <x v="7"/>
    <x v="7"/>
    <x v="2"/>
    <x v="5"/>
    <x v="12"/>
  </r>
  <r>
    <x v="33"/>
    <x v="31"/>
    <x v="31"/>
    <x v="47"/>
    <x v="47"/>
    <x v="2"/>
    <x v="41"/>
    <x v="52"/>
  </r>
  <r>
    <x v="34"/>
    <x v="32"/>
    <x v="32"/>
    <x v="20"/>
    <x v="22"/>
    <x v="2"/>
    <x v="19"/>
    <x v="21"/>
  </r>
  <r>
    <x v="35"/>
    <x v="33"/>
    <x v="33"/>
    <x v="12"/>
    <x v="12"/>
    <x v="2"/>
    <x v="42"/>
    <x v="2"/>
  </r>
  <r>
    <x v="35"/>
    <x v="33"/>
    <x v="33"/>
    <x v="48"/>
    <x v="48"/>
    <x v="9"/>
    <x v="43"/>
    <x v="2"/>
  </r>
  <r>
    <x v="35"/>
    <x v="33"/>
    <x v="33"/>
    <x v="49"/>
    <x v="48"/>
    <x v="10"/>
    <x v="43"/>
    <x v="53"/>
  </r>
  <r>
    <x v="35"/>
    <x v="33"/>
    <x v="33"/>
    <x v="50"/>
    <x v="48"/>
    <x v="10"/>
    <x v="43"/>
    <x v="53"/>
  </r>
  <r>
    <x v="35"/>
    <x v="33"/>
    <x v="33"/>
    <x v="51"/>
    <x v="48"/>
    <x v="11"/>
    <x v="43"/>
    <x v="54"/>
  </r>
  <r>
    <x v="35"/>
    <x v="33"/>
    <x v="33"/>
    <x v="52"/>
    <x v="48"/>
    <x v="10"/>
    <x v="43"/>
    <x v="53"/>
  </r>
  <r>
    <x v="35"/>
    <x v="33"/>
    <x v="33"/>
    <x v="53"/>
    <x v="48"/>
    <x v="12"/>
    <x v="43"/>
    <x v="55"/>
  </r>
  <r>
    <x v="35"/>
    <x v="33"/>
    <x v="33"/>
    <x v="54"/>
    <x v="48"/>
    <x v="12"/>
    <x v="43"/>
    <x v="55"/>
  </r>
  <r>
    <x v="35"/>
    <x v="33"/>
    <x v="33"/>
    <x v="55"/>
    <x v="48"/>
    <x v="13"/>
    <x v="43"/>
    <x v="56"/>
  </r>
  <r>
    <x v="35"/>
    <x v="33"/>
    <x v="33"/>
    <x v="56"/>
    <x v="48"/>
    <x v="14"/>
    <x v="43"/>
    <x v="57"/>
  </r>
  <r>
    <x v="35"/>
    <x v="33"/>
    <x v="33"/>
    <x v="57"/>
    <x v="48"/>
    <x v="15"/>
    <x v="43"/>
    <x v="58"/>
  </r>
  <r>
    <x v="36"/>
    <x v="34"/>
    <x v="33"/>
    <x v="58"/>
    <x v="49"/>
    <x v="2"/>
    <x v="1"/>
    <x v="1"/>
  </r>
  <r>
    <x v="36"/>
    <x v="34"/>
    <x v="33"/>
    <x v="59"/>
    <x v="50"/>
    <x v="2"/>
    <x v="1"/>
    <x v="1"/>
  </r>
  <r>
    <x v="37"/>
    <x v="35"/>
    <x v="34"/>
    <x v="35"/>
    <x v="36"/>
    <x v="7"/>
    <x v="32"/>
    <x v="59"/>
  </r>
  <r>
    <x v="38"/>
    <x v="36"/>
    <x v="35"/>
    <x v="11"/>
    <x v="11"/>
    <x v="2"/>
    <x v="10"/>
    <x v="11"/>
  </r>
  <r>
    <x v="39"/>
    <x v="37"/>
    <x v="36"/>
    <x v="9"/>
    <x v="9"/>
    <x v="1"/>
    <x v="8"/>
    <x v="60"/>
  </r>
  <r>
    <x v="40"/>
    <x v="38"/>
    <x v="37"/>
    <x v="60"/>
    <x v="51"/>
    <x v="1"/>
    <x v="44"/>
    <x v="61"/>
  </r>
  <r>
    <x v="40"/>
    <x v="38"/>
    <x v="37"/>
    <x v="61"/>
    <x v="52"/>
    <x v="1"/>
    <x v="45"/>
    <x v="62"/>
  </r>
  <r>
    <x v="40"/>
    <x v="38"/>
    <x v="37"/>
    <x v="62"/>
    <x v="53"/>
    <x v="16"/>
    <x v="46"/>
    <x v="63"/>
  </r>
  <r>
    <x v="41"/>
    <x v="39"/>
    <x v="38"/>
    <x v="43"/>
    <x v="43"/>
    <x v="2"/>
    <x v="5"/>
    <x v="12"/>
  </r>
  <r>
    <x v="42"/>
    <x v="40"/>
    <x v="39"/>
    <x v="11"/>
    <x v="11"/>
    <x v="0"/>
    <x v="10"/>
    <x v="64"/>
  </r>
  <r>
    <x v="43"/>
    <x v="41"/>
    <x v="40"/>
    <x v="43"/>
    <x v="43"/>
    <x v="3"/>
    <x v="5"/>
    <x v="6"/>
  </r>
  <r>
    <x v="44"/>
    <x v="42"/>
    <x v="41"/>
    <x v="63"/>
    <x v="54"/>
    <x v="0"/>
    <x v="47"/>
    <x v="65"/>
  </r>
  <r>
    <x v="44"/>
    <x v="42"/>
    <x v="41"/>
    <x v="20"/>
    <x v="22"/>
    <x v="2"/>
    <x v="19"/>
    <x v="21"/>
  </r>
  <r>
    <x v="44"/>
    <x v="42"/>
    <x v="41"/>
    <x v="21"/>
    <x v="23"/>
    <x v="0"/>
    <x v="20"/>
    <x v="22"/>
  </r>
  <r>
    <x v="44"/>
    <x v="42"/>
    <x v="41"/>
    <x v="1"/>
    <x v="1"/>
    <x v="0"/>
    <x v="1"/>
    <x v="1"/>
  </r>
  <r>
    <x v="45"/>
    <x v="43"/>
    <x v="41"/>
    <x v="64"/>
    <x v="55"/>
    <x v="7"/>
    <x v="18"/>
    <x v="66"/>
  </r>
  <r>
    <x v="46"/>
    <x v="44"/>
    <x v="41"/>
    <x v="47"/>
    <x v="56"/>
    <x v="0"/>
    <x v="1"/>
    <x v="1"/>
  </r>
  <r>
    <x v="47"/>
    <x v="8"/>
    <x v="41"/>
    <x v="28"/>
    <x v="12"/>
    <x v="2"/>
    <x v="48"/>
    <x v="67"/>
  </r>
  <r>
    <x v="47"/>
    <x v="8"/>
    <x v="41"/>
    <x v="65"/>
    <x v="57"/>
    <x v="7"/>
    <x v="49"/>
    <x v="68"/>
  </r>
  <r>
    <x v="47"/>
    <x v="8"/>
    <x v="41"/>
    <x v="26"/>
    <x v="27"/>
    <x v="7"/>
    <x v="1"/>
    <x v="1"/>
  </r>
  <r>
    <x v="47"/>
    <x v="8"/>
    <x v="41"/>
    <x v="66"/>
    <x v="58"/>
    <x v="7"/>
    <x v="14"/>
    <x v="69"/>
  </r>
  <r>
    <x v="47"/>
    <x v="8"/>
    <x v="41"/>
    <x v="67"/>
    <x v="59"/>
    <x v="1"/>
    <x v="50"/>
    <x v="70"/>
  </r>
  <r>
    <x v="48"/>
    <x v="33"/>
    <x v="41"/>
    <x v="28"/>
    <x v="12"/>
    <x v="2"/>
    <x v="51"/>
    <x v="71"/>
  </r>
  <r>
    <x v="48"/>
    <x v="33"/>
    <x v="41"/>
    <x v="68"/>
    <x v="60"/>
    <x v="17"/>
    <x v="52"/>
    <x v="72"/>
  </r>
  <r>
    <x v="49"/>
    <x v="45"/>
    <x v="42"/>
    <x v="69"/>
    <x v="61"/>
    <x v="2"/>
    <x v="53"/>
    <x v="73"/>
  </r>
  <r>
    <x v="50"/>
    <x v="46"/>
    <x v="43"/>
    <x v="22"/>
    <x v="24"/>
    <x v="0"/>
    <x v="21"/>
    <x v="25"/>
  </r>
  <r>
    <x v="51"/>
    <x v="47"/>
    <x v="44"/>
    <x v="70"/>
    <x v="11"/>
    <x v="0"/>
    <x v="19"/>
    <x v="74"/>
  </r>
  <r>
    <x v="52"/>
    <x v="46"/>
    <x v="45"/>
    <x v="47"/>
    <x v="47"/>
    <x v="0"/>
    <x v="41"/>
    <x v="75"/>
  </r>
  <r>
    <x v="52"/>
    <x v="46"/>
    <x v="45"/>
    <x v="27"/>
    <x v="35"/>
    <x v="2"/>
    <x v="31"/>
    <x v="39"/>
  </r>
  <r>
    <x v="53"/>
    <x v="48"/>
    <x v="46"/>
    <x v="71"/>
    <x v="62"/>
    <x v="0"/>
    <x v="4"/>
    <x v="29"/>
  </r>
  <r>
    <x v="54"/>
    <x v="49"/>
    <x v="47"/>
    <x v="11"/>
    <x v="11"/>
    <x v="2"/>
    <x v="10"/>
    <x v="11"/>
  </r>
  <r>
    <x v="55"/>
    <x v="41"/>
    <x v="48"/>
    <x v="46"/>
    <x v="46"/>
    <x v="3"/>
    <x v="37"/>
    <x v="76"/>
  </r>
  <r>
    <x v="55"/>
    <x v="41"/>
    <x v="48"/>
    <x v="22"/>
    <x v="24"/>
    <x v="1"/>
    <x v="21"/>
    <x v="77"/>
  </r>
  <r>
    <x v="56"/>
    <x v="50"/>
    <x v="49"/>
    <x v="11"/>
    <x v="11"/>
    <x v="2"/>
    <x v="10"/>
    <x v="11"/>
  </r>
  <r>
    <x v="57"/>
    <x v="51"/>
    <x v="50"/>
    <x v="31"/>
    <x v="63"/>
    <x v="2"/>
    <x v="1"/>
    <x v="1"/>
  </r>
  <r>
    <x v="58"/>
    <x v="52"/>
    <x v="51"/>
    <x v="64"/>
    <x v="55"/>
    <x v="0"/>
    <x v="54"/>
    <x v="78"/>
  </r>
  <r>
    <x v="59"/>
    <x v="53"/>
    <x v="52"/>
    <x v="43"/>
    <x v="43"/>
    <x v="0"/>
    <x v="5"/>
    <x v="37"/>
  </r>
  <r>
    <x v="60"/>
    <x v="54"/>
    <x v="53"/>
    <x v="11"/>
    <x v="11"/>
    <x v="0"/>
    <x v="55"/>
    <x v="79"/>
  </r>
  <r>
    <x v="61"/>
    <x v="55"/>
    <x v="54"/>
    <x v="72"/>
    <x v="64"/>
    <x v="2"/>
    <x v="56"/>
    <x v="80"/>
  </r>
  <r>
    <x v="61"/>
    <x v="55"/>
    <x v="54"/>
    <x v="73"/>
    <x v="65"/>
    <x v="18"/>
    <x v="57"/>
    <x v="81"/>
  </r>
  <r>
    <x v="61"/>
    <x v="55"/>
    <x v="54"/>
    <x v="74"/>
    <x v="66"/>
    <x v="18"/>
    <x v="58"/>
    <x v="82"/>
  </r>
  <r>
    <x v="61"/>
    <x v="55"/>
    <x v="54"/>
    <x v="75"/>
    <x v="67"/>
    <x v="18"/>
    <x v="59"/>
    <x v="83"/>
  </r>
  <r>
    <x v="61"/>
    <x v="55"/>
    <x v="54"/>
    <x v="76"/>
    <x v="68"/>
    <x v="2"/>
    <x v="60"/>
    <x v="84"/>
  </r>
  <r>
    <x v="61"/>
    <x v="55"/>
    <x v="54"/>
    <x v="77"/>
    <x v="69"/>
    <x v="2"/>
    <x v="61"/>
    <x v="85"/>
  </r>
  <r>
    <x v="62"/>
    <x v="56"/>
    <x v="54"/>
    <x v="28"/>
    <x v="12"/>
    <x v="2"/>
    <x v="62"/>
    <x v="86"/>
  </r>
  <r>
    <x v="62"/>
    <x v="56"/>
    <x v="54"/>
    <x v="24"/>
    <x v="25"/>
    <x v="2"/>
    <x v="63"/>
    <x v="87"/>
  </r>
  <r>
    <x v="63"/>
    <x v="33"/>
    <x v="54"/>
    <x v="78"/>
    <x v="70"/>
    <x v="2"/>
    <x v="1"/>
    <x v="1"/>
  </r>
  <r>
    <x v="63"/>
    <x v="33"/>
    <x v="54"/>
    <x v="79"/>
    <x v="71"/>
    <x v="2"/>
    <x v="1"/>
    <x v="1"/>
  </r>
  <r>
    <x v="63"/>
    <x v="33"/>
    <x v="54"/>
    <x v="80"/>
    <x v="72"/>
    <x v="0"/>
    <x v="1"/>
    <x v="1"/>
  </r>
  <r>
    <x v="64"/>
    <x v="57"/>
    <x v="54"/>
    <x v="17"/>
    <x v="19"/>
    <x v="19"/>
    <x v="1"/>
    <x v="1"/>
  </r>
  <r>
    <x v="65"/>
    <x v="58"/>
    <x v="54"/>
    <x v="81"/>
    <x v="73"/>
    <x v="0"/>
    <x v="64"/>
    <x v="88"/>
  </r>
  <r>
    <x v="66"/>
    <x v="59"/>
    <x v="55"/>
    <x v="35"/>
    <x v="36"/>
    <x v="2"/>
    <x v="32"/>
    <x v="89"/>
  </r>
  <r>
    <x v="67"/>
    <x v="60"/>
    <x v="56"/>
    <x v="29"/>
    <x v="29"/>
    <x v="2"/>
    <x v="65"/>
    <x v="90"/>
  </r>
  <r>
    <x v="67"/>
    <x v="60"/>
    <x v="56"/>
    <x v="71"/>
    <x v="62"/>
    <x v="2"/>
    <x v="4"/>
    <x v="5"/>
  </r>
  <r>
    <x v="67"/>
    <x v="60"/>
    <x v="56"/>
    <x v="44"/>
    <x v="44"/>
    <x v="2"/>
    <x v="37"/>
    <x v="51"/>
  </r>
  <r>
    <x v="68"/>
    <x v="61"/>
    <x v="57"/>
    <x v="7"/>
    <x v="7"/>
    <x v="2"/>
    <x v="5"/>
    <x v="12"/>
  </r>
  <r>
    <x v="69"/>
    <x v="62"/>
    <x v="58"/>
    <x v="45"/>
    <x v="45"/>
    <x v="2"/>
    <x v="66"/>
    <x v="91"/>
  </r>
  <r>
    <x v="70"/>
    <x v="63"/>
    <x v="59"/>
    <x v="21"/>
    <x v="23"/>
    <x v="0"/>
    <x v="20"/>
    <x v="22"/>
  </r>
  <r>
    <x v="70"/>
    <x v="63"/>
    <x v="59"/>
    <x v="6"/>
    <x v="6"/>
    <x v="0"/>
    <x v="1"/>
    <x v="1"/>
  </r>
  <r>
    <x v="70"/>
    <x v="63"/>
    <x v="59"/>
    <x v="1"/>
    <x v="1"/>
    <x v="0"/>
    <x v="1"/>
    <x v="1"/>
  </r>
  <r>
    <x v="70"/>
    <x v="63"/>
    <x v="59"/>
    <x v="3"/>
    <x v="3"/>
    <x v="0"/>
    <x v="1"/>
    <x v="1"/>
  </r>
  <r>
    <x v="71"/>
    <x v="64"/>
    <x v="60"/>
    <x v="35"/>
    <x v="36"/>
    <x v="2"/>
    <x v="32"/>
    <x v="89"/>
  </r>
  <r>
    <x v="72"/>
    <x v="65"/>
    <x v="61"/>
    <x v="82"/>
    <x v="74"/>
    <x v="2"/>
    <x v="34"/>
    <x v="44"/>
  </r>
  <r>
    <x v="73"/>
    <x v="66"/>
    <x v="62"/>
    <x v="25"/>
    <x v="26"/>
    <x v="1"/>
    <x v="24"/>
    <x v="92"/>
  </r>
  <r>
    <x v="73"/>
    <x v="66"/>
    <x v="62"/>
    <x v="26"/>
    <x v="27"/>
    <x v="1"/>
    <x v="1"/>
    <x v="1"/>
  </r>
  <r>
    <x v="73"/>
    <x v="66"/>
    <x v="62"/>
    <x v="66"/>
    <x v="58"/>
    <x v="1"/>
    <x v="67"/>
    <x v="93"/>
  </r>
  <r>
    <x v="73"/>
    <x v="66"/>
    <x v="62"/>
    <x v="6"/>
    <x v="6"/>
    <x v="1"/>
    <x v="4"/>
    <x v="94"/>
  </r>
  <r>
    <x v="73"/>
    <x v="66"/>
    <x v="62"/>
    <x v="83"/>
    <x v="75"/>
    <x v="0"/>
    <x v="4"/>
    <x v="29"/>
  </r>
  <r>
    <x v="73"/>
    <x v="66"/>
    <x v="62"/>
    <x v="1"/>
    <x v="76"/>
    <x v="0"/>
    <x v="1"/>
    <x v="1"/>
  </r>
  <r>
    <x v="73"/>
    <x v="66"/>
    <x v="62"/>
    <x v="84"/>
    <x v="77"/>
    <x v="0"/>
    <x v="68"/>
    <x v="95"/>
  </r>
  <r>
    <x v="73"/>
    <x v="66"/>
    <x v="62"/>
    <x v="85"/>
    <x v="78"/>
    <x v="0"/>
    <x v="5"/>
    <x v="37"/>
  </r>
  <r>
    <x v="73"/>
    <x v="66"/>
    <x v="62"/>
    <x v="27"/>
    <x v="35"/>
    <x v="1"/>
    <x v="1"/>
    <x v="1"/>
  </r>
  <r>
    <x v="74"/>
    <x v="67"/>
    <x v="62"/>
    <x v="86"/>
    <x v="79"/>
    <x v="4"/>
    <x v="69"/>
    <x v="96"/>
  </r>
  <r>
    <x v="74"/>
    <x v="67"/>
    <x v="62"/>
    <x v="68"/>
    <x v="80"/>
    <x v="4"/>
    <x v="1"/>
    <x v="1"/>
  </r>
  <r>
    <x v="75"/>
    <x v="68"/>
    <x v="62"/>
    <x v="28"/>
    <x v="12"/>
    <x v="2"/>
    <x v="70"/>
    <x v="97"/>
  </r>
  <r>
    <x v="75"/>
    <x v="68"/>
    <x v="62"/>
    <x v="21"/>
    <x v="23"/>
    <x v="6"/>
    <x v="20"/>
    <x v="98"/>
  </r>
  <r>
    <x v="75"/>
    <x v="68"/>
    <x v="62"/>
    <x v="1"/>
    <x v="14"/>
    <x v="6"/>
    <x v="1"/>
    <x v="1"/>
  </r>
  <r>
    <x v="75"/>
    <x v="68"/>
    <x v="62"/>
    <x v="3"/>
    <x v="81"/>
    <x v="6"/>
    <x v="1"/>
    <x v="1"/>
  </r>
  <r>
    <x v="75"/>
    <x v="68"/>
    <x v="62"/>
    <x v="29"/>
    <x v="29"/>
    <x v="6"/>
    <x v="71"/>
    <x v="53"/>
  </r>
  <r>
    <x v="76"/>
    <x v="69"/>
    <x v="63"/>
    <x v="47"/>
    <x v="47"/>
    <x v="0"/>
    <x v="41"/>
    <x v="75"/>
  </r>
  <r>
    <x v="76"/>
    <x v="69"/>
    <x v="63"/>
    <x v="7"/>
    <x v="7"/>
    <x v="0"/>
    <x v="7"/>
    <x v="99"/>
  </r>
  <r>
    <x v="77"/>
    <x v="70"/>
    <x v="64"/>
    <x v="9"/>
    <x v="9"/>
    <x v="8"/>
    <x v="8"/>
    <x v="36"/>
  </r>
  <r>
    <x v="78"/>
    <x v="71"/>
    <x v="65"/>
    <x v="31"/>
    <x v="82"/>
    <x v="2"/>
    <x v="1"/>
    <x v="1"/>
  </r>
  <r>
    <x v="78"/>
    <x v="71"/>
    <x v="65"/>
    <x v="31"/>
    <x v="83"/>
    <x v="2"/>
    <x v="1"/>
    <x v="1"/>
  </r>
  <r>
    <x v="78"/>
    <x v="71"/>
    <x v="65"/>
    <x v="87"/>
    <x v="84"/>
    <x v="0"/>
    <x v="1"/>
    <x v="1"/>
  </r>
  <r>
    <x v="79"/>
    <x v="69"/>
    <x v="65"/>
    <x v="29"/>
    <x v="85"/>
    <x v="0"/>
    <x v="71"/>
    <x v="100"/>
  </r>
  <r>
    <x v="80"/>
    <x v="72"/>
    <x v="66"/>
    <x v="11"/>
    <x v="11"/>
    <x v="0"/>
    <x v="10"/>
    <x v="64"/>
  </r>
  <r>
    <x v="81"/>
    <x v="73"/>
    <x v="67"/>
    <x v="29"/>
    <x v="29"/>
    <x v="2"/>
    <x v="65"/>
    <x v="90"/>
  </r>
  <r>
    <x v="81"/>
    <x v="73"/>
    <x v="67"/>
    <x v="4"/>
    <x v="4"/>
    <x v="2"/>
    <x v="72"/>
    <x v="101"/>
  </r>
  <r>
    <x v="82"/>
    <x v="74"/>
    <x v="68"/>
    <x v="0"/>
    <x v="0"/>
    <x v="0"/>
    <x v="0"/>
    <x v="0"/>
  </r>
  <r>
    <x v="82"/>
    <x v="74"/>
    <x v="68"/>
    <x v="1"/>
    <x v="1"/>
    <x v="0"/>
    <x v="1"/>
    <x v="1"/>
  </r>
  <r>
    <x v="82"/>
    <x v="74"/>
    <x v="68"/>
    <x v="2"/>
    <x v="2"/>
    <x v="0"/>
    <x v="1"/>
    <x v="1"/>
  </r>
  <r>
    <x v="82"/>
    <x v="74"/>
    <x v="68"/>
    <x v="3"/>
    <x v="3"/>
    <x v="0"/>
    <x v="1"/>
    <x v="1"/>
  </r>
  <r>
    <x v="82"/>
    <x v="74"/>
    <x v="68"/>
    <x v="6"/>
    <x v="6"/>
    <x v="0"/>
    <x v="1"/>
    <x v="1"/>
  </r>
  <r>
    <x v="82"/>
    <x v="74"/>
    <x v="68"/>
    <x v="24"/>
    <x v="25"/>
    <x v="2"/>
    <x v="23"/>
    <x v="27"/>
  </r>
  <r>
    <x v="83"/>
    <x v="75"/>
    <x v="69"/>
    <x v="70"/>
    <x v="11"/>
    <x v="2"/>
    <x v="19"/>
    <x v="21"/>
  </r>
  <r>
    <x v="84"/>
    <x v="51"/>
    <x v="70"/>
    <x v="88"/>
    <x v="86"/>
    <x v="1"/>
    <x v="73"/>
    <x v="102"/>
  </r>
  <r>
    <x v="84"/>
    <x v="51"/>
    <x v="70"/>
    <x v="89"/>
    <x v="87"/>
    <x v="20"/>
    <x v="74"/>
    <x v="103"/>
  </r>
  <r>
    <x v="84"/>
    <x v="51"/>
    <x v="70"/>
    <x v="90"/>
    <x v="88"/>
    <x v="0"/>
    <x v="1"/>
    <x v="1"/>
  </r>
  <r>
    <x v="84"/>
    <x v="51"/>
    <x v="70"/>
    <x v="91"/>
    <x v="89"/>
    <x v="7"/>
    <x v="1"/>
    <x v="1"/>
  </r>
  <r>
    <x v="85"/>
    <x v="76"/>
    <x v="70"/>
    <x v="92"/>
    <x v="12"/>
    <x v="2"/>
    <x v="75"/>
    <x v="104"/>
  </r>
  <r>
    <x v="85"/>
    <x v="76"/>
    <x v="70"/>
    <x v="31"/>
    <x v="90"/>
    <x v="2"/>
    <x v="1"/>
    <x v="1"/>
  </r>
  <r>
    <x v="85"/>
    <x v="76"/>
    <x v="70"/>
    <x v="93"/>
    <x v="91"/>
    <x v="2"/>
    <x v="1"/>
    <x v="1"/>
  </r>
  <r>
    <x v="85"/>
    <x v="76"/>
    <x v="70"/>
    <x v="94"/>
    <x v="92"/>
    <x v="2"/>
    <x v="1"/>
    <x v="1"/>
  </r>
  <r>
    <x v="85"/>
    <x v="76"/>
    <x v="70"/>
    <x v="95"/>
    <x v="93"/>
    <x v="2"/>
    <x v="1"/>
    <x v="1"/>
  </r>
  <r>
    <x v="86"/>
    <x v="51"/>
    <x v="70"/>
    <x v="28"/>
    <x v="12"/>
    <x v="2"/>
    <x v="76"/>
    <x v="105"/>
  </r>
  <r>
    <x v="86"/>
    <x v="51"/>
    <x v="70"/>
    <x v="96"/>
    <x v="94"/>
    <x v="6"/>
    <x v="77"/>
    <x v="106"/>
  </r>
  <r>
    <x v="86"/>
    <x v="51"/>
    <x v="70"/>
    <x v="1"/>
    <x v="14"/>
    <x v="6"/>
    <x v="1"/>
    <x v="1"/>
  </r>
  <r>
    <x v="87"/>
    <x v="51"/>
    <x v="70"/>
    <x v="28"/>
    <x v="12"/>
    <x v="2"/>
    <x v="78"/>
    <x v="107"/>
  </r>
  <r>
    <x v="87"/>
    <x v="51"/>
    <x v="70"/>
    <x v="96"/>
    <x v="95"/>
    <x v="1"/>
    <x v="77"/>
    <x v="108"/>
  </r>
  <r>
    <x v="87"/>
    <x v="51"/>
    <x v="70"/>
    <x v="1"/>
    <x v="14"/>
    <x v="1"/>
    <x v="1"/>
    <x v="1"/>
  </r>
  <r>
    <x v="88"/>
    <x v="77"/>
    <x v="70"/>
    <x v="24"/>
    <x v="25"/>
    <x v="8"/>
    <x v="79"/>
    <x v="109"/>
  </r>
  <r>
    <x v="89"/>
    <x v="78"/>
    <x v="71"/>
    <x v="11"/>
    <x v="11"/>
    <x v="2"/>
    <x v="10"/>
    <x v="11"/>
  </r>
  <r>
    <x v="90"/>
    <x v="79"/>
    <x v="72"/>
    <x v="70"/>
    <x v="11"/>
    <x v="2"/>
    <x v="19"/>
    <x v="21"/>
  </r>
  <r>
    <x v="91"/>
    <x v="80"/>
    <x v="73"/>
    <x v="47"/>
    <x v="47"/>
    <x v="2"/>
    <x v="41"/>
    <x v="52"/>
  </r>
  <r>
    <x v="92"/>
    <x v="22"/>
    <x v="74"/>
    <x v="27"/>
    <x v="35"/>
    <x v="2"/>
    <x v="31"/>
    <x v="39"/>
  </r>
  <r>
    <x v="92"/>
    <x v="22"/>
    <x v="74"/>
    <x v="43"/>
    <x v="43"/>
    <x v="2"/>
    <x v="5"/>
    <x v="12"/>
  </r>
  <r>
    <x v="93"/>
    <x v="22"/>
    <x v="75"/>
    <x v="7"/>
    <x v="7"/>
    <x v="0"/>
    <x v="5"/>
    <x v="37"/>
  </r>
  <r>
    <x v="94"/>
    <x v="77"/>
    <x v="76"/>
    <x v="97"/>
    <x v="96"/>
    <x v="2"/>
    <x v="80"/>
    <x v="110"/>
  </r>
  <r>
    <x v="95"/>
    <x v="81"/>
    <x v="77"/>
    <x v="70"/>
    <x v="11"/>
    <x v="2"/>
    <x v="19"/>
    <x v="21"/>
  </r>
  <r>
    <x v="96"/>
    <x v="81"/>
    <x v="78"/>
    <x v="11"/>
    <x v="11"/>
    <x v="2"/>
    <x v="10"/>
    <x v="11"/>
  </r>
  <r>
    <x v="97"/>
    <x v="82"/>
    <x v="79"/>
    <x v="6"/>
    <x v="6"/>
    <x v="2"/>
    <x v="4"/>
    <x v="5"/>
  </r>
  <r>
    <x v="98"/>
    <x v="83"/>
    <x v="80"/>
    <x v="34"/>
    <x v="34"/>
    <x v="0"/>
    <x v="31"/>
    <x v="40"/>
  </r>
  <r>
    <x v="99"/>
    <x v="84"/>
    <x v="81"/>
    <x v="29"/>
    <x v="29"/>
    <x v="1"/>
    <x v="26"/>
    <x v="111"/>
  </r>
  <r>
    <x v="100"/>
    <x v="85"/>
    <x v="81"/>
    <x v="59"/>
    <x v="50"/>
    <x v="2"/>
    <x v="1"/>
    <x v="1"/>
  </r>
  <r>
    <x v="100"/>
    <x v="85"/>
    <x v="81"/>
    <x v="58"/>
    <x v="49"/>
    <x v="2"/>
    <x v="1"/>
    <x v="1"/>
  </r>
  <r>
    <x v="101"/>
    <x v="86"/>
    <x v="82"/>
    <x v="22"/>
    <x v="24"/>
    <x v="0"/>
    <x v="21"/>
    <x v="25"/>
  </r>
  <r>
    <x v="102"/>
    <x v="51"/>
    <x v="83"/>
    <x v="98"/>
    <x v="97"/>
    <x v="2"/>
    <x v="1"/>
    <x v="1"/>
  </r>
  <r>
    <x v="103"/>
    <x v="87"/>
    <x v="84"/>
    <x v="20"/>
    <x v="22"/>
    <x v="2"/>
    <x v="19"/>
    <x v="21"/>
  </r>
  <r>
    <x v="104"/>
    <x v="88"/>
    <x v="85"/>
    <x v="11"/>
    <x v="11"/>
    <x v="2"/>
    <x v="10"/>
    <x v="11"/>
  </r>
  <r>
    <x v="105"/>
    <x v="89"/>
    <x v="86"/>
    <x v="28"/>
    <x v="12"/>
    <x v="2"/>
    <x v="81"/>
    <x v="112"/>
  </r>
  <r>
    <x v="105"/>
    <x v="89"/>
    <x v="86"/>
    <x v="21"/>
    <x v="23"/>
    <x v="1"/>
    <x v="82"/>
    <x v="113"/>
  </r>
  <r>
    <x v="105"/>
    <x v="89"/>
    <x v="86"/>
    <x v="1"/>
    <x v="14"/>
    <x v="1"/>
    <x v="1"/>
    <x v="1"/>
  </r>
  <r>
    <x v="105"/>
    <x v="89"/>
    <x v="86"/>
    <x v="6"/>
    <x v="98"/>
    <x v="0"/>
    <x v="1"/>
    <x v="1"/>
  </r>
  <r>
    <x v="105"/>
    <x v="89"/>
    <x v="86"/>
    <x v="29"/>
    <x v="99"/>
    <x v="0"/>
    <x v="83"/>
    <x v="114"/>
  </r>
  <r>
    <x v="105"/>
    <x v="89"/>
    <x v="86"/>
    <x v="3"/>
    <x v="81"/>
    <x v="1"/>
    <x v="1"/>
    <x v="1"/>
  </r>
  <r>
    <x v="105"/>
    <x v="89"/>
    <x v="86"/>
    <x v="20"/>
    <x v="22"/>
    <x v="0"/>
    <x v="39"/>
    <x v="49"/>
  </r>
  <r>
    <x v="106"/>
    <x v="90"/>
    <x v="86"/>
    <x v="30"/>
    <x v="12"/>
    <x v="2"/>
    <x v="84"/>
    <x v="115"/>
  </r>
  <r>
    <x v="106"/>
    <x v="90"/>
    <x v="86"/>
    <x v="47"/>
    <x v="47"/>
    <x v="0"/>
    <x v="41"/>
    <x v="75"/>
  </r>
  <r>
    <x v="107"/>
    <x v="91"/>
    <x v="86"/>
    <x v="99"/>
    <x v="100"/>
    <x v="8"/>
    <x v="85"/>
    <x v="116"/>
  </r>
  <r>
    <x v="108"/>
    <x v="92"/>
    <x v="86"/>
    <x v="30"/>
    <x v="12"/>
    <x v="2"/>
    <x v="1"/>
    <x v="1"/>
  </r>
  <r>
    <x v="108"/>
    <x v="92"/>
    <x v="86"/>
    <x v="3"/>
    <x v="3"/>
    <x v="2"/>
    <x v="1"/>
    <x v="1"/>
  </r>
  <r>
    <x v="109"/>
    <x v="93"/>
    <x v="86"/>
    <x v="100"/>
    <x v="101"/>
    <x v="8"/>
    <x v="1"/>
    <x v="1"/>
  </r>
  <r>
    <x v="110"/>
    <x v="94"/>
    <x v="87"/>
    <x v="43"/>
    <x v="43"/>
    <x v="0"/>
    <x v="5"/>
    <x v="37"/>
  </r>
  <r>
    <x v="111"/>
    <x v="38"/>
    <x v="88"/>
    <x v="28"/>
    <x v="12"/>
    <x v="2"/>
    <x v="86"/>
    <x v="117"/>
  </r>
  <r>
    <x v="111"/>
    <x v="38"/>
    <x v="88"/>
    <x v="101"/>
    <x v="102"/>
    <x v="0"/>
    <x v="87"/>
    <x v="118"/>
  </r>
  <r>
    <x v="112"/>
    <x v="95"/>
    <x v="88"/>
    <x v="12"/>
    <x v="12"/>
    <x v="2"/>
    <x v="88"/>
    <x v="119"/>
  </r>
  <r>
    <x v="112"/>
    <x v="95"/>
    <x v="88"/>
    <x v="0"/>
    <x v="0"/>
    <x v="6"/>
    <x v="89"/>
    <x v="120"/>
  </r>
  <r>
    <x v="112"/>
    <x v="95"/>
    <x v="88"/>
    <x v="1"/>
    <x v="14"/>
    <x v="6"/>
    <x v="1"/>
    <x v="1"/>
  </r>
  <r>
    <x v="112"/>
    <x v="95"/>
    <x v="88"/>
    <x v="2"/>
    <x v="31"/>
    <x v="6"/>
    <x v="1"/>
    <x v="1"/>
  </r>
  <r>
    <x v="112"/>
    <x v="95"/>
    <x v="88"/>
    <x v="27"/>
    <x v="103"/>
    <x v="6"/>
    <x v="1"/>
    <x v="1"/>
  </r>
  <r>
    <x v="112"/>
    <x v="95"/>
    <x v="88"/>
    <x v="102"/>
    <x v="104"/>
    <x v="1"/>
    <x v="1"/>
    <x v="1"/>
  </r>
  <r>
    <x v="112"/>
    <x v="95"/>
    <x v="88"/>
    <x v="6"/>
    <x v="98"/>
    <x v="0"/>
    <x v="1"/>
    <x v="1"/>
  </r>
  <r>
    <x v="112"/>
    <x v="95"/>
    <x v="88"/>
    <x v="64"/>
    <x v="55"/>
    <x v="0"/>
    <x v="18"/>
    <x v="121"/>
  </r>
  <r>
    <x v="112"/>
    <x v="95"/>
    <x v="88"/>
    <x v="4"/>
    <x v="4"/>
    <x v="0"/>
    <x v="87"/>
    <x v="118"/>
  </r>
  <r>
    <x v="112"/>
    <x v="95"/>
    <x v="88"/>
    <x v="24"/>
    <x v="25"/>
    <x v="2"/>
    <x v="63"/>
    <x v="87"/>
  </r>
  <r>
    <x v="112"/>
    <x v="95"/>
    <x v="88"/>
    <x v="41"/>
    <x v="105"/>
    <x v="1"/>
    <x v="1"/>
    <x v="1"/>
  </r>
  <r>
    <x v="112"/>
    <x v="95"/>
    <x v="88"/>
    <x v="103"/>
    <x v="106"/>
    <x v="2"/>
    <x v="90"/>
    <x v="122"/>
  </r>
  <r>
    <x v="112"/>
    <x v="95"/>
    <x v="88"/>
    <x v="104"/>
    <x v="107"/>
    <x v="8"/>
    <x v="1"/>
    <x v="1"/>
  </r>
  <r>
    <x v="112"/>
    <x v="95"/>
    <x v="88"/>
    <x v="105"/>
    <x v="108"/>
    <x v="2"/>
    <x v="1"/>
    <x v="1"/>
  </r>
  <r>
    <x v="112"/>
    <x v="95"/>
    <x v="88"/>
    <x v="22"/>
    <x v="24"/>
    <x v="19"/>
    <x v="91"/>
    <x v="123"/>
  </r>
  <r>
    <x v="112"/>
    <x v="95"/>
    <x v="88"/>
    <x v="43"/>
    <x v="43"/>
    <x v="0"/>
    <x v="92"/>
    <x v="124"/>
  </r>
  <r>
    <x v="112"/>
    <x v="95"/>
    <x v="88"/>
    <x v="106"/>
    <x v="5"/>
    <x v="0"/>
    <x v="93"/>
    <x v="125"/>
  </r>
  <r>
    <x v="112"/>
    <x v="95"/>
    <x v="88"/>
    <x v="20"/>
    <x v="22"/>
    <x v="2"/>
    <x v="39"/>
    <x v="126"/>
  </r>
  <r>
    <x v="113"/>
    <x v="18"/>
    <x v="88"/>
    <x v="28"/>
    <x v="12"/>
    <x v="2"/>
    <x v="94"/>
    <x v="127"/>
  </r>
  <r>
    <x v="113"/>
    <x v="18"/>
    <x v="88"/>
    <x v="24"/>
    <x v="25"/>
    <x v="2"/>
    <x v="63"/>
    <x v="87"/>
  </r>
  <r>
    <x v="113"/>
    <x v="18"/>
    <x v="88"/>
    <x v="20"/>
    <x v="22"/>
    <x v="2"/>
    <x v="39"/>
    <x v="126"/>
  </r>
  <r>
    <x v="114"/>
    <x v="96"/>
    <x v="89"/>
    <x v="11"/>
    <x v="11"/>
    <x v="0"/>
    <x v="10"/>
    <x v="64"/>
  </r>
  <r>
    <x v="115"/>
    <x v="97"/>
    <x v="90"/>
    <x v="11"/>
    <x v="11"/>
    <x v="2"/>
    <x v="10"/>
    <x v="11"/>
  </r>
  <r>
    <x v="116"/>
    <x v="98"/>
    <x v="91"/>
    <x v="28"/>
    <x v="12"/>
    <x v="2"/>
    <x v="95"/>
    <x v="128"/>
  </r>
  <r>
    <x v="116"/>
    <x v="98"/>
    <x v="91"/>
    <x v="0"/>
    <x v="0"/>
    <x v="1"/>
    <x v="89"/>
    <x v="129"/>
  </r>
  <r>
    <x v="116"/>
    <x v="98"/>
    <x v="91"/>
    <x v="1"/>
    <x v="14"/>
    <x v="1"/>
    <x v="1"/>
    <x v="1"/>
  </r>
  <r>
    <x v="116"/>
    <x v="98"/>
    <x v="91"/>
    <x v="2"/>
    <x v="31"/>
    <x v="1"/>
    <x v="1"/>
    <x v="1"/>
  </r>
  <r>
    <x v="116"/>
    <x v="98"/>
    <x v="91"/>
    <x v="29"/>
    <x v="99"/>
    <x v="1"/>
    <x v="83"/>
    <x v="130"/>
  </r>
  <r>
    <x v="116"/>
    <x v="98"/>
    <x v="91"/>
    <x v="3"/>
    <x v="81"/>
    <x v="1"/>
    <x v="1"/>
    <x v="1"/>
  </r>
  <r>
    <x v="117"/>
    <x v="91"/>
    <x v="91"/>
    <x v="107"/>
    <x v="109"/>
    <x v="2"/>
    <x v="96"/>
    <x v="131"/>
  </r>
  <r>
    <x v="117"/>
    <x v="91"/>
    <x v="91"/>
    <x v="12"/>
    <x v="12"/>
    <x v="2"/>
    <x v="97"/>
    <x v="132"/>
  </r>
  <r>
    <x v="117"/>
    <x v="91"/>
    <x v="91"/>
    <x v="102"/>
    <x v="110"/>
    <x v="1"/>
    <x v="98"/>
    <x v="133"/>
  </r>
  <r>
    <x v="117"/>
    <x v="91"/>
    <x v="91"/>
    <x v="99"/>
    <x v="100"/>
    <x v="1"/>
    <x v="85"/>
    <x v="134"/>
  </r>
  <r>
    <x v="118"/>
    <x v="99"/>
    <x v="91"/>
    <x v="20"/>
    <x v="22"/>
    <x v="2"/>
    <x v="1"/>
    <x v="1"/>
  </r>
  <r>
    <x v="119"/>
    <x v="28"/>
    <x v="91"/>
    <x v="28"/>
    <x v="12"/>
    <x v="2"/>
    <x v="99"/>
    <x v="135"/>
  </r>
  <r>
    <x v="119"/>
    <x v="28"/>
    <x v="91"/>
    <x v="35"/>
    <x v="36"/>
    <x v="3"/>
    <x v="100"/>
    <x v="136"/>
  </r>
  <r>
    <x v="120"/>
    <x v="91"/>
    <x v="91"/>
    <x v="99"/>
    <x v="100"/>
    <x v="1"/>
    <x v="1"/>
    <x v="1"/>
  </r>
  <r>
    <x v="121"/>
    <x v="98"/>
    <x v="91"/>
    <x v="12"/>
    <x v="12"/>
    <x v="2"/>
    <x v="101"/>
    <x v="137"/>
  </r>
  <r>
    <x v="121"/>
    <x v="98"/>
    <x v="91"/>
    <x v="106"/>
    <x v="5"/>
    <x v="1"/>
    <x v="93"/>
    <x v="138"/>
  </r>
  <r>
    <x v="122"/>
    <x v="85"/>
    <x v="92"/>
    <x v="43"/>
    <x v="43"/>
    <x v="2"/>
    <x v="5"/>
    <x v="12"/>
  </r>
  <r>
    <x v="123"/>
    <x v="100"/>
    <x v="93"/>
    <x v="24"/>
    <x v="25"/>
    <x v="2"/>
    <x v="23"/>
    <x v="27"/>
  </r>
  <r>
    <x v="124"/>
    <x v="101"/>
    <x v="94"/>
    <x v="1"/>
    <x v="1"/>
    <x v="8"/>
    <x v="67"/>
    <x v="139"/>
  </r>
  <r>
    <x v="125"/>
    <x v="102"/>
    <x v="95"/>
    <x v="35"/>
    <x v="36"/>
    <x v="2"/>
    <x v="32"/>
    <x v="89"/>
  </r>
  <r>
    <x v="126"/>
    <x v="103"/>
    <x v="96"/>
    <x v="20"/>
    <x v="22"/>
    <x v="2"/>
    <x v="19"/>
    <x v="21"/>
  </r>
  <r>
    <x v="127"/>
    <x v="104"/>
    <x v="97"/>
    <x v="1"/>
    <x v="1"/>
    <x v="0"/>
    <x v="67"/>
    <x v="140"/>
  </r>
  <r>
    <x v="127"/>
    <x v="104"/>
    <x v="97"/>
    <x v="108"/>
    <x v="111"/>
    <x v="0"/>
    <x v="102"/>
    <x v="141"/>
  </r>
  <r>
    <x v="128"/>
    <x v="105"/>
    <x v="98"/>
    <x v="22"/>
    <x v="24"/>
    <x v="1"/>
    <x v="21"/>
    <x v="77"/>
  </r>
  <r>
    <x v="129"/>
    <x v="106"/>
    <x v="99"/>
    <x v="47"/>
    <x v="47"/>
    <x v="2"/>
    <x v="41"/>
    <x v="52"/>
  </r>
  <r>
    <x v="130"/>
    <x v="107"/>
    <x v="100"/>
    <x v="11"/>
    <x v="11"/>
    <x v="2"/>
    <x v="10"/>
    <x v="11"/>
  </r>
  <r>
    <x v="131"/>
    <x v="108"/>
    <x v="101"/>
    <x v="12"/>
    <x v="12"/>
    <x v="2"/>
    <x v="103"/>
    <x v="142"/>
  </r>
  <r>
    <x v="131"/>
    <x v="108"/>
    <x v="101"/>
    <x v="109"/>
    <x v="112"/>
    <x v="2"/>
    <x v="35"/>
    <x v="45"/>
  </r>
  <r>
    <x v="131"/>
    <x v="108"/>
    <x v="101"/>
    <x v="110"/>
    <x v="113"/>
    <x v="2"/>
    <x v="104"/>
    <x v="143"/>
  </r>
  <r>
    <x v="132"/>
    <x v="109"/>
    <x v="102"/>
    <x v="7"/>
    <x v="7"/>
    <x v="0"/>
    <x v="5"/>
    <x v="37"/>
  </r>
  <r>
    <x v="132"/>
    <x v="109"/>
    <x v="102"/>
    <x v="22"/>
    <x v="24"/>
    <x v="2"/>
    <x v="21"/>
    <x v="23"/>
  </r>
  <r>
    <x v="133"/>
    <x v="110"/>
    <x v="103"/>
    <x v="11"/>
    <x v="11"/>
    <x v="2"/>
    <x v="105"/>
    <x v="144"/>
  </r>
  <r>
    <x v="134"/>
    <x v="99"/>
    <x v="104"/>
    <x v="31"/>
    <x v="114"/>
    <x v="2"/>
    <x v="1"/>
    <x v="1"/>
  </r>
  <r>
    <x v="134"/>
    <x v="99"/>
    <x v="104"/>
    <x v="111"/>
    <x v="115"/>
    <x v="2"/>
    <x v="1"/>
    <x v="1"/>
  </r>
  <r>
    <x v="134"/>
    <x v="99"/>
    <x v="104"/>
    <x v="87"/>
    <x v="116"/>
    <x v="2"/>
    <x v="1"/>
    <x v="1"/>
  </r>
  <r>
    <x v="135"/>
    <x v="43"/>
    <x v="104"/>
    <x v="47"/>
    <x v="47"/>
    <x v="8"/>
    <x v="106"/>
    <x v="145"/>
  </r>
  <r>
    <x v="135"/>
    <x v="43"/>
    <x v="104"/>
    <x v="64"/>
    <x v="55"/>
    <x v="8"/>
    <x v="18"/>
    <x v="146"/>
  </r>
  <r>
    <x v="136"/>
    <x v="111"/>
    <x v="104"/>
    <x v="112"/>
    <x v="117"/>
    <x v="2"/>
    <x v="107"/>
    <x v="147"/>
  </r>
  <r>
    <x v="137"/>
    <x v="112"/>
    <x v="105"/>
    <x v="47"/>
    <x v="47"/>
    <x v="2"/>
    <x v="41"/>
    <x v="52"/>
  </r>
  <r>
    <x v="138"/>
    <x v="113"/>
    <x v="106"/>
    <x v="21"/>
    <x v="23"/>
    <x v="0"/>
    <x v="20"/>
    <x v="22"/>
  </r>
  <r>
    <x v="138"/>
    <x v="113"/>
    <x v="106"/>
    <x v="6"/>
    <x v="6"/>
    <x v="0"/>
    <x v="1"/>
    <x v="1"/>
  </r>
  <r>
    <x v="138"/>
    <x v="113"/>
    <x v="106"/>
    <x v="1"/>
    <x v="1"/>
    <x v="0"/>
    <x v="1"/>
    <x v="1"/>
  </r>
  <r>
    <x v="138"/>
    <x v="113"/>
    <x v="106"/>
    <x v="3"/>
    <x v="3"/>
    <x v="0"/>
    <x v="1"/>
    <x v="1"/>
  </r>
  <r>
    <x v="139"/>
    <x v="114"/>
    <x v="107"/>
    <x v="34"/>
    <x v="34"/>
    <x v="8"/>
    <x v="31"/>
    <x v="148"/>
  </r>
  <r>
    <x v="139"/>
    <x v="114"/>
    <x v="107"/>
    <x v="113"/>
    <x v="118"/>
    <x v="0"/>
    <x v="5"/>
    <x v="37"/>
  </r>
  <r>
    <x v="140"/>
    <x v="18"/>
    <x v="108"/>
    <x v="12"/>
    <x v="12"/>
    <x v="2"/>
    <x v="108"/>
    <x v="149"/>
  </r>
  <r>
    <x v="140"/>
    <x v="18"/>
    <x v="108"/>
    <x v="21"/>
    <x v="119"/>
    <x v="6"/>
    <x v="109"/>
    <x v="150"/>
  </r>
  <r>
    <x v="140"/>
    <x v="18"/>
    <x v="108"/>
    <x v="1"/>
    <x v="14"/>
    <x v="6"/>
    <x v="1"/>
    <x v="1"/>
  </r>
  <r>
    <x v="140"/>
    <x v="18"/>
    <x v="108"/>
    <x v="4"/>
    <x v="120"/>
    <x v="0"/>
    <x v="87"/>
    <x v="118"/>
  </r>
  <r>
    <x v="140"/>
    <x v="18"/>
    <x v="108"/>
    <x v="114"/>
    <x v="121"/>
    <x v="2"/>
    <x v="26"/>
    <x v="31"/>
  </r>
  <r>
    <x v="140"/>
    <x v="18"/>
    <x v="108"/>
    <x v="63"/>
    <x v="122"/>
    <x v="0"/>
    <x v="110"/>
    <x v="151"/>
  </r>
  <r>
    <x v="140"/>
    <x v="18"/>
    <x v="108"/>
    <x v="63"/>
    <x v="123"/>
    <x v="2"/>
    <x v="111"/>
    <x v="152"/>
  </r>
  <r>
    <x v="140"/>
    <x v="18"/>
    <x v="108"/>
    <x v="115"/>
    <x v="124"/>
    <x v="2"/>
    <x v="18"/>
    <x v="20"/>
  </r>
  <r>
    <x v="140"/>
    <x v="18"/>
    <x v="108"/>
    <x v="20"/>
    <x v="22"/>
    <x v="2"/>
    <x v="39"/>
    <x v="126"/>
  </r>
  <r>
    <x v="140"/>
    <x v="18"/>
    <x v="108"/>
    <x v="7"/>
    <x v="7"/>
    <x v="1"/>
    <x v="92"/>
    <x v="153"/>
  </r>
  <r>
    <x v="140"/>
    <x v="18"/>
    <x v="108"/>
    <x v="9"/>
    <x v="9"/>
    <x v="1"/>
    <x v="112"/>
    <x v="36"/>
  </r>
  <r>
    <x v="141"/>
    <x v="115"/>
    <x v="108"/>
    <x v="116"/>
    <x v="125"/>
    <x v="8"/>
    <x v="1"/>
    <x v="1"/>
  </r>
  <r>
    <x v="141"/>
    <x v="115"/>
    <x v="108"/>
    <x v="117"/>
    <x v="126"/>
    <x v="3"/>
    <x v="1"/>
    <x v="1"/>
  </r>
  <r>
    <x v="142"/>
    <x v="51"/>
    <x v="108"/>
    <x v="28"/>
    <x v="12"/>
    <x v="2"/>
    <x v="113"/>
    <x v="154"/>
  </r>
  <r>
    <x v="142"/>
    <x v="51"/>
    <x v="108"/>
    <x v="118"/>
    <x v="127"/>
    <x v="1"/>
    <x v="114"/>
    <x v="155"/>
  </r>
  <r>
    <x v="143"/>
    <x v="113"/>
    <x v="108"/>
    <x v="28"/>
    <x v="12"/>
    <x v="2"/>
    <x v="115"/>
    <x v="156"/>
  </r>
  <r>
    <x v="143"/>
    <x v="113"/>
    <x v="108"/>
    <x v="119"/>
    <x v="128"/>
    <x v="0"/>
    <x v="116"/>
    <x v="157"/>
  </r>
  <r>
    <x v="144"/>
    <x v="116"/>
    <x v="109"/>
    <x v="101"/>
    <x v="102"/>
    <x v="2"/>
    <x v="72"/>
    <x v="101"/>
  </r>
  <r>
    <x v="145"/>
    <x v="117"/>
    <x v="110"/>
    <x v="24"/>
    <x v="25"/>
    <x v="2"/>
    <x v="23"/>
    <x v="27"/>
  </r>
  <r>
    <x v="146"/>
    <x v="118"/>
    <x v="111"/>
    <x v="10"/>
    <x v="10"/>
    <x v="0"/>
    <x v="9"/>
    <x v="38"/>
  </r>
  <r>
    <x v="147"/>
    <x v="91"/>
    <x v="112"/>
    <x v="12"/>
    <x v="12"/>
    <x v="2"/>
    <x v="117"/>
    <x v="158"/>
  </r>
  <r>
    <x v="147"/>
    <x v="91"/>
    <x v="112"/>
    <x v="22"/>
    <x v="24"/>
    <x v="1"/>
    <x v="118"/>
    <x v="159"/>
  </r>
  <r>
    <x v="147"/>
    <x v="91"/>
    <x v="112"/>
    <x v="41"/>
    <x v="41"/>
    <x v="1"/>
    <x v="119"/>
    <x v="160"/>
  </r>
  <r>
    <x v="147"/>
    <x v="91"/>
    <x v="112"/>
    <x v="44"/>
    <x v="44"/>
    <x v="3"/>
    <x v="120"/>
    <x v="161"/>
  </r>
  <r>
    <x v="147"/>
    <x v="91"/>
    <x v="112"/>
    <x v="113"/>
    <x v="118"/>
    <x v="1"/>
    <x v="121"/>
    <x v="162"/>
  </r>
  <r>
    <x v="147"/>
    <x v="91"/>
    <x v="112"/>
    <x v="102"/>
    <x v="110"/>
    <x v="2"/>
    <x v="98"/>
    <x v="163"/>
  </r>
  <r>
    <x v="147"/>
    <x v="91"/>
    <x v="112"/>
    <x v="29"/>
    <x v="29"/>
    <x v="0"/>
    <x v="122"/>
    <x v="164"/>
  </r>
  <r>
    <x v="147"/>
    <x v="91"/>
    <x v="112"/>
    <x v="64"/>
    <x v="55"/>
    <x v="1"/>
    <x v="123"/>
    <x v="165"/>
  </r>
  <r>
    <x v="148"/>
    <x v="119"/>
    <x v="112"/>
    <x v="17"/>
    <x v="19"/>
    <x v="2"/>
    <x v="1"/>
    <x v="1"/>
  </r>
  <r>
    <x v="149"/>
    <x v="109"/>
    <x v="112"/>
    <x v="17"/>
    <x v="19"/>
    <x v="2"/>
    <x v="1"/>
    <x v="1"/>
  </r>
  <r>
    <x v="150"/>
    <x v="120"/>
    <x v="112"/>
    <x v="120"/>
    <x v="129"/>
    <x v="2"/>
    <x v="1"/>
    <x v="1"/>
  </r>
  <r>
    <x v="151"/>
    <x v="121"/>
    <x v="112"/>
    <x v="1"/>
    <x v="1"/>
    <x v="3"/>
    <x v="124"/>
    <x v="16"/>
  </r>
  <r>
    <x v="152"/>
    <x v="33"/>
    <x v="112"/>
    <x v="121"/>
    <x v="130"/>
    <x v="19"/>
    <x v="1"/>
    <x v="1"/>
  </r>
</pivotCacheRecords>
</file>

<file path=xl/pivotCache/pivotCacheRecords9.xml><?xml version="1.0" encoding="utf-8"?>
<pivotCacheRecords xmlns:r="http://schemas.openxmlformats.org/officeDocument/2006/relationships" xmlns="http://schemas.openxmlformats.org/spreadsheetml/2006/main" count="309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1"/>
    <x v="2"/>
    <x v="2"/>
  </r>
  <r>
    <x v="3"/>
    <x v="3"/>
    <x v="3"/>
    <x v="3"/>
    <x v="3"/>
    <x v="1"/>
    <x v="1"/>
    <x v="1"/>
  </r>
  <r>
    <x v="4"/>
    <x v="4"/>
    <x v="4"/>
    <x v="4"/>
    <x v="4"/>
    <x v="2"/>
    <x v="3"/>
    <x v="3"/>
  </r>
  <r>
    <x v="5"/>
    <x v="5"/>
    <x v="5"/>
    <x v="0"/>
    <x v="0"/>
    <x v="0"/>
    <x v="0"/>
    <x v="0"/>
  </r>
  <r>
    <x v="6"/>
    <x v="6"/>
    <x v="6"/>
    <x v="5"/>
    <x v="5"/>
    <x v="0"/>
    <x v="4"/>
    <x v="4"/>
  </r>
  <r>
    <x v="7"/>
    <x v="7"/>
    <x v="7"/>
    <x v="6"/>
    <x v="6"/>
    <x v="3"/>
    <x v="0"/>
    <x v="5"/>
  </r>
  <r>
    <x v="8"/>
    <x v="8"/>
    <x v="8"/>
    <x v="7"/>
    <x v="7"/>
    <x v="1"/>
    <x v="5"/>
    <x v="6"/>
  </r>
  <r>
    <x v="8"/>
    <x v="8"/>
    <x v="8"/>
    <x v="0"/>
    <x v="0"/>
    <x v="0"/>
    <x v="6"/>
    <x v="7"/>
  </r>
  <r>
    <x v="9"/>
    <x v="9"/>
    <x v="9"/>
    <x v="8"/>
    <x v="8"/>
    <x v="1"/>
    <x v="7"/>
    <x v="8"/>
  </r>
  <r>
    <x v="10"/>
    <x v="10"/>
    <x v="10"/>
    <x v="9"/>
    <x v="9"/>
    <x v="4"/>
    <x v="8"/>
    <x v="9"/>
  </r>
  <r>
    <x v="10"/>
    <x v="10"/>
    <x v="10"/>
    <x v="5"/>
    <x v="5"/>
    <x v="4"/>
    <x v="9"/>
    <x v="10"/>
  </r>
  <r>
    <x v="10"/>
    <x v="10"/>
    <x v="10"/>
    <x v="10"/>
    <x v="10"/>
    <x v="4"/>
    <x v="9"/>
    <x v="10"/>
  </r>
  <r>
    <x v="10"/>
    <x v="10"/>
    <x v="10"/>
    <x v="11"/>
    <x v="11"/>
    <x v="4"/>
    <x v="9"/>
    <x v="10"/>
  </r>
  <r>
    <x v="10"/>
    <x v="10"/>
    <x v="10"/>
    <x v="12"/>
    <x v="12"/>
    <x v="4"/>
    <x v="10"/>
    <x v="11"/>
  </r>
  <r>
    <x v="11"/>
    <x v="11"/>
    <x v="11"/>
    <x v="13"/>
    <x v="13"/>
    <x v="1"/>
    <x v="11"/>
    <x v="12"/>
  </r>
  <r>
    <x v="12"/>
    <x v="12"/>
    <x v="12"/>
    <x v="14"/>
    <x v="14"/>
    <x v="0"/>
    <x v="12"/>
    <x v="13"/>
  </r>
  <r>
    <x v="13"/>
    <x v="13"/>
    <x v="13"/>
    <x v="15"/>
    <x v="15"/>
    <x v="1"/>
    <x v="0"/>
    <x v="14"/>
  </r>
  <r>
    <x v="13"/>
    <x v="13"/>
    <x v="13"/>
    <x v="4"/>
    <x v="4"/>
    <x v="1"/>
    <x v="9"/>
    <x v="10"/>
  </r>
  <r>
    <x v="14"/>
    <x v="14"/>
    <x v="14"/>
    <x v="16"/>
    <x v="16"/>
    <x v="1"/>
    <x v="13"/>
    <x v="15"/>
  </r>
  <r>
    <x v="14"/>
    <x v="14"/>
    <x v="14"/>
    <x v="5"/>
    <x v="5"/>
    <x v="4"/>
    <x v="4"/>
    <x v="16"/>
  </r>
  <r>
    <x v="15"/>
    <x v="15"/>
    <x v="15"/>
    <x v="17"/>
    <x v="3"/>
    <x v="1"/>
    <x v="14"/>
    <x v="17"/>
  </r>
  <r>
    <x v="16"/>
    <x v="16"/>
    <x v="16"/>
    <x v="1"/>
    <x v="1"/>
    <x v="1"/>
    <x v="1"/>
    <x v="1"/>
  </r>
  <r>
    <x v="17"/>
    <x v="17"/>
    <x v="17"/>
    <x v="0"/>
    <x v="0"/>
    <x v="1"/>
    <x v="0"/>
    <x v="14"/>
  </r>
  <r>
    <x v="18"/>
    <x v="18"/>
    <x v="18"/>
    <x v="2"/>
    <x v="2"/>
    <x v="1"/>
    <x v="2"/>
    <x v="2"/>
  </r>
  <r>
    <x v="18"/>
    <x v="18"/>
    <x v="18"/>
    <x v="18"/>
    <x v="17"/>
    <x v="1"/>
    <x v="2"/>
    <x v="2"/>
  </r>
  <r>
    <x v="18"/>
    <x v="18"/>
    <x v="18"/>
    <x v="19"/>
    <x v="18"/>
    <x v="1"/>
    <x v="15"/>
    <x v="18"/>
  </r>
  <r>
    <x v="19"/>
    <x v="19"/>
    <x v="19"/>
    <x v="20"/>
    <x v="19"/>
    <x v="1"/>
    <x v="16"/>
    <x v="19"/>
  </r>
  <r>
    <x v="19"/>
    <x v="19"/>
    <x v="19"/>
    <x v="21"/>
    <x v="16"/>
    <x v="1"/>
    <x v="17"/>
    <x v="20"/>
  </r>
  <r>
    <x v="19"/>
    <x v="19"/>
    <x v="19"/>
    <x v="1"/>
    <x v="1"/>
    <x v="1"/>
    <x v="1"/>
    <x v="1"/>
  </r>
  <r>
    <x v="19"/>
    <x v="19"/>
    <x v="19"/>
    <x v="22"/>
    <x v="20"/>
    <x v="1"/>
    <x v="18"/>
    <x v="21"/>
  </r>
  <r>
    <x v="19"/>
    <x v="19"/>
    <x v="19"/>
    <x v="14"/>
    <x v="14"/>
    <x v="1"/>
    <x v="12"/>
    <x v="22"/>
  </r>
  <r>
    <x v="20"/>
    <x v="20"/>
    <x v="19"/>
    <x v="23"/>
    <x v="21"/>
    <x v="5"/>
    <x v="9"/>
    <x v="10"/>
  </r>
  <r>
    <x v="21"/>
    <x v="20"/>
    <x v="19"/>
    <x v="24"/>
    <x v="16"/>
    <x v="1"/>
    <x v="19"/>
    <x v="23"/>
  </r>
  <r>
    <x v="21"/>
    <x v="20"/>
    <x v="19"/>
    <x v="25"/>
    <x v="22"/>
    <x v="6"/>
    <x v="20"/>
    <x v="24"/>
  </r>
  <r>
    <x v="21"/>
    <x v="20"/>
    <x v="19"/>
    <x v="26"/>
    <x v="23"/>
    <x v="7"/>
    <x v="21"/>
    <x v="25"/>
  </r>
  <r>
    <x v="22"/>
    <x v="21"/>
    <x v="20"/>
    <x v="27"/>
    <x v="24"/>
    <x v="1"/>
    <x v="22"/>
    <x v="26"/>
  </r>
  <r>
    <x v="22"/>
    <x v="21"/>
    <x v="20"/>
    <x v="4"/>
    <x v="4"/>
    <x v="1"/>
    <x v="3"/>
    <x v="27"/>
  </r>
  <r>
    <x v="23"/>
    <x v="22"/>
    <x v="21"/>
    <x v="3"/>
    <x v="3"/>
    <x v="1"/>
    <x v="1"/>
    <x v="1"/>
  </r>
  <r>
    <x v="24"/>
    <x v="23"/>
    <x v="22"/>
    <x v="13"/>
    <x v="13"/>
    <x v="1"/>
    <x v="11"/>
    <x v="12"/>
  </r>
  <r>
    <x v="25"/>
    <x v="24"/>
    <x v="23"/>
    <x v="0"/>
    <x v="0"/>
    <x v="0"/>
    <x v="0"/>
    <x v="0"/>
  </r>
  <r>
    <x v="26"/>
    <x v="25"/>
    <x v="24"/>
    <x v="28"/>
    <x v="25"/>
    <x v="4"/>
    <x v="3"/>
    <x v="28"/>
  </r>
  <r>
    <x v="27"/>
    <x v="26"/>
    <x v="25"/>
    <x v="1"/>
    <x v="1"/>
    <x v="1"/>
    <x v="1"/>
    <x v="1"/>
  </r>
  <r>
    <x v="28"/>
    <x v="27"/>
    <x v="26"/>
    <x v="16"/>
    <x v="16"/>
    <x v="1"/>
    <x v="23"/>
    <x v="29"/>
  </r>
  <r>
    <x v="28"/>
    <x v="27"/>
    <x v="26"/>
    <x v="8"/>
    <x v="8"/>
    <x v="8"/>
    <x v="24"/>
    <x v="30"/>
  </r>
  <r>
    <x v="28"/>
    <x v="27"/>
    <x v="26"/>
    <x v="29"/>
    <x v="26"/>
    <x v="9"/>
    <x v="9"/>
    <x v="10"/>
  </r>
  <r>
    <x v="29"/>
    <x v="28"/>
    <x v="27"/>
    <x v="12"/>
    <x v="12"/>
    <x v="1"/>
    <x v="25"/>
    <x v="31"/>
  </r>
  <r>
    <x v="30"/>
    <x v="29"/>
    <x v="28"/>
    <x v="30"/>
    <x v="27"/>
    <x v="0"/>
    <x v="26"/>
    <x v="32"/>
  </r>
  <r>
    <x v="31"/>
    <x v="30"/>
    <x v="29"/>
    <x v="24"/>
    <x v="16"/>
    <x v="1"/>
    <x v="27"/>
    <x v="33"/>
  </r>
  <r>
    <x v="31"/>
    <x v="30"/>
    <x v="29"/>
    <x v="21"/>
    <x v="16"/>
    <x v="1"/>
    <x v="28"/>
    <x v="34"/>
  </r>
  <r>
    <x v="31"/>
    <x v="30"/>
    <x v="29"/>
    <x v="31"/>
    <x v="28"/>
    <x v="7"/>
    <x v="29"/>
    <x v="35"/>
  </r>
  <r>
    <x v="31"/>
    <x v="30"/>
    <x v="29"/>
    <x v="28"/>
    <x v="25"/>
    <x v="7"/>
    <x v="30"/>
    <x v="36"/>
  </r>
  <r>
    <x v="32"/>
    <x v="31"/>
    <x v="29"/>
    <x v="1"/>
    <x v="1"/>
    <x v="1"/>
    <x v="9"/>
    <x v="10"/>
  </r>
  <r>
    <x v="33"/>
    <x v="32"/>
    <x v="29"/>
    <x v="32"/>
    <x v="29"/>
    <x v="1"/>
    <x v="31"/>
    <x v="37"/>
  </r>
  <r>
    <x v="33"/>
    <x v="32"/>
    <x v="29"/>
    <x v="24"/>
    <x v="16"/>
    <x v="1"/>
    <x v="32"/>
    <x v="38"/>
  </r>
  <r>
    <x v="33"/>
    <x v="32"/>
    <x v="29"/>
    <x v="22"/>
    <x v="20"/>
    <x v="1"/>
    <x v="33"/>
    <x v="39"/>
  </r>
  <r>
    <x v="34"/>
    <x v="33"/>
    <x v="29"/>
    <x v="33"/>
    <x v="30"/>
    <x v="10"/>
    <x v="9"/>
    <x v="10"/>
  </r>
  <r>
    <x v="35"/>
    <x v="26"/>
    <x v="30"/>
    <x v="27"/>
    <x v="24"/>
    <x v="1"/>
    <x v="22"/>
    <x v="26"/>
  </r>
  <r>
    <x v="36"/>
    <x v="2"/>
    <x v="31"/>
    <x v="34"/>
    <x v="31"/>
    <x v="1"/>
    <x v="34"/>
    <x v="40"/>
  </r>
  <r>
    <x v="36"/>
    <x v="2"/>
    <x v="31"/>
    <x v="35"/>
    <x v="32"/>
    <x v="3"/>
    <x v="35"/>
    <x v="41"/>
  </r>
  <r>
    <x v="36"/>
    <x v="2"/>
    <x v="31"/>
    <x v="0"/>
    <x v="0"/>
    <x v="1"/>
    <x v="0"/>
    <x v="14"/>
  </r>
  <r>
    <x v="36"/>
    <x v="2"/>
    <x v="31"/>
    <x v="4"/>
    <x v="4"/>
    <x v="0"/>
    <x v="3"/>
    <x v="42"/>
  </r>
  <r>
    <x v="37"/>
    <x v="34"/>
    <x v="32"/>
    <x v="17"/>
    <x v="3"/>
    <x v="1"/>
    <x v="14"/>
    <x v="17"/>
  </r>
  <r>
    <x v="38"/>
    <x v="35"/>
    <x v="33"/>
    <x v="17"/>
    <x v="3"/>
    <x v="1"/>
    <x v="14"/>
    <x v="17"/>
  </r>
  <r>
    <x v="39"/>
    <x v="36"/>
    <x v="34"/>
    <x v="0"/>
    <x v="0"/>
    <x v="0"/>
    <x v="0"/>
    <x v="0"/>
  </r>
  <r>
    <x v="40"/>
    <x v="37"/>
    <x v="35"/>
    <x v="16"/>
    <x v="16"/>
    <x v="1"/>
    <x v="36"/>
    <x v="43"/>
  </r>
  <r>
    <x v="40"/>
    <x v="37"/>
    <x v="35"/>
    <x v="36"/>
    <x v="33"/>
    <x v="10"/>
    <x v="37"/>
    <x v="44"/>
  </r>
  <r>
    <x v="40"/>
    <x v="37"/>
    <x v="35"/>
    <x v="37"/>
    <x v="34"/>
    <x v="1"/>
    <x v="38"/>
    <x v="45"/>
  </r>
  <r>
    <x v="40"/>
    <x v="37"/>
    <x v="35"/>
    <x v="38"/>
    <x v="35"/>
    <x v="1"/>
    <x v="39"/>
    <x v="46"/>
  </r>
  <r>
    <x v="41"/>
    <x v="38"/>
    <x v="35"/>
    <x v="16"/>
    <x v="16"/>
    <x v="1"/>
    <x v="40"/>
    <x v="47"/>
  </r>
  <r>
    <x v="41"/>
    <x v="38"/>
    <x v="35"/>
    <x v="39"/>
    <x v="36"/>
    <x v="7"/>
    <x v="41"/>
    <x v="48"/>
  </r>
  <r>
    <x v="41"/>
    <x v="38"/>
    <x v="35"/>
    <x v="5"/>
    <x v="37"/>
    <x v="7"/>
    <x v="9"/>
    <x v="10"/>
  </r>
  <r>
    <x v="42"/>
    <x v="30"/>
    <x v="35"/>
    <x v="24"/>
    <x v="16"/>
    <x v="1"/>
    <x v="42"/>
    <x v="49"/>
  </r>
  <r>
    <x v="42"/>
    <x v="30"/>
    <x v="35"/>
    <x v="21"/>
    <x v="16"/>
    <x v="1"/>
    <x v="43"/>
    <x v="50"/>
  </r>
  <r>
    <x v="42"/>
    <x v="30"/>
    <x v="35"/>
    <x v="40"/>
    <x v="38"/>
    <x v="3"/>
    <x v="44"/>
    <x v="51"/>
  </r>
  <r>
    <x v="42"/>
    <x v="30"/>
    <x v="35"/>
    <x v="19"/>
    <x v="18"/>
    <x v="3"/>
    <x v="45"/>
    <x v="52"/>
  </r>
  <r>
    <x v="42"/>
    <x v="30"/>
    <x v="35"/>
    <x v="41"/>
    <x v="39"/>
    <x v="10"/>
    <x v="46"/>
    <x v="53"/>
  </r>
  <r>
    <x v="43"/>
    <x v="39"/>
    <x v="36"/>
    <x v="42"/>
    <x v="40"/>
    <x v="0"/>
    <x v="47"/>
    <x v="54"/>
  </r>
  <r>
    <x v="43"/>
    <x v="39"/>
    <x v="36"/>
    <x v="27"/>
    <x v="24"/>
    <x v="0"/>
    <x v="9"/>
    <x v="10"/>
  </r>
  <r>
    <x v="43"/>
    <x v="39"/>
    <x v="36"/>
    <x v="5"/>
    <x v="5"/>
    <x v="0"/>
    <x v="9"/>
    <x v="10"/>
  </r>
  <r>
    <x v="43"/>
    <x v="39"/>
    <x v="36"/>
    <x v="11"/>
    <x v="11"/>
    <x v="0"/>
    <x v="9"/>
    <x v="10"/>
  </r>
  <r>
    <x v="43"/>
    <x v="39"/>
    <x v="36"/>
    <x v="22"/>
    <x v="20"/>
    <x v="1"/>
    <x v="18"/>
    <x v="21"/>
  </r>
  <r>
    <x v="44"/>
    <x v="40"/>
    <x v="37"/>
    <x v="5"/>
    <x v="5"/>
    <x v="0"/>
    <x v="4"/>
    <x v="4"/>
  </r>
  <r>
    <x v="45"/>
    <x v="41"/>
    <x v="38"/>
    <x v="43"/>
    <x v="41"/>
    <x v="3"/>
    <x v="48"/>
    <x v="55"/>
  </r>
  <r>
    <x v="46"/>
    <x v="39"/>
    <x v="39"/>
    <x v="44"/>
    <x v="16"/>
    <x v="1"/>
    <x v="49"/>
    <x v="56"/>
  </r>
  <r>
    <x v="47"/>
    <x v="20"/>
    <x v="39"/>
    <x v="16"/>
    <x v="16"/>
    <x v="1"/>
    <x v="50"/>
    <x v="57"/>
  </r>
  <r>
    <x v="47"/>
    <x v="20"/>
    <x v="39"/>
    <x v="9"/>
    <x v="9"/>
    <x v="0"/>
    <x v="51"/>
    <x v="58"/>
  </r>
  <r>
    <x v="47"/>
    <x v="20"/>
    <x v="39"/>
    <x v="5"/>
    <x v="37"/>
    <x v="0"/>
    <x v="9"/>
    <x v="10"/>
  </r>
  <r>
    <x v="47"/>
    <x v="20"/>
    <x v="39"/>
    <x v="10"/>
    <x v="42"/>
    <x v="0"/>
    <x v="9"/>
    <x v="10"/>
  </r>
  <r>
    <x v="47"/>
    <x v="20"/>
    <x v="39"/>
    <x v="45"/>
    <x v="43"/>
    <x v="3"/>
    <x v="29"/>
    <x v="16"/>
  </r>
  <r>
    <x v="48"/>
    <x v="42"/>
    <x v="39"/>
    <x v="16"/>
    <x v="16"/>
    <x v="1"/>
    <x v="52"/>
    <x v="59"/>
  </r>
  <r>
    <x v="48"/>
    <x v="42"/>
    <x v="39"/>
    <x v="4"/>
    <x v="4"/>
    <x v="0"/>
    <x v="30"/>
    <x v="60"/>
  </r>
  <r>
    <x v="48"/>
    <x v="42"/>
    <x v="39"/>
    <x v="8"/>
    <x v="8"/>
    <x v="10"/>
    <x v="24"/>
    <x v="61"/>
  </r>
  <r>
    <x v="49"/>
    <x v="43"/>
    <x v="39"/>
    <x v="24"/>
    <x v="16"/>
    <x v="1"/>
    <x v="53"/>
    <x v="62"/>
  </r>
  <r>
    <x v="49"/>
    <x v="43"/>
    <x v="39"/>
    <x v="46"/>
    <x v="44"/>
    <x v="0"/>
    <x v="8"/>
    <x v="63"/>
  </r>
  <r>
    <x v="49"/>
    <x v="43"/>
    <x v="39"/>
    <x v="5"/>
    <x v="37"/>
    <x v="0"/>
    <x v="9"/>
    <x v="10"/>
  </r>
  <r>
    <x v="49"/>
    <x v="43"/>
    <x v="39"/>
    <x v="10"/>
    <x v="42"/>
    <x v="0"/>
    <x v="9"/>
    <x v="10"/>
  </r>
  <r>
    <x v="49"/>
    <x v="43"/>
    <x v="39"/>
    <x v="30"/>
    <x v="45"/>
    <x v="0"/>
    <x v="54"/>
    <x v="64"/>
  </r>
  <r>
    <x v="49"/>
    <x v="43"/>
    <x v="39"/>
    <x v="47"/>
    <x v="46"/>
    <x v="1"/>
    <x v="22"/>
    <x v="26"/>
  </r>
  <r>
    <x v="50"/>
    <x v="27"/>
    <x v="39"/>
    <x v="48"/>
    <x v="47"/>
    <x v="1"/>
    <x v="9"/>
    <x v="10"/>
  </r>
  <r>
    <x v="51"/>
    <x v="44"/>
    <x v="39"/>
    <x v="16"/>
    <x v="16"/>
    <x v="1"/>
    <x v="55"/>
    <x v="65"/>
  </r>
  <r>
    <x v="51"/>
    <x v="44"/>
    <x v="39"/>
    <x v="17"/>
    <x v="3"/>
    <x v="1"/>
    <x v="56"/>
    <x v="66"/>
  </r>
  <r>
    <x v="51"/>
    <x v="44"/>
    <x v="39"/>
    <x v="3"/>
    <x v="3"/>
    <x v="1"/>
    <x v="57"/>
    <x v="67"/>
  </r>
  <r>
    <x v="52"/>
    <x v="45"/>
    <x v="39"/>
    <x v="16"/>
    <x v="16"/>
    <x v="1"/>
    <x v="58"/>
    <x v="68"/>
  </r>
  <r>
    <x v="52"/>
    <x v="45"/>
    <x v="39"/>
    <x v="22"/>
    <x v="20"/>
    <x v="1"/>
    <x v="59"/>
    <x v="69"/>
  </r>
  <r>
    <x v="53"/>
    <x v="46"/>
    <x v="40"/>
    <x v="1"/>
    <x v="1"/>
    <x v="1"/>
    <x v="1"/>
    <x v="1"/>
  </r>
  <r>
    <x v="54"/>
    <x v="47"/>
    <x v="41"/>
    <x v="1"/>
    <x v="1"/>
    <x v="1"/>
    <x v="1"/>
    <x v="1"/>
  </r>
  <r>
    <x v="55"/>
    <x v="20"/>
    <x v="42"/>
    <x v="24"/>
    <x v="16"/>
    <x v="1"/>
    <x v="54"/>
    <x v="70"/>
  </r>
  <r>
    <x v="55"/>
    <x v="20"/>
    <x v="42"/>
    <x v="49"/>
    <x v="48"/>
    <x v="3"/>
    <x v="60"/>
    <x v="71"/>
  </r>
  <r>
    <x v="55"/>
    <x v="20"/>
    <x v="42"/>
    <x v="12"/>
    <x v="12"/>
    <x v="3"/>
    <x v="60"/>
    <x v="71"/>
  </r>
  <r>
    <x v="55"/>
    <x v="20"/>
    <x v="42"/>
    <x v="28"/>
    <x v="25"/>
    <x v="3"/>
    <x v="9"/>
    <x v="10"/>
  </r>
  <r>
    <x v="56"/>
    <x v="33"/>
    <x v="42"/>
    <x v="24"/>
    <x v="16"/>
    <x v="1"/>
    <x v="61"/>
    <x v="72"/>
  </r>
  <r>
    <x v="56"/>
    <x v="33"/>
    <x v="42"/>
    <x v="50"/>
    <x v="49"/>
    <x v="6"/>
    <x v="62"/>
    <x v="73"/>
  </r>
  <r>
    <x v="56"/>
    <x v="33"/>
    <x v="42"/>
    <x v="51"/>
    <x v="50"/>
    <x v="6"/>
    <x v="63"/>
    <x v="11"/>
  </r>
  <r>
    <x v="56"/>
    <x v="33"/>
    <x v="42"/>
    <x v="52"/>
    <x v="51"/>
    <x v="6"/>
    <x v="64"/>
    <x v="74"/>
  </r>
  <r>
    <x v="57"/>
    <x v="48"/>
    <x v="42"/>
    <x v="24"/>
    <x v="16"/>
    <x v="1"/>
    <x v="65"/>
    <x v="75"/>
  </r>
  <r>
    <x v="57"/>
    <x v="48"/>
    <x v="42"/>
    <x v="42"/>
    <x v="40"/>
    <x v="0"/>
    <x v="66"/>
    <x v="76"/>
  </r>
  <r>
    <x v="57"/>
    <x v="48"/>
    <x v="42"/>
    <x v="5"/>
    <x v="37"/>
    <x v="0"/>
    <x v="9"/>
    <x v="10"/>
  </r>
  <r>
    <x v="57"/>
    <x v="48"/>
    <x v="42"/>
    <x v="27"/>
    <x v="52"/>
    <x v="0"/>
    <x v="9"/>
    <x v="10"/>
  </r>
  <r>
    <x v="57"/>
    <x v="48"/>
    <x v="42"/>
    <x v="28"/>
    <x v="53"/>
    <x v="0"/>
    <x v="9"/>
    <x v="10"/>
  </r>
  <r>
    <x v="57"/>
    <x v="48"/>
    <x v="42"/>
    <x v="1"/>
    <x v="1"/>
    <x v="1"/>
    <x v="57"/>
    <x v="67"/>
  </r>
  <r>
    <x v="58"/>
    <x v="49"/>
    <x v="42"/>
    <x v="16"/>
    <x v="16"/>
    <x v="1"/>
    <x v="67"/>
    <x v="77"/>
  </r>
  <r>
    <x v="58"/>
    <x v="49"/>
    <x v="42"/>
    <x v="49"/>
    <x v="48"/>
    <x v="1"/>
    <x v="60"/>
    <x v="78"/>
  </r>
  <r>
    <x v="59"/>
    <x v="39"/>
    <x v="43"/>
    <x v="1"/>
    <x v="1"/>
    <x v="1"/>
    <x v="1"/>
    <x v="1"/>
  </r>
  <r>
    <x v="60"/>
    <x v="50"/>
    <x v="44"/>
    <x v="3"/>
    <x v="3"/>
    <x v="1"/>
    <x v="1"/>
    <x v="1"/>
  </r>
  <r>
    <x v="61"/>
    <x v="51"/>
    <x v="45"/>
    <x v="2"/>
    <x v="2"/>
    <x v="3"/>
    <x v="2"/>
    <x v="79"/>
  </r>
  <r>
    <x v="62"/>
    <x v="52"/>
    <x v="46"/>
    <x v="1"/>
    <x v="1"/>
    <x v="1"/>
    <x v="1"/>
    <x v="1"/>
  </r>
  <r>
    <x v="63"/>
    <x v="45"/>
    <x v="47"/>
    <x v="24"/>
    <x v="16"/>
    <x v="1"/>
    <x v="68"/>
    <x v="80"/>
  </r>
  <r>
    <x v="63"/>
    <x v="45"/>
    <x v="47"/>
    <x v="53"/>
    <x v="54"/>
    <x v="1"/>
    <x v="69"/>
    <x v="81"/>
  </r>
  <r>
    <x v="63"/>
    <x v="45"/>
    <x v="47"/>
    <x v="54"/>
    <x v="55"/>
    <x v="1"/>
    <x v="9"/>
    <x v="10"/>
  </r>
  <r>
    <x v="63"/>
    <x v="45"/>
    <x v="47"/>
    <x v="55"/>
    <x v="56"/>
    <x v="0"/>
    <x v="9"/>
    <x v="10"/>
  </r>
  <r>
    <x v="63"/>
    <x v="45"/>
    <x v="47"/>
    <x v="56"/>
    <x v="57"/>
    <x v="1"/>
    <x v="9"/>
    <x v="10"/>
  </r>
  <r>
    <x v="63"/>
    <x v="45"/>
    <x v="47"/>
    <x v="43"/>
    <x v="58"/>
    <x v="0"/>
    <x v="9"/>
    <x v="10"/>
  </r>
  <r>
    <x v="63"/>
    <x v="45"/>
    <x v="47"/>
    <x v="4"/>
    <x v="59"/>
    <x v="0"/>
    <x v="9"/>
    <x v="10"/>
  </r>
  <r>
    <x v="63"/>
    <x v="45"/>
    <x v="47"/>
    <x v="47"/>
    <x v="46"/>
    <x v="4"/>
    <x v="22"/>
    <x v="82"/>
  </r>
  <r>
    <x v="63"/>
    <x v="45"/>
    <x v="47"/>
    <x v="57"/>
    <x v="60"/>
    <x v="1"/>
    <x v="9"/>
    <x v="10"/>
  </r>
  <r>
    <x v="63"/>
    <x v="45"/>
    <x v="47"/>
    <x v="9"/>
    <x v="9"/>
    <x v="3"/>
    <x v="70"/>
    <x v="83"/>
  </r>
  <r>
    <x v="63"/>
    <x v="45"/>
    <x v="47"/>
    <x v="10"/>
    <x v="10"/>
    <x v="3"/>
    <x v="9"/>
    <x v="10"/>
  </r>
  <r>
    <x v="63"/>
    <x v="45"/>
    <x v="47"/>
    <x v="5"/>
    <x v="5"/>
    <x v="3"/>
    <x v="9"/>
    <x v="10"/>
  </r>
  <r>
    <x v="63"/>
    <x v="45"/>
    <x v="47"/>
    <x v="27"/>
    <x v="24"/>
    <x v="3"/>
    <x v="9"/>
    <x v="10"/>
  </r>
  <r>
    <x v="63"/>
    <x v="45"/>
    <x v="47"/>
    <x v="28"/>
    <x v="25"/>
    <x v="3"/>
    <x v="9"/>
    <x v="10"/>
  </r>
  <r>
    <x v="63"/>
    <x v="45"/>
    <x v="47"/>
    <x v="58"/>
    <x v="61"/>
    <x v="3"/>
    <x v="71"/>
    <x v="84"/>
  </r>
  <r>
    <x v="63"/>
    <x v="45"/>
    <x v="47"/>
    <x v="59"/>
    <x v="62"/>
    <x v="3"/>
    <x v="9"/>
    <x v="10"/>
  </r>
  <r>
    <x v="64"/>
    <x v="53"/>
    <x v="47"/>
    <x v="60"/>
    <x v="63"/>
    <x v="1"/>
    <x v="9"/>
    <x v="10"/>
  </r>
  <r>
    <x v="65"/>
    <x v="54"/>
    <x v="48"/>
    <x v="3"/>
    <x v="3"/>
    <x v="1"/>
    <x v="1"/>
    <x v="1"/>
  </r>
  <r>
    <x v="66"/>
    <x v="55"/>
    <x v="49"/>
    <x v="7"/>
    <x v="7"/>
    <x v="1"/>
    <x v="72"/>
    <x v="85"/>
  </r>
  <r>
    <x v="67"/>
    <x v="56"/>
    <x v="50"/>
    <x v="61"/>
    <x v="16"/>
    <x v="1"/>
    <x v="9"/>
    <x v="10"/>
  </r>
  <r>
    <x v="67"/>
    <x v="56"/>
    <x v="50"/>
    <x v="62"/>
    <x v="64"/>
    <x v="1"/>
    <x v="9"/>
    <x v="10"/>
  </r>
  <r>
    <x v="68"/>
    <x v="57"/>
    <x v="51"/>
    <x v="24"/>
    <x v="16"/>
    <x v="1"/>
    <x v="73"/>
    <x v="86"/>
  </r>
  <r>
    <x v="68"/>
    <x v="57"/>
    <x v="51"/>
    <x v="63"/>
    <x v="61"/>
    <x v="11"/>
    <x v="74"/>
    <x v="87"/>
  </r>
  <r>
    <x v="69"/>
    <x v="58"/>
    <x v="52"/>
    <x v="8"/>
    <x v="8"/>
    <x v="3"/>
    <x v="7"/>
    <x v="88"/>
  </r>
  <r>
    <x v="70"/>
    <x v="59"/>
    <x v="53"/>
    <x v="43"/>
    <x v="41"/>
    <x v="0"/>
    <x v="48"/>
    <x v="89"/>
  </r>
  <r>
    <x v="71"/>
    <x v="60"/>
    <x v="54"/>
    <x v="15"/>
    <x v="65"/>
    <x v="1"/>
    <x v="0"/>
    <x v="14"/>
  </r>
  <r>
    <x v="71"/>
    <x v="60"/>
    <x v="54"/>
    <x v="4"/>
    <x v="4"/>
    <x v="1"/>
    <x v="9"/>
    <x v="10"/>
  </r>
  <r>
    <x v="72"/>
    <x v="61"/>
    <x v="55"/>
    <x v="18"/>
    <x v="17"/>
    <x v="1"/>
    <x v="2"/>
    <x v="2"/>
  </r>
  <r>
    <x v="72"/>
    <x v="61"/>
    <x v="55"/>
    <x v="28"/>
    <x v="25"/>
    <x v="1"/>
    <x v="3"/>
    <x v="27"/>
  </r>
  <r>
    <x v="73"/>
    <x v="62"/>
    <x v="56"/>
    <x v="15"/>
    <x v="65"/>
    <x v="1"/>
    <x v="0"/>
    <x v="14"/>
  </r>
  <r>
    <x v="73"/>
    <x v="62"/>
    <x v="56"/>
    <x v="4"/>
    <x v="4"/>
    <x v="1"/>
    <x v="9"/>
    <x v="10"/>
  </r>
  <r>
    <x v="74"/>
    <x v="38"/>
    <x v="57"/>
    <x v="64"/>
    <x v="66"/>
    <x v="1"/>
    <x v="75"/>
    <x v="90"/>
  </r>
  <r>
    <x v="74"/>
    <x v="38"/>
    <x v="57"/>
    <x v="65"/>
    <x v="67"/>
    <x v="1"/>
    <x v="76"/>
    <x v="91"/>
  </r>
  <r>
    <x v="74"/>
    <x v="38"/>
    <x v="57"/>
    <x v="66"/>
    <x v="68"/>
    <x v="1"/>
    <x v="77"/>
    <x v="92"/>
  </r>
  <r>
    <x v="75"/>
    <x v="63"/>
    <x v="57"/>
    <x v="16"/>
    <x v="16"/>
    <x v="1"/>
    <x v="78"/>
    <x v="93"/>
  </r>
  <r>
    <x v="75"/>
    <x v="63"/>
    <x v="57"/>
    <x v="67"/>
    <x v="69"/>
    <x v="1"/>
    <x v="67"/>
    <x v="77"/>
  </r>
  <r>
    <x v="75"/>
    <x v="63"/>
    <x v="57"/>
    <x v="68"/>
    <x v="70"/>
    <x v="1"/>
    <x v="9"/>
    <x v="10"/>
  </r>
  <r>
    <x v="75"/>
    <x v="63"/>
    <x v="57"/>
    <x v="69"/>
    <x v="71"/>
    <x v="1"/>
    <x v="9"/>
    <x v="10"/>
  </r>
  <r>
    <x v="75"/>
    <x v="63"/>
    <x v="57"/>
    <x v="70"/>
    <x v="72"/>
    <x v="1"/>
    <x v="9"/>
    <x v="10"/>
  </r>
  <r>
    <x v="75"/>
    <x v="63"/>
    <x v="57"/>
    <x v="71"/>
    <x v="73"/>
    <x v="1"/>
    <x v="9"/>
    <x v="10"/>
  </r>
  <r>
    <x v="75"/>
    <x v="63"/>
    <x v="57"/>
    <x v="72"/>
    <x v="74"/>
    <x v="1"/>
    <x v="9"/>
    <x v="10"/>
  </r>
  <r>
    <x v="75"/>
    <x v="63"/>
    <x v="57"/>
    <x v="43"/>
    <x v="41"/>
    <x v="1"/>
    <x v="9"/>
    <x v="10"/>
  </r>
  <r>
    <x v="76"/>
    <x v="64"/>
    <x v="58"/>
    <x v="3"/>
    <x v="3"/>
    <x v="1"/>
    <x v="1"/>
    <x v="1"/>
  </r>
  <r>
    <x v="77"/>
    <x v="39"/>
    <x v="59"/>
    <x v="5"/>
    <x v="5"/>
    <x v="0"/>
    <x v="4"/>
    <x v="4"/>
  </r>
  <r>
    <x v="78"/>
    <x v="65"/>
    <x v="60"/>
    <x v="0"/>
    <x v="0"/>
    <x v="1"/>
    <x v="0"/>
    <x v="14"/>
  </r>
  <r>
    <x v="78"/>
    <x v="65"/>
    <x v="60"/>
    <x v="13"/>
    <x v="13"/>
    <x v="1"/>
    <x v="11"/>
    <x v="12"/>
  </r>
  <r>
    <x v="79"/>
    <x v="14"/>
    <x v="61"/>
    <x v="16"/>
    <x v="16"/>
    <x v="1"/>
    <x v="79"/>
    <x v="94"/>
  </r>
  <r>
    <x v="79"/>
    <x v="14"/>
    <x v="61"/>
    <x v="25"/>
    <x v="22"/>
    <x v="1"/>
    <x v="80"/>
    <x v="95"/>
  </r>
  <r>
    <x v="79"/>
    <x v="14"/>
    <x v="61"/>
    <x v="27"/>
    <x v="52"/>
    <x v="1"/>
    <x v="9"/>
    <x v="10"/>
  </r>
  <r>
    <x v="79"/>
    <x v="14"/>
    <x v="61"/>
    <x v="28"/>
    <x v="53"/>
    <x v="1"/>
    <x v="9"/>
    <x v="10"/>
  </r>
  <r>
    <x v="80"/>
    <x v="66"/>
    <x v="62"/>
    <x v="1"/>
    <x v="1"/>
    <x v="1"/>
    <x v="1"/>
    <x v="1"/>
  </r>
  <r>
    <x v="81"/>
    <x v="67"/>
    <x v="63"/>
    <x v="73"/>
    <x v="75"/>
    <x v="10"/>
    <x v="81"/>
    <x v="96"/>
  </r>
  <r>
    <x v="81"/>
    <x v="67"/>
    <x v="63"/>
    <x v="4"/>
    <x v="4"/>
    <x v="1"/>
    <x v="3"/>
    <x v="27"/>
  </r>
  <r>
    <x v="82"/>
    <x v="68"/>
    <x v="64"/>
    <x v="17"/>
    <x v="3"/>
    <x v="1"/>
    <x v="14"/>
    <x v="17"/>
  </r>
  <r>
    <x v="83"/>
    <x v="69"/>
    <x v="65"/>
    <x v="19"/>
    <x v="18"/>
    <x v="0"/>
    <x v="15"/>
    <x v="97"/>
  </r>
  <r>
    <x v="84"/>
    <x v="70"/>
    <x v="66"/>
    <x v="24"/>
    <x v="16"/>
    <x v="1"/>
    <x v="82"/>
    <x v="98"/>
  </r>
  <r>
    <x v="84"/>
    <x v="70"/>
    <x v="66"/>
    <x v="34"/>
    <x v="31"/>
    <x v="12"/>
    <x v="83"/>
    <x v="99"/>
  </r>
  <r>
    <x v="84"/>
    <x v="70"/>
    <x v="66"/>
    <x v="74"/>
    <x v="76"/>
    <x v="3"/>
    <x v="84"/>
    <x v="100"/>
  </r>
  <r>
    <x v="84"/>
    <x v="70"/>
    <x v="66"/>
    <x v="75"/>
    <x v="77"/>
    <x v="3"/>
    <x v="85"/>
    <x v="101"/>
  </r>
  <r>
    <x v="85"/>
    <x v="71"/>
    <x v="66"/>
    <x v="24"/>
    <x v="16"/>
    <x v="1"/>
    <x v="86"/>
    <x v="102"/>
  </r>
  <r>
    <x v="85"/>
    <x v="71"/>
    <x v="66"/>
    <x v="76"/>
    <x v="78"/>
    <x v="0"/>
    <x v="87"/>
    <x v="103"/>
  </r>
  <r>
    <x v="85"/>
    <x v="71"/>
    <x v="66"/>
    <x v="76"/>
    <x v="79"/>
    <x v="10"/>
    <x v="88"/>
    <x v="104"/>
  </r>
  <r>
    <x v="85"/>
    <x v="71"/>
    <x v="66"/>
    <x v="18"/>
    <x v="17"/>
    <x v="10"/>
    <x v="89"/>
    <x v="105"/>
  </r>
  <r>
    <x v="86"/>
    <x v="72"/>
    <x v="66"/>
    <x v="8"/>
    <x v="8"/>
    <x v="0"/>
    <x v="90"/>
    <x v="106"/>
  </r>
  <r>
    <x v="86"/>
    <x v="72"/>
    <x v="66"/>
    <x v="77"/>
    <x v="15"/>
    <x v="1"/>
    <x v="9"/>
    <x v="10"/>
  </r>
  <r>
    <x v="86"/>
    <x v="72"/>
    <x v="66"/>
    <x v="4"/>
    <x v="4"/>
    <x v="1"/>
    <x v="9"/>
    <x v="10"/>
  </r>
  <r>
    <x v="87"/>
    <x v="73"/>
    <x v="66"/>
    <x v="78"/>
    <x v="80"/>
    <x v="1"/>
    <x v="9"/>
    <x v="10"/>
  </r>
  <r>
    <x v="87"/>
    <x v="73"/>
    <x v="66"/>
    <x v="75"/>
    <x v="77"/>
    <x v="1"/>
    <x v="9"/>
    <x v="10"/>
  </r>
  <r>
    <x v="88"/>
    <x v="74"/>
    <x v="67"/>
    <x v="17"/>
    <x v="3"/>
    <x v="1"/>
    <x v="14"/>
    <x v="17"/>
  </r>
  <r>
    <x v="89"/>
    <x v="75"/>
    <x v="68"/>
    <x v="42"/>
    <x v="40"/>
    <x v="6"/>
    <x v="47"/>
    <x v="107"/>
  </r>
  <r>
    <x v="89"/>
    <x v="75"/>
    <x v="68"/>
    <x v="12"/>
    <x v="12"/>
    <x v="6"/>
    <x v="10"/>
    <x v="108"/>
  </r>
  <r>
    <x v="89"/>
    <x v="75"/>
    <x v="68"/>
    <x v="5"/>
    <x v="5"/>
    <x v="6"/>
    <x v="9"/>
    <x v="10"/>
  </r>
  <r>
    <x v="89"/>
    <x v="75"/>
    <x v="68"/>
    <x v="11"/>
    <x v="11"/>
    <x v="6"/>
    <x v="9"/>
    <x v="10"/>
  </r>
  <r>
    <x v="89"/>
    <x v="75"/>
    <x v="68"/>
    <x v="34"/>
    <x v="31"/>
    <x v="6"/>
    <x v="34"/>
    <x v="109"/>
  </r>
  <r>
    <x v="89"/>
    <x v="75"/>
    <x v="68"/>
    <x v="79"/>
    <x v="81"/>
    <x v="7"/>
    <x v="91"/>
    <x v="110"/>
  </r>
  <r>
    <x v="90"/>
    <x v="76"/>
    <x v="69"/>
    <x v="18"/>
    <x v="17"/>
    <x v="1"/>
    <x v="2"/>
    <x v="2"/>
  </r>
  <r>
    <x v="90"/>
    <x v="76"/>
    <x v="69"/>
    <x v="80"/>
    <x v="82"/>
    <x v="1"/>
    <x v="4"/>
    <x v="111"/>
  </r>
  <r>
    <x v="91"/>
    <x v="77"/>
    <x v="70"/>
    <x v="81"/>
    <x v="83"/>
    <x v="4"/>
    <x v="92"/>
    <x v="112"/>
  </r>
  <r>
    <x v="91"/>
    <x v="77"/>
    <x v="70"/>
    <x v="62"/>
    <x v="64"/>
    <x v="4"/>
    <x v="4"/>
    <x v="16"/>
  </r>
  <r>
    <x v="91"/>
    <x v="77"/>
    <x v="70"/>
    <x v="82"/>
    <x v="84"/>
    <x v="4"/>
    <x v="9"/>
    <x v="10"/>
  </r>
  <r>
    <x v="92"/>
    <x v="78"/>
    <x v="70"/>
    <x v="83"/>
    <x v="85"/>
    <x v="1"/>
    <x v="93"/>
    <x v="113"/>
  </r>
  <r>
    <x v="92"/>
    <x v="78"/>
    <x v="70"/>
    <x v="5"/>
    <x v="5"/>
    <x v="1"/>
    <x v="4"/>
    <x v="111"/>
  </r>
  <r>
    <x v="92"/>
    <x v="78"/>
    <x v="70"/>
    <x v="84"/>
    <x v="86"/>
    <x v="1"/>
    <x v="22"/>
    <x v="26"/>
  </r>
  <r>
    <x v="93"/>
    <x v="79"/>
    <x v="70"/>
    <x v="16"/>
    <x v="16"/>
    <x v="1"/>
    <x v="58"/>
    <x v="68"/>
  </r>
  <r>
    <x v="93"/>
    <x v="79"/>
    <x v="70"/>
    <x v="0"/>
    <x v="0"/>
    <x v="1"/>
    <x v="21"/>
    <x v="114"/>
  </r>
  <r>
    <x v="94"/>
    <x v="80"/>
    <x v="71"/>
    <x v="3"/>
    <x v="3"/>
    <x v="1"/>
    <x v="1"/>
    <x v="1"/>
  </r>
  <r>
    <x v="95"/>
    <x v="1"/>
    <x v="72"/>
    <x v="1"/>
    <x v="1"/>
    <x v="1"/>
    <x v="1"/>
    <x v="1"/>
  </r>
  <r>
    <x v="96"/>
    <x v="81"/>
    <x v="73"/>
    <x v="48"/>
    <x v="47"/>
    <x v="0"/>
    <x v="94"/>
    <x v="115"/>
  </r>
  <r>
    <x v="97"/>
    <x v="82"/>
    <x v="74"/>
    <x v="34"/>
    <x v="31"/>
    <x v="1"/>
    <x v="34"/>
    <x v="40"/>
  </r>
  <r>
    <x v="97"/>
    <x v="82"/>
    <x v="74"/>
    <x v="85"/>
    <x v="87"/>
    <x v="3"/>
    <x v="95"/>
    <x v="116"/>
  </r>
  <r>
    <x v="97"/>
    <x v="82"/>
    <x v="74"/>
    <x v="34"/>
    <x v="31"/>
    <x v="1"/>
    <x v="34"/>
    <x v="40"/>
  </r>
  <r>
    <x v="97"/>
    <x v="82"/>
    <x v="74"/>
    <x v="86"/>
    <x v="88"/>
    <x v="1"/>
    <x v="90"/>
    <x v="117"/>
  </r>
  <r>
    <x v="98"/>
    <x v="83"/>
    <x v="75"/>
    <x v="0"/>
    <x v="0"/>
    <x v="1"/>
    <x v="0"/>
    <x v="14"/>
  </r>
  <r>
    <x v="99"/>
    <x v="84"/>
    <x v="76"/>
    <x v="8"/>
    <x v="8"/>
    <x v="0"/>
    <x v="7"/>
    <x v="118"/>
  </r>
  <r>
    <x v="100"/>
    <x v="85"/>
    <x v="77"/>
    <x v="17"/>
    <x v="3"/>
    <x v="0"/>
    <x v="14"/>
    <x v="119"/>
  </r>
  <r>
    <x v="101"/>
    <x v="86"/>
    <x v="78"/>
    <x v="24"/>
    <x v="16"/>
    <x v="1"/>
    <x v="61"/>
    <x v="72"/>
  </r>
  <r>
    <x v="101"/>
    <x v="86"/>
    <x v="78"/>
    <x v="0"/>
    <x v="0"/>
    <x v="13"/>
    <x v="96"/>
    <x v="120"/>
  </r>
  <r>
    <x v="101"/>
    <x v="86"/>
    <x v="78"/>
    <x v="13"/>
    <x v="13"/>
    <x v="6"/>
    <x v="97"/>
    <x v="121"/>
  </r>
  <r>
    <x v="102"/>
    <x v="77"/>
    <x v="78"/>
    <x v="24"/>
    <x v="89"/>
    <x v="1"/>
    <x v="3"/>
    <x v="27"/>
  </r>
  <r>
    <x v="102"/>
    <x v="77"/>
    <x v="78"/>
    <x v="87"/>
    <x v="90"/>
    <x v="1"/>
    <x v="2"/>
    <x v="2"/>
  </r>
  <r>
    <x v="102"/>
    <x v="77"/>
    <x v="78"/>
    <x v="88"/>
    <x v="91"/>
    <x v="0"/>
    <x v="92"/>
    <x v="122"/>
  </r>
  <r>
    <x v="103"/>
    <x v="87"/>
    <x v="79"/>
    <x v="89"/>
    <x v="92"/>
    <x v="1"/>
    <x v="98"/>
    <x v="123"/>
  </r>
  <r>
    <x v="104"/>
    <x v="88"/>
    <x v="80"/>
    <x v="1"/>
    <x v="1"/>
    <x v="1"/>
    <x v="1"/>
    <x v="1"/>
  </r>
  <r>
    <x v="105"/>
    <x v="89"/>
    <x v="81"/>
    <x v="77"/>
    <x v="15"/>
    <x v="1"/>
    <x v="0"/>
    <x v="14"/>
  </r>
  <r>
    <x v="105"/>
    <x v="89"/>
    <x v="81"/>
    <x v="4"/>
    <x v="4"/>
    <x v="1"/>
    <x v="9"/>
    <x v="10"/>
  </r>
  <r>
    <x v="106"/>
    <x v="90"/>
    <x v="82"/>
    <x v="8"/>
    <x v="8"/>
    <x v="1"/>
    <x v="7"/>
    <x v="8"/>
  </r>
  <r>
    <x v="107"/>
    <x v="91"/>
    <x v="83"/>
    <x v="48"/>
    <x v="47"/>
    <x v="4"/>
    <x v="94"/>
    <x v="124"/>
  </r>
  <r>
    <x v="108"/>
    <x v="92"/>
    <x v="84"/>
    <x v="90"/>
    <x v="93"/>
    <x v="1"/>
    <x v="99"/>
    <x v="125"/>
  </r>
  <r>
    <x v="108"/>
    <x v="92"/>
    <x v="84"/>
    <x v="24"/>
    <x v="16"/>
    <x v="1"/>
    <x v="100"/>
    <x v="126"/>
  </r>
  <r>
    <x v="108"/>
    <x v="92"/>
    <x v="84"/>
    <x v="91"/>
    <x v="94"/>
    <x v="0"/>
    <x v="101"/>
    <x v="127"/>
  </r>
  <r>
    <x v="108"/>
    <x v="92"/>
    <x v="84"/>
    <x v="5"/>
    <x v="37"/>
    <x v="0"/>
    <x v="9"/>
    <x v="10"/>
  </r>
  <r>
    <x v="108"/>
    <x v="92"/>
    <x v="84"/>
    <x v="76"/>
    <x v="95"/>
    <x v="1"/>
    <x v="9"/>
    <x v="10"/>
  </r>
  <r>
    <x v="108"/>
    <x v="92"/>
    <x v="84"/>
    <x v="83"/>
    <x v="85"/>
    <x v="7"/>
    <x v="102"/>
    <x v="128"/>
  </r>
  <r>
    <x v="108"/>
    <x v="92"/>
    <x v="84"/>
    <x v="92"/>
    <x v="96"/>
    <x v="7"/>
    <x v="9"/>
    <x v="10"/>
  </r>
  <r>
    <x v="108"/>
    <x v="92"/>
    <x v="84"/>
    <x v="93"/>
    <x v="97"/>
    <x v="7"/>
    <x v="85"/>
    <x v="129"/>
  </r>
  <r>
    <x v="109"/>
    <x v="32"/>
    <x v="84"/>
    <x v="32"/>
    <x v="29"/>
    <x v="1"/>
    <x v="103"/>
    <x v="130"/>
  </r>
  <r>
    <x v="109"/>
    <x v="32"/>
    <x v="84"/>
    <x v="24"/>
    <x v="16"/>
    <x v="1"/>
    <x v="104"/>
    <x v="131"/>
  </r>
  <r>
    <x v="109"/>
    <x v="32"/>
    <x v="84"/>
    <x v="42"/>
    <x v="40"/>
    <x v="3"/>
    <x v="66"/>
    <x v="132"/>
  </r>
  <r>
    <x v="109"/>
    <x v="32"/>
    <x v="84"/>
    <x v="5"/>
    <x v="37"/>
    <x v="3"/>
    <x v="9"/>
    <x v="10"/>
  </r>
  <r>
    <x v="109"/>
    <x v="32"/>
    <x v="84"/>
    <x v="27"/>
    <x v="52"/>
    <x v="3"/>
    <x v="9"/>
    <x v="10"/>
  </r>
  <r>
    <x v="109"/>
    <x v="32"/>
    <x v="84"/>
    <x v="28"/>
    <x v="53"/>
    <x v="3"/>
    <x v="9"/>
    <x v="10"/>
  </r>
  <r>
    <x v="110"/>
    <x v="93"/>
    <x v="85"/>
    <x v="77"/>
    <x v="15"/>
    <x v="1"/>
    <x v="0"/>
    <x v="14"/>
  </r>
  <r>
    <x v="110"/>
    <x v="93"/>
    <x v="85"/>
    <x v="4"/>
    <x v="4"/>
    <x v="1"/>
    <x v="9"/>
    <x v="10"/>
  </r>
  <r>
    <x v="110"/>
    <x v="93"/>
    <x v="85"/>
    <x v="94"/>
    <x v="98"/>
    <x v="0"/>
    <x v="81"/>
    <x v="133"/>
  </r>
  <r>
    <x v="111"/>
    <x v="94"/>
    <x v="86"/>
    <x v="17"/>
    <x v="3"/>
    <x v="1"/>
    <x v="14"/>
    <x v="17"/>
  </r>
  <r>
    <x v="112"/>
    <x v="95"/>
    <x v="87"/>
    <x v="0"/>
    <x v="0"/>
    <x v="10"/>
    <x v="0"/>
    <x v="134"/>
  </r>
  <r>
    <x v="113"/>
    <x v="96"/>
    <x v="88"/>
    <x v="1"/>
    <x v="1"/>
    <x v="1"/>
    <x v="1"/>
    <x v="1"/>
  </r>
  <r>
    <x v="114"/>
    <x v="97"/>
    <x v="89"/>
    <x v="42"/>
    <x v="40"/>
    <x v="3"/>
    <x v="47"/>
    <x v="135"/>
  </r>
  <r>
    <x v="114"/>
    <x v="97"/>
    <x v="89"/>
    <x v="5"/>
    <x v="37"/>
    <x v="3"/>
    <x v="9"/>
    <x v="10"/>
  </r>
  <r>
    <x v="114"/>
    <x v="97"/>
    <x v="89"/>
    <x v="12"/>
    <x v="99"/>
    <x v="3"/>
    <x v="105"/>
    <x v="19"/>
  </r>
  <r>
    <x v="114"/>
    <x v="97"/>
    <x v="89"/>
    <x v="28"/>
    <x v="53"/>
    <x v="3"/>
    <x v="9"/>
    <x v="10"/>
  </r>
  <r>
    <x v="115"/>
    <x v="98"/>
    <x v="89"/>
    <x v="16"/>
    <x v="16"/>
    <x v="1"/>
    <x v="106"/>
    <x v="136"/>
  </r>
  <r>
    <x v="115"/>
    <x v="98"/>
    <x v="89"/>
    <x v="8"/>
    <x v="8"/>
    <x v="0"/>
    <x v="24"/>
    <x v="137"/>
  </r>
  <r>
    <x v="115"/>
    <x v="98"/>
    <x v="89"/>
    <x v="77"/>
    <x v="15"/>
    <x v="0"/>
    <x v="21"/>
    <x v="138"/>
  </r>
  <r>
    <x v="116"/>
    <x v="99"/>
    <x v="90"/>
    <x v="43"/>
    <x v="41"/>
    <x v="0"/>
    <x v="48"/>
    <x v="89"/>
  </r>
  <r>
    <x v="116"/>
    <x v="99"/>
    <x v="90"/>
    <x v="8"/>
    <x v="8"/>
    <x v="3"/>
    <x v="7"/>
    <x v="88"/>
  </r>
  <r>
    <x v="117"/>
    <x v="100"/>
    <x v="91"/>
    <x v="14"/>
    <x v="14"/>
    <x v="0"/>
    <x v="12"/>
    <x v="13"/>
  </r>
  <r>
    <x v="118"/>
    <x v="101"/>
    <x v="92"/>
    <x v="2"/>
    <x v="2"/>
    <x v="12"/>
    <x v="2"/>
    <x v="139"/>
  </r>
  <r>
    <x v="119"/>
    <x v="102"/>
    <x v="93"/>
    <x v="17"/>
    <x v="3"/>
    <x v="1"/>
    <x v="14"/>
    <x v="17"/>
  </r>
  <r>
    <x v="120"/>
    <x v="103"/>
    <x v="94"/>
    <x v="1"/>
    <x v="1"/>
    <x v="1"/>
    <x v="1"/>
    <x v="1"/>
  </r>
  <r>
    <x v="121"/>
    <x v="104"/>
    <x v="95"/>
    <x v="95"/>
    <x v="100"/>
    <x v="4"/>
    <x v="9"/>
    <x v="10"/>
  </r>
  <r>
    <x v="122"/>
    <x v="105"/>
    <x v="95"/>
    <x v="24"/>
    <x v="16"/>
    <x v="1"/>
    <x v="54"/>
    <x v="70"/>
  </r>
  <r>
    <x v="122"/>
    <x v="105"/>
    <x v="95"/>
    <x v="46"/>
    <x v="101"/>
    <x v="14"/>
    <x v="51"/>
    <x v="140"/>
  </r>
  <r>
    <x v="122"/>
    <x v="105"/>
    <x v="95"/>
    <x v="10"/>
    <x v="10"/>
    <x v="14"/>
    <x v="9"/>
    <x v="10"/>
  </r>
  <r>
    <x v="122"/>
    <x v="105"/>
    <x v="95"/>
    <x v="5"/>
    <x v="5"/>
    <x v="14"/>
    <x v="9"/>
    <x v="10"/>
  </r>
  <r>
    <x v="123"/>
    <x v="79"/>
    <x v="95"/>
    <x v="16"/>
    <x v="16"/>
    <x v="1"/>
    <x v="107"/>
    <x v="141"/>
  </r>
  <r>
    <x v="123"/>
    <x v="79"/>
    <x v="95"/>
    <x v="89"/>
    <x v="92"/>
    <x v="0"/>
    <x v="108"/>
    <x v="142"/>
  </r>
  <r>
    <x v="123"/>
    <x v="79"/>
    <x v="95"/>
    <x v="1"/>
    <x v="1"/>
    <x v="1"/>
    <x v="57"/>
    <x v="67"/>
  </r>
  <r>
    <x v="124"/>
    <x v="106"/>
    <x v="95"/>
    <x v="22"/>
    <x v="20"/>
    <x v="1"/>
    <x v="33"/>
    <x v="39"/>
  </r>
  <r>
    <x v="125"/>
    <x v="107"/>
    <x v="96"/>
    <x v="48"/>
    <x v="47"/>
    <x v="1"/>
    <x v="94"/>
    <x v="143"/>
  </r>
  <r>
    <x v="126"/>
    <x v="108"/>
    <x v="97"/>
    <x v="8"/>
    <x v="8"/>
    <x v="0"/>
    <x v="7"/>
    <x v="118"/>
  </r>
  <r>
    <x v="127"/>
    <x v="81"/>
    <x v="98"/>
    <x v="48"/>
    <x v="47"/>
    <x v="10"/>
    <x v="94"/>
    <x v="144"/>
  </r>
  <r>
    <x v="128"/>
    <x v="109"/>
    <x v="99"/>
    <x v="18"/>
    <x v="17"/>
    <x v="0"/>
    <x v="2"/>
    <x v="145"/>
  </r>
  <r>
    <x v="129"/>
    <x v="110"/>
    <x v="100"/>
    <x v="89"/>
    <x v="92"/>
    <x v="0"/>
    <x v="98"/>
    <x v="146"/>
  </r>
  <r>
    <x v="130"/>
    <x v="111"/>
    <x v="101"/>
    <x v="67"/>
    <x v="102"/>
    <x v="1"/>
    <x v="9"/>
    <x v="10"/>
  </r>
  <r>
    <x v="131"/>
    <x v="112"/>
    <x v="101"/>
    <x v="1"/>
    <x v="1"/>
    <x v="1"/>
    <x v="57"/>
    <x v="67"/>
  </r>
  <r>
    <x v="131"/>
    <x v="112"/>
    <x v="101"/>
    <x v="96"/>
    <x v="103"/>
    <x v="0"/>
    <x v="45"/>
    <x v="147"/>
  </r>
  <r>
    <x v="131"/>
    <x v="112"/>
    <x v="101"/>
    <x v="47"/>
    <x v="46"/>
    <x v="1"/>
    <x v="109"/>
    <x v="148"/>
  </r>
  <r>
    <x v="132"/>
    <x v="113"/>
    <x v="101"/>
    <x v="16"/>
    <x v="16"/>
    <x v="1"/>
    <x v="110"/>
    <x v="149"/>
  </r>
  <r>
    <x v="132"/>
    <x v="113"/>
    <x v="101"/>
    <x v="83"/>
    <x v="85"/>
    <x v="0"/>
    <x v="102"/>
    <x v="150"/>
  </r>
  <r>
    <x v="132"/>
    <x v="113"/>
    <x v="101"/>
    <x v="92"/>
    <x v="96"/>
    <x v="0"/>
    <x v="9"/>
    <x v="10"/>
  </r>
  <r>
    <x v="132"/>
    <x v="113"/>
    <x v="101"/>
    <x v="97"/>
    <x v="104"/>
    <x v="0"/>
    <x v="9"/>
    <x v="10"/>
  </r>
  <r>
    <x v="132"/>
    <x v="113"/>
    <x v="101"/>
    <x v="98"/>
    <x v="105"/>
    <x v="0"/>
    <x v="60"/>
    <x v="151"/>
  </r>
  <r>
    <x v="133"/>
    <x v="114"/>
    <x v="102"/>
    <x v="13"/>
    <x v="13"/>
    <x v="1"/>
    <x v="11"/>
    <x v="12"/>
  </r>
  <r>
    <x v="134"/>
    <x v="109"/>
    <x v="103"/>
    <x v="2"/>
    <x v="2"/>
    <x v="10"/>
    <x v="2"/>
    <x v="152"/>
  </r>
  <r>
    <x v="135"/>
    <x v="36"/>
    <x v="104"/>
    <x v="99"/>
    <x v="40"/>
    <x v="0"/>
    <x v="111"/>
    <x v="153"/>
  </r>
  <r>
    <x v="135"/>
    <x v="36"/>
    <x v="104"/>
    <x v="27"/>
    <x v="24"/>
    <x v="0"/>
    <x v="9"/>
    <x v="10"/>
  </r>
  <r>
    <x v="135"/>
    <x v="36"/>
    <x v="104"/>
    <x v="5"/>
    <x v="5"/>
    <x v="0"/>
    <x v="9"/>
    <x v="10"/>
  </r>
  <r>
    <x v="135"/>
    <x v="36"/>
    <x v="104"/>
    <x v="11"/>
    <x v="11"/>
    <x v="0"/>
    <x v="9"/>
    <x v="10"/>
  </r>
  <r>
    <x v="135"/>
    <x v="36"/>
    <x v="104"/>
    <x v="1"/>
    <x v="1"/>
    <x v="1"/>
    <x v="1"/>
    <x v="1"/>
  </r>
  <r>
    <x v="136"/>
    <x v="115"/>
    <x v="105"/>
    <x v="48"/>
    <x v="47"/>
    <x v="1"/>
    <x v="94"/>
    <x v="143"/>
  </r>
  <r>
    <x v="137"/>
    <x v="116"/>
    <x v="106"/>
    <x v="17"/>
    <x v="3"/>
    <x v="0"/>
    <x v="14"/>
    <x v="119"/>
  </r>
  <r>
    <x v="138"/>
    <x v="117"/>
    <x v="107"/>
    <x v="8"/>
    <x v="8"/>
    <x v="1"/>
    <x v="7"/>
    <x v="8"/>
  </r>
  <r>
    <x v="138"/>
    <x v="117"/>
    <x v="107"/>
    <x v="0"/>
    <x v="0"/>
    <x v="0"/>
    <x v="0"/>
    <x v="0"/>
  </r>
  <r>
    <x v="138"/>
    <x v="117"/>
    <x v="107"/>
    <x v="27"/>
    <x v="24"/>
    <x v="1"/>
    <x v="22"/>
    <x v="26"/>
  </r>
  <r>
    <x v="138"/>
    <x v="117"/>
    <x v="107"/>
    <x v="28"/>
    <x v="25"/>
    <x v="1"/>
    <x v="3"/>
    <x v="27"/>
  </r>
  <r>
    <x v="139"/>
    <x v="89"/>
    <x v="108"/>
    <x v="77"/>
    <x v="15"/>
    <x v="1"/>
    <x v="0"/>
    <x v="14"/>
  </r>
  <r>
    <x v="139"/>
    <x v="89"/>
    <x v="108"/>
    <x v="4"/>
    <x v="4"/>
    <x v="1"/>
    <x v="9"/>
    <x v="10"/>
  </r>
  <r>
    <x v="140"/>
    <x v="118"/>
    <x v="109"/>
    <x v="27"/>
    <x v="24"/>
    <x v="4"/>
    <x v="22"/>
    <x v="82"/>
  </r>
  <r>
    <x v="140"/>
    <x v="118"/>
    <x v="109"/>
    <x v="18"/>
    <x v="17"/>
    <x v="4"/>
    <x v="2"/>
    <x v="154"/>
  </r>
  <r>
    <x v="141"/>
    <x v="61"/>
    <x v="110"/>
    <x v="3"/>
    <x v="3"/>
    <x v="1"/>
    <x v="1"/>
    <x v="1"/>
  </r>
</pivotCacheRecords>
</file>

<file path=xl/pivotCache/pivotCacheRecords10.xml><?xml version="1.0" encoding="utf-8"?>
<pivotCacheRecords xmlns:r="http://schemas.openxmlformats.org/officeDocument/2006/relationships" xmlns="http://schemas.openxmlformats.org/spreadsheetml/2006/main" count="425">
  <r>
    <x v="0"/>
    <x v="0"/>
    <x v="0"/>
  </r>
  <r>
    <x v="1"/>
    <x v="1"/>
    <x v="1"/>
  </r>
  <r>
    <x v="2"/>
    <x v="2"/>
    <x v="1"/>
  </r>
  <r>
    <x v="3"/>
    <x v="3"/>
    <x v="1"/>
  </r>
  <r>
    <x v="4"/>
    <x v="4"/>
    <x v="2"/>
  </r>
  <r>
    <x v="0"/>
    <x v="0"/>
    <x v="0"/>
  </r>
  <r>
    <x v="5"/>
    <x v="5"/>
    <x v="0"/>
  </r>
  <r>
    <x v="6"/>
    <x v="6"/>
    <x v="3"/>
  </r>
  <r>
    <x v="7"/>
    <x v="7"/>
    <x v="1"/>
  </r>
  <r>
    <x v="0"/>
    <x v="0"/>
    <x v="0"/>
  </r>
  <r>
    <x v="8"/>
    <x v="8"/>
    <x v="1"/>
  </r>
  <r>
    <x v="9"/>
    <x v="9"/>
    <x v="4"/>
  </r>
  <r>
    <x v="5"/>
    <x v="5"/>
    <x v="4"/>
  </r>
  <r>
    <x v="10"/>
    <x v="10"/>
    <x v="4"/>
  </r>
  <r>
    <x v="11"/>
    <x v="11"/>
    <x v="4"/>
  </r>
  <r>
    <x v="12"/>
    <x v="12"/>
    <x v="4"/>
  </r>
  <r>
    <x v="13"/>
    <x v="13"/>
    <x v="1"/>
  </r>
  <r>
    <x v="14"/>
    <x v="14"/>
    <x v="0"/>
  </r>
  <r>
    <x v="15"/>
    <x v="15"/>
    <x v="1"/>
  </r>
  <r>
    <x v="4"/>
    <x v="4"/>
    <x v="1"/>
  </r>
  <r>
    <x v="16"/>
    <x v="16"/>
    <x v="1"/>
  </r>
  <r>
    <x v="5"/>
    <x v="5"/>
    <x v="4"/>
  </r>
  <r>
    <x v="17"/>
    <x v="3"/>
    <x v="1"/>
  </r>
  <r>
    <x v="1"/>
    <x v="1"/>
    <x v="1"/>
  </r>
  <r>
    <x v="0"/>
    <x v="0"/>
    <x v="1"/>
  </r>
  <r>
    <x v="2"/>
    <x v="2"/>
    <x v="1"/>
  </r>
  <r>
    <x v="18"/>
    <x v="17"/>
    <x v="1"/>
  </r>
  <r>
    <x v="19"/>
    <x v="18"/>
    <x v="1"/>
  </r>
  <r>
    <x v="20"/>
    <x v="19"/>
    <x v="1"/>
  </r>
  <r>
    <x v="21"/>
    <x v="16"/>
    <x v="1"/>
  </r>
  <r>
    <x v="1"/>
    <x v="1"/>
    <x v="1"/>
  </r>
  <r>
    <x v="22"/>
    <x v="20"/>
    <x v="1"/>
  </r>
  <r>
    <x v="14"/>
    <x v="14"/>
    <x v="1"/>
  </r>
  <r>
    <x v="23"/>
    <x v="21"/>
    <x v="5"/>
  </r>
  <r>
    <x v="24"/>
    <x v="16"/>
    <x v="1"/>
  </r>
  <r>
    <x v="25"/>
    <x v="22"/>
    <x v="6"/>
  </r>
  <r>
    <x v="26"/>
    <x v="23"/>
    <x v="7"/>
  </r>
  <r>
    <x v="27"/>
    <x v="24"/>
    <x v="1"/>
  </r>
  <r>
    <x v="4"/>
    <x v="4"/>
    <x v="1"/>
  </r>
  <r>
    <x v="3"/>
    <x v="3"/>
    <x v="1"/>
  </r>
  <r>
    <x v="13"/>
    <x v="13"/>
    <x v="1"/>
  </r>
  <r>
    <x v="0"/>
    <x v="0"/>
    <x v="0"/>
  </r>
  <r>
    <x v="28"/>
    <x v="25"/>
    <x v="4"/>
  </r>
  <r>
    <x v="1"/>
    <x v="1"/>
    <x v="1"/>
  </r>
  <r>
    <x v="16"/>
    <x v="16"/>
    <x v="1"/>
  </r>
  <r>
    <x v="8"/>
    <x v="8"/>
    <x v="8"/>
  </r>
  <r>
    <x v="29"/>
    <x v="26"/>
    <x v="9"/>
  </r>
  <r>
    <x v="12"/>
    <x v="12"/>
    <x v="1"/>
  </r>
  <r>
    <x v="30"/>
    <x v="27"/>
    <x v="0"/>
  </r>
  <r>
    <x v="24"/>
    <x v="16"/>
    <x v="1"/>
  </r>
  <r>
    <x v="21"/>
    <x v="16"/>
    <x v="1"/>
  </r>
  <r>
    <x v="31"/>
    <x v="28"/>
    <x v="7"/>
  </r>
  <r>
    <x v="28"/>
    <x v="25"/>
    <x v="7"/>
  </r>
  <r>
    <x v="1"/>
    <x v="1"/>
    <x v="1"/>
  </r>
  <r>
    <x v="32"/>
    <x v="29"/>
    <x v="1"/>
  </r>
  <r>
    <x v="24"/>
    <x v="16"/>
    <x v="1"/>
  </r>
  <r>
    <x v="22"/>
    <x v="20"/>
    <x v="1"/>
  </r>
  <r>
    <x v="33"/>
    <x v="30"/>
    <x v="10"/>
  </r>
  <r>
    <x v="27"/>
    <x v="24"/>
    <x v="1"/>
  </r>
  <r>
    <x v="34"/>
    <x v="31"/>
    <x v="1"/>
  </r>
  <r>
    <x v="35"/>
    <x v="32"/>
    <x v="3"/>
  </r>
  <r>
    <x v="0"/>
    <x v="0"/>
    <x v="1"/>
  </r>
  <r>
    <x v="4"/>
    <x v="4"/>
    <x v="0"/>
  </r>
  <r>
    <x v="17"/>
    <x v="3"/>
    <x v="1"/>
  </r>
  <r>
    <x v="17"/>
    <x v="3"/>
    <x v="1"/>
  </r>
  <r>
    <x v="0"/>
    <x v="0"/>
    <x v="0"/>
  </r>
  <r>
    <x v="16"/>
    <x v="16"/>
    <x v="1"/>
  </r>
  <r>
    <x v="36"/>
    <x v="33"/>
    <x v="10"/>
  </r>
  <r>
    <x v="37"/>
    <x v="34"/>
    <x v="1"/>
  </r>
  <r>
    <x v="38"/>
    <x v="35"/>
    <x v="1"/>
  </r>
  <r>
    <x v="16"/>
    <x v="16"/>
    <x v="1"/>
  </r>
  <r>
    <x v="39"/>
    <x v="36"/>
    <x v="7"/>
  </r>
  <r>
    <x v="5"/>
    <x v="37"/>
    <x v="7"/>
  </r>
  <r>
    <x v="24"/>
    <x v="16"/>
    <x v="1"/>
  </r>
  <r>
    <x v="21"/>
    <x v="16"/>
    <x v="1"/>
  </r>
  <r>
    <x v="40"/>
    <x v="38"/>
    <x v="3"/>
  </r>
  <r>
    <x v="19"/>
    <x v="18"/>
    <x v="3"/>
  </r>
  <r>
    <x v="41"/>
    <x v="39"/>
    <x v="10"/>
  </r>
  <r>
    <x v="42"/>
    <x v="40"/>
    <x v="0"/>
  </r>
  <r>
    <x v="27"/>
    <x v="24"/>
    <x v="0"/>
  </r>
  <r>
    <x v="5"/>
    <x v="5"/>
    <x v="0"/>
  </r>
  <r>
    <x v="11"/>
    <x v="11"/>
    <x v="0"/>
  </r>
  <r>
    <x v="22"/>
    <x v="20"/>
    <x v="1"/>
  </r>
  <r>
    <x v="5"/>
    <x v="5"/>
    <x v="0"/>
  </r>
  <r>
    <x v="43"/>
    <x v="41"/>
    <x v="3"/>
  </r>
  <r>
    <x v="44"/>
    <x v="16"/>
    <x v="1"/>
  </r>
  <r>
    <x v="16"/>
    <x v="16"/>
    <x v="1"/>
  </r>
  <r>
    <x v="9"/>
    <x v="9"/>
    <x v="0"/>
  </r>
  <r>
    <x v="5"/>
    <x v="37"/>
    <x v="0"/>
  </r>
  <r>
    <x v="10"/>
    <x v="42"/>
    <x v="0"/>
  </r>
  <r>
    <x v="45"/>
    <x v="43"/>
    <x v="3"/>
  </r>
  <r>
    <x v="16"/>
    <x v="16"/>
    <x v="1"/>
  </r>
  <r>
    <x v="4"/>
    <x v="4"/>
    <x v="0"/>
  </r>
  <r>
    <x v="8"/>
    <x v="8"/>
    <x v="10"/>
  </r>
  <r>
    <x v="24"/>
    <x v="16"/>
    <x v="1"/>
  </r>
  <r>
    <x v="46"/>
    <x v="44"/>
    <x v="0"/>
  </r>
  <r>
    <x v="5"/>
    <x v="37"/>
    <x v="0"/>
  </r>
  <r>
    <x v="10"/>
    <x v="42"/>
    <x v="0"/>
  </r>
  <r>
    <x v="30"/>
    <x v="45"/>
    <x v="0"/>
  </r>
  <r>
    <x v="47"/>
    <x v="46"/>
    <x v="1"/>
  </r>
  <r>
    <x v="48"/>
    <x v="47"/>
    <x v="1"/>
  </r>
  <r>
    <x v="16"/>
    <x v="16"/>
    <x v="1"/>
  </r>
  <r>
    <x v="17"/>
    <x v="3"/>
    <x v="1"/>
  </r>
  <r>
    <x v="3"/>
    <x v="3"/>
    <x v="1"/>
  </r>
  <r>
    <x v="16"/>
    <x v="16"/>
    <x v="1"/>
  </r>
  <r>
    <x v="22"/>
    <x v="20"/>
    <x v="1"/>
  </r>
  <r>
    <x v="1"/>
    <x v="1"/>
    <x v="1"/>
  </r>
  <r>
    <x v="1"/>
    <x v="1"/>
    <x v="1"/>
  </r>
  <r>
    <x v="24"/>
    <x v="16"/>
    <x v="1"/>
  </r>
  <r>
    <x v="49"/>
    <x v="48"/>
    <x v="3"/>
  </r>
  <r>
    <x v="12"/>
    <x v="12"/>
    <x v="3"/>
  </r>
  <r>
    <x v="28"/>
    <x v="25"/>
    <x v="3"/>
  </r>
  <r>
    <x v="24"/>
    <x v="16"/>
    <x v="1"/>
  </r>
  <r>
    <x v="50"/>
    <x v="49"/>
    <x v="6"/>
  </r>
  <r>
    <x v="51"/>
    <x v="50"/>
    <x v="6"/>
  </r>
  <r>
    <x v="52"/>
    <x v="51"/>
    <x v="6"/>
  </r>
  <r>
    <x v="24"/>
    <x v="16"/>
    <x v="1"/>
  </r>
  <r>
    <x v="42"/>
    <x v="40"/>
    <x v="0"/>
  </r>
  <r>
    <x v="5"/>
    <x v="37"/>
    <x v="0"/>
  </r>
  <r>
    <x v="27"/>
    <x v="52"/>
    <x v="0"/>
  </r>
  <r>
    <x v="28"/>
    <x v="53"/>
    <x v="0"/>
  </r>
  <r>
    <x v="1"/>
    <x v="1"/>
    <x v="1"/>
  </r>
  <r>
    <x v="16"/>
    <x v="16"/>
    <x v="1"/>
  </r>
  <r>
    <x v="49"/>
    <x v="48"/>
    <x v="1"/>
  </r>
  <r>
    <x v="1"/>
    <x v="1"/>
    <x v="1"/>
  </r>
  <r>
    <x v="3"/>
    <x v="3"/>
    <x v="1"/>
  </r>
  <r>
    <x v="2"/>
    <x v="2"/>
    <x v="3"/>
  </r>
  <r>
    <x v="1"/>
    <x v="1"/>
    <x v="1"/>
  </r>
  <r>
    <x v="24"/>
    <x v="16"/>
    <x v="1"/>
  </r>
  <r>
    <x v="53"/>
    <x v="54"/>
    <x v="1"/>
  </r>
  <r>
    <x v="54"/>
    <x v="55"/>
    <x v="1"/>
  </r>
  <r>
    <x v="55"/>
    <x v="56"/>
    <x v="0"/>
  </r>
  <r>
    <x v="56"/>
    <x v="57"/>
    <x v="1"/>
  </r>
  <r>
    <x v="43"/>
    <x v="58"/>
    <x v="0"/>
  </r>
  <r>
    <x v="4"/>
    <x v="59"/>
    <x v="0"/>
  </r>
  <r>
    <x v="47"/>
    <x v="46"/>
    <x v="4"/>
  </r>
  <r>
    <x v="57"/>
    <x v="60"/>
    <x v="1"/>
  </r>
  <r>
    <x v="9"/>
    <x v="9"/>
    <x v="3"/>
  </r>
  <r>
    <x v="10"/>
    <x v="10"/>
    <x v="3"/>
  </r>
  <r>
    <x v="5"/>
    <x v="5"/>
    <x v="3"/>
  </r>
  <r>
    <x v="27"/>
    <x v="24"/>
    <x v="3"/>
  </r>
  <r>
    <x v="28"/>
    <x v="25"/>
    <x v="3"/>
  </r>
  <r>
    <x v="58"/>
    <x v="61"/>
    <x v="3"/>
  </r>
  <r>
    <x v="59"/>
    <x v="62"/>
    <x v="3"/>
  </r>
  <r>
    <x v="60"/>
    <x v="63"/>
    <x v="1"/>
  </r>
  <r>
    <x v="3"/>
    <x v="3"/>
    <x v="1"/>
  </r>
  <r>
    <x v="7"/>
    <x v="7"/>
    <x v="1"/>
  </r>
  <r>
    <x v="61"/>
    <x v="16"/>
    <x v="1"/>
  </r>
  <r>
    <x v="62"/>
    <x v="64"/>
    <x v="1"/>
  </r>
  <r>
    <x v="24"/>
    <x v="16"/>
    <x v="1"/>
  </r>
  <r>
    <x v="63"/>
    <x v="61"/>
    <x v="11"/>
  </r>
  <r>
    <x v="8"/>
    <x v="8"/>
    <x v="3"/>
  </r>
  <r>
    <x v="43"/>
    <x v="41"/>
    <x v="0"/>
  </r>
  <r>
    <x v="15"/>
    <x v="65"/>
    <x v="1"/>
  </r>
  <r>
    <x v="4"/>
    <x v="4"/>
    <x v="1"/>
  </r>
  <r>
    <x v="18"/>
    <x v="17"/>
    <x v="1"/>
  </r>
  <r>
    <x v="28"/>
    <x v="25"/>
    <x v="1"/>
  </r>
  <r>
    <x v="15"/>
    <x v="65"/>
    <x v="1"/>
  </r>
  <r>
    <x v="4"/>
    <x v="4"/>
    <x v="1"/>
  </r>
  <r>
    <x v="64"/>
    <x v="66"/>
    <x v="1"/>
  </r>
  <r>
    <x v="65"/>
    <x v="67"/>
    <x v="1"/>
  </r>
  <r>
    <x v="66"/>
    <x v="68"/>
    <x v="1"/>
  </r>
  <r>
    <x v="16"/>
    <x v="16"/>
    <x v="1"/>
  </r>
  <r>
    <x v="67"/>
    <x v="69"/>
    <x v="1"/>
  </r>
  <r>
    <x v="68"/>
    <x v="70"/>
    <x v="1"/>
  </r>
  <r>
    <x v="69"/>
    <x v="71"/>
    <x v="1"/>
  </r>
  <r>
    <x v="70"/>
    <x v="72"/>
    <x v="1"/>
  </r>
  <r>
    <x v="71"/>
    <x v="73"/>
    <x v="1"/>
  </r>
  <r>
    <x v="72"/>
    <x v="74"/>
    <x v="1"/>
  </r>
  <r>
    <x v="43"/>
    <x v="41"/>
    <x v="1"/>
  </r>
  <r>
    <x v="3"/>
    <x v="3"/>
    <x v="1"/>
  </r>
  <r>
    <x v="5"/>
    <x v="5"/>
    <x v="0"/>
  </r>
  <r>
    <x v="0"/>
    <x v="0"/>
    <x v="1"/>
  </r>
  <r>
    <x v="13"/>
    <x v="13"/>
    <x v="1"/>
  </r>
  <r>
    <x v="16"/>
    <x v="16"/>
    <x v="1"/>
  </r>
  <r>
    <x v="25"/>
    <x v="22"/>
    <x v="1"/>
  </r>
  <r>
    <x v="27"/>
    <x v="52"/>
    <x v="1"/>
  </r>
  <r>
    <x v="28"/>
    <x v="53"/>
    <x v="1"/>
  </r>
  <r>
    <x v="1"/>
    <x v="1"/>
    <x v="1"/>
  </r>
  <r>
    <x v="73"/>
    <x v="75"/>
    <x v="10"/>
  </r>
  <r>
    <x v="4"/>
    <x v="4"/>
    <x v="1"/>
  </r>
  <r>
    <x v="17"/>
    <x v="3"/>
    <x v="1"/>
  </r>
  <r>
    <x v="19"/>
    <x v="18"/>
    <x v="0"/>
  </r>
  <r>
    <x v="24"/>
    <x v="16"/>
    <x v="1"/>
  </r>
  <r>
    <x v="34"/>
    <x v="31"/>
    <x v="12"/>
  </r>
  <r>
    <x v="74"/>
    <x v="76"/>
    <x v="3"/>
  </r>
  <r>
    <x v="75"/>
    <x v="77"/>
    <x v="3"/>
  </r>
  <r>
    <x v="24"/>
    <x v="16"/>
    <x v="1"/>
  </r>
  <r>
    <x v="76"/>
    <x v="78"/>
    <x v="0"/>
  </r>
  <r>
    <x v="76"/>
    <x v="79"/>
    <x v="10"/>
  </r>
  <r>
    <x v="18"/>
    <x v="17"/>
    <x v="10"/>
  </r>
  <r>
    <x v="8"/>
    <x v="8"/>
    <x v="0"/>
  </r>
  <r>
    <x v="77"/>
    <x v="15"/>
    <x v="1"/>
  </r>
  <r>
    <x v="4"/>
    <x v="4"/>
    <x v="1"/>
  </r>
  <r>
    <x v="78"/>
    <x v="80"/>
    <x v="1"/>
  </r>
  <r>
    <x v="75"/>
    <x v="77"/>
    <x v="1"/>
  </r>
  <r>
    <x v="17"/>
    <x v="3"/>
    <x v="1"/>
  </r>
  <r>
    <x v="42"/>
    <x v="40"/>
    <x v="6"/>
  </r>
  <r>
    <x v="12"/>
    <x v="12"/>
    <x v="6"/>
  </r>
  <r>
    <x v="5"/>
    <x v="5"/>
    <x v="6"/>
  </r>
  <r>
    <x v="11"/>
    <x v="11"/>
    <x v="6"/>
  </r>
  <r>
    <x v="34"/>
    <x v="31"/>
    <x v="6"/>
  </r>
  <r>
    <x v="79"/>
    <x v="81"/>
    <x v="7"/>
  </r>
  <r>
    <x v="18"/>
    <x v="17"/>
    <x v="1"/>
  </r>
  <r>
    <x v="80"/>
    <x v="82"/>
    <x v="1"/>
  </r>
  <r>
    <x v="81"/>
    <x v="83"/>
    <x v="4"/>
  </r>
  <r>
    <x v="62"/>
    <x v="64"/>
    <x v="4"/>
  </r>
  <r>
    <x v="82"/>
    <x v="84"/>
    <x v="4"/>
  </r>
  <r>
    <x v="83"/>
    <x v="85"/>
    <x v="1"/>
  </r>
  <r>
    <x v="5"/>
    <x v="5"/>
    <x v="1"/>
  </r>
  <r>
    <x v="84"/>
    <x v="86"/>
    <x v="1"/>
  </r>
  <r>
    <x v="16"/>
    <x v="16"/>
    <x v="1"/>
  </r>
  <r>
    <x v="0"/>
    <x v="0"/>
    <x v="1"/>
  </r>
  <r>
    <x v="3"/>
    <x v="3"/>
    <x v="1"/>
  </r>
  <r>
    <x v="1"/>
    <x v="1"/>
    <x v="1"/>
  </r>
  <r>
    <x v="48"/>
    <x v="47"/>
    <x v="0"/>
  </r>
  <r>
    <x v="34"/>
    <x v="31"/>
    <x v="1"/>
  </r>
  <r>
    <x v="85"/>
    <x v="87"/>
    <x v="3"/>
  </r>
  <r>
    <x v="34"/>
    <x v="31"/>
    <x v="1"/>
  </r>
  <r>
    <x v="86"/>
    <x v="88"/>
    <x v="1"/>
  </r>
  <r>
    <x v="0"/>
    <x v="0"/>
    <x v="1"/>
  </r>
  <r>
    <x v="8"/>
    <x v="8"/>
    <x v="0"/>
  </r>
  <r>
    <x v="17"/>
    <x v="3"/>
    <x v="0"/>
  </r>
  <r>
    <x v="24"/>
    <x v="16"/>
    <x v="1"/>
  </r>
  <r>
    <x v="0"/>
    <x v="0"/>
    <x v="13"/>
  </r>
  <r>
    <x v="13"/>
    <x v="13"/>
    <x v="6"/>
  </r>
  <r>
    <x v="24"/>
    <x v="89"/>
    <x v="1"/>
  </r>
  <r>
    <x v="87"/>
    <x v="90"/>
    <x v="1"/>
  </r>
  <r>
    <x v="88"/>
    <x v="91"/>
    <x v="0"/>
  </r>
  <r>
    <x v="89"/>
    <x v="92"/>
    <x v="1"/>
  </r>
  <r>
    <x v="1"/>
    <x v="1"/>
    <x v="1"/>
  </r>
  <r>
    <x v="77"/>
    <x v="15"/>
    <x v="1"/>
  </r>
  <r>
    <x v="4"/>
    <x v="4"/>
    <x v="1"/>
  </r>
  <r>
    <x v="8"/>
    <x v="8"/>
    <x v="1"/>
  </r>
  <r>
    <x v="48"/>
    <x v="47"/>
    <x v="4"/>
  </r>
  <r>
    <x v="90"/>
    <x v="93"/>
    <x v="1"/>
  </r>
  <r>
    <x v="24"/>
    <x v="16"/>
    <x v="1"/>
  </r>
  <r>
    <x v="91"/>
    <x v="94"/>
    <x v="0"/>
  </r>
  <r>
    <x v="5"/>
    <x v="37"/>
    <x v="0"/>
  </r>
  <r>
    <x v="76"/>
    <x v="95"/>
    <x v="1"/>
  </r>
  <r>
    <x v="83"/>
    <x v="85"/>
    <x v="7"/>
  </r>
  <r>
    <x v="92"/>
    <x v="96"/>
    <x v="7"/>
  </r>
  <r>
    <x v="93"/>
    <x v="97"/>
    <x v="7"/>
  </r>
  <r>
    <x v="32"/>
    <x v="29"/>
    <x v="1"/>
  </r>
  <r>
    <x v="24"/>
    <x v="16"/>
    <x v="1"/>
  </r>
  <r>
    <x v="42"/>
    <x v="40"/>
    <x v="3"/>
  </r>
  <r>
    <x v="5"/>
    <x v="37"/>
    <x v="3"/>
  </r>
  <r>
    <x v="27"/>
    <x v="52"/>
    <x v="3"/>
  </r>
  <r>
    <x v="28"/>
    <x v="53"/>
    <x v="3"/>
  </r>
  <r>
    <x v="77"/>
    <x v="15"/>
    <x v="1"/>
  </r>
  <r>
    <x v="4"/>
    <x v="4"/>
    <x v="1"/>
  </r>
  <r>
    <x v="94"/>
    <x v="98"/>
    <x v="0"/>
  </r>
  <r>
    <x v="17"/>
    <x v="3"/>
    <x v="1"/>
  </r>
  <r>
    <x v="0"/>
    <x v="0"/>
    <x v="10"/>
  </r>
  <r>
    <x v="1"/>
    <x v="1"/>
    <x v="1"/>
  </r>
  <r>
    <x v="42"/>
    <x v="40"/>
    <x v="3"/>
  </r>
  <r>
    <x v="5"/>
    <x v="37"/>
    <x v="3"/>
  </r>
  <r>
    <x v="12"/>
    <x v="99"/>
    <x v="3"/>
  </r>
  <r>
    <x v="28"/>
    <x v="53"/>
    <x v="3"/>
  </r>
  <r>
    <x v="16"/>
    <x v="16"/>
    <x v="1"/>
  </r>
  <r>
    <x v="8"/>
    <x v="8"/>
    <x v="0"/>
  </r>
  <r>
    <x v="77"/>
    <x v="15"/>
    <x v="0"/>
  </r>
  <r>
    <x v="43"/>
    <x v="41"/>
    <x v="0"/>
  </r>
  <r>
    <x v="8"/>
    <x v="8"/>
    <x v="3"/>
  </r>
  <r>
    <x v="14"/>
    <x v="14"/>
    <x v="0"/>
  </r>
  <r>
    <x v="2"/>
    <x v="2"/>
    <x v="12"/>
  </r>
  <r>
    <x v="17"/>
    <x v="3"/>
    <x v="1"/>
  </r>
  <r>
    <x v="1"/>
    <x v="1"/>
    <x v="1"/>
  </r>
  <r>
    <x v="95"/>
    <x v="100"/>
    <x v="4"/>
  </r>
  <r>
    <x v="24"/>
    <x v="16"/>
    <x v="1"/>
  </r>
  <r>
    <x v="46"/>
    <x v="101"/>
    <x v="14"/>
  </r>
  <r>
    <x v="10"/>
    <x v="10"/>
    <x v="14"/>
  </r>
  <r>
    <x v="5"/>
    <x v="5"/>
    <x v="14"/>
  </r>
  <r>
    <x v="16"/>
    <x v="16"/>
    <x v="1"/>
  </r>
  <r>
    <x v="89"/>
    <x v="92"/>
    <x v="0"/>
  </r>
  <r>
    <x v="1"/>
    <x v="1"/>
    <x v="1"/>
  </r>
  <r>
    <x v="22"/>
    <x v="20"/>
    <x v="1"/>
  </r>
  <r>
    <x v="48"/>
    <x v="47"/>
    <x v="1"/>
  </r>
  <r>
    <x v="8"/>
    <x v="8"/>
    <x v="0"/>
  </r>
  <r>
    <x v="48"/>
    <x v="47"/>
    <x v="10"/>
  </r>
  <r>
    <x v="18"/>
    <x v="17"/>
    <x v="0"/>
  </r>
  <r>
    <x v="89"/>
    <x v="92"/>
    <x v="0"/>
  </r>
  <r>
    <x v="67"/>
    <x v="102"/>
    <x v="1"/>
  </r>
  <r>
    <x v="1"/>
    <x v="1"/>
    <x v="1"/>
  </r>
  <r>
    <x v="96"/>
    <x v="103"/>
    <x v="0"/>
  </r>
  <r>
    <x v="47"/>
    <x v="46"/>
    <x v="1"/>
  </r>
  <r>
    <x v="16"/>
    <x v="16"/>
    <x v="1"/>
  </r>
  <r>
    <x v="83"/>
    <x v="85"/>
    <x v="0"/>
  </r>
  <r>
    <x v="92"/>
    <x v="96"/>
    <x v="0"/>
  </r>
  <r>
    <x v="97"/>
    <x v="104"/>
    <x v="0"/>
  </r>
  <r>
    <x v="98"/>
    <x v="105"/>
    <x v="0"/>
  </r>
  <r>
    <x v="13"/>
    <x v="13"/>
    <x v="1"/>
  </r>
  <r>
    <x v="2"/>
    <x v="2"/>
    <x v="10"/>
  </r>
  <r>
    <x v="99"/>
    <x v="40"/>
    <x v="0"/>
  </r>
  <r>
    <x v="27"/>
    <x v="24"/>
    <x v="0"/>
  </r>
  <r>
    <x v="5"/>
    <x v="5"/>
    <x v="0"/>
  </r>
  <r>
    <x v="11"/>
    <x v="11"/>
    <x v="0"/>
  </r>
  <r>
    <x v="1"/>
    <x v="1"/>
    <x v="1"/>
  </r>
  <r>
    <x v="48"/>
    <x v="47"/>
    <x v="1"/>
  </r>
  <r>
    <x v="17"/>
    <x v="3"/>
    <x v="0"/>
  </r>
  <r>
    <x v="8"/>
    <x v="8"/>
    <x v="1"/>
  </r>
  <r>
    <x v="0"/>
    <x v="0"/>
    <x v="0"/>
  </r>
  <r>
    <x v="27"/>
    <x v="24"/>
    <x v="1"/>
  </r>
  <r>
    <x v="28"/>
    <x v="25"/>
    <x v="1"/>
  </r>
  <r>
    <x v="77"/>
    <x v="15"/>
    <x v="1"/>
  </r>
  <r>
    <x v="4"/>
    <x v="4"/>
    <x v="1"/>
  </r>
  <r>
    <x v="27"/>
    <x v="24"/>
    <x v="4"/>
  </r>
  <r>
    <x v="18"/>
    <x v="17"/>
    <x v="4"/>
  </r>
  <r>
    <x v="3"/>
    <x v="3"/>
    <x v="1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  <r>
    <x v="100"/>
    <x v="16"/>
    <x v="15"/>
  </r>
</pivotCacheRecords>
</file>

<file path=xl/pivotCache/pivotCacheRecords11.xml><?xml version="1.0" encoding="utf-8"?>
<pivotCacheRecords xmlns:r="http://schemas.openxmlformats.org/officeDocument/2006/relationships" xmlns="http://schemas.openxmlformats.org/spreadsheetml/2006/main" count="425">
  <r>
    <x v="0"/>
    <x v="0"/>
    <x v="0"/>
    <x v="0"/>
    <x v="0"/>
  </r>
  <r>
    <x v="1"/>
    <x v="1"/>
    <x v="1"/>
    <x v="1"/>
    <x v="1"/>
  </r>
  <r>
    <x v="2"/>
    <x v="2"/>
    <x v="1"/>
    <x v="2"/>
    <x v="2"/>
  </r>
  <r>
    <x v="3"/>
    <x v="3"/>
    <x v="1"/>
    <x v="1"/>
    <x v="1"/>
  </r>
  <r>
    <x v="4"/>
    <x v="4"/>
    <x v="2"/>
    <x v="3"/>
    <x v="3"/>
  </r>
  <r>
    <x v="0"/>
    <x v="0"/>
    <x v="0"/>
    <x v="0"/>
    <x v="0"/>
  </r>
  <r>
    <x v="5"/>
    <x v="5"/>
    <x v="0"/>
    <x v="4"/>
    <x v="4"/>
  </r>
  <r>
    <x v="6"/>
    <x v="6"/>
    <x v="3"/>
    <x v="0"/>
    <x v="5"/>
  </r>
  <r>
    <x v="7"/>
    <x v="7"/>
    <x v="1"/>
    <x v="5"/>
    <x v="6"/>
  </r>
  <r>
    <x v="0"/>
    <x v="0"/>
    <x v="0"/>
    <x v="6"/>
    <x v="7"/>
  </r>
  <r>
    <x v="8"/>
    <x v="8"/>
    <x v="1"/>
    <x v="7"/>
    <x v="8"/>
  </r>
  <r>
    <x v="9"/>
    <x v="9"/>
    <x v="4"/>
    <x v="8"/>
    <x v="9"/>
  </r>
  <r>
    <x v="5"/>
    <x v="5"/>
    <x v="4"/>
    <x v="9"/>
    <x v="10"/>
  </r>
  <r>
    <x v="10"/>
    <x v="10"/>
    <x v="4"/>
    <x v="9"/>
    <x v="10"/>
  </r>
  <r>
    <x v="11"/>
    <x v="11"/>
    <x v="4"/>
    <x v="9"/>
    <x v="10"/>
  </r>
  <r>
    <x v="12"/>
    <x v="12"/>
    <x v="4"/>
    <x v="10"/>
    <x v="11"/>
  </r>
  <r>
    <x v="13"/>
    <x v="13"/>
    <x v="1"/>
    <x v="11"/>
    <x v="12"/>
  </r>
  <r>
    <x v="14"/>
    <x v="14"/>
    <x v="0"/>
    <x v="12"/>
    <x v="13"/>
  </r>
  <r>
    <x v="15"/>
    <x v="15"/>
    <x v="1"/>
    <x v="0"/>
    <x v="14"/>
  </r>
  <r>
    <x v="4"/>
    <x v="4"/>
    <x v="1"/>
    <x v="9"/>
    <x v="10"/>
  </r>
  <r>
    <x v="16"/>
    <x v="16"/>
    <x v="1"/>
    <x v="13"/>
    <x v="15"/>
  </r>
  <r>
    <x v="5"/>
    <x v="5"/>
    <x v="4"/>
    <x v="4"/>
    <x v="16"/>
  </r>
  <r>
    <x v="17"/>
    <x v="3"/>
    <x v="1"/>
    <x v="14"/>
    <x v="17"/>
  </r>
  <r>
    <x v="1"/>
    <x v="1"/>
    <x v="1"/>
    <x v="1"/>
    <x v="1"/>
  </r>
  <r>
    <x v="0"/>
    <x v="0"/>
    <x v="1"/>
    <x v="0"/>
    <x v="14"/>
  </r>
  <r>
    <x v="2"/>
    <x v="2"/>
    <x v="1"/>
    <x v="2"/>
    <x v="2"/>
  </r>
  <r>
    <x v="18"/>
    <x v="17"/>
    <x v="1"/>
    <x v="2"/>
    <x v="2"/>
  </r>
  <r>
    <x v="19"/>
    <x v="18"/>
    <x v="1"/>
    <x v="15"/>
    <x v="18"/>
  </r>
  <r>
    <x v="20"/>
    <x v="19"/>
    <x v="1"/>
    <x v="16"/>
    <x v="19"/>
  </r>
  <r>
    <x v="21"/>
    <x v="16"/>
    <x v="1"/>
    <x v="17"/>
    <x v="20"/>
  </r>
  <r>
    <x v="1"/>
    <x v="1"/>
    <x v="1"/>
    <x v="1"/>
    <x v="1"/>
  </r>
  <r>
    <x v="22"/>
    <x v="20"/>
    <x v="1"/>
    <x v="18"/>
    <x v="21"/>
  </r>
  <r>
    <x v="14"/>
    <x v="14"/>
    <x v="1"/>
    <x v="12"/>
    <x v="22"/>
  </r>
  <r>
    <x v="23"/>
    <x v="21"/>
    <x v="5"/>
    <x v="9"/>
    <x v="10"/>
  </r>
  <r>
    <x v="24"/>
    <x v="16"/>
    <x v="1"/>
    <x v="19"/>
    <x v="23"/>
  </r>
  <r>
    <x v="25"/>
    <x v="22"/>
    <x v="6"/>
    <x v="20"/>
    <x v="24"/>
  </r>
  <r>
    <x v="26"/>
    <x v="23"/>
    <x v="7"/>
    <x v="21"/>
    <x v="25"/>
  </r>
  <r>
    <x v="27"/>
    <x v="24"/>
    <x v="1"/>
    <x v="22"/>
    <x v="26"/>
  </r>
  <r>
    <x v="4"/>
    <x v="4"/>
    <x v="1"/>
    <x v="3"/>
    <x v="27"/>
  </r>
  <r>
    <x v="3"/>
    <x v="3"/>
    <x v="1"/>
    <x v="1"/>
    <x v="1"/>
  </r>
  <r>
    <x v="13"/>
    <x v="13"/>
    <x v="1"/>
    <x v="11"/>
    <x v="12"/>
  </r>
  <r>
    <x v="0"/>
    <x v="0"/>
    <x v="0"/>
    <x v="0"/>
    <x v="0"/>
  </r>
  <r>
    <x v="28"/>
    <x v="25"/>
    <x v="4"/>
    <x v="3"/>
    <x v="28"/>
  </r>
  <r>
    <x v="1"/>
    <x v="1"/>
    <x v="1"/>
    <x v="1"/>
    <x v="1"/>
  </r>
  <r>
    <x v="16"/>
    <x v="16"/>
    <x v="1"/>
    <x v="23"/>
    <x v="29"/>
  </r>
  <r>
    <x v="8"/>
    <x v="8"/>
    <x v="8"/>
    <x v="24"/>
    <x v="30"/>
  </r>
  <r>
    <x v="29"/>
    <x v="26"/>
    <x v="9"/>
    <x v="9"/>
    <x v="10"/>
  </r>
  <r>
    <x v="12"/>
    <x v="12"/>
    <x v="1"/>
    <x v="25"/>
    <x v="31"/>
  </r>
  <r>
    <x v="30"/>
    <x v="27"/>
    <x v="0"/>
    <x v="26"/>
    <x v="32"/>
  </r>
  <r>
    <x v="24"/>
    <x v="16"/>
    <x v="1"/>
    <x v="27"/>
    <x v="33"/>
  </r>
  <r>
    <x v="21"/>
    <x v="16"/>
    <x v="1"/>
    <x v="28"/>
    <x v="34"/>
  </r>
  <r>
    <x v="31"/>
    <x v="28"/>
    <x v="7"/>
    <x v="29"/>
    <x v="35"/>
  </r>
  <r>
    <x v="28"/>
    <x v="25"/>
    <x v="7"/>
    <x v="30"/>
    <x v="36"/>
  </r>
  <r>
    <x v="1"/>
    <x v="1"/>
    <x v="1"/>
    <x v="9"/>
    <x v="10"/>
  </r>
  <r>
    <x v="32"/>
    <x v="29"/>
    <x v="1"/>
    <x v="31"/>
    <x v="37"/>
  </r>
  <r>
    <x v="24"/>
    <x v="16"/>
    <x v="1"/>
    <x v="32"/>
    <x v="38"/>
  </r>
  <r>
    <x v="22"/>
    <x v="20"/>
    <x v="1"/>
    <x v="33"/>
    <x v="39"/>
  </r>
  <r>
    <x v="33"/>
    <x v="30"/>
    <x v="10"/>
    <x v="9"/>
    <x v="10"/>
  </r>
  <r>
    <x v="27"/>
    <x v="24"/>
    <x v="1"/>
    <x v="22"/>
    <x v="26"/>
  </r>
  <r>
    <x v="34"/>
    <x v="31"/>
    <x v="1"/>
    <x v="34"/>
    <x v="40"/>
  </r>
  <r>
    <x v="35"/>
    <x v="32"/>
    <x v="3"/>
    <x v="35"/>
    <x v="41"/>
  </r>
  <r>
    <x v="0"/>
    <x v="0"/>
    <x v="1"/>
    <x v="0"/>
    <x v="14"/>
  </r>
  <r>
    <x v="4"/>
    <x v="4"/>
    <x v="0"/>
    <x v="3"/>
    <x v="42"/>
  </r>
  <r>
    <x v="17"/>
    <x v="3"/>
    <x v="1"/>
    <x v="14"/>
    <x v="17"/>
  </r>
  <r>
    <x v="17"/>
    <x v="3"/>
    <x v="1"/>
    <x v="14"/>
    <x v="17"/>
  </r>
  <r>
    <x v="0"/>
    <x v="0"/>
    <x v="0"/>
    <x v="0"/>
    <x v="0"/>
  </r>
  <r>
    <x v="16"/>
    <x v="16"/>
    <x v="1"/>
    <x v="36"/>
    <x v="43"/>
  </r>
  <r>
    <x v="36"/>
    <x v="33"/>
    <x v="10"/>
    <x v="37"/>
    <x v="44"/>
  </r>
  <r>
    <x v="37"/>
    <x v="34"/>
    <x v="1"/>
    <x v="38"/>
    <x v="45"/>
  </r>
  <r>
    <x v="38"/>
    <x v="35"/>
    <x v="1"/>
    <x v="39"/>
    <x v="46"/>
  </r>
  <r>
    <x v="16"/>
    <x v="16"/>
    <x v="1"/>
    <x v="40"/>
    <x v="47"/>
  </r>
  <r>
    <x v="39"/>
    <x v="36"/>
    <x v="7"/>
    <x v="41"/>
    <x v="48"/>
  </r>
  <r>
    <x v="5"/>
    <x v="37"/>
    <x v="7"/>
    <x v="9"/>
    <x v="10"/>
  </r>
  <r>
    <x v="24"/>
    <x v="16"/>
    <x v="1"/>
    <x v="42"/>
    <x v="49"/>
  </r>
  <r>
    <x v="21"/>
    <x v="16"/>
    <x v="1"/>
    <x v="43"/>
    <x v="50"/>
  </r>
  <r>
    <x v="40"/>
    <x v="38"/>
    <x v="3"/>
    <x v="44"/>
    <x v="51"/>
  </r>
  <r>
    <x v="19"/>
    <x v="18"/>
    <x v="3"/>
    <x v="45"/>
    <x v="52"/>
  </r>
  <r>
    <x v="41"/>
    <x v="39"/>
    <x v="10"/>
    <x v="46"/>
    <x v="53"/>
  </r>
  <r>
    <x v="42"/>
    <x v="40"/>
    <x v="0"/>
    <x v="47"/>
    <x v="54"/>
  </r>
  <r>
    <x v="27"/>
    <x v="24"/>
    <x v="0"/>
    <x v="9"/>
    <x v="10"/>
  </r>
  <r>
    <x v="5"/>
    <x v="5"/>
    <x v="0"/>
    <x v="9"/>
    <x v="10"/>
  </r>
  <r>
    <x v="11"/>
    <x v="11"/>
    <x v="0"/>
    <x v="9"/>
    <x v="10"/>
  </r>
  <r>
    <x v="22"/>
    <x v="20"/>
    <x v="1"/>
    <x v="18"/>
    <x v="21"/>
  </r>
  <r>
    <x v="5"/>
    <x v="5"/>
    <x v="0"/>
    <x v="4"/>
    <x v="4"/>
  </r>
  <r>
    <x v="43"/>
    <x v="41"/>
    <x v="3"/>
    <x v="48"/>
    <x v="55"/>
  </r>
  <r>
    <x v="44"/>
    <x v="16"/>
    <x v="1"/>
    <x v="49"/>
    <x v="56"/>
  </r>
  <r>
    <x v="16"/>
    <x v="16"/>
    <x v="1"/>
    <x v="50"/>
    <x v="57"/>
  </r>
  <r>
    <x v="9"/>
    <x v="9"/>
    <x v="0"/>
    <x v="51"/>
    <x v="58"/>
  </r>
  <r>
    <x v="5"/>
    <x v="37"/>
    <x v="0"/>
    <x v="9"/>
    <x v="10"/>
  </r>
  <r>
    <x v="10"/>
    <x v="42"/>
    <x v="0"/>
    <x v="9"/>
    <x v="10"/>
  </r>
  <r>
    <x v="45"/>
    <x v="43"/>
    <x v="3"/>
    <x v="29"/>
    <x v="16"/>
  </r>
  <r>
    <x v="16"/>
    <x v="16"/>
    <x v="1"/>
    <x v="52"/>
    <x v="59"/>
  </r>
  <r>
    <x v="4"/>
    <x v="4"/>
    <x v="0"/>
    <x v="30"/>
    <x v="60"/>
  </r>
  <r>
    <x v="8"/>
    <x v="8"/>
    <x v="10"/>
    <x v="24"/>
    <x v="61"/>
  </r>
  <r>
    <x v="24"/>
    <x v="16"/>
    <x v="1"/>
    <x v="53"/>
    <x v="62"/>
  </r>
  <r>
    <x v="46"/>
    <x v="44"/>
    <x v="0"/>
    <x v="8"/>
    <x v="63"/>
  </r>
  <r>
    <x v="5"/>
    <x v="37"/>
    <x v="0"/>
    <x v="9"/>
    <x v="10"/>
  </r>
  <r>
    <x v="10"/>
    <x v="42"/>
    <x v="0"/>
    <x v="9"/>
    <x v="10"/>
  </r>
  <r>
    <x v="30"/>
    <x v="45"/>
    <x v="0"/>
    <x v="54"/>
    <x v="64"/>
  </r>
  <r>
    <x v="47"/>
    <x v="46"/>
    <x v="1"/>
    <x v="22"/>
    <x v="26"/>
  </r>
  <r>
    <x v="48"/>
    <x v="47"/>
    <x v="1"/>
    <x v="9"/>
    <x v="10"/>
  </r>
  <r>
    <x v="16"/>
    <x v="16"/>
    <x v="1"/>
    <x v="55"/>
    <x v="65"/>
  </r>
  <r>
    <x v="17"/>
    <x v="3"/>
    <x v="1"/>
    <x v="56"/>
    <x v="66"/>
  </r>
  <r>
    <x v="3"/>
    <x v="3"/>
    <x v="1"/>
    <x v="57"/>
    <x v="67"/>
  </r>
  <r>
    <x v="16"/>
    <x v="16"/>
    <x v="1"/>
    <x v="58"/>
    <x v="68"/>
  </r>
  <r>
    <x v="22"/>
    <x v="20"/>
    <x v="1"/>
    <x v="59"/>
    <x v="69"/>
  </r>
  <r>
    <x v="1"/>
    <x v="1"/>
    <x v="1"/>
    <x v="1"/>
    <x v="1"/>
  </r>
  <r>
    <x v="1"/>
    <x v="1"/>
    <x v="1"/>
    <x v="1"/>
    <x v="1"/>
  </r>
  <r>
    <x v="24"/>
    <x v="16"/>
    <x v="1"/>
    <x v="54"/>
    <x v="70"/>
  </r>
  <r>
    <x v="49"/>
    <x v="48"/>
    <x v="3"/>
    <x v="60"/>
    <x v="71"/>
  </r>
  <r>
    <x v="12"/>
    <x v="12"/>
    <x v="3"/>
    <x v="60"/>
    <x v="71"/>
  </r>
  <r>
    <x v="28"/>
    <x v="25"/>
    <x v="3"/>
    <x v="9"/>
    <x v="10"/>
  </r>
  <r>
    <x v="24"/>
    <x v="16"/>
    <x v="1"/>
    <x v="61"/>
    <x v="72"/>
  </r>
  <r>
    <x v="50"/>
    <x v="49"/>
    <x v="6"/>
    <x v="62"/>
    <x v="73"/>
  </r>
  <r>
    <x v="51"/>
    <x v="50"/>
    <x v="6"/>
    <x v="63"/>
    <x v="11"/>
  </r>
  <r>
    <x v="52"/>
    <x v="51"/>
    <x v="6"/>
    <x v="64"/>
    <x v="74"/>
  </r>
  <r>
    <x v="24"/>
    <x v="16"/>
    <x v="1"/>
    <x v="65"/>
    <x v="75"/>
  </r>
  <r>
    <x v="42"/>
    <x v="40"/>
    <x v="0"/>
    <x v="66"/>
    <x v="76"/>
  </r>
  <r>
    <x v="5"/>
    <x v="37"/>
    <x v="0"/>
    <x v="9"/>
    <x v="10"/>
  </r>
  <r>
    <x v="27"/>
    <x v="52"/>
    <x v="0"/>
    <x v="9"/>
    <x v="10"/>
  </r>
  <r>
    <x v="28"/>
    <x v="53"/>
    <x v="0"/>
    <x v="9"/>
    <x v="10"/>
  </r>
  <r>
    <x v="1"/>
    <x v="1"/>
    <x v="1"/>
    <x v="57"/>
    <x v="67"/>
  </r>
  <r>
    <x v="16"/>
    <x v="16"/>
    <x v="1"/>
    <x v="67"/>
    <x v="77"/>
  </r>
  <r>
    <x v="49"/>
    <x v="48"/>
    <x v="1"/>
    <x v="60"/>
    <x v="78"/>
  </r>
  <r>
    <x v="1"/>
    <x v="1"/>
    <x v="1"/>
    <x v="1"/>
    <x v="1"/>
  </r>
  <r>
    <x v="3"/>
    <x v="3"/>
    <x v="1"/>
    <x v="1"/>
    <x v="1"/>
  </r>
  <r>
    <x v="2"/>
    <x v="2"/>
    <x v="3"/>
    <x v="2"/>
    <x v="79"/>
  </r>
  <r>
    <x v="1"/>
    <x v="1"/>
    <x v="1"/>
    <x v="1"/>
    <x v="1"/>
  </r>
  <r>
    <x v="24"/>
    <x v="16"/>
    <x v="1"/>
    <x v="68"/>
    <x v="80"/>
  </r>
  <r>
    <x v="53"/>
    <x v="54"/>
    <x v="1"/>
    <x v="69"/>
    <x v="81"/>
  </r>
  <r>
    <x v="54"/>
    <x v="55"/>
    <x v="1"/>
    <x v="9"/>
    <x v="10"/>
  </r>
  <r>
    <x v="55"/>
    <x v="56"/>
    <x v="0"/>
    <x v="9"/>
    <x v="10"/>
  </r>
  <r>
    <x v="56"/>
    <x v="57"/>
    <x v="1"/>
    <x v="9"/>
    <x v="10"/>
  </r>
  <r>
    <x v="43"/>
    <x v="58"/>
    <x v="0"/>
    <x v="9"/>
    <x v="10"/>
  </r>
  <r>
    <x v="4"/>
    <x v="59"/>
    <x v="0"/>
    <x v="9"/>
    <x v="10"/>
  </r>
  <r>
    <x v="47"/>
    <x v="46"/>
    <x v="4"/>
    <x v="22"/>
    <x v="82"/>
  </r>
  <r>
    <x v="57"/>
    <x v="60"/>
    <x v="1"/>
    <x v="9"/>
    <x v="10"/>
  </r>
  <r>
    <x v="9"/>
    <x v="9"/>
    <x v="3"/>
    <x v="70"/>
    <x v="83"/>
  </r>
  <r>
    <x v="10"/>
    <x v="10"/>
    <x v="3"/>
    <x v="9"/>
    <x v="10"/>
  </r>
  <r>
    <x v="5"/>
    <x v="5"/>
    <x v="3"/>
    <x v="9"/>
    <x v="10"/>
  </r>
  <r>
    <x v="27"/>
    <x v="24"/>
    <x v="3"/>
    <x v="9"/>
    <x v="10"/>
  </r>
  <r>
    <x v="28"/>
    <x v="25"/>
    <x v="3"/>
    <x v="9"/>
    <x v="10"/>
  </r>
  <r>
    <x v="58"/>
    <x v="61"/>
    <x v="3"/>
    <x v="71"/>
    <x v="84"/>
  </r>
  <r>
    <x v="59"/>
    <x v="62"/>
    <x v="3"/>
    <x v="9"/>
    <x v="10"/>
  </r>
  <r>
    <x v="60"/>
    <x v="63"/>
    <x v="1"/>
    <x v="9"/>
    <x v="10"/>
  </r>
  <r>
    <x v="3"/>
    <x v="3"/>
    <x v="1"/>
    <x v="1"/>
    <x v="1"/>
  </r>
  <r>
    <x v="7"/>
    <x v="7"/>
    <x v="1"/>
    <x v="72"/>
    <x v="85"/>
  </r>
  <r>
    <x v="61"/>
    <x v="16"/>
    <x v="1"/>
    <x v="9"/>
    <x v="10"/>
  </r>
  <r>
    <x v="62"/>
    <x v="64"/>
    <x v="1"/>
    <x v="9"/>
    <x v="10"/>
  </r>
  <r>
    <x v="24"/>
    <x v="16"/>
    <x v="1"/>
    <x v="73"/>
    <x v="86"/>
  </r>
  <r>
    <x v="63"/>
    <x v="61"/>
    <x v="11"/>
    <x v="74"/>
    <x v="87"/>
  </r>
  <r>
    <x v="8"/>
    <x v="8"/>
    <x v="3"/>
    <x v="7"/>
    <x v="88"/>
  </r>
  <r>
    <x v="43"/>
    <x v="41"/>
    <x v="0"/>
    <x v="48"/>
    <x v="89"/>
  </r>
  <r>
    <x v="15"/>
    <x v="65"/>
    <x v="1"/>
    <x v="0"/>
    <x v="14"/>
  </r>
  <r>
    <x v="4"/>
    <x v="4"/>
    <x v="1"/>
    <x v="9"/>
    <x v="10"/>
  </r>
  <r>
    <x v="18"/>
    <x v="17"/>
    <x v="1"/>
    <x v="2"/>
    <x v="2"/>
  </r>
  <r>
    <x v="28"/>
    <x v="25"/>
    <x v="1"/>
    <x v="3"/>
    <x v="27"/>
  </r>
  <r>
    <x v="15"/>
    <x v="65"/>
    <x v="1"/>
    <x v="0"/>
    <x v="14"/>
  </r>
  <r>
    <x v="4"/>
    <x v="4"/>
    <x v="1"/>
    <x v="9"/>
    <x v="10"/>
  </r>
  <r>
    <x v="64"/>
    <x v="66"/>
    <x v="1"/>
    <x v="75"/>
    <x v="90"/>
  </r>
  <r>
    <x v="65"/>
    <x v="67"/>
    <x v="1"/>
    <x v="76"/>
    <x v="91"/>
  </r>
  <r>
    <x v="66"/>
    <x v="68"/>
    <x v="1"/>
    <x v="77"/>
    <x v="92"/>
  </r>
  <r>
    <x v="16"/>
    <x v="16"/>
    <x v="1"/>
    <x v="78"/>
    <x v="93"/>
  </r>
  <r>
    <x v="67"/>
    <x v="69"/>
    <x v="1"/>
    <x v="67"/>
    <x v="77"/>
  </r>
  <r>
    <x v="68"/>
    <x v="70"/>
    <x v="1"/>
    <x v="9"/>
    <x v="10"/>
  </r>
  <r>
    <x v="69"/>
    <x v="71"/>
    <x v="1"/>
    <x v="9"/>
    <x v="10"/>
  </r>
  <r>
    <x v="70"/>
    <x v="72"/>
    <x v="1"/>
    <x v="9"/>
    <x v="10"/>
  </r>
  <r>
    <x v="71"/>
    <x v="73"/>
    <x v="1"/>
    <x v="9"/>
    <x v="10"/>
  </r>
  <r>
    <x v="72"/>
    <x v="74"/>
    <x v="1"/>
    <x v="9"/>
    <x v="10"/>
  </r>
  <r>
    <x v="43"/>
    <x v="41"/>
    <x v="1"/>
    <x v="9"/>
    <x v="10"/>
  </r>
  <r>
    <x v="3"/>
    <x v="3"/>
    <x v="1"/>
    <x v="1"/>
    <x v="1"/>
  </r>
  <r>
    <x v="5"/>
    <x v="5"/>
    <x v="0"/>
    <x v="4"/>
    <x v="4"/>
  </r>
  <r>
    <x v="0"/>
    <x v="0"/>
    <x v="1"/>
    <x v="0"/>
    <x v="14"/>
  </r>
  <r>
    <x v="13"/>
    <x v="13"/>
    <x v="1"/>
    <x v="11"/>
    <x v="12"/>
  </r>
  <r>
    <x v="16"/>
    <x v="16"/>
    <x v="1"/>
    <x v="79"/>
    <x v="94"/>
  </r>
  <r>
    <x v="25"/>
    <x v="22"/>
    <x v="1"/>
    <x v="80"/>
    <x v="95"/>
  </r>
  <r>
    <x v="27"/>
    <x v="52"/>
    <x v="1"/>
    <x v="9"/>
    <x v="10"/>
  </r>
  <r>
    <x v="28"/>
    <x v="53"/>
    <x v="1"/>
    <x v="9"/>
    <x v="10"/>
  </r>
  <r>
    <x v="1"/>
    <x v="1"/>
    <x v="1"/>
    <x v="1"/>
    <x v="1"/>
  </r>
  <r>
    <x v="73"/>
    <x v="75"/>
    <x v="10"/>
    <x v="81"/>
    <x v="96"/>
  </r>
  <r>
    <x v="4"/>
    <x v="4"/>
    <x v="1"/>
    <x v="3"/>
    <x v="27"/>
  </r>
  <r>
    <x v="17"/>
    <x v="3"/>
    <x v="1"/>
    <x v="14"/>
    <x v="17"/>
  </r>
  <r>
    <x v="19"/>
    <x v="18"/>
    <x v="0"/>
    <x v="15"/>
    <x v="97"/>
  </r>
  <r>
    <x v="24"/>
    <x v="16"/>
    <x v="1"/>
    <x v="82"/>
    <x v="98"/>
  </r>
  <r>
    <x v="34"/>
    <x v="31"/>
    <x v="12"/>
    <x v="83"/>
    <x v="99"/>
  </r>
  <r>
    <x v="74"/>
    <x v="76"/>
    <x v="3"/>
    <x v="84"/>
    <x v="100"/>
  </r>
  <r>
    <x v="75"/>
    <x v="77"/>
    <x v="3"/>
    <x v="85"/>
    <x v="101"/>
  </r>
  <r>
    <x v="24"/>
    <x v="16"/>
    <x v="1"/>
    <x v="86"/>
    <x v="102"/>
  </r>
  <r>
    <x v="76"/>
    <x v="78"/>
    <x v="0"/>
    <x v="87"/>
    <x v="103"/>
  </r>
  <r>
    <x v="76"/>
    <x v="79"/>
    <x v="10"/>
    <x v="88"/>
    <x v="104"/>
  </r>
  <r>
    <x v="18"/>
    <x v="17"/>
    <x v="10"/>
    <x v="89"/>
    <x v="105"/>
  </r>
  <r>
    <x v="8"/>
    <x v="8"/>
    <x v="0"/>
    <x v="90"/>
    <x v="106"/>
  </r>
  <r>
    <x v="77"/>
    <x v="15"/>
    <x v="1"/>
    <x v="9"/>
    <x v="10"/>
  </r>
  <r>
    <x v="4"/>
    <x v="4"/>
    <x v="1"/>
    <x v="9"/>
    <x v="10"/>
  </r>
  <r>
    <x v="78"/>
    <x v="80"/>
    <x v="1"/>
    <x v="9"/>
    <x v="10"/>
  </r>
  <r>
    <x v="75"/>
    <x v="77"/>
    <x v="1"/>
    <x v="9"/>
    <x v="10"/>
  </r>
  <r>
    <x v="17"/>
    <x v="3"/>
    <x v="1"/>
    <x v="14"/>
    <x v="17"/>
  </r>
  <r>
    <x v="42"/>
    <x v="40"/>
    <x v="6"/>
    <x v="47"/>
    <x v="107"/>
  </r>
  <r>
    <x v="12"/>
    <x v="12"/>
    <x v="6"/>
    <x v="10"/>
    <x v="108"/>
  </r>
  <r>
    <x v="5"/>
    <x v="5"/>
    <x v="6"/>
    <x v="9"/>
    <x v="10"/>
  </r>
  <r>
    <x v="11"/>
    <x v="11"/>
    <x v="6"/>
    <x v="9"/>
    <x v="10"/>
  </r>
  <r>
    <x v="34"/>
    <x v="31"/>
    <x v="6"/>
    <x v="34"/>
    <x v="109"/>
  </r>
  <r>
    <x v="79"/>
    <x v="81"/>
    <x v="7"/>
    <x v="91"/>
    <x v="110"/>
  </r>
  <r>
    <x v="18"/>
    <x v="17"/>
    <x v="1"/>
    <x v="2"/>
    <x v="2"/>
  </r>
  <r>
    <x v="80"/>
    <x v="82"/>
    <x v="1"/>
    <x v="4"/>
    <x v="111"/>
  </r>
  <r>
    <x v="81"/>
    <x v="83"/>
    <x v="4"/>
    <x v="92"/>
    <x v="112"/>
  </r>
  <r>
    <x v="62"/>
    <x v="64"/>
    <x v="4"/>
    <x v="4"/>
    <x v="16"/>
  </r>
  <r>
    <x v="82"/>
    <x v="84"/>
    <x v="4"/>
    <x v="9"/>
    <x v="10"/>
  </r>
  <r>
    <x v="83"/>
    <x v="85"/>
    <x v="1"/>
    <x v="93"/>
    <x v="113"/>
  </r>
  <r>
    <x v="5"/>
    <x v="5"/>
    <x v="1"/>
    <x v="4"/>
    <x v="111"/>
  </r>
  <r>
    <x v="84"/>
    <x v="86"/>
    <x v="1"/>
    <x v="22"/>
    <x v="26"/>
  </r>
  <r>
    <x v="16"/>
    <x v="16"/>
    <x v="1"/>
    <x v="58"/>
    <x v="68"/>
  </r>
  <r>
    <x v="0"/>
    <x v="0"/>
    <x v="1"/>
    <x v="21"/>
    <x v="114"/>
  </r>
  <r>
    <x v="3"/>
    <x v="3"/>
    <x v="1"/>
    <x v="1"/>
    <x v="1"/>
  </r>
  <r>
    <x v="1"/>
    <x v="1"/>
    <x v="1"/>
    <x v="1"/>
    <x v="1"/>
  </r>
  <r>
    <x v="48"/>
    <x v="47"/>
    <x v="0"/>
    <x v="94"/>
    <x v="115"/>
  </r>
  <r>
    <x v="34"/>
    <x v="31"/>
    <x v="1"/>
    <x v="34"/>
    <x v="40"/>
  </r>
  <r>
    <x v="85"/>
    <x v="87"/>
    <x v="3"/>
    <x v="95"/>
    <x v="116"/>
  </r>
  <r>
    <x v="34"/>
    <x v="31"/>
    <x v="1"/>
    <x v="34"/>
    <x v="40"/>
  </r>
  <r>
    <x v="86"/>
    <x v="88"/>
    <x v="1"/>
    <x v="90"/>
    <x v="117"/>
  </r>
  <r>
    <x v="0"/>
    <x v="0"/>
    <x v="1"/>
    <x v="0"/>
    <x v="14"/>
  </r>
  <r>
    <x v="8"/>
    <x v="8"/>
    <x v="0"/>
    <x v="7"/>
    <x v="118"/>
  </r>
  <r>
    <x v="17"/>
    <x v="3"/>
    <x v="0"/>
    <x v="14"/>
    <x v="119"/>
  </r>
  <r>
    <x v="24"/>
    <x v="16"/>
    <x v="1"/>
    <x v="61"/>
    <x v="72"/>
  </r>
  <r>
    <x v="0"/>
    <x v="0"/>
    <x v="13"/>
    <x v="96"/>
    <x v="120"/>
  </r>
  <r>
    <x v="13"/>
    <x v="13"/>
    <x v="6"/>
    <x v="97"/>
    <x v="121"/>
  </r>
  <r>
    <x v="24"/>
    <x v="89"/>
    <x v="1"/>
    <x v="3"/>
    <x v="27"/>
  </r>
  <r>
    <x v="87"/>
    <x v="90"/>
    <x v="1"/>
    <x v="2"/>
    <x v="2"/>
  </r>
  <r>
    <x v="88"/>
    <x v="91"/>
    <x v="0"/>
    <x v="92"/>
    <x v="122"/>
  </r>
  <r>
    <x v="89"/>
    <x v="92"/>
    <x v="1"/>
    <x v="98"/>
    <x v="123"/>
  </r>
  <r>
    <x v="1"/>
    <x v="1"/>
    <x v="1"/>
    <x v="1"/>
    <x v="1"/>
  </r>
  <r>
    <x v="77"/>
    <x v="15"/>
    <x v="1"/>
    <x v="0"/>
    <x v="14"/>
  </r>
  <r>
    <x v="4"/>
    <x v="4"/>
    <x v="1"/>
    <x v="9"/>
    <x v="10"/>
  </r>
  <r>
    <x v="8"/>
    <x v="8"/>
    <x v="1"/>
    <x v="7"/>
    <x v="8"/>
  </r>
  <r>
    <x v="48"/>
    <x v="47"/>
    <x v="4"/>
    <x v="94"/>
    <x v="124"/>
  </r>
  <r>
    <x v="90"/>
    <x v="93"/>
    <x v="1"/>
    <x v="99"/>
    <x v="125"/>
  </r>
  <r>
    <x v="24"/>
    <x v="16"/>
    <x v="1"/>
    <x v="100"/>
    <x v="126"/>
  </r>
  <r>
    <x v="91"/>
    <x v="94"/>
    <x v="0"/>
    <x v="101"/>
    <x v="127"/>
  </r>
  <r>
    <x v="5"/>
    <x v="37"/>
    <x v="0"/>
    <x v="9"/>
    <x v="10"/>
  </r>
  <r>
    <x v="76"/>
    <x v="95"/>
    <x v="1"/>
    <x v="9"/>
    <x v="10"/>
  </r>
  <r>
    <x v="83"/>
    <x v="85"/>
    <x v="7"/>
    <x v="102"/>
    <x v="128"/>
  </r>
  <r>
    <x v="92"/>
    <x v="96"/>
    <x v="7"/>
    <x v="9"/>
    <x v="10"/>
  </r>
  <r>
    <x v="93"/>
    <x v="97"/>
    <x v="7"/>
    <x v="85"/>
    <x v="129"/>
  </r>
  <r>
    <x v="32"/>
    <x v="29"/>
    <x v="1"/>
    <x v="103"/>
    <x v="130"/>
  </r>
  <r>
    <x v="24"/>
    <x v="16"/>
    <x v="1"/>
    <x v="104"/>
    <x v="131"/>
  </r>
  <r>
    <x v="42"/>
    <x v="40"/>
    <x v="3"/>
    <x v="66"/>
    <x v="132"/>
  </r>
  <r>
    <x v="5"/>
    <x v="37"/>
    <x v="3"/>
    <x v="9"/>
    <x v="10"/>
  </r>
  <r>
    <x v="27"/>
    <x v="52"/>
    <x v="3"/>
    <x v="9"/>
    <x v="10"/>
  </r>
  <r>
    <x v="28"/>
    <x v="53"/>
    <x v="3"/>
    <x v="9"/>
    <x v="10"/>
  </r>
  <r>
    <x v="77"/>
    <x v="15"/>
    <x v="1"/>
    <x v="0"/>
    <x v="14"/>
  </r>
  <r>
    <x v="4"/>
    <x v="4"/>
    <x v="1"/>
    <x v="9"/>
    <x v="10"/>
  </r>
  <r>
    <x v="94"/>
    <x v="98"/>
    <x v="0"/>
    <x v="81"/>
    <x v="133"/>
  </r>
  <r>
    <x v="17"/>
    <x v="3"/>
    <x v="1"/>
    <x v="14"/>
    <x v="17"/>
  </r>
  <r>
    <x v="0"/>
    <x v="0"/>
    <x v="10"/>
    <x v="0"/>
    <x v="134"/>
  </r>
  <r>
    <x v="1"/>
    <x v="1"/>
    <x v="1"/>
    <x v="1"/>
    <x v="1"/>
  </r>
  <r>
    <x v="42"/>
    <x v="40"/>
    <x v="3"/>
    <x v="47"/>
    <x v="135"/>
  </r>
  <r>
    <x v="5"/>
    <x v="37"/>
    <x v="3"/>
    <x v="9"/>
    <x v="10"/>
  </r>
  <r>
    <x v="12"/>
    <x v="99"/>
    <x v="3"/>
    <x v="105"/>
    <x v="19"/>
  </r>
  <r>
    <x v="28"/>
    <x v="53"/>
    <x v="3"/>
    <x v="9"/>
    <x v="10"/>
  </r>
  <r>
    <x v="16"/>
    <x v="16"/>
    <x v="1"/>
    <x v="106"/>
    <x v="136"/>
  </r>
  <r>
    <x v="8"/>
    <x v="8"/>
    <x v="0"/>
    <x v="24"/>
    <x v="137"/>
  </r>
  <r>
    <x v="77"/>
    <x v="15"/>
    <x v="0"/>
    <x v="21"/>
    <x v="138"/>
  </r>
  <r>
    <x v="43"/>
    <x v="41"/>
    <x v="0"/>
    <x v="48"/>
    <x v="89"/>
  </r>
  <r>
    <x v="8"/>
    <x v="8"/>
    <x v="3"/>
    <x v="7"/>
    <x v="88"/>
  </r>
  <r>
    <x v="14"/>
    <x v="14"/>
    <x v="0"/>
    <x v="12"/>
    <x v="13"/>
  </r>
  <r>
    <x v="2"/>
    <x v="2"/>
    <x v="12"/>
    <x v="2"/>
    <x v="139"/>
  </r>
  <r>
    <x v="17"/>
    <x v="3"/>
    <x v="1"/>
    <x v="14"/>
    <x v="17"/>
  </r>
  <r>
    <x v="1"/>
    <x v="1"/>
    <x v="1"/>
    <x v="1"/>
    <x v="1"/>
  </r>
  <r>
    <x v="95"/>
    <x v="100"/>
    <x v="4"/>
    <x v="9"/>
    <x v="10"/>
  </r>
  <r>
    <x v="24"/>
    <x v="16"/>
    <x v="1"/>
    <x v="54"/>
    <x v="70"/>
  </r>
  <r>
    <x v="46"/>
    <x v="101"/>
    <x v="14"/>
    <x v="51"/>
    <x v="140"/>
  </r>
  <r>
    <x v="10"/>
    <x v="10"/>
    <x v="14"/>
    <x v="9"/>
    <x v="10"/>
  </r>
  <r>
    <x v="5"/>
    <x v="5"/>
    <x v="14"/>
    <x v="9"/>
    <x v="10"/>
  </r>
  <r>
    <x v="16"/>
    <x v="16"/>
    <x v="1"/>
    <x v="107"/>
    <x v="141"/>
  </r>
  <r>
    <x v="89"/>
    <x v="92"/>
    <x v="0"/>
    <x v="108"/>
    <x v="142"/>
  </r>
  <r>
    <x v="1"/>
    <x v="1"/>
    <x v="1"/>
    <x v="57"/>
    <x v="67"/>
  </r>
  <r>
    <x v="22"/>
    <x v="20"/>
    <x v="1"/>
    <x v="33"/>
    <x v="39"/>
  </r>
  <r>
    <x v="48"/>
    <x v="47"/>
    <x v="1"/>
    <x v="94"/>
    <x v="143"/>
  </r>
  <r>
    <x v="8"/>
    <x v="8"/>
    <x v="0"/>
    <x v="7"/>
    <x v="118"/>
  </r>
  <r>
    <x v="48"/>
    <x v="47"/>
    <x v="10"/>
    <x v="94"/>
    <x v="144"/>
  </r>
  <r>
    <x v="18"/>
    <x v="17"/>
    <x v="0"/>
    <x v="2"/>
    <x v="145"/>
  </r>
  <r>
    <x v="89"/>
    <x v="92"/>
    <x v="0"/>
    <x v="98"/>
    <x v="146"/>
  </r>
  <r>
    <x v="67"/>
    <x v="102"/>
    <x v="1"/>
    <x v="9"/>
    <x v="10"/>
  </r>
  <r>
    <x v="1"/>
    <x v="1"/>
    <x v="1"/>
    <x v="57"/>
    <x v="67"/>
  </r>
  <r>
    <x v="96"/>
    <x v="103"/>
    <x v="0"/>
    <x v="45"/>
    <x v="147"/>
  </r>
  <r>
    <x v="47"/>
    <x v="46"/>
    <x v="1"/>
    <x v="109"/>
    <x v="148"/>
  </r>
  <r>
    <x v="16"/>
    <x v="16"/>
    <x v="1"/>
    <x v="110"/>
    <x v="149"/>
  </r>
  <r>
    <x v="83"/>
    <x v="85"/>
    <x v="0"/>
    <x v="102"/>
    <x v="150"/>
  </r>
  <r>
    <x v="92"/>
    <x v="96"/>
    <x v="0"/>
    <x v="9"/>
    <x v="10"/>
  </r>
  <r>
    <x v="97"/>
    <x v="104"/>
    <x v="0"/>
    <x v="9"/>
    <x v="10"/>
  </r>
  <r>
    <x v="98"/>
    <x v="105"/>
    <x v="0"/>
    <x v="60"/>
    <x v="151"/>
  </r>
  <r>
    <x v="13"/>
    <x v="13"/>
    <x v="1"/>
    <x v="11"/>
    <x v="12"/>
  </r>
  <r>
    <x v="2"/>
    <x v="2"/>
    <x v="10"/>
    <x v="2"/>
    <x v="152"/>
  </r>
  <r>
    <x v="99"/>
    <x v="40"/>
    <x v="0"/>
    <x v="111"/>
    <x v="153"/>
  </r>
  <r>
    <x v="27"/>
    <x v="24"/>
    <x v="0"/>
    <x v="9"/>
    <x v="10"/>
  </r>
  <r>
    <x v="5"/>
    <x v="5"/>
    <x v="0"/>
    <x v="9"/>
    <x v="10"/>
  </r>
  <r>
    <x v="11"/>
    <x v="11"/>
    <x v="0"/>
    <x v="9"/>
    <x v="10"/>
  </r>
  <r>
    <x v="1"/>
    <x v="1"/>
    <x v="1"/>
    <x v="1"/>
    <x v="1"/>
  </r>
  <r>
    <x v="48"/>
    <x v="47"/>
    <x v="1"/>
    <x v="94"/>
    <x v="143"/>
  </r>
  <r>
    <x v="17"/>
    <x v="3"/>
    <x v="0"/>
    <x v="14"/>
    <x v="119"/>
  </r>
  <r>
    <x v="8"/>
    <x v="8"/>
    <x v="1"/>
    <x v="7"/>
    <x v="8"/>
  </r>
  <r>
    <x v="0"/>
    <x v="0"/>
    <x v="0"/>
    <x v="0"/>
    <x v="0"/>
  </r>
  <r>
    <x v="27"/>
    <x v="24"/>
    <x v="1"/>
    <x v="22"/>
    <x v="26"/>
  </r>
  <r>
    <x v="28"/>
    <x v="25"/>
    <x v="1"/>
    <x v="3"/>
    <x v="27"/>
  </r>
  <r>
    <x v="77"/>
    <x v="15"/>
    <x v="1"/>
    <x v="0"/>
    <x v="14"/>
  </r>
  <r>
    <x v="4"/>
    <x v="4"/>
    <x v="1"/>
    <x v="9"/>
    <x v="10"/>
  </r>
  <r>
    <x v="27"/>
    <x v="24"/>
    <x v="4"/>
    <x v="22"/>
    <x v="82"/>
  </r>
  <r>
    <x v="18"/>
    <x v="17"/>
    <x v="4"/>
    <x v="2"/>
    <x v="154"/>
  </r>
  <r>
    <x v="3"/>
    <x v="3"/>
    <x v="1"/>
    <x v="1"/>
    <x v="1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  <r>
    <x v="100"/>
    <x v="16"/>
    <x v="15"/>
    <x v="112"/>
    <x v="155"/>
  </r>
</pivotCacheRecords>
</file>

<file path=xl/pivotCache/pivotCacheRecords12.xml><?xml version="1.0" encoding="utf-8"?>
<pivotCacheRecords xmlns:r="http://schemas.openxmlformats.org/officeDocument/2006/relationships" xmlns="http://schemas.openxmlformats.org/spreadsheetml/2006/main" count="425">
  <r>
    <x v="0"/>
    <x v="0"/>
    <x v="0"/>
  </r>
  <r>
    <x v="1"/>
    <x v="1"/>
    <x v="0"/>
  </r>
  <r>
    <x v="2"/>
    <x v="2"/>
    <x v="1"/>
  </r>
  <r>
    <x v="3"/>
    <x v="3"/>
    <x v="1"/>
  </r>
  <r>
    <x v="4"/>
    <x v="4"/>
    <x v="1"/>
  </r>
  <r>
    <x v="5"/>
    <x v="5"/>
    <x v="0"/>
  </r>
  <r>
    <x v="6"/>
    <x v="6"/>
    <x v="1"/>
  </r>
  <r>
    <x v="7"/>
    <x v="7"/>
    <x v="1"/>
  </r>
  <r>
    <x v="8"/>
    <x v="8"/>
    <x v="1"/>
  </r>
  <r>
    <x v="9"/>
    <x v="9"/>
    <x v="1"/>
  </r>
  <r>
    <x v="10"/>
    <x v="10"/>
    <x v="0"/>
  </r>
  <r>
    <x v="11"/>
    <x v="11"/>
    <x v="1"/>
  </r>
  <r>
    <x v="12"/>
    <x v="10"/>
    <x v="1"/>
  </r>
  <r>
    <x v="13"/>
    <x v="12"/>
    <x v="1"/>
  </r>
  <r>
    <x v="9"/>
    <x v="9"/>
    <x v="1"/>
  </r>
  <r>
    <x v="14"/>
    <x v="13"/>
    <x v="1"/>
  </r>
  <r>
    <x v="15"/>
    <x v="14"/>
    <x v="1"/>
  </r>
  <r>
    <x v="4"/>
    <x v="4"/>
    <x v="1"/>
  </r>
  <r>
    <x v="16"/>
    <x v="15"/>
    <x v="0"/>
  </r>
  <r>
    <x v="10"/>
    <x v="10"/>
    <x v="1"/>
  </r>
  <r>
    <x v="17"/>
    <x v="16"/>
    <x v="1"/>
  </r>
  <r>
    <x v="18"/>
    <x v="17"/>
    <x v="1"/>
  </r>
  <r>
    <x v="2"/>
    <x v="2"/>
    <x v="0"/>
  </r>
  <r>
    <x v="4"/>
    <x v="4"/>
    <x v="0"/>
  </r>
  <r>
    <x v="19"/>
    <x v="18"/>
    <x v="0"/>
  </r>
  <r>
    <x v="20"/>
    <x v="19"/>
    <x v="2"/>
  </r>
  <r>
    <x v="21"/>
    <x v="20"/>
    <x v="2"/>
  </r>
  <r>
    <x v="22"/>
    <x v="21"/>
    <x v="1"/>
  </r>
  <r>
    <x v="23"/>
    <x v="22"/>
    <x v="3"/>
  </r>
  <r>
    <x v="24"/>
    <x v="23"/>
    <x v="4"/>
  </r>
  <r>
    <x v="25"/>
    <x v="24"/>
    <x v="5"/>
  </r>
  <r>
    <x v="12"/>
    <x v="10"/>
    <x v="1"/>
  </r>
  <r>
    <x v="4"/>
    <x v="4"/>
    <x v="1"/>
  </r>
  <r>
    <x v="11"/>
    <x v="11"/>
    <x v="1"/>
  </r>
  <r>
    <x v="9"/>
    <x v="9"/>
    <x v="1"/>
  </r>
  <r>
    <x v="26"/>
    <x v="25"/>
    <x v="6"/>
  </r>
  <r>
    <x v="16"/>
    <x v="15"/>
    <x v="1"/>
  </r>
  <r>
    <x v="11"/>
    <x v="11"/>
    <x v="1"/>
  </r>
  <r>
    <x v="16"/>
    <x v="15"/>
    <x v="1"/>
  </r>
  <r>
    <x v="25"/>
    <x v="24"/>
    <x v="0"/>
  </r>
  <r>
    <x v="27"/>
    <x v="26"/>
    <x v="0"/>
  </r>
  <r>
    <x v="28"/>
    <x v="27"/>
    <x v="0"/>
  </r>
  <r>
    <x v="15"/>
    <x v="14"/>
    <x v="0"/>
  </r>
  <r>
    <x v="25"/>
    <x v="24"/>
    <x v="7"/>
  </r>
  <r>
    <x v="15"/>
    <x v="14"/>
    <x v="1"/>
  </r>
  <r>
    <x v="6"/>
    <x v="28"/>
    <x v="8"/>
  </r>
  <r>
    <x v="7"/>
    <x v="29"/>
    <x v="8"/>
  </r>
  <r>
    <x v="8"/>
    <x v="8"/>
    <x v="8"/>
  </r>
  <r>
    <x v="29"/>
    <x v="30"/>
    <x v="8"/>
  </r>
  <r>
    <x v="30"/>
    <x v="31"/>
    <x v="8"/>
  </r>
  <r>
    <x v="31"/>
    <x v="32"/>
    <x v="0"/>
  </r>
  <r>
    <x v="25"/>
    <x v="24"/>
    <x v="0"/>
  </r>
  <r>
    <x v="11"/>
    <x v="11"/>
    <x v="1"/>
  </r>
  <r>
    <x v="15"/>
    <x v="14"/>
    <x v="1"/>
  </r>
  <r>
    <x v="7"/>
    <x v="29"/>
    <x v="2"/>
  </r>
  <r>
    <x v="32"/>
    <x v="33"/>
    <x v="9"/>
  </r>
  <r>
    <x v="9"/>
    <x v="9"/>
    <x v="1"/>
  </r>
  <r>
    <x v="33"/>
    <x v="34"/>
    <x v="0"/>
  </r>
  <r>
    <x v="34"/>
    <x v="35"/>
    <x v="0"/>
  </r>
  <r>
    <x v="35"/>
    <x v="36"/>
    <x v="1"/>
  </r>
  <r>
    <x v="36"/>
    <x v="37"/>
    <x v="5"/>
  </r>
  <r>
    <x v="37"/>
    <x v="38"/>
    <x v="1"/>
  </r>
  <r>
    <x v="38"/>
    <x v="39"/>
    <x v="1"/>
  </r>
  <r>
    <x v="9"/>
    <x v="9"/>
    <x v="1"/>
  </r>
  <r>
    <x v="26"/>
    <x v="25"/>
    <x v="10"/>
  </r>
  <r>
    <x v="37"/>
    <x v="40"/>
    <x v="1"/>
  </r>
  <r>
    <x v="37"/>
    <x v="41"/>
    <x v="1"/>
  </r>
  <r>
    <x v="39"/>
    <x v="42"/>
    <x v="1"/>
  </r>
  <r>
    <x v="40"/>
    <x v="43"/>
    <x v="0"/>
  </r>
  <r>
    <x v="41"/>
    <x v="44"/>
    <x v="0"/>
  </r>
  <r>
    <x v="42"/>
    <x v="45"/>
    <x v="0"/>
  </r>
  <r>
    <x v="37"/>
    <x v="46"/>
    <x v="1"/>
  </r>
  <r>
    <x v="43"/>
    <x v="9"/>
    <x v="1"/>
  </r>
  <r>
    <x v="44"/>
    <x v="47"/>
    <x v="11"/>
  </r>
  <r>
    <x v="45"/>
    <x v="48"/>
    <x v="1"/>
  </r>
  <r>
    <x v="46"/>
    <x v="49"/>
    <x v="0"/>
  </r>
  <r>
    <x v="12"/>
    <x v="10"/>
    <x v="1"/>
  </r>
  <r>
    <x v="10"/>
    <x v="10"/>
    <x v="1"/>
  </r>
  <r>
    <x v="14"/>
    <x v="13"/>
    <x v="1"/>
  </r>
  <r>
    <x v="15"/>
    <x v="14"/>
    <x v="0"/>
  </r>
  <r>
    <x v="16"/>
    <x v="15"/>
    <x v="0"/>
  </r>
  <r>
    <x v="47"/>
    <x v="9"/>
    <x v="1"/>
  </r>
  <r>
    <x v="43"/>
    <x v="9"/>
    <x v="1"/>
  </r>
  <r>
    <x v="1"/>
    <x v="1"/>
    <x v="0"/>
  </r>
  <r>
    <x v="25"/>
    <x v="24"/>
    <x v="12"/>
  </r>
  <r>
    <x v="18"/>
    <x v="50"/>
    <x v="7"/>
  </r>
  <r>
    <x v="48"/>
    <x v="51"/>
    <x v="13"/>
  </r>
  <r>
    <x v="9"/>
    <x v="9"/>
    <x v="1"/>
  </r>
  <r>
    <x v="49"/>
    <x v="52"/>
    <x v="5"/>
  </r>
  <r>
    <x v="7"/>
    <x v="7"/>
    <x v="5"/>
  </r>
  <r>
    <x v="50"/>
    <x v="53"/>
    <x v="5"/>
  </r>
  <r>
    <x v="18"/>
    <x v="54"/>
    <x v="5"/>
  </r>
  <r>
    <x v="6"/>
    <x v="28"/>
    <x v="0"/>
  </r>
  <r>
    <x v="7"/>
    <x v="7"/>
    <x v="0"/>
  </r>
  <r>
    <x v="8"/>
    <x v="55"/>
    <x v="0"/>
  </r>
  <r>
    <x v="51"/>
    <x v="56"/>
    <x v="0"/>
  </r>
  <r>
    <x v="18"/>
    <x v="54"/>
    <x v="0"/>
  </r>
  <r>
    <x v="11"/>
    <x v="11"/>
    <x v="1"/>
  </r>
  <r>
    <x v="52"/>
    <x v="57"/>
    <x v="0"/>
  </r>
  <r>
    <x v="9"/>
    <x v="9"/>
    <x v="1"/>
  </r>
  <r>
    <x v="53"/>
    <x v="58"/>
    <x v="7"/>
  </r>
  <r>
    <x v="54"/>
    <x v="59"/>
    <x v="1"/>
  </r>
  <r>
    <x v="10"/>
    <x v="10"/>
    <x v="1"/>
  </r>
  <r>
    <x v="15"/>
    <x v="14"/>
    <x v="1"/>
  </r>
  <r>
    <x v="11"/>
    <x v="11"/>
    <x v="1"/>
  </r>
  <r>
    <x v="25"/>
    <x v="24"/>
    <x v="1"/>
  </r>
  <r>
    <x v="4"/>
    <x v="4"/>
    <x v="0"/>
  </r>
  <r>
    <x v="2"/>
    <x v="2"/>
    <x v="1"/>
  </r>
  <r>
    <x v="55"/>
    <x v="52"/>
    <x v="0"/>
  </r>
  <r>
    <x v="30"/>
    <x v="31"/>
    <x v="0"/>
  </r>
  <r>
    <x v="7"/>
    <x v="29"/>
    <x v="0"/>
  </r>
  <r>
    <x v="29"/>
    <x v="30"/>
    <x v="0"/>
  </r>
  <r>
    <x v="2"/>
    <x v="2"/>
    <x v="0"/>
  </r>
  <r>
    <x v="4"/>
    <x v="4"/>
    <x v="5"/>
  </r>
  <r>
    <x v="28"/>
    <x v="27"/>
    <x v="1"/>
  </r>
  <r>
    <x v="15"/>
    <x v="14"/>
    <x v="1"/>
  </r>
  <r>
    <x v="4"/>
    <x v="4"/>
    <x v="1"/>
  </r>
  <r>
    <x v="18"/>
    <x v="17"/>
    <x v="1"/>
  </r>
  <r>
    <x v="9"/>
    <x v="9"/>
    <x v="1"/>
  </r>
  <r>
    <x v="35"/>
    <x v="36"/>
    <x v="1"/>
  </r>
  <r>
    <x v="56"/>
    <x v="60"/>
    <x v="1"/>
  </r>
  <r>
    <x v="11"/>
    <x v="11"/>
    <x v="0"/>
  </r>
  <r>
    <x v="43"/>
    <x v="9"/>
    <x v="1"/>
  </r>
  <r>
    <x v="57"/>
    <x v="61"/>
    <x v="0"/>
  </r>
  <r>
    <x v="46"/>
    <x v="49"/>
    <x v="0"/>
  </r>
  <r>
    <x v="9"/>
    <x v="9"/>
    <x v="1"/>
  </r>
  <r>
    <x v="58"/>
    <x v="62"/>
    <x v="5"/>
  </r>
  <r>
    <x v="15"/>
    <x v="14"/>
    <x v="14"/>
  </r>
  <r>
    <x v="7"/>
    <x v="29"/>
    <x v="15"/>
  </r>
  <r>
    <x v="12"/>
    <x v="10"/>
    <x v="1"/>
  </r>
  <r>
    <x v="2"/>
    <x v="2"/>
    <x v="1"/>
  </r>
  <r>
    <x v="59"/>
    <x v="63"/>
    <x v="5"/>
  </r>
  <r>
    <x v="55"/>
    <x v="52"/>
    <x v="0"/>
  </r>
  <r>
    <x v="1"/>
    <x v="1"/>
    <x v="0"/>
  </r>
  <r>
    <x v="7"/>
    <x v="29"/>
    <x v="0"/>
  </r>
  <r>
    <x v="29"/>
    <x v="30"/>
    <x v="0"/>
  </r>
  <r>
    <x v="55"/>
    <x v="52"/>
    <x v="5"/>
  </r>
  <r>
    <x v="1"/>
    <x v="1"/>
    <x v="5"/>
  </r>
  <r>
    <x v="7"/>
    <x v="29"/>
    <x v="5"/>
  </r>
  <r>
    <x v="29"/>
    <x v="30"/>
    <x v="5"/>
  </r>
  <r>
    <x v="30"/>
    <x v="31"/>
    <x v="0"/>
  </r>
  <r>
    <x v="60"/>
    <x v="64"/>
    <x v="0"/>
  </r>
  <r>
    <x v="28"/>
    <x v="27"/>
    <x v="0"/>
  </r>
  <r>
    <x v="15"/>
    <x v="14"/>
    <x v="0"/>
  </r>
  <r>
    <x v="15"/>
    <x v="14"/>
    <x v="1"/>
  </r>
  <r>
    <x v="14"/>
    <x v="13"/>
    <x v="8"/>
  </r>
  <r>
    <x v="11"/>
    <x v="11"/>
    <x v="1"/>
  </r>
  <r>
    <x v="60"/>
    <x v="64"/>
    <x v="1"/>
  </r>
  <r>
    <x v="4"/>
    <x v="4"/>
    <x v="0"/>
  </r>
  <r>
    <x v="61"/>
    <x v="65"/>
    <x v="1"/>
  </r>
  <r>
    <x v="28"/>
    <x v="27"/>
    <x v="0"/>
  </r>
  <r>
    <x v="15"/>
    <x v="14"/>
    <x v="0"/>
  </r>
  <r>
    <x v="10"/>
    <x v="10"/>
    <x v="1"/>
  </r>
  <r>
    <x v="62"/>
    <x v="66"/>
    <x v="0"/>
  </r>
  <r>
    <x v="12"/>
    <x v="10"/>
    <x v="0"/>
  </r>
  <r>
    <x v="4"/>
    <x v="4"/>
    <x v="5"/>
  </r>
  <r>
    <x v="25"/>
    <x v="24"/>
    <x v="0"/>
  </r>
  <r>
    <x v="11"/>
    <x v="11"/>
    <x v="1"/>
  </r>
  <r>
    <x v="16"/>
    <x v="15"/>
    <x v="1"/>
  </r>
  <r>
    <x v="37"/>
    <x v="67"/>
    <x v="1"/>
  </r>
  <r>
    <x v="9"/>
    <x v="9"/>
    <x v="1"/>
  </r>
  <r>
    <x v="2"/>
    <x v="2"/>
    <x v="1"/>
  </r>
  <r>
    <x v="16"/>
    <x v="15"/>
    <x v="0"/>
  </r>
  <r>
    <x v="19"/>
    <x v="18"/>
    <x v="0"/>
  </r>
  <r>
    <x v="25"/>
    <x v="24"/>
    <x v="0"/>
  </r>
  <r>
    <x v="17"/>
    <x v="16"/>
    <x v="1"/>
  </r>
  <r>
    <x v="9"/>
    <x v="9"/>
    <x v="1"/>
  </r>
  <r>
    <x v="63"/>
    <x v="68"/>
    <x v="16"/>
  </r>
  <r>
    <x v="64"/>
    <x v="69"/>
    <x v="0"/>
  </r>
  <r>
    <x v="65"/>
    <x v="70"/>
    <x v="1"/>
  </r>
  <r>
    <x v="65"/>
    <x v="70"/>
    <x v="1"/>
  </r>
  <r>
    <x v="4"/>
    <x v="4"/>
    <x v="0"/>
  </r>
  <r>
    <x v="37"/>
    <x v="71"/>
    <x v="1"/>
  </r>
  <r>
    <x v="53"/>
    <x v="58"/>
    <x v="0"/>
  </r>
  <r>
    <x v="66"/>
    <x v="72"/>
    <x v="17"/>
  </r>
  <r>
    <x v="26"/>
    <x v="25"/>
    <x v="17"/>
  </r>
  <r>
    <x v="43"/>
    <x v="9"/>
    <x v="1"/>
  </r>
  <r>
    <x v="49"/>
    <x v="52"/>
    <x v="0"/>
  </r>
  <r>
    <x v="7"/>
    <x v="29"/>
    <x v="0"/>
  </r>
  <r>
    <x v="30"/>
    <x v="31"/>
    <x v="0"/>
  </r>
  <r>
    <x v="18"/>
    <x v="17"/>
    <x v="5"/>
  </r>
  <r>
    <x v="30"/>
    <x v="31"/>
    <x v="0"/>
  </r>
  <r>
    <x v="67"/>
    <x v="73"/>
    <x v="5"/>
  </r>
  <r>
    <x v="16"/>
    <x v="15"/>
    <x v="1"/>
  </r>
  <r>
    <x v="16"/>
    <x v="15"/>
    <x v="1"/>
  </r>
  <r>
    <x v="3"/>
    <x v="3"/>
    <x v="1"/>
  </r>
  <r>
    <x v="17"/>
    <x v="16"/>
    <x v="1"/>
  </r>
  <r>
    <x v="4"/>
    <x v="4"/>
    <x v="1"/>
  </r>
  <r>
    <x v="65"/>
    <x v="70"/>
    <x v="1"/>
  </r>
  <r>
    <x v="68"/>
    <x v="74"/>
    <x v="1"/>
  </r>
  <r>
    <x v="28"/>
    <x v="27"/>
    <x v="1"/>
  </r>
  <r>
    <x v="15"/>
    <x v="14"/>
    <x v="1"/>
  </r>
  <r>
    <x v="4"/>
    <x v="4"/>
    <x v="0"/>
  </r>
  <r>
    <x v="65"/>
    <x v="70"/>
    <x v="1"/>
  </r>
  <r>
    <x v="43"/>
    <x v="9"/>
    <x v="1"/>
  </r>
  <r>
    <x v="6"/>
    <x v="28"/>
    <x v="8"/>
  </r>
  <r>
    <x v="7"/>
    <x v="29"/>
    <x v="8"/>
  </r>
  <r>
    <x v="8"/>
    <x v="55"/>
    <x v="8"/>
  </r>
  <r>
    <x v="30"/>
    <x v="75"/>
    <x v="8"/>
  </r>
  <r>
    <x v="18"/>
    <x v="54"/>
    <x v="8"/>
  </r>
  <r>
    <x v="69"/>
    <x v="76"/>
    <x v="8"/>
  </r>
  <r>
    <x v="70"/>
    <x v="77"/>
    <x v="0"/>
  </r>
  <r>
    <x v="28"/>
    <x v="27"/>
    <x v="1"/>
  </r>
  <r>
    <x v="71"/>
    <x v="78"/>
    <x v="0"/>
  </r>
  <r>
    <x v="18"/>
    <x v="79"/>
    <x v="0"/>
  </r>
  <r>
    <x v="72"/>
    <x v="80"/>
    <x v="0"/>
  </r>
  <r>
    <x v="7"/>
    <x v="7"/>
    <x v="10"/>
  </r>
  <r>
    <x v="30"/>
    <x v="75"/>
    <x v="8"/>
  </r>
  <r>
    <x v="18"/>
    <x v="54"/>
    <x v="8"/>
  </r>
  <r>
    <x v="65"/>
    <x v="70"/>
    <x v="1"/>
  </r>
  <r>
    <x v="11"/>
    <x v="11"/>
    <x v="1"/>
  </r>
  <r>
    <x v="35"/>
    <x v="36"/>
    <x v="1"/>
  </r>
  <r>
    <x v="19"/>
    <x v="81"/>
    <x v="0"/>
  </r>
  <r>
    <x v="56"/>
    <x v="82"/>
    <x v="0"/>
  </r>
  <r>
    <x v="73"/>
    <x v="83"/>
    <x v="10"/>
  </r>
  <r>
    <x v="74"/>
    <x v="84"/>
    <x v="0"/>
  </r>
  <r>
    <x v="75"/>
    <x v="85"/>
    <x v="5"/>
  </r>
  <r>
    <x v="76"/>
    <x v="86"/>
    <x v="10"/>
  </r>
  <r>
    <x v="77"/>
    <x v="87"/>
    <x v="1"/>
  </r>
  <r>
    <x v="78"/>
    <x v="88"/>
    <x v="1"/>
  </r>
  <r>
    <x v="3"/>
    <x v="3"/>
    <x v="5"/>
  </r>
  <r>
    <x v="79"/>
    <x v="89"/>
    <x v="8"/>
  </r>
  <r>
    <x v="60"/>
    <x v="64"/>
    <x v="7"/>
  </r>
  <r>
    <x v="80"/>
    <x v="90"/>
    <x v="5"/>
  </r>
  <r>
    <x v="81"/>
    <x v="91"/>
    <x v="8"/>
  </r>
  <r>
    <x v="82"/>
    <x v="92"/>
    <x v="1"/>
  </r>
  <r>
    <x v="18"/>
    <x v="79"/>
    <x v="1"/>
  </r>
  <r>
    <x v="37"/>
    <x v="93"/>
    <x v="1"/>
  </r>
  <r>
    <x v="83"/>
    <x v="94"/>
    <x v="1"/>
  </r>
  <r>
    <x v="9"/>
    <x v="9"/>
    <x v="1"/>
  </r>
  <r>
    <x v="84"/>
    <x v="9"/>
    <x v="1"/>
  </r>
  <r>
    <x v="85"/>
    <x v="95"/>
    <x v="4"/>
  </r>
  <r>
    <x v="11"/>
    <x v="11"/>
    <x v="5"/>
  </r>
  <r>
    <x v="4"/>
    <x v="4"/>
    <x v="1"/>
  </r>
  <r>
    <x v="30"/>
    <x v="31"/>
    <x v="5"/>
  </r>
  <r>
    <x v="9"/>
    <x v="9"/>
    <x v="1"/>
  </r>
  <r>
    <x v="17"/>
    <x v="16"/>
    <x v="10"/>
  </r>
  <r>
    <x v="10"/>
    <x v="10"/>
    <x v="1"/>
  </r>
  <r>
    <x v="10"/>
    <x v="10"/>
    <x v="1"/>
  </r>
  <r>
    <x v="4"/>
    <x v="4"/>
    <x v="0"/>
  </r>
  <r>
    <x v="18"/>
    <x v="17"/>
    <x v="0"/>
  </r>
  <r>
    <x v="12"/>
    <x v="10"/>
    <x v="1"/>
  </r>
  <r>
    <x v="11"/>
    <x v="11"/>
    <x v="1"/>
  </r>
  <r>
    <x v="4"/>
    <x v="4"/>
    <x v="0"/>
  </r>
  <r>
    <x v="16"/>
    <x v="15"/>
    <x v="1"/>
  </r>
  <r>
    <x v="4"/>
    <x v="4"/>
    <x v="0"/>
  </r>
  <r>
    <x v="65"/>
    <x v="70"/>
    <x v="1"/>
  </r>
  <r>
    <x v="31"/>
    <x v="32"/>
    <x v="0"/>
  </r>
  <r>
    <x v="55"/>
    <x v="52"/>
    <x v="0"/>
  </r>
  <r>
    <x v="30"/>
    <x v="31"/>
    <x v="0"/>
  </r>
  <r>
    <x v="7"/>
    <x v="29"/>
    <x v="0"/>
  </r>
  <r>
    <x v="29"/>
    <x v="30"/>
    <x v="0"/>
  </r>
  <r>
    <x v="25"/>
    <x v="24"/>
    <x v="0"/>
  </r>
  <r>
    <x v="12"/>
    <x v="10"/>
    <x v="0"/>
  </r>
  <r>
    <x v="12"/>
    <x v="10"/>
    <x v="1"/>
  </r>
  <r>
    <x v="4"/>
    <x v="4"/>
    <x v="5"/>
  </r>
  <r>
    <x v="71"/>
    <x v="96"/>
    <x v="5"/>
  </r>
  <r>
    <x v="86"/>
    <x v="97"/>
    <x v="10"/>
  </r>
  <r>
    <x v="87"/>
    <x v="9"/>
    <x v="1"/>
  </r>
  <r>
    <x v="88"/>
    <x v="98"/>
    <x v="10"/>
  </r>
  <r>
    <x v="3"/>
    <x v="3"/>
    <x v="1"/>
  </r>
  <r>
    <x v="11"/>
    <x v="11"/>
    <x v="1"/>
  </r>
  <r>
    <x v="55"/>
    <x v="52"/>
    <x v="1"/>
  </r>
  <r>
    <x v="7"/>
    <x v="29"/>
    <x v="1"/>
  </r>
  <r>
    <x v="31"/>
    <x v="32"/>
    <x v="0"/>
  </r>
  <r>
    <x v="30"/>
    <x v="31"/>
    <x v="1"/>
  </r>
  <r>
    <x v="65"/>
    <x v="70"/>
    <x v="1"/>
  </r>
  <r>
    <x v="89"/>
    <x v="99"/>
    <x v="1"/>
  </r>
  <r>
    <x v="30"/>
    <x v="31"/>
    <x v="1"/>
  </r>
  <r>
    <x v="11"/>
    <x v="11"/>
    <x v="1"/>
  </r>
  <r>
    <x v="15"/>
    <x v="14"/>
    <x v="0"/>
  </r>
  <r>
    <x v="65"/>
    <x v="70"/>
    <x v="0"/>
  </r>
  <r>
    <x v="60"/>
    <x v="64"/>
    <x v="0"/>
  </r>
  <r>
    <x v="90"/>
    <x v="100"/>
    <x v="0"/>
  </r>
  <r>
    <x v="27"/>
    <x v="26"/>
    <x v="1"/>
  </r>
  <r>
    <x v="60"/>
    <x v="64"/>
    <x v="1"/>
  </r>
  <r>
    <x v="90"/>
    <x v="100"/>
    <x v="1"/>
  </r>
  <r>
    <x v="9"/>
    <x v="9"/>
    <x v="1"/>
  </r>
  <r>
    <x v="11"/>
    <x v="11"/>
    <x v="10"/>
  </r>
  <r>
    <x v="35"/>
    <x v="36"/>
    <x v="0"/>
  </r>
  <r>
    <x v="5"/>
    <x v="5"/>
    <x v="10"/>
  </r>
  <r>
    <x v="16"/>
    <x v="15"/>
    <x v="1"/>
  </r>
  <r>
    <x v="9"/>
    <x v="9"/>
    <x v="1"/>
  </r>
  <r>
    <x v="57"/>
    <x v="61"/>
    <x v="5"/>
  </r>
  <r>
    <x v="91"/>
    <x v="101"/>
    <x v="5"/>
  </r>
  <r>
    <x v="92"/>
    <x v="102"/>
    <x v="5"/>
  </r>
  <r>
    <x v="25"/>
    <x v="24"/>
    <x v="1"/>
  </r>
  <r>
    <x v="93"/>
    <x v="103"/>
    <x v="17"/>
  </r>
  <r>
    <x v="94"/>
    <x v="104"/>
    <x v="7"/>
  </r>
  <r>
    <x v="9"/>
    <x v="9"/>
    <x v="1"/>
  </r>
  <r>
    <x v="33"/>
    <x v="34"/>
    <x v="5"/>
  </r>
  <r>
    <x v="34"/>
    <x v="35"/>
    <x v="5"/>
  </r>
  <r>
    <x v="95"/>
    <x v="105"/>
    <x v="5"/>
  </r>
  <r>
    <x v="89"/>
    <x v="99"/>
    <x v="0"/>
  </r>
  <r>
    <x v="65"/>
    <x v="70"/>
    <x v="1"/>
  </r>
  <r>
    <x v="7"/>
    <x v="29"/>
    <x v="11"/>
  </r>
  <r>
    <x v="12"/>
    <x v="10"/>
    <x v="1"/>
  </r>
  <r>
    <x v="37"/>
    <x v="106"/>
    <x v="1"/>
  </r>
  <r>
    <x v="43"/>
    <x v="9"/>
    <x v="1"/>
  </r>
  <r>
    <x v="25"/>
    <x v="24"/>
    <x v="8"/>
  </r>
  <r>
    <x v="46"/>
    <x v="49"/>
    <x v="0"/>
  </r>
  <r>
    <x v="9"/>
    <x v="9"/>
    <x v="1"/>
  </r>
  <r>
    <x v="96"/>
    <x v="107"/>
    <x v="1"/>
  </r>
  <r>
    <x v="12"/>
    <x v="10"/>
    <x v="1"/>
  </r>
  <r>
    <x v="11"/>
    <x v="11"/>
    <x v="1"/>
  </r>
  <r>
    <x v="17"/>
    <x v="16"/>
    <x v="1"/>
  </r>
  <r>
    <x v="65"/>
    <x v="70"/>
    <x v="1"/>
  </r>
  <r>
    <x v="38"/>
    <x v="39"/>
    <x v="1"/>
  </r>
  <r>
    <x v="43"/>
    <x v="9"/>
    <x v="1"/>
  </r>
  <r>
    <x v="6"/>
    <x v="28"/>
    <x v="8"/>
  </r>
  <r>
    <x v="7"/>
    <x v="7"/>
    <x v="8"/>
  </r>
  <r>
    <x v="8"/>
    <x v="55"/>
    <x v="8"/>
  </r>
  <r>
    <x v="18"/>
    <x v="54"/>
    <x v="8"/>
  </r>
  <r>
    <x v="30"/>
    <x v="75"/>
    <x v="8"/>
  </r>
  <r>
    <x v="1"/>
    <x v="1"/>
    <x v="0"/>
  </r>
  <r>
    <x v="69"/>
    <x v="76"/>
    <x v="8"/>
  </r>
  <r>
    <x v="90"/>
    <x v="100"/>
    <x v="8"/>
  </r>
  <r>
    <x v="60"/>
    <x v="64"/>
    <x v="8"/>
  </r>
  <r>
    <x v="73"/>
    <x v="83"/>
    <x v="0"/>
  </r>
  <r>
    <x v="75"/>
    <x v="85"/>
    <x v="5"/>
  </r>
  <r>
    <x v="74"/>
    <x v="84"/>
    <x v="0"/>
  </r>
  <r>
    <x v="76"/>
    <x v="86"/>
    <x v="0"/>
  </r>
  <r>
    <x v="79"/>
    <x v="89"/>
    <x v="2"/>
  </r>
  <r>
    <x v="97"/>
    <x v="107"/>
    <x v="1"/>
  </r>
  <r>
    <x v="26"/>
    <x v="25"/>
    <x v="1"/>
  </r>
  <r>
    <x v="15"/>
    <x v="108"/>
    <x v="0"/>
  </r>
  <r>
    <x v="38"/>
    <x v="39"/>
    <x v="1"/>
  </r>
  <r>
    <x v="11"/>
    <x v="11"/>
    <x v="1"/>
  </r>
  <r>
    <x v="98"/>
    <x v="109"/>
    <x v="0"/>
  </r>
  <r>
    <x v="71"/>
    <x v="110"/>
    <x v="8"/>
  </r>
  <r>
    <x v="90"/>
    <x v="111"/>
    <x v="8"/>
  </r>
  <r>
    <x v="16"/>
    <x v="15"/>
    <x v="18"/>
  </r>
  <r>
    <x v="28"/>
    <x v="27"/>
    <x v="1"/>
  </r>
  <r>
    <x v="15"/>
    <x v="14"/>
    <x v="1"/>
  </r>
  <r>
    <x v="4"/>
    <x v="4"/>
    <x v="1"/>
  </r>
  <r>
    <x v="65"/>
    <x v="70"/>
    <x v="0"/>
  </r>
  <r>
    <x v="10"/>
    <x v="10"/>
    <x v="1"/>
  </r>
  <r>
    <x v="65"/>
    <x v="70"/>
    <x v="1"/>
  </r>
  <r>
    <x v="18"/>
    <x v="17"/>
    <x v="5"/>
  </r>
  <r>
    <x v="25"/>
    <x v="24"/>
    <x v="2"/>
  </r>
  <r>
    <x v="99"/>
    <x v="9"/>
    <x v="1"/>
  </r>
  <r>
    <x v="100"/>
    <x v="107"/>
    <x v="1"/>
  </r>
  <r>
    <x v="26"/>
    <x v="25"/>
    <x v="1"/>
  </r>
  <r>
    <x v="90"/>
    <x v="100"/>
    <x v="1"/>
  </r>
  <r>
    <x v="43"/>
    <x v="9"/>
    <x v="1"/>
  </r>
  <r>
    <x v="101"/>
    <x v="112"/>
    <x v="19"/>
  </r>
  <r>
    <x v="8"/>
    <x v="8"/>
    <x v="19"/>
  </r>
  <r>
    <x v="7"/>
    <x v="29"/>
    <x v="19"/>
  </r>
  <r>
    <x v="18"/>
    <x v="17"/>
    <x v="0"/>
  </r>
  <r>
    <x v="37"/>
    <x v="113"/>
    <x v="1"/>
  </r>
  <r>
    <x v="102"/>
    <x v="114"/>
    <x v="1"/>
  </r>
  <r>
    <x v="103"/>
    <x v="115"/>
    <x v="1"/>
  </r>
  <r>
    <x v="36"/>
    <x v="37"/>
    <x v="0"/>
  </r>
  <r>
    <x v="81"/>
    <x v="116"/>
    <x v="8"/>
  </r>
  <r>
    <x v="37"/>
    <x v="117"/>
    <x v="1"/>
  </r>
  <r>
    <x v="18"/>
    <x v="17"/>
    <x v="1"/>
  </r>
  <r>
    <x v="15"/>
    <x v="14"/>
    <x v="1"/>
  </r>
  <r>
    <x v="70"/>
    <x v="118"/>
    <x v="1"/>
  </r>
  <r>
    <x v="6"/>
    <x v="28"/>
    <x v="1"/>
  </r>
  <r>
    <x v="7"/>
    <x v="29"/>
    <x v="1"/>
  </r>
  <r>
    <x v="8"/>
    <x v="8"/>
    <x v="1"/>
  </r>
  <r>
    <x v="29"/>
    <x v="30"/>
    <x v="1"/>
  </r>
  <r>
    <x v="30"/>
    <x v="31"/>
    <x v="1"/>
  </r>
  <r>
    <x v="16"/>
    <x v="15"/>
    <x v="0"/>
  </r>
  <r>
    <x v="16"/>
    <x v="15"/>
    <x v="1"/>
  </r>
  <r>
    <x v="25"/>
    <x v="24"/>
    <x v="0"/>
  </r>
  <r>
    <x v="18"/>
    <x v="17"/>
    <x v="1"/>
  </r>
  <r>
    <x v="9"/>
    <x v="9"/>
    <x v="1"/>
  </r>
  <r>
    <x v="5"/>
    <x v="5"/>
    <x v="1"/>
  </r>
  <r>
    <x v="102"/>
    <x v="114"/>
    <x v="1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  <r>
    <x v="104"/>
    <x v="9"/>
    <x v="20"/>
  </r>
</pivotCacheRecords>
</file>

<file path=xl/pivotCache/pivotCacheRecords13.xml><?xml version="1.0" encoding="utf-8"?>
<pivotCacheRecords xmlns:r="http://schemas.openxmlformats.org/officeDocument/2006/relationships" xmlns="http://schemas.openxmlformats.org/spreadsheetml/2006/main" count="425">
  <r>
    <x v="0"/>
    <x v="0"/>
    <x v="0"/>
    <x v="0"/>
    <x v="0"/>
  </r>
  <r>
    <x v="1"/>
    <x v="1"/>
    <x v="0"/>
    <x v="1"/>
    <x v="1"/>
  </r>
  <r>
    <x v="2"/>
    <x v="2"/>
    <x v="1"/>
    <x v="2"/>
    <x v="2"/>
  </r>
  <r>
    <x v="3"/>
    <x v="3"/>
    <x v="1"/>
    <x v="3"/>
    <x v="3"/>
  </r>
  <r>
    <x v="4"/>
    <x v="4"/>
    <x v="1"/>
    <x v="4"/>
    <x v="4"/>
  </r>
  <r>
    <x v="5"/>
    <x v="5"/>
    <x v="0"/>
    <x v="5"/>
    <x v="5"/>
  </r>
  <r>
    <x v="6"/>
    <x v="6"/>
    <x v="1"/>
    <x v="6"/>
    <x v="6"/>
  </r>
  <r>
    <x v="7"/>
    <x v="7"/>
    <x v="1"/>
    <x v="7"/>
    <x v="7"/>
  </r>
  <r>
    <x v="8"/>
    <x v="8"/>
    <x v="1"/>
    <x v="7"/>
    <x v="7"/>
  </r>
  <r>
    <x v="9"/>
    <x v="9"/>
    <x v="1"/>
    <x v="8"/>
    <x v="8"/>
  </r>
  <r>
    <x v="10"/>
    <x v="10"/>
    <x v="0"/>
    <x v="9"/>
    <x v="9"/>
  </r>
  <r>
    <x v="11"/>
    <x v="11"/>
    <x v="1"/>
    <x v="9"/>
    <x v="10"/>
  </r>
  <r>
    <x v="12"/>
    <x v="10"/>
    <x v="1"/>
    <x v="10"/>
    <x v="11"/>
  </r>
  <r>
    <x v="13"/>
    <x v="12"/>
    <x v="1"/>
    <x v="11"/>
    <x v="12"/>
  </r>
  <r>
    <x v="9"/>
    <x v="9"/>
    <x v="1"/>
    <x v="12"/>
    <x v="13"/>
  </r>
  <r>
    <x v="14"/>
    <x v="13"/>
    <x v="1"/>
    <x v="7"/>
    <x v="7"/>
  </r>
  <r>
    <x v="15"/>
    <x v="14"/>
    <x v="1"/>
    <x v="13"/>
    <x v="14"/>
  </r>
  <r>
    <x v="4"/>
    <x v="4"/>
    <x v="1"/>
    <x v="4"/>
    <x v="4"/>
  </r>
  <r>
    <x v="16"/>
    <x v="15"/>
    <x v="0"/>
    <x v="14"/>
    <x v="15"/>
  </r>
  <r>
    <x v="10"/>
    <x v="10"/>
    <x v="1"/>
    <x v="9"/>
    <x v="10"/>
  </r>
  <r>
    <x v="17"/>
    <x v="16"/>
    <x v="1"/>
    <x v="15"/>
    <x v="16"/>
  </r>
  <r>
    <x v="18"/>
    <x v="17"/>
    <x v="1"/>
    <x v="13"/>
    <x v="14"/>
  </r>
  <r>
    <x v="2"/>
    <x v="2"/>
    <x v="0"/>
    <x v="2"/>
    <x v="17"/>
  </r>
  <r>
    <x v="4"/>
    <x v="4"/>
    <x v="0"/>
    <x v="4"/>
    <x v="18"/>
  </r>
  <r>
    <x v="19"/>
    <x v="18"/>
    <x v="0"/>
    <x v="7"/>
    <x v="7"/>
  </r>
  <r>
    <x v="20"/>
    <x v="19"/>
    <x v="2"/>
    <x v="7"/>
    <x v="7"/>
  </r>
  <r>
    <x v="21"/>
    <x v="20"/>
    <x v="2"/>
    <x v="7"/>
    <x v="7"/>
  </r>
  <r>
    <x v="22"/>
    <x v="21"/>
    <x v="1"/>
    <x v="7"/>
    <x v="7"/>
  </r>
  <r>
    <x v="23"/>
    <x v="22"/>
    <x v="3"/>
    <x v="16"/>
    <x v="19"/>
  </r>
  <r>
    <x v="24"/>
    <x v="23"/>
    <x v="4"/>
    <x v="17"/>
    <x v="20"/>
  </r>
  <r>
    <x v="25"/>
    <x v="24"/>
    <x v="5"/>
    <x v="18"/>
    <x v="21"/>
  </r>
  <r>
    <x v="12"/>
    <x v="10"/>
    <x v="1"/>
    <x v="10"/>
    <x v="11"/>
  </r>
  <r>
    <x v="4"/>
    <x v="4"/>
    <x v="1"/>
    <x v="4"/>
    <x v="4"/>
  </r>
  <r>
    <x v="11"/>
    <x v="11"/>
    <x v="1"/>
    <x v="9"/>
    <x v="10"/>
  </r>
  <r>
    <x v="9"/>
    <x v="9"/>
    <x v="1"/>
    <x v="19"/>
    <x v="22"/>
  </r>
  <r>
    <x v="26"/>
    <x v="25"/>
    <x v="6"/>
    <x v="20"/>
    <x v="23"/>
  </r>
  <r>
    <x v="16"/>
    <x v="15"/>
    <x v="1"/>
    <x v="14"/>
    <x v="24"/>
  </r>
  <r>
    <x v="11"/>
    <x v="11"/>
    <x v="1"/>
    <x v="9"/>
    <x v="10"/>
  </r>
  <r>
    <x v="16"/>
    <x v="15"/>
    <x v="1"/>
    <x v="14"/>
    <x v="24"/>
  </r>
  <r>
    <x v="25"/>
    <x v="24"/>
    <x v="0"/>
    <x v="18"/>
    <x v="25"/>
  </r>
  <r>
    <x v="27"/>
    <x v="26"/>
    <x v="0"/>
    <x v="21"/>
    <x v="26"/>
  </r>
  <r>
    <x v="28"/>
    <x v="27"/>
    <x v="0"/>
    <x v="4"/>
    <x v="18"/>
  </r>
  <r>
    <x v="15"/>
    <x v="14"/>
    <x v="0"/>
    <x v="7"/>
    <x v="7"/>
  </r>
  <r>
    <x v="25"/>
    <x v="24"/>
    <x v="7"/>
    <x v="18"/>
    <x v="27"/>
  </r>
  <r>
    <x v="15"/>
    <x v="14"/>
    <x v="1"/>
    <x v="13"/>
    <x v="14"/>
  </r>
  <r>
    <x v="6"/>
    <x v="28"/>
    <x v="8"/>
    <x v="22"/>
    <x v="28"/>
  </r>
  <r>
    <x v="7"/>
    <x v="29"/>
    <x v="8"/>
    <x v="7"/>
    <x v="7"/>
  </r>
  <r>
    <x v="8"/>
    <x v="8"/>
    <x v="8"/>
    <x v="7"/>
    <x v="7"/>
  </r>
  <r>
    <x v="29"/>
    <x v="30"/>
    <x v="8"/>
    <x v="7"/>
    <x v="7"/>
  </r>
  <r>
    <x v="30"/>
    <x v="31"/>
    <x v="8"/>
    <x v="7"/>
    <x v="7"/>
  </r>
  <r>
    <x v="31"/>
    <x v="32"/>
    <x v="0"/>
    <x v="4"/>
    <x v="18"/>
  </r>
  <r>
    <x v="25"/>
    <x v="24"/>
    <x v="0"/>
    <x v="18"/>
    <x v="25"/>
  </r>
  <r>
    <x v="11"/>
    <x v="11"/>
    <x v="1"/>
    <x v="9"/>
    <x v="10"/>
  </r>
  <r>
    <x v="15"/>
    <x v="14"/>
    <x v="1"/>
    <x v="13"/>
    <x v="14"/>
  </r>
  <r>
    <x v="7"/>
    <x v="29"/>
    <x v="2"/>
    <x v="23"/>
    <x v="29"/>
  </r>
  <r>
    <x v="32"/>
    <x v="33"/>
    <x v="9"/>
    <x v="24"/>
    <x v="30"/>
  </r>
  <r>
    <x v="9"/>
    <x v="9"/>
    <x v="1"/>
    <x v="25"/>
    <x v="31"/>
  </r>
  <r>
    <x v="33"/>
    <x v="34"/>
    <x v="0"/>
    <x v="26"/>
    <x v="32"/>
  </r>
  <r>
    <x v="34"/>
    <x v="35"/>
    <x v="0"/>
    <x v="7"/>
    <x v="7"/>
  </r>
  <r>
    <x v="35"/>
    <x v="36"/>
    <x v="1"/>
    <x v="27"/>
    <x v="33"/>
  </r>
  <r>
    <x v="36"/>
    <x v="37"/>
    <x v="5"/>
    <x v="7"/>
    <x v="7"/>
  </r>
  <r>
    <x v="37"/>
    <x v="38"/>
    <x v="1"/>
    <x v="7"/>
    <x v="7"/>
  </r>
  <r>
    <x v="38"/>
    <x v="39"/>
    <x v="1"/>
    <x v="28"/>
    <x v="34"/>
  </r>
  <r>
    <x v="9"/>
    <x v="9"/>
    <x v="1"/>
    <x v="29"/>
    <x v="35"/>
  </r>
  <r>
    <x v="26"/>
    <x v="25"/>
    <x v="10"/>
    <x v="30"/>
    <x v="36"/>
  </r>
  <r>
    <x v="37"/>
    <x v="40"/>
    <x v="1"/>
    <x v="7"/>
    <x v="7"/>
  </r>
  <r>
    <x v="37"/>
    <x v="41"/>
    <x v="1"/>
    <x v="31"/>
    <x v="37"/>
  </r>
  <r>
    <x v="39"/>
    <x v="42"/>
    <x v="1"/>
    <x v="7"/>
    <x v="7"/>
  </r>
  <r>
    <x v="40"/>
    <x v="43"/>
    <x v="0"/>
    <x v="7"/>
    <x v="7"/>
  </r>
  <r>
    <x v="41"/>
    <x v="44"/>
    <x v="0"/>
    <x v="7"/>
    <x v="7"/>
  </r>
  <r>
    <x v="42"/>
    <x v="45"/>
    <x v="0"/>
    <x v="7"/>
    <x v="7"/>
  </r>
  <r>
    <x v="37"/>
    <x v="46"/>
    <x v="1"/>
    <x v="7"/>
    <x v="7"/>
  </r>
  <r>
    <x v="43"/>
    <x v="9"/>
    <x v="1"/>
    <x v="32"/>
    <x v="38"/>
  </r>
  <r>
    <x v="44"/>
    <x v="47"/>
    <x v="11"/>
    <x v="33"/>
    <x v="39"/>
  </r>
  <r>
    <x v="45"/>
    <x v="48"/>
    <x v="1"/>
    <x v="34"/>
    <x v="40"/>
  </r>
  <r>
    <x v="46"/>
    <x v="49"/>
    <x v="0"/>
    <x v="7"/>
    <x v="7"/>
  </r>
  <r>
    <x v="12"/>
    <x v="10"/>
    <x v="1"/>
    <x v="10"/>
    <x v="11"/>
  </r>
  <r>
    <x v="10"/>
    <x v="10"/>
    <x v="1"/>
    <x v="9"/>
    <x v="10"/>
  </r>
  <r>
    <x v="14"/>
    <x v="13"/>
    <x v="1"/>
    <x v="35"/>
    <x v="41"/>
  </r>
  <r>
    <x v="15"/>
    <x v="14"/>
    <x v="0"/>
    <x v="13"/>
    <x v="42"/>
  </r>
  <r>
    <x v="16"/>
    <x v="15"/>
    <x v="0"/>
    <x v="14"/>
    <x v="15"/>
  </r>
  <r>
    <x v="47"/>
    <x v="9"/>
    <x v="1"/>
    <x v="36"/>
    <x v="43"/>
  </r>
  <r>
    <x v="43"/>
    <x v="9"/>
    <x v="1"/>
    <x v="37"/>
    <x v="44"/>
  </r>
  <r>
    <x v="1"/>
    <x v="1"/>
    <x v="0"/>
    <x v="38"/>
    <x v="45"/>
  </r>
  <r>
    <x v="25"/>
    <x v="24"/>
    <x v="12"/>
    <x v="39"/>
    <x v="46"/>
  </r>
  <r>
    <x v="18"/>
    <x v="50"/>
    <x v="7"/>
    <x v="40"/>
    <x v="47"/>
  </r>
  <r>
    <x v="48"/>
    <x v="51"/>
    <x v="13"/>
    <x v="7"/>
    <x v="7"/>
  </r>
  <r>
    <x v="9"/>
    <x v="9"/>
    <x v="1"/>
    <x v="41"/>
    <x v="48"/>
  </r>
  <r>
    <x v="49"/>
    <x v="52"/>
    <x v="5"/>
    <x v="42"/>
    <x v="49"/>
  </r>
  <r>
    <x v="7"/>
    <x v="7"/>
    <x v="5"/>
    <x v="7"/>
    <x v="7"/>
  </r>
  <r>
    <x v="50"/>
    <x v="53"/>
    <x v="5"/>
    <x v="43"/>
    <x v="50"/>
  </r>
  <r>
    <x v="18"/>
    <x v="54"/>
    <x v="5"/>
    <x v="7"/>
    <x v="7"/>
  </r>
  <r>
    <x v="6"/>
    <x v="28"/>
    <x v="0"/>
    <x v="6"/>
    <x v="51"/>
  </r>
  <r>
    <x v="7"/>
    <x v="7"/>
    <x v="0"/>
    <x v="7"/>
    <x v="7"/>
  </r>
  <r>
    <x v="8"/>
    <x v="55"/>
    <x v="0"/>
    <x v="7"/>
    <x v="7"/>
  </r>
  <r>
    <x v="51"/>
    <x v="56"/>
    <x v="0"/>
    <x v="24"/>
    <x v="52"/>
  </r>
  <r>
    <x v="18"/>
    <x v="54"/>
    <x v="0"/>
    <x v="7"/>
    <x v="7"/>
  </r>
  <r>
    <x v="11"/>
    <x v="11"/>
    <x v="1"/>
    <x v="44"/>
    <x v="53"/>
  </r>
  <r>
    <x v="52"/>
    <x v="57"/>
    <x v="0"/>
    <x v="45"/>
    <x v="54"/>
  </r>
  <r>
    <x v="9"/>
    <x v="9"/>
    <x v="1"/>
    <x v="46"/>
    <x v="55"/>
  </r>
  <r>
    <x v="53"/>
    <x v="58"/>
    <x v="7"/>
    <x v="47"/>
    <x v="56"/>
  </r>
  <r>
    <x v="54"/>
    <x v="59"/>
    <x v="1"/>
    <x v="7"/>
    <x v="7"/>
  </r>
  <r>
    <x v="10"/>
    <x v="10"/>
    <x v="1"/>
    <x v="9"/>
    <x v="10"/>
  </r>
  <r>
    <x v="15"/>
    <x v="14"/>
    <x v="1"/>
    <x v="13"/>
    <x v="14"/>
  </r>
  <r>
    <x v="11"/>
    <x v="11"/>
    <x v="1"/>
    <x v="9"/>
    <x v="10"/>
  </r>
  <r>
    <x v="25"/>
    <x v="24"/>
    <x v="1"/>
    <x v="18"/>
    <x v="57"/>
  </r>
  <r>
    <x v="4"/>
    <x v="4"/>
    <x v="0"/>
    <x v="4"/>
    <x v="18"/>
  </r>
  <r>
    <x v="2"/>
    <x v="2"/>
    <x v="1"/>
    <x v="2"/>
    <x v="2"/>
  </r>
  <r>
    <x v="55"/>
    <x v="52"/>
    <x v="0"/>
    <x v="48"/>
    <x v="58"/>
  </r>
  <r>
    <x v="30"/>
    <x v="31"/>
    <x v="0"/>
    <x v="7"/>
    <x v="7"/>
  </r>
  <r>
    <x v="7"/>
    <x v="29"/>
    <x v="0"/>
    <x v="7"/>
    <x v="7"/>
  </r>
  <r>
    <x v="29"/>
    <x v="30"/>
    <x v="0"/>
    <x v="7"/>
    <x v="7"/>
  </r>
  <r>
    <x v="2"/>
    <x v="2"/>
    <x v="0"/>
    <x v="2"/>
    <x v="17"/>
  </r>
  <r>
    <x v="4"/>
    <x v="4"/>
    <x v="5"/>
    <x v="4"/>
    <x v="59"/>
  </r>
  <r>
    <x v="28"/>
    <x v="27"/>
    <x v="1"/>
    <x v="4"/>
    <x v="4"/>
  </r>
  <r>
    <x v="15"/>
    <x v="14"/>
    <x v="1"/>
    <x v="7"/>
    <x v="7"/>
  </r>
  <r>
    <x v="4"/>
    <x v="4"/>
    <x v="1"/>
    <x v="4"/>
    <x v="4"/>
  </r>
  <r>
    <x v="18"/>
    <x v="17"/>
    <x v="1"/>
    <x v="13"/>
    <x v="14"/>
  </r>
  <r>
    <x v="9"/>
    <x v="9"/>
    <x v="1"/>
    <x v="49"/>
    <x v="60"/>
  </r>
  <r>
    <x v="35"/>
    <x v="36"/>
    <x v="1"/>
    <x v="27"/>
    <x v="33"/>
  </r>
  <r>
    <x v="56"/>
    <x v="60"/>
    <x v="1"/>
    <x v="50"/>
    <x v="61"/>
  </r>
  <r>
    <x v="11"/>
    <x v="11"/>
    <x v="0"/>
    <x v="44"/>
    <x v="62"/>
  </r>
  <r>
    <x v="43"/>
    <x v="9"/>
    <x v="1"/>
    <x v="51"/>
    <x v="63"/>
  </r>
  <r>
    <x v="57"/>
    <x v="61"/>
    <x v="0"/>
    <x v="18"/>
    <x v="25"/>
  </r>
  <r>
    <x v="46"/>
    <x v="49"/>
    <x v="0"/>
    <x v="7"/>
    <x v="7"/>
  </r>
  <r>
    <x v="9"/>
    <x v="9"/>
    <x v="1"/>
    <x v="52"/>
    <x v="64"/>
  </r>
  <r>
    <x v="58"/>
    <x v="62"/>
    <x v="5"/>
    <x v="53"/>
    <x v="65"/>
  </r>
  <r>
    <x v="15"/>
    <x v="14"/>
    <x v="14"/>
    <x v="54"/>
    <x v="66"/>
  </r>
  <r>
    <x v="7"/>
    <x v="29"/>
    <x v="15"/>
    <x v="55"/>
    <x v="67"/>
  </r>
  <r>
    <x v="12"/>
    <x v="10"/>
    <x v="1"/>
    <x v="10"/>
    <x v="11"/>
  </r>
  <r>
    <x v="2"/>
    <x v="2"/>
    <x v="1"/>
    <x v="2"/>
    <x v="2"/>
  </r>
  <r>
    <x v="59"/>
    <x v="63"/>
    <x v="5"/>
    <x v="23"/>
    <x v="68"/>
  </r>
  <r>
    <x v="55"/>
    <x v="52"/>
    <x v="0"/>
    <x v="48"/>
    <x v="58"/>
  </r>
  <r>
    <x v="1"/>
    <x v="1"/>
    <x v="0"/>
    <x v="56"/>
    <x v="69"/>
  </r>
  <r>
    <x v="7"/>
    <x v="29"/>
    <x v="0"/>
    <x v="7"/>
    <x v="7"/>
  </r>
  <r>
    <x v="29"/>
    <x v="30"/>
    <x v="0"/>
    <x v="7"/>
    <x v="7"/>
  </r>
  <r>
    <x v="55"/>
    <x v="52"/>
    <x v="5"/>
    <x v="48"/>
    <x v="70"/>
  </r>
  <r>
    <x v="1"/>
    <x v="1"/>
    <x v="5"/>
    <x v="56"/>
    <x v="71"/>
  </r>
  <r>
    <x v="7"/>
    <x v="29"/>
    <x v="5"/>
    <x v="7"/>
    <x v="7"/>
  </r>
  <r>
    <x v="29"/>
    <x v="30"/>
    <x v="5"/>
    <x v="7"/>
    <x v="7"/>
  </r>
  <r>
    <x v="30"/>
    <x v="31"/>
    <x v="0"/>
    <x v="57"/>
    <x v="72"/>
  </r>
  <r>
    <x v="60"/>
    <x v="64"/>
    <x v="0"/>
    <x v="21"/>
    <x v="26"/>
  </r>
  <r>
    <x v="28"/>
    <x v="27"/>
    <x v="0"/>
    <x v="4"/>
    <x v="18"/>
  </r>
  <r>
    <x v="15"/>
    <x v="14"/>
    <x v="0"/>
    <x v="7"/>
    <x v="7"/>
  </r>
  <r>
    <x v="15"/>
    <x v="14"/>
    <x v="1"/>
    <x v="13"/>
    <x v="14"/>
  </r>
  <r>
    <x v="14"/>
    <x v="13"/>
    <x v="8"/>
    <x v="35"/>
    <x v="73"/>
  </r>
  <r>
    <x v="11"/>
    <x v="11"/>
    <x v="1"/>
    <x v="9"/>
    <x v="10"/>
  </r>
  <r>
    <x v="60"/>
    <x v="64"/>
    <x v="1"/>
    <x v="21"/>
    <x v="74"/>
  </r>
  <r>
    <x v="4"/>
    <x v="4"/>
    <x v="0"/>
    <x v="4"/>
    <x v="18"/>
  </r>
  <r>
    <x v="61"/>
    <x v="65"/>
    <x v="1"/>
    <x v="58"/>
    <x v="75"/>
  </r>
  <r>
    <x v="28"/>
    <x v="27"/>
    <x v="0"/>
    <x v="4"/>
    <x v="18"/>
  </r>
  <r>
    <x v="15"/>
    <x v="14"/>
    <x v="0"/>
    <x v="7"/>
    <x v="7"/>
  </r>
  <r>
    <x v="10"/>
    <x v="10"/>
    <x v="1"/>
    <x v="9"/>
    <x v="10"/>
  </r>
  <r>
    <x v="62"/>
    <x v="66"/>
    <x v="0"/>
    <x v="59"/>
    <x v="76"/>
  </r>
  <r>
    <x v="12"/>
    <x v="10"/>
    <x v="0"/>
    <x v="60"/>
    <x v="77"/>
  </r>
  <r>
    <x v="4"/>
    <x v="4"/>
    <x v="5"/>
    <x v="61"/>
    <x v="78"/>
  </r>
  <r>
    <x v="25"/>
    <x v="24"/>
    <x v="0"/>
    <x v="62"/>
    <x v="79"/>
  </r>
  <r>
    <x v="11"/>
    <x v="11"/>
    <x v="1"/>
    <x v="9"/>
    <x v="10"/>
  </r>
  <r>
    <x v="16"/>
    <x v="15"/>
    <x v="1"/>
    <x v="14"/>
    <x v="24"/>
  </r>
  <r>
    <x v="37"/>
    <x v="67"/>
    <x v="1"/>
    <x v="7"/>
    <x v="7"/>
  </r>
  <r>
    <x v="9"/>
    <x v="9"/>
    <x v="1"/>
    <x v="63"/>
    <x v="80"/>
  </r>
  <r>
    <x v="2"/>
    <x v="2"/>
    <x v="1"/>
    <x v="64"/>
    <x v="81"/>
  </r>
  <r>
    <x v="16"/>
    <x v="15"/>
    <x v="0"/>
    <x v="65"/>
    <x v="82"/>
  </r>
  <r>
    <x v="19"/>
    <x v="18"/>
    <x v="0"/>
    <x v="66"/>
    <x v="83"/>
  </r>
  <r>
    <x v="25"/>
    <x v="24"/>
    <x v="0"/>
    <x v="18"/>
    <x v="25"/>
  </r>
  <r>
    <x v="17"/>
    <x v="16"/>
    <x v="1"/>
    <x v="15"/>
    <x v="16"/>
  </r>
  <r>
    <x v="9"/>
    <x v="9"/>
    <x v="1"/>
    <x v="67"/>
    <x v="84"/>
  </r>
  <r>
    <x v="63"/>
    <x v="68"/>
    <x v="16"/>
    <x v="68"/>
    <x v="85"/>
  </r>
  <r>
    <x v="64"/>
    <x v="69"/>
    <x v="0"/>
    <x v="69"/>
    <x v="86"/>
  </r>
  <r>
    <x v="65"/>
    <x v="70"/>
    <x v="1"/>
    <x v="70"/>
    <x v="87"/>
  </r>
  <r>
    <x v="65"/>
    <x v="70"/>
    <x v="1"/>
    <x v="70"/>
    <x v="87"/>
  </r>
  <r>
    <x v="4"/>
    <x v="4"/>
    <x v="0"/>
    <x v="4"/>
    <x v="18"/>
  </r>
  <r>
    <x v="37"/>
    <x v="71"/>
    <x v="1"/>
    <x v="7"/>
    <x v="7"/>
  </r>
  <r>
    <x v="53"/>
    <x v="58"/>
    <x v="0"/>
    <x v="7"/>
    <x v="7"/>
  </r>
  <r>
    <x v="66"/>
    <x v="72"/>
    <x v="17"/>
    <x v="71"/>
    <x v="65"/>
  </r>
  <r>
    <x v="26"/>
    <x v="25"/>
    <x v="17"/>
    <x v="72"/>
    <x v="88"/>
  </r>
  <r>
    <x v="43"/>
    <x v="9"/>
    <x v="1"/>
    <x v="73"/>
    <x v="89"/>
  </r>
  <r>
    <x v="49"/>
    <x v="52"/>
    <x v="0"/>
    <x v="74"/>
    <x v="90"/>
  </r>
  <r>
    <x v="7"/>
    <x v="29"/>
    <x v="0"/>
    <x v="7"/>
    <x v="7"/>
  </r>
  <r>
    <x v="30"/>
    <x v="31"/>
    <x v="0"/>
    <x v="7"/>
    <x v="7"/>
  </r>
  <r>
    <x v="18"/>
    <x v="17"/>
    <x v="5"/>
    <x v="7"/>
    <x v="7"/>
  </r>
  <r>
    <x v="30"/>
    <x v="31"/>
    <x v="0"/>
    <x v="75"/>
    <x v="91"/>
  </r>
  <r>
    <x v="67"/>
    <x v="73"/>
    <x v="5"/>
    <x v="75"/>
    <x v="92"/>
  </r>
  <r>
    <x v="16"/>
    <x v="15"/>
    <x v="1"/>
    <x v="76"/>
    <x v="93"/>
  </r>
  <r>
    <x v="16"/>
    <x v="15"/>
    <x v="1"/>
    <x v="14"/>
    <x v="24"/>
  </r>
  <r>
    <x v="3"/>
    <x v="3"/>
    <x v="1"/>
    <x v="3"/>
    <x v="3"/>
  </r>
  <r>
    <x v="17"/>
    <x v="16"/>
    <x v="1"/>
    <x v="15"/>
    <x v="16"/>
  </r>
  <r>
    <x v="4"/>
    <x v="4"/>
    <x v="1"/>
    <x v="4"/>
    <x v="4"/>
  </r>
  <r>
    <x v="65"/>
    <x v="70"/>
    <x v="1"/>
    <x v="70"/>
    <x v="87"/>
  </r>
  <r>
    <x v="68"/>
    <x v="74"/>
    <x v="1"/>
    <x v="77"/>
    <x v="94"/>
  </r>
  <r>
    <x v="28"/>
    <x v="27"/>
    <x v="1"/>
    <x v="4"/>
    <x v="4"/>
  </r>
  <r>
    <x v="15"/>
    <x v="14"/>
    <x v="1"/>
    <x v="7"/>
    <x v="7"/>
  </r>
  <r>
    <x v="4"/>
    <x v="4"/>
    <x v="0"/>
    <x v="4"/>
    <x v="18"/>
  </r>
  <r>
    <x v="65"/>
    <x v="70"/>
    <x v="1"/>
    <x v="70"/>
    <x v="87"/>
  </r>
  <r>
    <x v="43"/>
    <x v="9"/>
    <x v="1"/>
    <x v="78"/>
    <x v="95"/>
  </r>
  <r>
    <x v="6"/>
    <x v="28"/>
    <x v="8"/>
    <x v="6"/>
    <x v="96"/>
  </r>
  <r>
    <x v="7"/>
    <x v="29"/>
    <x v="8"/>
    <x v="7"/>
    <x v="7"/>
  </r>
  <r>
    <x v="8"/>
    <x v="55"/>
    <x v="8"/>
    <x v="7"/>
    <x v="7"/>
  </r>
  <r>
    <x v="30"/>
    <x v="75"/>
    <x v="8"/>
    <x v="7"/>
    <x v="7"/>
  </r>
  <r>
    <x v="18"/>
    <x v="54"/>
    <x v="8"/>
    <x v="7"/>
    <x v="7"/>
  </r>
  <r>
    <x v="69"/>
    <x v="76"/>
    <x v="8"/>
    <x v="79"/>
    <x v="97"/>
  </r>
  <r>
    <x v="70"/>
    <x v="77"/>
    <x v="0"/>
    <x v="7"/>
    <x v="7"/>
  </r>
  <r>
    <x v="28"/>
    <x v="27"/>
    <x v="1"/>
    <x v="17"/>
    <x v="98"/>
  </r>
  <r>
    <x v="71"/>
    <x v="78"/>
    <x v="0"/>
    <x v="33"/>
    <x v="99"/>
  </r>
  <r>
    <x v="18"/>
    <x v="79"/>
    <x v="0"/>
    <x v="7"/>
    <x v="7"/>
  </r>
  <r>
    <x v="72"/>
    <x v="80"/>
    <x v="0"/>
    <x v="80"/>
    <x v="100"/>
  </r>
  <r>
    <x v="7"/>
    <x v="7"/>
    <x v="10"/>
    <x v="7"/>
    <x v="7"/>
  </r>
  <r>
    <x v="30"/>
    <x v="75"/>
    <x v="8"/>
    <x v="7"/>
    <x v="7"/>
  </r>
  <r>
    <x v="18"/>
    <x v="54"/>
    <x v="8"/>
    <x v="7"/>
    <x v="7"/>
  </r>
  <r>
    <x v="65"/>
    <x v="70"/>
    <x v="1"/>
    <x v="81"/>
    <x v="101"/>
  </r>
  <r>
    <x v="11"/>
    <x v="11"/>
    <x v="1"/>
    <x v="44"/>
    <x v="53"/>
  </r>
  <r>
    <x v="35"/>
    <x v="36"/>
    <x v="1"/>
    <x v="27"/>
    <x v="33"/>
  </r>
  <r>
    <x v="19"/>
    <x v="81"/>
    <x v="0"/>
    <x v="7"/>
    <x v="7"/>
  </r>
  <r>
    <x v="56"/>
    <x v="82"/>
    <x v="0"/>
    <x v="7"/>
    <x v="7"/>
  </r>
  <r>
    <x v="73"/>
    <x v="83"/>
    <x v="10"/>
    <x v="82"/>
    <x v="102"/>
  </r>
  <r>
    <x v="74"/>
    <x v="84"/>
    <x v="0"/>
    <x v="7"/>
    <x v="7"/>
  </r>
  <r>
    <x v="75"/>
    <x v="85"/>
    <x v="5"/>
    <x v="7"/>
    <x v="7"/>
  </r>
  <r>
    <x v="76"/>
    <x v="86"/>
    <x v="10"/>
    <x v="7"/>
    <x v="7"/>
  </r>
  <r>
    <x v="77"/>
    <x v="87"/>
    <x v="1"/>
    <x v="7"/>
    <x v="7"/>
  </r>
  <r>
    <x v="78"/>
    <x v="88"/>
    <x v="1"/>
    <x v="81"/>
    <x v="101"/>
  </r>
  <r>
    <x v="3"/>
    <x v="3"/>
    <x v="5"/>
    <x v="83"/>
    <x v="103"/>
  </r>
  <r>
    <x v="79"/>
    <x v="89"/>
    <x v="8"/>
    <x v="84"/>
    <x v="104"/>
  </r>
  <r>
    <x v="60"/>
    <x v="64"/>
    <x v="7"/>
    <x v="85"/>
    <x v="105"/>
  </r>
  <r>
    <x v="80"/>
    <x v="90"/>
    <x v="5"/>
    <x v="26"/>
    <x v="106"/>
  </r>
  <r>
    <x v="81"/>
    <x v="91"/>
    <x v="8"/>
    <x v="7"/>
    <x v="7"/>
  </r>
  <r>
    <x v="82"/>
    <x v="92"/>
    <x v="1"/>
    <x v="7"/>
    <x v="7"/>
  </r>
  <r>
    <x v="18"/>
    <x v="79"/>
    <x v="1"/>
    <x v="7"/>
    <x v="7"/>
  </r>
  <r>
    <x v="37"/>
    <x v="93"/>
    <x v="1"/>
    <x v="7"/>
    <x v="7"/>
  </r>
  <r>
    <x v="83"/>
    <x v="94"/>
    <x v="1"/>
    <x v="7"/>
    <x v="7"/>
  </r>
  <r>
    <x v="9"/>
    <x v="9"/>
    <x v="1"/>
    <x v="25"/>
    <x v="31"/>
  </r>
  <r>
    <x v="84"/>
    <x v="9"/>
    <x v="1"/>
    <x v="86"/>
    <x v="107"/>
  </r>
  <r>
    <x v="85"/>
    <x v="95"/>
    <x v="4"/>
    <x v="45"/>
    <x v="108"/>
  </r>
  <r>
    <x v="11"/>
    <x v="11"/>
    <x v="5"/>
    <x v="44"/>
    <x v="109"/>
  </r>
  <r>
    <x v="4"/>
    <x v="4"/>
    <x v="1"/>
    <x v="4"/>
    <x v="4"/>
  </r>
  <r>
    <x v="30"/>
    <x v="31"/>
    <x v="5"/>
    <x v="57"/>
    <x v="110"/>
  </r>
  <r>
    <x v="9"/>
    <x v="9"/>
    <x v="1"/>
    <x v="87"/>
    <x v="111"/>
  </r>
  <r>
    <x v="17"/>
    <x v="16"/>
    <x v="10"/>
    <x v="88"/>
    <x v="112"/>
  </r>
  <r>
    <x v="10"/>
    <x v="10"/>
    <x v="1"/>
    <x v="9"/>
    <x v="10"/>
  </r>
  <r>
    <x v="10"/>
    <x v="10"/>
    <x v="1"/>
    <x v="9"/>
    <x v="10"/>
  </r>
  <r>
    <x v="4"/>
    <x v="4"/>
    <x v="0"/>
    <x v="4"/>
    <x v="18"/>
  </r>
  <r>
    <x v="18"/>
    <x v="17"/>
    <x v="0"/>
    <x v="13"/>
    <x v="42"/>
  </r>
  <r>
    <x v="12"/>
    <x v="10"/>
    <x v="1"/>
    <x v="10"/>
    <x v="11"/>
  </r>
  <r>
    <x v="11"/>
    <x v="11"/>
    <x v="1"/>
    <x v="9"/>
    <x v="10"/>
  </r>
  <r>
    <x v="4"/>
    <x v="4"/>
    <x v="0"/>
    <x v="4"/>
    <x v="18"/>
  </r>
  <r>
    <x v="16"/>
    <x v="15"/>
    <x v="1"/>
    <x v="14"/>
    <x v="24"/>
  </r>
  <r>
    <x v="4"/>
    <x v="4"/>
    <x v="0"/>
    <x v="4"/>
    <x v="18"/>
  </r>
  <r>
    <x v="65"/>
    <x v="70"/>
    <x v="1"/>
    <x v="70"/>
    <x v="87"/>
  </r>
  <r>
    <x v="31"/>
    <x v="32"/>
    <x v="0"/>
    <x v="4"/>
    <x v="18"/>
  </r>
  <r>
    <x v="55"/>
    <x v="52"/>
    <x v="0"/>
    <x v="48"/>
    <x v="58"/>
  </r>
  <r>
    <x v="30"/>
    <x v="31"/>
    <x v="0"/>
    <x v="7"/>
    <x v="7"/>
  </r>
  <r>
    <x v="7"/>
    <x v="29"/>
    <x v="0"/>
    <x v="7"/>
    <x v="7"/>
  </r>
  <r>
    <x v="29"/>
    <x v="30"/>
    <x v="0"/>
    <x v="7"/>
    <x v="7"/>
  </r>
  <r>
    <x v="25"/>
    <x v="24"/>
    <x v="0"/>
    <x v="18"/>
    <x v="25"/>
  </r>
  <r>
    <x v="12"/>
    <x v="10"/>
    <x v="0"/>
    <x v="10"/>
    <x v="113"/>
  </r>
  <r>
    <x v="12"/>
    <x v="10"/>
    <x v="1"/>
    <x v="10"/>
    <x v="11"/>
  </r>
  <r>
    <x v="4"/>
    <x v="4"/>
    <x v="5"/>
    <x v="4"/>
    <x v="59"/>
  </r>
  <r>
    <x v="71"/>
    <x v="96"/>
    <x v="5"/>
    <x v="89"/>
    <x v="114"/>
  </r>
  <r>
    <x v="86"/>
    <x v="97"/>
    <x v="10"/>
    <x v="3"/>
    <x v="103"/>
  </r>
  <r>
    <x v="87"/>
    <x v="9"/>
    <x v="1"/>
    <x v="7"/>
    <x v="7"/>
  </r>
  <r>
    <x v="88"/>
    <x v="98"/>
    <x v="10"/>
    <x v="7"/>
    <x v="7"/>
  </r>
  <r>
    <x v="3"/>
    <x v="3"/>
    <x v="1"/>
    <x v="3"/>
    <x v="3"/>
  </r>
  <r>
    <x v="11"/>
    <x v="11"/>
    <x v="1"/>
    <x v="9"/>
    <x v="10"/>
  </r>
  <r>
    <x v="55"/>
    <x v="52"/>
    <x v="1"/>
    <x v="48"/>
    <x v="115"/>
  </r>
  <r>
    <x v="7"/>
    <x v="29"/>
    <x v="1"/>
    <x v="7"/>
    <x v="7"/>
  </r>
  <r>
    <x v="31"/>
    <x v="32"/>
    <x v="0"/>
    <x v="4"/>
    <x v="18"/>
  </r>
  <r>
    <x v="30"/>
    <x v="31"/>
    <x v="1"/>
    <x v="7"/>
    <x v="7"/>
  </r>
  <r>
    <x v="65"/>
    <x v="70"/>
    <x v="1"/>
    <x v="70"/>
    <x v="87"/>
  </r>
  <r>
    <x v="89"/>
    <x v="99"/>
    <x v="1"/>
    <x v="7"/>
    <x v="7"/>
  </r>
  <r>
    <x v="30"/>
    <x v="31"/>
    <x v="1"/>
    <x v="57"/>
    <x v="116"/>
  </r>
  <r>
    <x v="11"/>
    <x v="11"/>
    <x v="1"/>
    <x v="9"/>
    <x v="10"/>
  </r>
  <r>
    <x v="15"/>
    <x v="14"/>
    <x v="0"/>
    <x v="13"/>
    <x v="42"/>
  </r>
  <r>
    <x v="65"/>
    <x v="70"/>
    <x v="0"/>
    <x v="70"/>
    <x v="117"/>
  </r>
  <r>
    <x v="60"/>
    <x v="64"/>
    <x v="0"/>
    <x v="21"/>
    <x v="26"/>
  </r>
  <r>
    <x v="90"/>
    <x v="100"/>
    <x v="0"/>
    <x v="23"/>
    <x v="118"/>
  </r>
  <r>
    <x v="27"/>
    <x v="26"/>
    <x v="1"/>
    <x v="21"/>
    <x v="74"/>
  </r>
  <r>
    <x v="60"/>
    <x v="64"/>
    <x v="1"/>
    <x v="21"/>
    <x v="74"/>
  </r>
  <r>
    <x v="90"/>
    <x v="100"/>
    <x v="1"/>
    <x v="23"/>
    <x v="119"/>
  </r>
  <r>
    <x v="9"/>
    <x v="9"/>
    <x v="1"/>
    <x v="90"/>
    <x v="120"/>
  </r>
  <r>
    <x v="11"/>
    <x v="11"/>
    <x v="10"/>
    <x v="44"/>
    <x v="121"/>
  </r>
  <r>
    <x v="35"/>
    <x v="36"/>
    <x v="0"/>
    <x v="27"/>
    <x v="122"/>
  </r>
  <r>
    <x v="5"/>
    <x v="5"/>
    <x v="10"/>
    <x v="5"/>
    <x v="123"/>
  </r>
  <r>
    <x v="16"/>
    <x v="15"/>
    <x v="1"/>
    <x v="65"/>
    <x v="124"/>
  </r>
  <r>
    <x v="9"/>
    <x v="9"/>
    <x v="1"/>
    <x v="91"/>
    <x v="125"/>
  </r>
  <r>
    <x v="57"/>
    <x v="61"/>
    <x v="5"/>
    <x v="53"/>
    <x v="65"/>
  </r>
  <r>
    <x v="91"/>
    <x v="101"/>
    <x v="5"/>
    <x v="92"/>
    <x v="126"/>
  </r>
  <r>
    <x v="92"/>
    <x v="102"/>
    <x v="5"/>
    <x v="7"/>
    <x v="7"/>
  </r>
  <r>
    <x v="25"/>
    <x v="24"/>
    <x v="1"/>
    <x v="7"/>
    <x v="7"/>
  </r>
  <r>
    <x v="93"/>
    <x v="103"/>
    <x v="17"/>
    <x v="7"/>
    <x v="7"/>
  </r>
  <r>
    <x v="94"/>
    <x v="104"/>
    <x v="7"/>
    <x v="7"/>
    <x v="7"/>
  </r>
  <r>
    <x v="9"/>
    <x v="9"/>
    <x v="1"/>
    <x v="63"/>
    <x v="80"/>
  </r>
  <r>
    <x v="33"/>
    <x v="34"/>
    <x v="5"/>
    <x v="26"/>
    <x v="106"/>
  </r>
  <r>
    <x v="34"/>
    <x v="35"/>
    <x v="5"/>
    <x v="7"/>
    <x v="7"/>
  </r>
  <r>
    <x v="95"/>
    <x v="105"/>
    <x v="5"/>
    <x v="7"/>
    <x v="7"/>
  </r>
  <r>
    <x v="89"/>
    <x v="99"/>
    <x v="0"/>
    <x v="7"/>
    <x v="7"/>
  </r>
  <r>
    <x v="65"/>
    <x v="70"/>
    <x v="1"/>
    <x v="70"/>
    <x v="87"/>
  </r>
  <r>
    <x v="7"/>
    <x v="29"/>
    <x v="11"/>
    <x v="23"/>
    <x v="127"/>
  </r>
  <r>
    <x v="12"/>
    <x v="10"/>
    <x v="1"/>
    <x v="10"/>
    <x v="11"/>
  </r>
  <r>
    <x v="37"/>
    <x v="106"/>
    <x v="1"/>
    <x v="7"/>
    <x v="7"/>
  </r>
  <r>
    <x v="43"/>
    <x v="9"/>
    <x v="1"/>
    <x v="93"/>
    <x v="128"/>
  </r>
  <r>
    <x v="25"/>
    <x v="24"/>
    <x v="8"/>
    <x v="18"/>
    <x v="129"/>
  </r>
  <r>
    <x v="46"/>
    <x v="49"/>
    <x v="0"/>
    <x v="7"/>
    <x v="7"/>
  </r>
  <r>
    <x v="9"/>
    <x v="9"/>
    <x v="1"/>
    <x v="94"/>
    <x v="130"/>
  </r>
  <r>
    <x v="96"/>
    <x v="107"/>
    <x v="1"/>
    <x v="26"/>
    <x v="131"/>
  </r>
  <r>
    <x v="12"/>
    <x v="10"/>
    <x v="1"/>
    <x v="10"/>
    <x v="11"/>
  </r>
  <r>
    <x v="11"/>
    <x v="11"/>
    <x v="1"/>
    <x v="9"/>
    <x v="10"/>
  </r>
  <r>
    <x v="17"/>
    <x v="16"/>
    <x v="1"/>
    <x v="15"/>
    <x v="16"/>
  </r>
  <r>
    <x v="65"/>
    <x v="70"/>
    <x v="1"/>
    <x v="70"/>
    <x v="87"/>
  </r>
  <r>
    <x v="38"/>
    <x v="39"/>
    <x v="1"/>
    <x v="95"/>
    <x v="132"/>
  </r>
  <r>
    <x v="43"/>
    <x v="9"/>
    <x v="1"/>
    <x v="96"/>
    <x v="133"/>
  </r>
  <r>
    <x v="6"/>
    <x v="28"/>
    <x v="8"/>
    <x v="6"/>
    <x v="96"/>
  </r>
  <r>
    <x v="7"/>
    <x v="7"/>
    <x v="8"/>
    <x v="7"/>
    <x v="7"/>
  </r>
  <r>
    <x v="8"/>
    <x v="55"/>
    <x v="8"/>
    <x v="7"/>
    <x v="7"/>
  </r>
  <r>
    <x v="18"/>
    <x v="54"/>
    <x v="8"/>
    <x v="7"/>
    <x v="7"/>
  </r>
  <r>
    <x v="30"/>
    <x v="75"/>
    <x v="8"/>
    <x v="7"/>
    <x v="7"/>
  </r>
  <r>
    <x v="1"/>
    <x v="1"/>
    <x v="0"/>
    <x v="38"/>
    <x v="45"/>
  </r>
  <r>
    <x v="69"/>
    <x v="76"/>
    <x v="8"/>
    <x v="79"/>
    <x v="97"/>
  </r>
  <r>
    <x v="90"/>
    <x v="100"/>
    <x v="8"/>
    <x v="97"/>
    <x v="29"/>
  </r>
  <r>
    <x v="60"/>
    <x v="64"/>
    <x v="8"/>
    <x v="85"/>
    <x v="134"/>
  </r>
  <r>
    <x v="73"/>
    <x v="83"/>
    <x v="0"/>
    <x v="82"/>
    <x v="135"/>
  </r>
  <r>
    <x v="75"/>
    <x v="85"/>
    <x v="5"/>
    <x v="7"/>
    <x v="7"/>
  </r>
  <r>
    <x v="74"/>
    <x v="84"/>
    <x v="0"/>
    <x v="7"/>
    <x v="7"/>
  </r>
  <r>
    <x v="76"/>
    <x v="86"/>
    <x v="0"/>
    <x v="7"/>
    <x v="7"/>
  </r>
  <r>
    <x v="79"/>
    <x v="89"/>
    <x v="2"/>
    <x v="84"/>
    <x v="136"/>
  </r>
  <r>
    <x v="97"/>
    <x v="107"/>
    <x v="1"/>
    <x v="98"/>
    <x v="137"/>
  </r>
  <r>
    <x v="26"/>
    <x v="25"/>
    <x v="1"/>
    <x v="72"/>
    <x v="138"/>
  </r>
  <r>
    <x v="15"/>
    <x v="108"/>
    <x v="0"/>
    <x v="7"/>
    <x v="7"/>
  </r>
  <r>
    <x v="38"/>
    <x v="39"/>
    <x v="1"/>
    <x v="99"/>
    <x v="139"/>
  </r>
  <r>
    <x v="11"/>
    <x v="11"/>
    <x v="1"/>
    <x v="44"/>
    <x v="53"/>
  </r>
  <r>
    <x v="98"/>
    <x v="109"/>
    <x v="0"/>
    <x v="100"/>
    <x v="140"/>
  </r>
  <r>
    <x v="71"/>
    <x v="110"/>
    <x v="8"/>
    <x v="33"/>
    <x v="141"/>
  </r>
  <r>
    <x v="90"/>
    <x v="111"/>
    <x v="8"/>
    <x v="7"/>
    <x v="7"/>
  </r>
  <r>
    <x v="16"/>
    <x v="15"/>
    <x v="18"/>
    <x v="65"/>
    <x v="142"/>
  </r>
  <r>
    <x v="28"/>
    <x v="27"/>
    <x v="1"/>
    <x v="4"/>
    <x v="4"/>
  </r>
  <r>
    <x v="15"/>
    <x v="14"/>
    <x v="1"/>
    <x v="7"/>
    <x v="7"/>
  </r>
  <r>
    <x v="4"/>
    <x v="4"/>
    <x v="1"/>
    <x v="4"/>
    <x v="4"/>
  </r>
  <r>
    <x v="65"/>
    <x v="70"/>
    <x v="0"/>
    <x v="70"/>
    <x v="117"/>
  </r>
  <r>
    <x v="10"/>
    <x v="10"/>
    <x v="1"/>
    <x v="9"/>
    <x v="10"/>
  </r>
  <r>
    <x v="65"/>
    <x v="70"/>
    <x v="1"/>
    <x v="101"/>
    <x v="143"/>
  </r>
  <r>
    <x v="18"/>
    <x v="17"/>
    <x v="5"/>
    <x v="13"/>
    <x v="144"/>
  </r>
  <r>
    <x v="25"/>
    <x v="24"/>
    <x v="2"/>
    <x v="18"/>
    <x v="145"/>
  </r>
  <r>
    <x v="99"/>
    <x v="9"/>
    <x v="1"/>
    <x v="102"/>
    <x v="146"/>
  </r>
  <r>
    <x v="100"/>
    <x v="107"/>
    <x v="1"/>
    <x v="103"/>
    <x v="147"/>
  </r>
  <r>
    <x v="26"/>
    <x v="25"/>
    <x v="1"/>
    <x v="30"/>
    <x v="148"/>
  </r>
  <r>
    <x v="90"/>
    <x v="100"/>
    <x v="1"/>
    <x v="97"/>
    <x v="149"/>
  </r>
  <r>
    <x v="43"/>
    <x v="9"/>
    <x v="1"/>
    <x v="104"/>
    <x v="71"/>
  </r>
  <r>
    <x v="101"/>
    <x v="112"/>
    <x v="19"/>
    <x v="105"/>
    <x v="150"/>
  </r>
  <r>
    <x v="8"/>
    <x v="8"/>
    <x v="19"/>
    <x v="7"/>
    <x v="7"/>
  </r>
  <r>
    <x v="7"/>
    <x v="29"/>
    <x v="19"/>
    <x v="7"/>
    <x v="7"/>
  </r>
  <r>
    <x v="18"/>
    <x v="17"/>
    <x v="0"/>
    <x v="13"/>
    <x v="42"/>
  </r>
  <r>
    <x v="37"/>
    <x v="113"/>
    <x v="1"/>
    <x v="7"/>
    <x v="7"/>
  </r>
  <r>
    <x v="102"/>
    <x v="114"/>
    <x v="1"/>
    <x v="7"/>
    <x v="7"/>
  </r>
  <r>
    <x v="103"/>
    <x v="115"/>
    <x v="1"/>
    <x v="7"/>
    <x v="7"/>
  </r>
  <r>
    <x v="36"/>
    <x v="37"/>
    <x v="0"/>
    <x v="7"/>
    <x v="7"/>
  </r>
  <r>
    <x v="81"/>
    <x v="116"/>
    <x v="8"/>
    <x v="97"/>
    <x v="29"/>
  </r>
  <r>
    <x v="37"/>
    <x v="117"/>
    <x v="1"/>
    <x v="7"/>
    <x v="7"/>
  </r>
  <r>
    <x v="18"/>
    <x v="17"/>
    <x v="1"/>
    <x v="13"/>
    <x v="14"/>
  </r>
  <r>
    <x v="15"/>
    <x v="14"/>
    <x v="1"/>
    <x v="13"/>
    <x v="14"/>
  </r>
  <r>
    <x v="70"/>
    <x v="118"/>
    <x v="1"/>
    <x v="23"/>
    <x v="119"/>
  </r>
  <r>
    <x v="6"/>
    <x v="28"/>
    <x v="1"/>
    <x v="22"/>
    <x v="151"/>
  </r>
  <r>
    <x v="7"/>
    <x v="29"/>
    <x v="1"/>
    <x v="7"/>
    <x v="7"/>
  </r>
  <r>
    <x v="8"/>
    <x v="8"/>
    <x v="1"/>
    <x v="7"/>
    <x v="7"/>
  </r>
  <r>
    <x v="29"/>
    <x v="30"/>
    <x v="1"/>
    <x v="7"/>
    <x v="7"/>
  </r>
  <r>
    <x v="30"/>
    <x v="31"/>
    <x v="1"/>
    <x v="7"/>
    <x v="7"/>
  </r>
  <r>
    <x v="16"/>
    <x v="15"/>
    <x v="0"/>
    <x v="14"/>
    <x v="15"/>
  </r>
  <r>
    <x v="16"/>
    <x v="15"/>
    <x v="1"/>
    <x v="14"/>
    <x v="24"/>
  </r>
  <r>
    <x v="25"/>
    <x v="24"/>
    <x v="0"/>
    <x v="18"/>
    <x v="25"/>
  </r>
  <r>
    <x v="18"/>
    <x v="17"/>
    <x v="1"/>
    <x v="13"/>
    <x v="14"/>
  </r>
  <r>
    <x v="9"/>
    <x v="9"/>
    <x v="1"/>
    <x v="106"/>
    <x v="152"/>
  </r>
  <r>
    <x v="5"/>
    <x v="5"/>
    <x v="1"/>
    <x v="107"/>
    <x v="153"/>
  </r>
  <r>
    <x v="102"/>
    <x v="114"/>
    <x v="1"/>
    <x v="7"/>
    <x v="7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  <r>
    <x v="104"/>
    <x v="9"/>
    <x v="20"/>
    <x v="108"/>
    <x v="154"/>
  </r>
</pivotCacheRecords>
</file>

<file path=xl/pivotCache/pivotCacheRecords14.xml><?xml version="1.0" encoding="utf-8"?>
<pivotCacheRecords xmlns:r="http://schemas.openxmlformats.org/officeDocument/2006/relationships" xmlns="http://schemas.openxmlformats.org/spreadsheetml/2006/main" count="423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1"/>
    <x v="1"/>
    <x v="1"/>
    <x v="2"/>
    <x v="2"/>
    <x v="0"/>
    <x v="2"/>
    <x v="2"/>
  </r>
  <r>
    <x v="1"/>
    <x v="1"/>
    <x v="1"/>
    <x v="3"/>
    <x v="3"/>
    <x v="0"/>
    <x v="3"/>
    <x v="3"/>
  </r>
  <r>
    <x v="2"/>
    <x v="2"/>
    <x v="2"/>
    <x v="4"/>
    <x v="4"/>
    <x v="0"/>
    <x v="4"/>
    <x v="4"/>
  </r>
  <r>
    <x v="2"/>
    <x v="2"/>
    <x v="2"/>
    <x v="5"/>
    <x v="5"/>
    <x v="0"/>
    <x v="5"/>
    <x v="5"/>
  </r>
  <r>
    <x v="2"/>
    <x v="2"/>
    <x v="2"/>
    <x v="6"/>
    <x v="6"/>
    <x v="0"/>
    <x v="6"/>
    <x v="6"/>
  </r>
  <r>
    <x v="2"/>
    <x v="2"/>
    <x v="2"/>
    <x v="7"/>
    <x v="7"/>
    <x v="0"/>
    <x v="6"/>
    <x v="6"/>
  </r>
  <r>
    <x v="2"/>
    <x v="2"/>
    <x v="2"/>
    <x v="8"/>
    <x v="8"/>
    <x v="0"/>
    <x v="7"/>
    <x v="7"/>
  </r>
  <r>
    <x v="2"/>
    <x v="2"/>
    <x v="2"/>
    <x v="9"/>
    <x v="9"/>
    <x v="0"/>
    <x v="8"/>
    <x v="8"/>
  </r>
  <r>
    <x v="3"/>
    <x v="3"/>
    <x v="3"/>
    <x v="10"/>
    <x v="10"/>
    <x v="1"/>
    <x v="9"/>
    <x v="9"/>
  </r>
  <r>
    <x v="4"/>
    <x v="4"/>
    <x v="4"/>
    <x v="11"/>
    <x v="11"/>
    <x v="1"/>
    <x v="10"/>
    <x v="10"/>
  </r>
  <r>
    <x v="5"/>
    <x v="5"/>
    <x v="5"/>
    <x v="5"/>
    <x v="5"/>
    <x v="0"/>
    <x v="11"/>
    <x v="11"/>
  </r>
  <r>
    <x v="6"/>
    <x v="6"/>
    <x v="6"/>
    <x v="12"/>
    <x v="12"/>
    <x v="2"/>
    <x v="12"/>
    <x v="12"/>
  </r>
  <r>
    <x v="6"/>
    <x v="6"/>
    <x v="6"/>
    <x v="13"/>
    <x v="13"/>
    <x v="3"/>
    <x v="13"/>
    <x v="13"/>
  </r>
  <r>
    <x v="7"/>
    <x v="7"/>
    <x v="7"/>
    <x v="14"/>
    <x v="14"/>
    <x v="0"/>
    <x v="14"/>
    <x v="14"/>
  </r>
  <r>
    <x v="8"/>
    <x v="8"/>
    <x v="8"/>
    <x v="9"/>
    <x v="9"/>
    <x v="0"/>
    <x v="8"/>
    <x v="8"/>
  </r>
  <r>
    <x v="9"/>
    <x v="9"/>
    <x v="9"/>
    <x v="2"/>
    <x v="2"/>
    <x v="4"/>
    <x v="2"/>
    <x v="15"/>
  </r>
  <r>
    <x v="10"/>
    <x v="10"/>
    <x v="10"/>
    <x v="0"/>
    <x v="0"/>
    <x v="1"/>
    <x v="15"/>
    <x v="16"/>
  </r>
  <r>
    <x v="11"/>
    <x v="11"/>
    <x v="6"/>
    <x v="15"/>
    <x v="15"/>
    <x v="5"/>
    <x v="6"/>
    <x v="6"/>
  </r>
  <r>
    <x v="11"/>
    <x v="11"/>
    <x v="6"/>
    <x v="16"/>
    <x v="16"/>
    <x v="6"/>
    <x v="6"/>
    <x v="6"/>
  </r>
  <r>
    <x v="11"/>
    <x v="11"/>
    <x v="6"/>
    <x v="17"/>
    <x v="17"/>
    <x v="6"/>
    <x v="6"/>
    <x v="6"/>
  </r>
  <r>
    <x v="11"/>
    <x v="11"/>
    <x v="6"/>
    <x v="18"/>
    <x v="18"/>
    <x v="6"/>
    <x v="6"/>
    <x v="6"/>
  </r>
  <r>
    <x v="12"/>
    <x v="12"/>
    <x v="6"/>
    <x v="19"/>
    <x v="19"/>
    <x v="0"/>
    <x v="16"/>
    <x v="17"/>
  </r>
  <r>
    <x v="13"/>
    <x v="13"/>
    <x v="11"/>
    <x v="20"/>
    <x v="20"/>
    <x v="0"/>
    <x v="15"/>
    <x v="18"/>
  </r>
  <r>
    <x v="13"/>
    <x v="13"/>
    <x v="11"/>
    <x v="21"/>
    <x v="21"/>
    <x v="0"/>
    <x v="6"/>
    <x v="6"/>
  </r>
  <r>
    <x v="14"/>
    <x v="14"/>
    <x v="12"/>
    <x v="22"/>
    <x v="11"/>
    <x v="0"/>
    <x v="17"/>
    <x v="19"/>
  </r>
  <r>
    <x v="15"/>
    <x v="15"/>
    <x v="13"/>
    <x v="23"/>
    <x v="22"/>
    <x v="0"/>
    <x v="18"/>
    <x v="20"/>
  </r>
  <r>
    <x v="16"/>
    <x v="16"/>
    <x v="14"/>
    <x v="9"/>
    <x v="9"/>
    <x v="7"/>
    <x v="8"/>
    <x v="21"/>
  </r>
  <r>
    <x v="17"/>
    <x v="0"/>
    <x v="15"/>
    <x v="14"/>
    <x v="14"/>
    <x v="1"/>
    <x v="19"/>
    <x v="22"/>
  </r>
  <r>
    <x v="17"/>
    <x v="0"/>
    <x v="15"/>
    <x v="6"/>
    <x v="6"/>
    <x v="1"/>
    <x v="20"/>
    <x v="23"/>
  </r>
  <r>
    <x v="17"/>
    <x v="0"/>
    <x v="15"/>
    <x v="1"/>
    <x v="1"/>
    <x v="0"/>
    <x v="21"/>
    <x v="24"/>
  </r>
  <r>
    <x v="18"/>
    <x v="17"/>
    <x v="15"/>
    <x v="24"/>
    <x v="23"/>
    <x v="1"/>
    <x v="22"/>
    <x v="25"/>
  </r>
  <r>
    <x v="18"/>
    <x v="17"/>
    <x v="15"/>
    <x v="25"/>
    <x v="24"/>
    <x v="1"/>
    <x v="7"/>
    <x v="26"/>
  </r>
  <r>
    <x v="18"/>
    <x v="17"/>
    <x v="15"/>
    <x v="26"/>
    <x v="25"/>
    <x v="1"/>
    <x v="23"/>
    <x v="27"/>
  </r>
  <r>
    <x v="18"/>
    <x v="17"/>
    <x v="15"/>
    <x v="27"/>
    <x v="26"/>
    <x v="1"/>
    <x v="24"/>
    <x v="28"/>
  </r>
  <r>
    <x v="18"/>
    <x v="17"/>
    <x v="15"/>
    <x v="28"/>
    <x v="27"/>
    <x v="1"/>
    <x v="14"/>
    <x v="29"/>
  </r>
  <r>
    <x v="18"/>
    <x v="17"/>
    <x v="15"/>
    <x v="29"/>
    <x v="28"/>
    <x v="1"/>
    <x v="6"/>
    <x v="6"/>
  </r>
  <r>
    <x v="19"/>
    <x v="18"/>
    <x v="15"/>
    <x v="30"/>
    <x v="29"/>
    <x v="0"/>
    <x v="25"/>
    <x v="30"/>
  </r>
  <r>
    <x v="19"/>
    <x v="18"/>
    <x v="15"/>
    <x v="30"/>
    <x v="30"/>
    <x v="0"/>
    <x v="26"/>
    <x v="31"/>
  </r>
  <r>
    <x v="19"/>
    <x v="18"/>
    <x v="15"/>
    <x v="30"/>
    <x v="31"/>
    <x v="0"/>
    <x v="27"/>
    <x v="32"/>
  </r>
  <r>
    <x v="19"/>
    <x v="18"/>
    <x v="15"/>
    <x v="30"/>
    <x v="32"/>
    <x v="0"/>
    <x v="28"/>
    <x v="33"/>
  </r>
  <r>
    <x v="19"/>
    <x v="18"/>
    <x v="15"/>
    <x v="30"/>
    <x v="33"/>
    <x v="0"/>
    <x v="29"/>
    <x v="34"/>
  </r>
  <r>
    <x v="19"/>
    <x v="18"/>
    <x v="15"/>
    <x v="30"/>
    <x v="34"/>
    <x v="0"/>
    <x v="30"/>
    <x v="35"/>
  </r>
  <r>
    <x v="19"/>
    <x v="18"/>
    <x v="15"/>
    <x v="30"/>
    <x v="35"/>
    <x v="0"/>
    <x v="31"/>
    <x v="36"/>
  </r>
  <r>
    <x v="19"/>
    <x v="18"/>
    <x v="15"/>
    <x v="30"/>
    <x v="36"/>
    <x v="0"/>
    <x v="32"/>
    <x v="37"/>
  </r>
  <r>
    <x v="20"/>
    <x v="12"/>
    <x v="15"/>
    <x v="24"/>
    <x v="37"/>
    <x v="8"/>
    <x v="33"/>
    <x v="38"/>
  </r>
  <r>
    <x v="20"/>
    <x v="12"/>
    <x v="15"/>
    <x v="31"/>
    <x v="38"/>
    <x v="6"/>
    <x v="34"/>
    <x v="39"/>
  </r>
  <r>
    <x v="20"/>
    <x v="12"/>
    <x v="15"/>
    <x v="32"/>
    <x v="39"/>
    <x v="3"/>
    <x v="35"/>
    <x v="40"/>
  </r>
  <r>
    <x v="20"/>
    <x v="12"/>
    <x v="15"/>
    <x v="26"/>
    <x v="40"/>
    <x v="6"/>
    <x v="36"/>
    <x v="41"/>
  </r>
  <r>
    <x v="20"/>
    <x v="12"/>
    <x v="15"/>
    <x v="33"/>
    <x v="1"/>
    <x v="0"/>
    <x v="37"/>
    <x v="42"/>
  </r>
  <r>
    <x v="21"/>
    <x v="19"/>
    <x v="15"/>
    <x v="34"/>
    <x v="41"/>
    <x v="0"/>
    <x v="6"/>
    <x v="6"/>
  </r>
  <r>
    <x v="22"/>
    <x v="20"/>
    <x v="16"/>
    <x v="3"/>
    <x v="3"/>
    <x v="1"/>
    <x v="3"/>
    <x v="43"/>
  </r>
  <r>
    <x v="22"/>
    <x v="20"/>
    <x v="16"/>
    <x v="7"/>
    <x v="7"/>
    <x v="1"/>
    <x v="2"/>
    <x v="44"/>
  </r>
  <r>
    <x v="23"/>
    <x v="21"/>
    <x v="17"/>
    <x v="8"/>
    <x v="8"/>
    <x v="6"/>
    <x v="7"/>
    <x v="45"/>
  </r>
  <r>
    <x v="24"/>
    <x v="20"/>
    <x v="18"/>
    <x v="27"/>
    <x v="42"/>
    <x v="1"/>
    <x v="12"/>
    <x v="46"/>
  </r>
  <r>
    <x v="25"/>
    <x v="22"/>
    <x v="19"/>
    <x v="2"/>
    <x v="2"/>
    <x v="1"/>
    <x v="2"/>
    <x v="44"/>
  </r>
  <r>
    <x v="26"/>
    <x v="23"/>
    <x v="20"/>
    <x v="11"/>
    <x v="11"/>
    <x v="0"/>
    <x v="10"/>
    <x v="47"/>
  </r>
  <r>
    <x v="27"/>
    <x v="24"/>
    <x v="21"/>
    <x v="9"/>
    <x v="9"/>
    <x v="4"/>
    <x v="8"/>
    <x v="48"/>
  </r>
  <r>
    <x v="27"/>
    <x v="24"/>
    <x v="21"/>
    <x v="20"/>
    <x v="20"/>
    <x v="0"/>
    <x v="15"/>
    <x v="18"/>
  </r>
  <r>
    <x v="27"/>
    <x v="24"/>
    <x v="21"/>
    <x v="21"/>
    <x v="21"/>
    <x v="0"/>
    <x v="6"/>
    <x v="6"/>
  </r>
  <r>
    <x v="28"/>
    <x v="25"/>
    <x v="22"/>
    <x v="35"/>
    <x v="43"/>
    <x v="9"/>
    <x v="6"/>
    <x v="6"/>
  </r>
  <r>
    <x v="28"/>
    <x v="25"/>
    <x v="22"/>
    <x v="21"/>
    <x v="21"/>
    <x v="0"/>
    <x v="6"/>
    <x v="6"/>
  </r>
  <r>
    <x v="28"/>
    <x v="25"/>
    <x v="22"/>
    <x v="36"/>
    <x v="44"/>
    <x v="4"/>
    <x v="6"/>
    <x v="6"/>
  </r>
  <r>
    <x v="29"/>
    <x v="26"/>
    <x v="22"/>
    <x v="19"/>
    <x v="19"/>
    <x v="0"/>
    <x v="16"/>
    <x v="17"/>
  </r>
  <r>
    <x v="29"/>
    <x v="26"/>
    <x v="22"/>
    <x v="1"/>
    <x v="1"/>
    <x v="0"/>
    <x v="38"/>
    <x v="49"/>
  </r>
  <r>
    <x v="30"/>
    <x v="27"/>
    <x v="22"/>
    <x v="5"/>
    <x v="5"/>
    <x v="10"/>
    <x v="11"/>
    <x v="50"/>
  </r>
  <r>
    <x v="30"/>
    <x v="27"/>
    <x v="22"/>
    <x v="37"/>
    <x v="45"/>
    <x v="0"/>
    <x v="28"/>
    <x v="33"/>
  </r>
  <r>
    <x v="30"/>
    <x v="27"/>
    <x v="22"/>
    <x v="1"/>
    <x v="1"/>
    <x v="0"/>
    <x v="39"/>
    <x v="51"/>
  </r>
  <r>
    <x v="31"/>
    <x v="28"/>
    <x v="22"/>
    <x v="38"/>
    <x v="46"/>
    <x v="0"/>
    <x v="40"/>
    <x v="52"/>
  </r>
  <r>
    <x v="31"/>
    <x v="28"/>
    <x v="22"/>
    <x v="39"/>
    <x v="47"/>
    <x v="0"/>
    <x v="40"/>
    <x v="52"/>
  </r>
  <r>
    <x v="31"/>
    <x v="28"/>
    <x v="22"/>
    <x v="40"/>
    <x v="48"/>
    <x v="0"/>
    <x v="6"/>
    <x v="6"/>
  </r>
  <r>
    <x v="31"/>
    <x v="28"/>
    <x v="22"/>
    <x v="27"/>
    <x v="42"/>
    <x v="0"/>
    <x v="12"/>
    <x v="53"/>
  </r>
  <r>
    <x v="31"/>
    <x v="28"/>
    <x v="22"/>
    <x v="41"/>
    <x v="49"/>
    <x v="0"/>
    <x v="12"/>
    <x v="53"/>
  </r>
  <r>
    <x v="31"/>
    <x v="28"/>
    <x v="22"/>
    <x v="42"/>
    <x v="50"/>
    <x v="0"/>
    <x v="6"/>
    <x v="6"/>
  </r>
  <r>
    <x v="31"/>
    <x v="28"/>
    <x v="22"/>
    <x v="43"/>
    <x v="1"/>
    <x v="0"/>
    <x v="41"/>
    <x v="54"/>
  </r>
  <r>
    <x v="32"/>
    <x v="29"/>
    <x v="23"/>
    <x v="10"/>
    <x v="10"/>
    <x v="4"/>
    <x v="9"/>
    <x v="55"/>
  </r>
  <r>
    <x v="33"/>
    <x v="30"/>
    <x v="24"/>
    <x v="44"/>
    <x v="51"/>
    <x v="0"/>
    <x v="17"/>
    <x v="19"/>
  </r>
  <r>
    <x v="34"/>
    <x v="31"/>
    <x v="25"/>
    <x v="45"/>
    <x v="52"/>
    <x v="0"/>
    <x v="42"/>
    <x v="56"/>
  </r>
  <r>
    <x v="34"/>
    <x v="31"/>
    <x v="25"/>
    <x v="7"/>
    <x v="7"/>
    <x v="0"/>
    <x v="2"/>
    <x v="2"/>
  </r>
  <r>
    <x v="35"/>
    <x v="32"/>
    <x v="26"/>
    <x v="46"/>
    <x v="53"/>
    <x v="7"/>
    <x v="43"/>
    <x v="57"/>
  </r>
  <r>
    <x v="35"/>
    <x v="32"/>
    <x v="26"/>
    <x v="47"/>
    <x v="54"/>
    <x v="7"/>
    <x v="44"/>
    <x v="58"/>
  </r>
  <r>
    <x v="35"/>
    <x v="32"/>
    <x v="26"/>
    <x v="46"/>
    <x v="55"/>
    <x v="1"/>
    <x v="6"/>
    <x v="6"/>
  </r>
  <r>
    <x v="35"/>
    <x v="32"/>
    <x v="26"/>
    <x v="47"/>
    <x v="54"/>
    <x v="1"/>
    <x v="6"/>
    <x v="6"/>
  </r>
  <r>
    <x v="35"/>
    <x v="32"/>
    <x v="26"/>
    <x v="1"/>
    <x v="1"/>
    <x v="0"/>
    <x v="45"/>
    <x v="59"/>
  </r>
  <r>
    <x v="36"/>
    <x v="33"/>
    <x v="27"/>
    <x v="0"/>
    <x v="0"/>
    <x v="0"/>
    <x v="15"/>
    <x v="18"/>
  </r>
  <r>
    <x v="37"/>
    <x v="34"/>
    <x v="26"/>
    <x v="48"/>
    <x v="56"/>
    <x v="7"/>
    <x v="46"/>
    <x v="60"/>
  </r>
  <r>
    <x v="37"/>
    <x v="34"/>
    <x v="26"/>
    <x v="6"/>
    <x v="57"/>
    <x v="7"/>
    <x v="6"/>
    <x v="6"/>
  </r>
  <r>
    <x v="37"/>
    <x v="34"/>
    <x v="26"/>
    <x v="49"/>
    <x v="58"/>
    <x v="1"/>
    <x v="6"/>
    <x v="6"/>
  </r>
  <r>
    <x v="37"/>
    <x v="34"/>
    <x v="26"/>
    <x v="50"/>
    <x v="59"/>
    <x v="0"/>
    <x v="47"/>
    <x v="61"/>
  </r>
  <r>
    <x v="37"/>
    <x v="34"/>
    <x v="26"/>
    <x v="1"/>
    <x v="1"/>
    <x v="0"/>
    <x v="48"/>
    <x v="62"/>
  </r>
  <r>
    <x v="38"/>
    <x v="35"/>
    <x v="28"/>
    <x v="6"/>
    <x v="6"/>
    <x v="7"/>
    <x v="49"/>
    <x v="63"/>
  </r>
  <r>
    <x v="39"/>
    <x v="12"/>
    <x v="26"/>
    <x v="34"/>
    <x v="60"/>
    <x v="0"/>
    <x v="6"/>
    <x v="6"/>
  </r>
  <r>
    <x v="40"/>
    <x v="28"/>
    <x v="29"/>
    <x v="3"/>
    <x v="3"/>
    <x v="0"/>
    <x v="3"/>
    <x v="3"/>
  </r>
  <r>
    <x v="40"/>
    <x v="28"/>
    <x v="29"/>
    <x v="9"/>
    <x v="9"/>
    <x v="1"/>
    <x v="8"/>
    <x v="64"/>
  </r>
  <r>
    <x v="41"/>
    <x v="36"/>
    <x v="30"/>
    <x v="8"/>
    <x v="8"/>
    <x v="0"/>
    <x v="7"/>
    <x v="7"/>
  </r>
  <r>
    <x v="41"/>
    <x v="36"/>
    <x v="30"/>
    <x v="14"/>
    <x v="14"/>
    <x v="0"/>
    <x v="14"/>
    <x v="14"/>
  </r>
  <r>
    <x v="42"/>
    <x v="37"/>
    <x v="31"/>
    <x v="44"/>
    <x v="51"/>
    <x v="0"/>
    <x v="17"/>
    <x v="19"/>
  </r>
  <r>
    <x v="43"/>
    <x v="38"/>
    <x v="32"/>
    <x v="3"/>
    <x v="3"/>
    <x v="0"/>
    <x v="3"/>
    <x v="3"/>
  </r>
  <r>
    <x v="43"/>
    <x v="38"/>
    <x v="32"/>
    <x v="7"/>
    <x v="7"/>
    <x v="0"/>
    <x v="2"/>
    <x v="2"/>
  </r>
  <r>
    <x v="44"/>
    <x v="39"/>
    <x v="33"/>
    <x v="6"/>
    <x v="6"/>
    <x v="0"/>
    <x v="49"/>
    <x v="65"/>
  </r>
  <r>
    <x v="45"/>
    <x v="26"/>
    <x v="34"/>
    <x v="51"/>
    <x v="61"/>
    <x v="1"/>
    <x v="50"/>
    <x v="66"/>
  </r>
  <r>
    <x v="45"/>
    <x v="26"/>
    <x v="34"/>
    <x v="52"/>
    <x v="62"/>
    <x v="0"/>
    <x v="6"/>
    <x v="6"/>
  </r>
  <r>
    <x v="45"/>
    <x v="26"/>
    <x v="34"/>
    <x v="1"/>
    <x v="1"/>
    <x v="0"/>
    <x v="51"/>
    <x v="67"/>
  </r>
  <r>
    <x v="46"/>
    <x v="40"/>
    <x v="34"/>
    <x v="34"/>
    <x v="63"/>
    <x v="0"/>
    <x v="6"/>
    <x v="6"/>
  </r>
  <r>
    <x v="47"/>
    <x v="41"/>
    <x v="35"/>
    <x v="0"/>
    <x v="0"/>
    <x v="1"/>
    <x v="15"/>
    <x v="16"/>
  </r>
  <r>
    <x v="48"/>
    <x v="42"/>
    <x v="36"/>
    <x v="2"/>
    <x v="2"/>
    <x v="0"/>
    <x v="2"/>
    <x v="2"/>
  </r>
  <r>
    <x v="48"/>
    <x v="42"/>
    <x v="36"/>
    <x v="21"/>
    <x v="21"/>
    <x v="0"/>
    <x v="2"/>
    <x v="2"/>
  </r>
  <r>
    <x v="49"/>
    <x v="43"/>
    <x v="37"/>
    <x v="23"/>
    <x v="22"/>
    <x v="0"/>
    <x v="18"/>
    <x v="20"/>
  </r>
  <r>
    <x v="50"/>
    <x v="32"/>
    <x v="38"/>
    <x v="46"/>
    <x v="53"/>
    <x v="10"/>
    <x v="43"/>
    <x v="68"/>
  </r>
  <r>
    <x v="50"/>
    <x v="32"/>
    <x v="38"/>
    <x v="1"/>
    <x v="1"/>
    <x v="0"/>
    <x v="52"/>
    <x v="69"/>
  </r>
  <r>
    <x v="51"/>
    <x v="18"/>
    <x v="38"/>
    <x v="5"/>
    <x v="64"/>
    <x v="0"/>
    <x v="11"/>
    <x v="11"/>
  </r>
  <r>
    <x v="51"/>
    <x v="18"/>
    <x v="38"/>
    <x v="30"/>
    <x v="65"/>
    <x v="10"/>
    <x v="53"/>
    <x v="70"/>
  </r>
  <r>
    <x v="52"/>
    <x v="18"/>
    <x v="38"/>
    <x v="4"/>
    <x v="4"/>
    <x v="0"/>
    <x v="4"/>
    <x v="4"/>
  </r>
  <r>
    <x v="52"/>
    <x v="18"/>
    <x v="38"/>
    <x v="6"/>
    <x v="57"/>
    <x v="0"/>
    <x v="6"/>
    <x v="6"/>
  </r>
  <r>
    <x v="52"/>
    <x v="18"/>
    <x v="38"/>
    <x v="2"/>
    <x v="66"/>
    <x v="0"/>
    <x v="6"/>
    <x v="6"/>
  </r>
  <r>
    <x v="52"/>
    <x v="18"/>
    <x v="38"/>
    <x v="45"/>
    <x v="67"/>
    <x v="0"/>
    <x v="6"/>
    <x v="6"/>
  </r>
  <r>
    <x v="53"/>
    <x v="44"/>
    <x v="39"/>
    <x v="53"/>
    <x v="68"/>
    <x v="0"/>
    <x v="54"/>
    <x v="71"/>
  </r>
  <r>
    <x v="54"/>
    <x v="45"/>
    <x v="40"/>
    <x v="4"/>
    <x v="4"/>
    <x v="1"/>
    <x v="4"/>
    <x v="72"/>
  </r>
  <r>
    <x v="54"/>
    <x v="45"/>
    <x v="40"/>
    <x v="45"/>
    <x v="52"/>
    <x v="1"/>
    <x v="6"/>
    <x v="6"/>
  </r>
  <r>
    <x v="54"/>
    <x v="45"/>
    <x v="40"/>
    <x v="6"/>
    <x v="6"/>
    <x v="1"/>
    <x v="6"/>
    <x v="6"/>
  </r>
  <r>
    <x v="54"/>
    <x v="45"/>
    <x v="40"/>
    <x v="7"/>
    <x v="7"/>
    <x v="1"/>
    <x v="6"/>
    <x v="6"/>
  </r>
  <r>
    <x v="54"/>
    <x v="45"/>
    <x v="40"/>
    <x v="44"/>
    <x v="51"/>
    <x v="0"/>
    <x v="17"/>
    <x v="19"/>
  </r>
  <r>
    <x v="54"/>
    <x v="45"/>
    <x v="40"/>
    <x v="19"/>
    <x v="19"/>
    <x v="0"/>
    <x v="55"/>
    <x v="73"/>
  </r>
  <r>
    <x v="54"/>
    <x v="45"/>
    <x v="40"/>
    <x v="8"/>
    <x v="8"/>
    <x v="1"/>
    <x v="7"/>
    <x v="26"/>
  </r>
  <r>
    <x v="54"/>
    <x v="45"/>
    <x v="40"/>
    <x v="9"/>
    <x v="9"/>
    <x v="0"/>
    <x v="8"/>
    <x v="8"/>
  </r>
  <r>
    <x v="55"/>
    <x v="46"/>
    <x v="41"/>
    <x v="22"/>
    <x v="11"/>
    <x v="0"/>
    <x v="17"/>
    <x v="19"/>
  </r>
  <r>
    <x v="56"/>
    <x v="44"/>
    <x v="42"/>
    <x v="54"/>
    <x v="69"/>
    <x v="0"/>
    <x v="12"/>
    <x v="53"/>
  </r>
  <r>
    <x v="57"/>
    <x v="47"/>
    <x v="43"/>
    <x v="8"/>
    <x v="8"/>
    <x v="2"/>
    <x v="7"/>
    <x v="74"/>
  </r>
  <r>
    <x v="58"/>
    <x v="48"/>
    <x v="44"/>
    <x v="0"/>
    <x v="0"/>
    <x v="1"/>
    <x v="15"/>
    <x v="16"/>
  </r>
  <r>
    <x v="59"/>
    <x v="49"/>
    <x v="45"/>
    <x v="11"/>
    <x v="11"/>
    <x v="0"/>
    <x v="10"/>
    <x v="47"/>
  </r>
  <r>
    <x v="60"/>
    <x v="49"/>
    <x v="46"/>
    <x v="11"/>
    <x v="11"/>
    <x v="0"/>
    <x v="10"/>
    <x v="47"/>
  </r>
  <r>
    <x v="61"/>
    <x v="50"/>
    <x v="47"/>
    <x v="0"/>
    <x v="0"/>
    <x v="7"/>
    <x v="15"/>
    <x v="75"/>
  </r>
  <r>
    <x v="62"/>
    <x v="51"/>
    <x v="48"/>
    <x v="4"/>
    <x v="4"/>
    <x v="1"/>
    <x v="4"/>
    <x v="72"/>
  </r>
  <r>
    <x v="62"/>
    <x v="51"/>
    <x v="48"/>
    <x v="45"/>
    <x v="52"/>
    <x v="1"/>
    <x v="6"/>
    <x v="6"/>
  </r>
  <r>
    <x v="62"/>
    <x v="51"/>
    <x v="48"/>
    <x v="6"/>
    <x v="6"/>
    <x v="1"/>
    <x v="6"/>
    <x v="6"/>
  </r>
  <r>
    <x v="62"/>
    <x v="51"/>
    <x v="48"/>
    <x v="7"/>
    <x v="7"/>
    <x v="1"/>
    <x v="6"/>
    <x v="6"/>
  </r>
  <r>
    <x v="63"/>
    <x v="52"/>
    <x v="49"/>
    <x v="55"/>
    <x v="70"/>
    <x v="1"/>
    <x v="14"/>
    <x v="29"/>
  </r>
  <r>
    <x v="63"/>
    <x v="52"/>
    <x v="49"/>
    <x v="1"/>
    <x v="1"/>
    <x v="0"/>
    <x v="56"/>
    <x v="76"/>
  </r>
  <r>
    <x v="64"/>
    <x v="0"/>
    <x v="49"/>
    <x v="0"/>
    <x v="0"/>
    <x v="10"/>
    <x v="0"/>
    <x v="77"/>
  </r>
  <r>
    <x v="64"/>
    <x v="0"/>
    <x v="49"/>
    <x v="1"/>
    <x v="1"/>
    <x v="0"/>
    <x v="57"/>
    <x v="78"/>
  </r>
  <r>
    <x v="65"/>
    <x v="53"/>
    <x v="49"/>
    <x v="56"/>
    <x v="71"/>
    <x v="4"/>
    <x v="58"/>
    <x v="79"/>
  </r>
  <r>
    <x v="65"/>
    <x v="53"/>
    <x v="49"/>
    <x v="57"/>
    <x v="72"/>
    <x v="4"/>
    <x v="59"/>
    <x v="80"/>
  </r>
  <r>
    <x v="65"/>
    <x v="53"/>
    <x v="49"/>
    <x v="1"/>
    <x v="1"/>
    <x v="0"/>
    <x v="60"/>
    <x v="81"/>
  </r>
  <r>
    <x v="66"/>
    <x v="25"/>
    <x v="49"/>
    <x v="58"/>
    <x v="73"/>
    <x v="0"/>
    <x v="61"/>
    <x v="82"/>
  </r>
  <r>
    <x v="66"/>
    <x v="25"/>
    <x v="49"/>
    <x v="59"/>
    <x v="1"/>
    <x v="0"/>
    <x v="62"/>
    <x v="83"/>
  </r>
  <r>
    <x v="66"/>
    <x v="25"/>
    <x v="49"/>
    <x v="33"/>
    <x v="1"/>
    <x v="0"/>
    <x v="63"/>
    <x v="84"/>
  </r>
  <r>
    <x v="67"/>
    <x v="54"/>
    <x v="50"/>
    <x v="44"/>
    <x v="51"/>
    <x v="0"/>
    <x v="17"/>
    <x v="19"/>
  </r>
  <r>
    <x v="68"/>
    <x v="55"/>
    <x v="49"/>
    <x v="10"/>
    <x v="10"/>
    <x v="1"/>
    <x v="35"/>
    <x v="85"/>
  </r>
  <r>
    <x v="68"/>
    <x v="55"/>
    <x v="49"/>
    <x v="60"/>
    <x v="1"/>
    <x v="0"/>
    <x v="64"/>
    <x v="86"/>
  </r>
  <r>
    <x v="68"/>
    <x v="55"/>
    <x v="49"/>
    <x v="1"/>
    <x v="1"/>
    <x v="0"/>
    <x v="65"/>
    <x v="87"/>
  </r>
  <r>
    <x v="69"/>
    <x v="12"/>
    <x v="49"/>
    <x v="61"/>
    <x v="74"/>
    <x v="1"/>
    <x v="6"/>
    <x v="6"/>
  </r>
  <r>
    <x v="70"/>
    <x v="56"/>
    <x v="51"/>
    <x v="62"/>
    <x v="75"/>
    <x v="1"/>
    <x v="66"/>
    <x v="88"/>
  </r>
  <r>
    <x v="70"/>
    <x v="56"/>
    <x v="51"/>
    <x v="6"/>
    <x v="57"/>
    <x v="1"/>
    <x v="6"/>
    <x v="6"/>
  </r>
  <r>
    <x v="70"/>
    <x v="56"/>
    <x v="51"/>
    <x v="12"/>
    <x v="76"/>
    <x v="1"/>
    <x v="6"/>
    <x v="6"/>
  </r>
  <r>
    <x v="70"/>
    <x v="56"/>
    <x v="51"/>
    <x v="7"/>
    <x v="77"/>
    <x v="1"/>
    <x v="6"/>
    <x v="6"/>
  </r>
  <r>
    <x v="70"/>
    <x v="56"/>
    <x v="51"/>
    <x v="14"/>
    <x v="78"/>
    <x v="1"/>
    <x v="67"/>
    <x v="89"/>
  </r>
  <r>
    <x v="70"/>
    <x v="56"/>
    <x v="51"/>
    <x v="19"/>
    <x v="19"/>
    <x v="0"/>
    <x v="55"/>
    <x v="73"/>
  </r>
  <r>
    <x v="70"/>
    <x v="56"/>
    <x v="51"/>
    <x v="1"/>
    <x v="1"/>
    <x v="0"/>
    <x v="68"/>
    <x v="90"/>
  </r>
  <r>
    <x v="71"/>
    <x v="57"/>
    <x v="52"/>
    <x v="53"/>
    <x v="68"/>
    <x v="0"/>
    <x v="54"/>
    <x v="71"/>
  </r>
  <r>
    <x v="72"/>
    <x v="58"/>
    <x v="53"/>
    <x v="9"/>
    <x v="9"/>
    <x v="1"/>
    <x v="8"/>
    <x v="64"/>
  </r>
  <r>
    <x v="73"/>
    <x v="59"/>
    <x v="54"/>
    <x v="44"/>
    <x v="51"/>
    <x v="0"/>
    <x v="17"/>
    <x v="19"/>
  </r>
  <r>
    <x v="73"/>
    <x v="59"/>
    <x v="54"/>
    <x v="10"/>
    <x v="10"/>
    <x v="1"/>
    <x v="9"/>
    <x v="9"/>
  </r>
  <r>
    <x v="74"/>
    <x v="60"/>
    <x v="55"/>
    <x v="63"/>
    <x v="79"/>
    <x v="1"/>
    <x v="69"/>
    <x v="91"/>
  </r>
  <r>
    <x v="74"/>
    <x v="60"/>
    <x v="55"/>
    <x v="54"/>
    <x v="69"/>
    <x v="0"/>
    <x v="12"/>
    <x v="53"/>
  </r>
  <r>
    <x v="75"/>
    <x v="61"/>
    <x v="56"/>
    <x v="34"/>
    <x v="80"/>
    <x v="0"/>
    <x v="6"/>
    <x v="6"/>
  </r>
  <r>
    <x v="75"/>
    <x v="61"/>
    <x v="56"/>
    <x v="64"/>
    <x v="81"/>
    <x v="1"/>
    <x v="6"/>
    <x v="6"/>
  </r>
  <r>
    <x v="75"/>
    <x v="61"/>
    <x v="56"/>
    <x v="65"/>
    <x v="82"/>
    <x v="0"/>
    <x v="6"/>
    <x v="6"/>
  </r>
  <r>
    <x v="76"/>
    <x v="62"/>
    <x v="57"/>
    <x v="3"/>
    <x v="3"/>
    <x v="0"/>
    <x v="3"/>
    <x v="3"/>
  </r>
  <r>
    <x v="77"/>
    <x v="63"/>
    <x v="58"/>
    <x v="0"/>
    <x v="0"/>
    <x v="1"/>
    <x v="15"/>
    <x v="16"/>
  </r>
  <r>
    <x v="77"/>
    <x v="63"/>
    <x v="58"/>
    <x v="8"/>
    <x v="8"/>
    <x v="2"/>
    <x v="7"/>
    <x v="74"/>
  </r>
  <r>
    <x v="78"/>
    <x v="64"/>
    <x v="59"/>
    <x v="9"/>
    <x v="9"/>
    <x v="0"/>
    <x v="8"/>
    <x v="8"/>
  </r>
  <r>
    <x v="79"/>
    <x v="65"/>
    <x v="60"/>
    <x v="22"/>
    <x v="11"/>
    <x v="0"/>
    <x v="17"/>
    <x v="19"/>
  </r>
  <r>
    <x v="80"/>
    <x v="66"/>
    <x v="56"/>
    <x v="0"/>
    <x v="0"/>
    <x v="1"/>
    <x v="15"/>
    <x v="16"/>
  </r>
  <r>
    <x v="80"/>
    <x v="66"/>
    <x v="56"/>
    <x v="66"/>
    <x v="1"/>
    <x v="0"/>
    <x v="70"/>
    <x v="92"/>
  </r>
  <r>
    <x v="80"/>
    <x v="66"/>
    <x v="56"/>
    <x v="1"/>
    <x v="1"/>
    <x v="0"/>
    <x v="71"/>
    <x v="93"/>
  </r>
  <r>
    <x v="81"/>
    <x v="67"/>
    <x v="61"/>
    <x v="11"/>
    <x v="11"/>
    <x v="0"/>
    <x v="10"/>
    <x v="47"/>
  </r>
  <r>
    <x v="82"/>
    <x v="68"/>
    <x v="62"/>
    <x v="9"/>
    <x v="9"/>
    <x v="11"/>
    <x v="8"/>
    <x v="94"/>
  </r>
  <r>
    <x v="83"/>
    <x v="42"/>
    <x v="63"/>
    <x v="4"/>
    <x v="4"/>
    <x v="0"/>
    <x v="4"/>
    <x v="4"/>
  </r>
  <r>
    <x v="83"/>
    <x v="42"/>
    <x v="63"/>
    <x v="5"/>
    <x v="5"/>
    <x v="0"/>
    <x v="5"/>
    <x v="5"/>
  </r>
  <r>
    <x v="83"/>
    <x v="42"/>
    <x v="63"/>
    <x v="6"/>
    <x v="6"/>
    <x v="0"/>
    <x v="6"/>
    <x v="6"/>
  </r>
  <r>
    <x v="83"/>
    <x v="42"/>
    <x v="63"/>
    <x v="7"/>
    <x v="7"/>
    <x v="0"/>
    <x v="6"/>
    <x v="6"/>
  </r>
  <r>
    <x v="84"/>
    <x v="69"/>
    <x v="64"/>
    <x v="67"/>
    <x v="83"/>
    <x v="0"/>
    <x v="72"/>
    <x v="95"/>
  </r>
  <r>
    <x v="84"/>
    <x v="69"/>
    <x v="64"/>
    <x v="68"/>
    <x v="84"/>
    <x v="10"/>
    <x v="6"/>
    <x v="6"/>
  </r>
  <r>
    <x v="84"/>
    <x v="69"/>
    <x v="64"/>
    <x v="69"/>
    <x v="85"/>
    <x v="10"/>
    <x v="73"/>
    <x v="96"/>
  </r>
  <r>
    <x v="84"/>
    <x v="69"/>
    <x v="64"/>
    <x v="8"/>
    <x v="8"/>
    <x v="5"/>
    <x v="7"/>
    <x v="97"/>
  </r>
  <r>
    <x v="84"/>
    <x v="69"/>
    <x v="64"/>
    <x v="70"/>
    <x v="86"/>
    <x v="0"/>
    <x v="69"/>
    <x v="98"/>
  </r>
  <r>
    <x v="84"/>
    <x v="69"/>
    <x v="64"/>
    <x v="71"/>
    <x v="87"/>
    <x v="10"/>
    <x v="49"/>
    <x v="99"/>
  </r>
  <r>
    <x v="84"/>
    <x v="69"/>
    <x v="64"/>
    <x v="66"/>
    <x v="1"/>
    <x v="0"/>
    <x v="74"/>
    <x v="100"/>
  </r>
  <r>
    <x v="85"/>
    <x v="52"/>
    <x v="64"/>
    <x v="62"/>
    <x v="75"/>
    <x v="7"/>
    <x v="66"/>
    <x v="101"/>
  </r>
  <r>
    <x v="85"/>
    <x v="52"/>
    <x v="64"/>
    <x v="6"/>
    <x v="57"/>
    <x v="7"/>
    <x v="6"/>
    <x v="6"/>
  </r>
  <r>
    <x v="85"/>
    <x v="52"/>
    <x v="64"/>
    <x v="12"/>
    <x v="76"/>
    <x v="7"/>
    <x v="6"/>
    <x v="6"/>
  </r>
  <r>
    <x v="85"/>
    <x v="52"/>
    <x v="64"/>
    <x v="7"/>
    <x v="77"/>
    <x v="7"/>
    <x v="6"/>
    <x v="6"/>
  </r>
  <r>
    <x v="85"/>
    <x v="52"/>
    <x v="64"/>
    <x v="30"/>
    <x v="88"/>
    <x v="7"/>
    <x v="75"/>
    <x v="102"/>
  </r>
  <r>
    <x v="85"/>
    <x v="52"/>
    <x v="64"/>
    <x v="9"/>
    <x v="9"/>
    <x v="7"/>
    <x v="8"/>
    <x v="21"/>
  </r>
  <r>
    <x v="85"/>
    <x v="52"/>
    <x v="64"/>
    <x v="33"/>
    <x v="1"/>
    <x v="0"/>
    <x v="76"/>
    <x v="103"/>
  </r>
  <r>
    <x v="86"/>
    <x v="70"/>
    <x v="65"/>
    <x v="8"/>
    <x v="8"/>
    <x v="1"/>
    <x v="7"/>
    <x v="26"/>
  </r>
  <r>
    <x v="87"/>
    <x v="11"/>
    <x v="64"/>
    <x v="72"/>
    <x v="89"/>
    <x v="1"/>
    <x v="77"/>
    <x v="104"/>
  </r>
  <r>
    <x v="87"/>
    <x v="11"/>
    <x v="64"/>
    <x v="73"/>
    <x v="90"/>
    <x v="5"/>
    <x v="36"/>
    <x v="105"/>
  </r>
  <r>
    <x v="87"/>
    <x v="11"/>
    <x v="64"/>
    <x v="54"/>
    <x v="69"/>
    <x v="10"/>
    <x v="78"/>
    <x v="106"/>
  </r>
  <r>
    <x v="87"/>
    <x v="11"/>
    <x v="64"/>
    <x v="74"/>
    <x v="91"/>
    <x v="5"/>
    <x v="79"/>
    <x v="107"/>
  </r>
  <r>
    <x v="87"/>
    <x v="11"/>
    <x v="64"/>
    <x v="21"/>
    <x v="21"/>
    <x v="7"/>
    <x v="80"/>
    <x v="108"/>
  </r>
  <r>
    <x v="87"/>
    <x v="11"/>
    <x v="64"/>
    <x v="2"/>
    <x v="2"/>
    <x v="5"/>
    <x v="80"/>
    <x v="109"/>
  </r>
  <r>
    <x v="87"/>
    <x v="11"/>
    <x v="64"/>
    <x v="75"/>
    <x v="92"/>
    <x v="0"/>
    <x v="81"/>
    <x v="110"/>
  </r>
  <r>
    <x v="87"/>
    <x v="11"/>
    <x v="64"/>
    <x v="44"/>
    <x v="51"/>
    <x v="0"/>
    <x v="82"/>
    <x v="111"/>
  </r>
  <r>
    <x v="88"/>
    <x v="71"/>
    <x v="64"/>
    <x v="62"/>
    <x v="75"/>
    <x v="1"/>
    <x v="83"/>
    <x v="112"/>
  </r>
  <r>
    <x v="88"/>
    <x v="71"/>
    <x v="64"/>
    <x v="6"/>
    <x v="57"/>
    <x v="1"/>
    <x v="6"/>
    <x v="6"/>
  </r>
  <r>
    <x v="88"/>
    <x v="71"/>
    <x v="64"/>
    <x v="12"/>
    <x v="76"/>
    <x v="1"/>
    <x v="6"/>
    <x v="6"/>
  </r>
  <r>
    <x v="88"/>
    <x v="71"/>
    <x v="64"/>
    <x v="76"/>
    <x v="93"/>
    <x v="1"/>
    <x v="6"/>
    <x v="6"/>
  </r>
  <r>
    <x v="88"/>
    <x v="71"/>
    <x v="64"/>
    <x v="74"/>
    <x v="91"/>
    <x v="3"/>
    <x v="79"/>
    <x v="113"/>
  </r>
  <r>
    <x v="88"/>
    <x v="71"/>
    <x v="64"/>
    <x v="77"/>
    <x v="94"/>
    <x v="6"/>
    <x v="79"/>
    <x v="114"/>
  </r>
  <r>
    <x v="88"/>
    <x v="71"/>
    <x v="64"/>
    <x v="21"/>
    <x v="95"/>
    <x v="0"/>
    <x v="6"/>
    <x v="6"/>
  </r>
  <r>
    <x v="88"/>
    <x v="71"/>
    <x v="64"/>
    <x v="78"/>
    <x v="96"/>
    <x v="0"/>
    <x v="84"/>
    <x v="115"/>
  </r>
  <r>
    <x v="88"/>
    <x v="71"/>
    <x v="64"/>
    <x v="37"/>
    <x v="45"/>
    <x v="1"/>
    <x v="85"/>
    <x v="116"/>
  </r>
  <r>
    <x v="88"/>
    <x v="71"/>
    <x v="64"/>
    <x v="1"/>
    <x v="1"/>
    <x v="0"/>
    <x v="86"/>
    <x v="117"/>
  </r>
  <r>
    <x v="89"/>
    <x v="72"/>
    <x v="64"/>
    <x v="51"/>
    <x v="61"/>
    <x v="7"/>
    <x v="50"/>
    <x v="118"/>
  </r>
  <r>
    <x v="89"/>
    <x v="72"/>
    <x v="64"/>
    <x v="33"/>
    <x v="1"/>
    <x v="0"/>
    <x v="87"/>
    <x v="119"/>
  </r>
  <r>
    <x v="90"/>
    <x v="73"/>
    <x v="66"/>
    <x v="0"/>
    <x v="0"/>
    <x v="0"/>
    <x v="15"/>
    <x v="18"/>
  </r>
  <r>
    <x v="91"/>
    <x v="66"/>
    <x v="67"/>
    <x v="11"/>
    <x v="11"/>
    <x v="1"/>
    <x v="10"/>
    <x v="10"/>
  </r>
  <r>
    <x v="92"/>
    <x v="74"/>
    <x v="68"/>
    <x v="10"/>
    <x v="10"/>
    <x v="1"/>
    <x v="35"/>
    <x v="85"/>
  </r>
  <r>
    <x v="92"/>
    <x v="74"/>
    <x v="68"/>
    <x v="1"/>
    <x v="1"/>
    <x v="0"/>
    <x v="88"/>
    <x v="120"/>
  </r>
  <r>
    <x v="93"/>
    <x v="75"/>
    <x v="69"/>
    <x v="79"/>
    <x v="97"/>
    <x v="1"/>
    <x v="72"/>
    <x v="121"/>
  </r>
  <r>
    <x v="93"/>
    <x v="75"/>
    <x v="69"/>
    <x v="80"/>
    <x v="98"/>
    <x v="1"/>
    <x v="49"/>
    <x v="122"/>
  </r>
  <r>
    <x v="93"/>
    <x v="75"/>
    <x v="69"/>
    <x v="81"/>
    <x v="99"/>
    <x v="1"/>
    <x v="6"/>
    <x v="6"/>
  </r>
  <r>
    <x v="93"/>
    <x v="75"/>
    <x v="69"/>
    <x v="45"/>
    <x v="52"/>
    <x v="1"/>
    <x v="42"/>
    <x v="123"/>
  </r>
  <r>
    <x v="93"/>
    <x v="75"/>
    <x v="69"/>
    <x v="7"/>
    <x v="7"/>
    <x v="1"/>
    <x v="2"/>
    <x v="44"/>
  </r>
  <r>
    <x v="94"/>
    <x v="76"/>
    <x v="70"/>
    <x v="44"/>
    <x v="51"/>
    <x v="0"/>
    <x v="17"/>
    <x v="19"/>
  </r>
  <r>
    <x v="95"/>
    <x v="77"/>
    <x v="71"/>
    <x v="11"/>
    <x v="11"/>
    <x v="0"/>
    <x v="10"/>
    <x v="47"/>
  </r>
  <r>
    <x v="96"/>
    <x v="78"/>
    <x v="72"/>
    <x v="9"/>
    <x v="9"/>
    <x v="1"/>
    <x v="8"/>
    <x v="64"/>
  </r>
  <r>
    <x v="97"/>
    <x v="75"/>
    <x v="73"/>
    <x v="45"/>
    <x v="52"/>
    <x v="1"/>
    <x v="42"/>
    <x v="123"/>
  </r>
  <r>
    <x v="97"/>
    <x v="75"/>
    <x v="73"/>
    <x v="82"/>
    <x v="100"/>
    <x v="0"/>
    <x v="11"/>
    <x v="11"/>
  </r>
  <r>
    <x v="97"/>
    <x v="75"/>
    <x v="73"/>
    <x v="11"/>
    <x v="11"/>
    <x v="0"/>
    <x v="10"/>
    <x v="47"/>
  </r>
  <r>
    <x v="98"/>
    <x v="33"/>
    <x v="74"/>
    <x v="11"/>
    <x v="11"/>
    <x v="0"/>
    <x v="10"/>
    <x v="47"/>
  </r>
  <r>
    <x v="99"/>
    <x v="79"/>
    <x v="75"/>
    <x v="79"/>
    <x v="97"/>
    <x v="0"/>
    <x v="72"/>
    <x v="95"/>
  </r>
  <r>
    <x v="99"/>
    <x v="79"/>
    <x v="75"/>
    <x v="81"/>
    <x v="99"/>
    <x v="0"/>
    <x v="6"/>
    <x v="6"/>
  </r>
  <r>
    <x v="100"/>
    <x v="80"/>
    <x v="76"/>
    <x v="0"/>
    <x v="0"/>
    <x v="0"/>
    <x v="15"/>
    <x v="18"/>
  </r>
  <r>
    <x v="101"/>
    <x v="81"/>
    <x v="77"/>
    <x v="4"/>
    <x v="4"/>
    <x v="1"/>
    <x v="4"/>
    <x v="72"/>
  </r>
  <r>
    <x v="101"/>
    <x v="81"/>
    <x v="77"/>
    <x v="45"/>
    <x v="52"/>
    <x v="1"/>
    <x v="6"/>
    <x v="6"/>
  </r>
  <r>
    <x v="101"/>
    <x v="81"/>
    <x v="77"/>
    <x v="6"/>
    <x v="6"/>
    <x v="1"/>
    <x v="6"/>
    <x v="6"/>
  </r>
  <r>
    <x v="101"/>
    <x v="81"/>
    <x v="77"/>
    <x v="7"/>
    <x v="7"/>
    <x v="1"/>
    <x v="6"/>
    <x v="6"/>
  </r>
  <r>
    <x v="102"/>
    <x v="82"/>
    <x v="78"/>
    <x v="19"/>
    <x v="19"/>
    <x v="0"/>
    <x v="55"/>
    <x v="73"/>
  </r>
  <r>
    <x v="103"/>
    <x v="83"/>
    <x v="79"/>
    <x v="9"/>
    <x v="9"/>
    <x v="1"/>
    <x v="8"/>
    <x v="64"/>
  </r>
  <r>
    <x v="104"/>
    <x v="84"/>
    <x v="80"/>
    <x v="83"/>
    <x v="101"/>
    <x v="1"/>
    <x v="53"/>
    <x v="124"/>
  </r>
  <r>
    <x v="104"/>
    <x v="84"/>
    <x v="80"/>
    <x v="84"/>
    <x v="102"/>
    <x v="0"/>
    <x v="42"/>
    <x v="56"/>
  </r>
  <r>
    <x v="104"/>
    <x v="84"/>
    <x v="80"/>
    <x v="85"/>
    <x v="103"/>
    <x v="1"/>
    <x v="69"/>
    <x v="91"/>
  </r>
  <r>
    <x v="104"/>
    <x v="84"/>
    <x v="80"/>
    <x v="86"/>
    <x v="104"/>
    <x v="0"/>
    <x v="9"/>
    <x v="125"/>
  </r>
  <r>
    <x v="104"/>
    <x v="84"/>
    <x v="80"/>
    <x v="6"/>
    <x v="6"/>
    <x v="0"/>
    <x v="6"/>
    <x v="6"/>
  </r>
  <r>
    <x v="104"/>
    <x v="84"/>
    <x v="80"/>
    <x v="87"/>
    <x v="105"/>
    <x v="0"/>
    <x v="6"/>
    <x v="6"/>
  </r>
  <r>
    <x v="105"/>
    <x v="85"/>
    <x v="81"/>
    <x v="53"/>
    <x v="68"/>
    <x v="0"/>
    <x v="54"/>
    <x v="71"/>
  </r>
  <r>
    <x v="106"/>
    <x v="86"/>
    <x v="82"/>
    <x v="22"/>
    <x v="11"/>
    <x v="0"/>
    <x v="22"/>
    <x v="126"/>
  </r>
  <r>
    <x v="107"/>
    <x v="87"/>
    <x v="83"/>
    <x v="58"/>
    <x v="73"/>
    <x v="1"/>
    <x v="61"/>
    <x v="127"/>
  </r>
  <r>
    <x v="107"/>
    <x v="87"/>
    <x v="83"/>
    <x v="44"/>
    <x v="51"/>
    <x v="1"/>
    <x v="82"/>
    <x v="128"/>
  </r>
  <r>
    <x v="107"/>
    <x v="87"/>
    <x v="83"/>
    <x v="1"/>
    <x v="1"/>
    <x v="0"/>
    <x v="89"/>
    <x v="129"/>
  </r>
  <r>
    <x v="108"/>
    <x v="88"/>
    <x v="83"/>
    <x v="8"/>
    <x v="8"/>
    <x v="7"/>
    <x v="6"/>
    <x v="6"/>
  </r>
  <r>
    <x v="108"/>
    <x v="88"/>
    <x v="83"/>
    <x v="6"/>
    <x v="6"/>
    <x v="7"/>
    <x v="6"/>
    <x v="6"/>
  </r>
  <r>
    <x v="108"/>
    <x v="88"/>
    <x v="83"/>
    <x v="88"/>
    <x v="106"/>
    <x v="1"/>
    <x v="6"/>
    <x v="6"/>
  </r>
  <r>
    <x v="108"/>
    <x v="88"/>
    <x v="83"/>
    <x v="12"/>
    <x v="12"/>
    <x v="7"/>
    <x v="6"/>
    <x v="6"/>
  </r>
  <r>
    <x v="109"/>
    <x v="89"/>
    <x v="83"/>
    <x v="4"/>
    <x v="4"/>
    <x v="1"/>
    <x v="4"/>
    <x v="72"/>
  </r>
  <r>
    <x v="109"/>
    <x v="89"/>
    <x v="83"/>
    <x v="6"/>
    <x v="57"/>
    <x v="1"/>
    <x v="6"/>
    <x v="6"/>
  </r>
  <r>
    <x v="109"/>
    <x v="89"/>
    <x v="83"/>
    <x v="89"/>
    <x v="107"/>
    <x v="1"/>
    <x v="6"/>
    <x v="6"/>
  </r>
  <r>
    <x v="109"/>
    <x v="89"/>
    <x v="83"/>
    <x v="90"/>
    <x v="108"/>
    <x v="1"/>
    <x v="6"/>
    <x v="6"/>
  </r>
  <r>
    <x v="109"/>
    <x v="89"/>
    <x v="83"/>
    <x v="45"/>
    <x v="67"/>
    <x v="1"/>
    <x v="6"/>
    <x v="6"/>
  </r>
  <r>
    <x v="109"/>
    <x v="89"/>
    <x v="83"/>
    <x v="2"/>
    <x v="66"/>
    <x v="1"/>
    <x v="6"/>
    <x v="6"/>
  </r>
  <r>
    <x v="109"/>
    <x v="89"/>
    <x v="83"/>
    <x v="91"/>
    <x v="109"/>
    <x v="1"/>
    <x v="6"/>
    <x v="6"/>
  </r>
  <r>
    <x v="109"/>
    <x v="89"/>
    <x v="83"/>
    <x v="9"/>
    <x v="9"/>
    <x v="1"/>
    <x v="8"/>
    <x v="64"/>
  </r>
  <r>
    <x v="109"/>
    <x v="89"/>
    <x v="83"/>
    <x v="3"/>
    <x v="3"/>
    <x v="1"/>
    <x v="3"/>
    <x v="43"/>
  </r>
  <r>
    <x v="109"/>
    <x v="89"/>
    <x v="83"/>
    <x v="45"/>
    <x v="52"/>
    <x v="1"/>
    <x v="42"/>
    <x v="123"/>
  </r>
  <r>
    <x v="110"/>
    <x v="11"/>
    <x v="83"/>
    <x v="92"/>
    <x v="110"/>
    <x v="12"/>
    <x v="90"/>
    <x v="130"/>
  </r>
  <r>
    <x v="110"/>
    <x v="11"/>
    <x v="83"/>
    <x v="93"/>
    <x v="111"/>
    <x v="12"/>
    <x v="6"/>
    <x v="6"/>
  </r>
  <r>
    <x v="111"/>
    <x v="84"/>
    <x v="83"/>
    <x v="28"/>
    <x v="27"/>
    <x v="0"/>
    <x v="11"/>
    <x v="11"/>
  </r>
  <r>
    <x v="111"/>
    <x v="84"/>
    <x v="83"/>
    <x v="94"/>
    <x v="112"/>
    <x v="0"/>
    <x v="13"/>
    <x v="131"/>
  </r>
  <r>
    <x v="111"/>
    <x v="84"/>
    <x v="83"/>
    <x v="95"/>
    <x v="113"/>
    <x v="0"/>
    <x v="91"/>
    <x v="132"/>
  </r>
  <r>
    <x v="111"/>
    <x v="84"/>
    <x v="83"/>
    <x v="96"/>
    <x v="114"/>
    <x v="0"/>
    <x v="15"/>
    <x v="18"/>
  </r>
  <r>
    <x v="111"/>
    <x v="84"/>
    <x v="83"/>
    <x v="97"/>
    <x v="115"/>
    <x v="0"/>
    <x v="6"/>
    <x v="6"/>
  </r>
  <r>
    <x v="111"/>
    <x v="84"/>
    <x v="83"/>
    <x v="98"/>
    <x v="116"/>
    <x v="0"/>
    <x v="6"/>
    <x v="6"/>
  </r>
  <r>
    <x v="111"/>
    <x v="84"/>
    <x v="83"/>
    <x v="42"/>
    <x v="117"/>
    <x v="0"/>
    <x v="6"/>
    <x v="6"/>
  </r>
  <r>
    <x v="112"/>
    <x v="90"/>
    <x v="84"/>
    <x v="74"/>
    <x v="91"/>
    <x v="1"/>
    <x v="92"/>
    <x v="133"/>
  </r>
  <r>
    <x v="112"/>
    <x v="90"/>
    <x v="84"/>
    <x v="77"/>
    <x v="94"/>
    <x v="0"/>
    <x v="92"/>
    <x v="134"/>
  </r>
  <r>
    <x v="112"/>
    <x v="90"/>
    <x v="84"/>
    <x v="27"/>
    <x v="42"/>
    <x v="0"/>
    <x v="12"/>
    <x v="53"/>
  </r>
  <r>
    <x v="113"/>
    <x v="91"/>
    <x v="85"/>
    <x v="44"/>
    <x v="51"/>
    <x v="4"/>
    <x v="17"/>
    <x v="135"/>
  </r>
  <r>
    <x v="114"/>
    <x v="92"/>
    <x v="86"/>
    <x v="11"/>
    <x v="11"/>
    <x v="0"/>
    <x v="10"/>
    <x v="47"/>
  </r>
  <r>
    <x v="115"/>
    <x v="93"/>
    <x v="87"/>
    <x v="99"/>
    <x v="118"/>
    <x v="7"/>
    <x v="20"/>
    <x v="99"/>
  </r>
  <r>
    <x v="115"/>
    <x v="93"/>
    <x v="87"/>
    <x v="1"/>
    <x v="1"/>
    <x v="0"/>
    <x v="93"/>
    <x v="136"/>
  </r>
  <r>
    <x v="116"/>
    <x v="94"/>
    <x v="87"/>
    <x v="100"/>
    <x v="119"/>
    <x v="1"/>
    <x v="94"/>
    <x v="137"/>
  </r>
  <r>
    <x v="116"/>
    <x v="94"/>
    <x v="87"/>
    <x v="6"/>
    <x v="57"/>
    <x v="1"/>
    <x v="6"/>
    <x v="6"/>
  </r>
  <r>
    <x v="116"/>
    <x v="94"/>
    <x v="87"/>
    <x v="45"/>
    <x v="67"/>
    <x v="5"/>
    <x v="6"/>
    <x v="6"/>
  </r>
  <r>
    <x v="116"/>
    <x v="94"/>
    <x v="87"/>
    <x v="2"/>
    <x v="66"/>
    <x v="5"/>
    <x v="6"/>
    <x v="6"/>
  </r>
  <r>
    <x v="116"/>
    <x v="94"/>
    <x v="87"/>
    <x v="101"/>
    <x v="120"/>
    <x v="0"/>
    <x v="95"/>
    <x v="138"/>
  </r>
  <r>
    <x v="116"/>
    <x v="94"/>
    <x v="87"/>
    <x v="33"/>
    <x v="1"/>
    <x v="0"/>
    <x v="96"/>
    <x v="139"/>
  </r>
  <r>
    <x v="117"/>
    <x v="95"/>
    <x v="88"/>
    <x v="22"/>
    <x v="11"/>
    <x v="0"/>
    <x v="17"/>
    <x v="19"/>
  </r>
  <r>
    <x v="118"/>
    <x v="96"/>
    <x v="89"/>
    <x v="9"/>
    <x v="9"/>
    <x v="0"/>
    <x v="8"/>
    <x v="8"/>
  </r>
  <r>
    <x v="119"/>
    <x v="97"/>
    <x v="87"/>
    <x v="8"/>
    <x v="8"/>
    <x v="1"/>
    <x v="97"/>
    <x v="140"/>
  </r>
  <r>
    <x v="119"/>
    <x v="97"/>
    <x v="87"/>
    <x v="10"/>
    <x v="10"/>
    <x v="4"/>
    <x v="35"/>
    <x v="141"/>
  </r>
  <r>
    <x v="119"/>
    <x v="97"/>
    <x v="87"/>
    <x v="91"/>
    <x v="121"/>
    <x v="5"/>
    <x v="98"/>
    <x v="142"/>
  </r>
  <r>
    <x v="119"/>
    <x v="97"/>
    <x v="87"/>
    <x v="1"/>
    <x v="1"/>
    <x v="0"/>
    <x v="99"/>
    <x v="143"/>
  </r>
  <r>
    <x v="120"/>
    <x v="37"/>
    <x v="87"/>
    <x v="4"/>
    <x v="4"/>
    <x v="1"/>
    <x v="4"/>
    <x v="72"/>
  </r>
  <r>
    <x v="120"/>
    <x v="37"/>
    <x v="87"/>
    <x v="5"/>
    <x v="122"/>
    <x v="1"/>
    <x v="5"/>
    <x v="144"/>
  </r>
  <r>
    <x v="120"/>
    <x v="37"/>
    <x v="87"/>
    <x v="6"/>
    <x v="57"/>
    <x v="1"/>
    <x v="6"/>
    <x v="6"/>
  </r>
  <r>
    <x v="120"/>
    <x v="37"/>
    <x v="87"/>
    <x v="7"/>
    <x v="77"/>
    <x v="1"/>
    <x v="6"/>
    <x v="6"/>
  </r>
  <r>
    <x v="120"/>
    <x v="37"/>
    <x v="87"/>
    <x v="102"/>
    <x v="123"/>
    <x v="7"/>
    <x v="49"/>
    <x v="63"/>
  </r>
  <r>
    <x v="120"/>
    <x v="37"/>
    <x v="87"/>
    <x v="1"/>
    <x v="1"/>
    <x v="0"/>
    <x v="100"/>
    <x v="145"/>
  </r>
  <r>
    <x v="121"/>
    <x v="98"/>
    <x v="90"/>
    <x v="45"/>
    <x v="52"/>
    <x v="0"/>
    <x v="42"/>
    <x v="56"/>
  </r>
  <r>
    <x v="122"/>
    <x v="98"/>
    <x v="91"/>
    <x v="79"/>
    <x v="97"/>
    <x v="0"/>
    <x v="72"/>
    <x v="95"/>
  </r>
  <r>
    <x v="122"/>
    <x v="98"/>
    <x v="91"/>
    <x v="81"/>
    <x v="99"/>
    <x v="0"/>
    <x v="6"/>
    <x v="6"/>
  </r>
  <r>
    <x v="122"/>
    <x v="98"/>
    <x v="91"/>
    <x v="6"/>
    <x v="6"/>
    <x v="0"/>
    <x v="49"/>
    <x v="65"/>
  </r>
  <r>
    <x v="123"/>
    <x v="99"/>
    <x v="92"/>
    <x v="4"/>
    <x v="4"/>
    <x v="1"/>
    <x v="4"/>
    <x v="72"/>
  </r>
  <r>
    <x v="123"/>
    <x v="99"/>
    <x v="92"/>
    <x v="5"/>
    <x v="5"/>
    <x v="1"/>
    <x v="5"/>
    <x v="144"/>
  </r>
  <r>
    <x v="123"/>
    <x v="99"/>
    <x v="92"/>
    <x v="103"/>
    <x v="124"/>
    <x v="1"/>
    <x v="101"/>
    <x v="146"/>
  </r>
  <r>
    <x v="123"/>
    <x v="99"/>
    <x v="92"/>
    <x v="6"/>
    <x v="6"/>
    <x v="1"/>
    <x v="6"/>
    <x v="6"/>
  </r>
  <r>
    <x v="123"/>
    <x v="99"/>
    <x v="92"/>
    <x v="7"/>
    <x v="7"/>
    <x v="1"/>
    <x v="6"/>
    <x v="6"/>
  </r>
  <r>
    <x v="123"/>
    <x v="99"/>
    <x v="92"/>
    <x v="9"/>
    <x v="9"/>
    <x v="7"/>
    <x v="8"/>
    <x v="21"/>
  </r>
  <r>
    <x v="123"/>
    <x v="99"/>
    <x v="92"/>
    <x v="5"/>
    <x v="5"/>
    <x v="0"/>
    <x v="11"/>
    <x v="11"/>
  </r>
  <r>
    <x v="124"/>
    <x v="37"/>
    <x v="93"/>
    <x v="4"/>
    <x v="4"/>
    <x v="1"/>
    <x v="4"/>
    <x v="72"/>
  </r>
  <r>
    <x v="124"/>
    <x v="37"/>
    <x v="93"/>
    <x v="5"/>
    <x v="5"/>
    <x v="1"/>
    <x v="5"/>
    <x v="144"/>
  </r>
  <r>
    <x v="124"/>
    <x v="37"/>
    <x v="93"/>
    <x v="6"/>
    <x v="6"/>
    <x v="1"/>
    <x v="6"/>
    <x v="6"/>
  </r>
  <r>
    <x v="124"/>
    <x v="37"/>
    <x v="93"/>
    <x v="7"/>
    <x v="7"/>
    <x v="1"/>
    <x v="6"/>
    <x v="6"/>
  </r>
  <r>
    <x v="124"/>
    <x v="37"/>
    <x v="93"/>
    <x v="102"/>
    <x v="123"/>
    <x v="7"/>
    <x v="49"/>
    <x v="63"/>
  </r>
  <r>
    <x v="125"/>
    <x v="100"/>
    <x v="94"/>
    <x v="44"/>
    <x v="51"/>
    <x v="0"/>
    <x v="17"/>
    <x v="19"/>
  </r>
  <r>
    <x v="126"/>
    <x v="101"/>
    <x v="95"/>
    <x v="23"/>
    <x v="22"/>
    <x v="0"/>
    <x v="102"/>
    <x v="147"/>
  </r>
  <r>
    <x v="127"/>
    <x v="102"/>
    <x v="96"/>
    <x v="104"/>
    <x v="125"/>
    <x v="6"/>
    <x v="103"/>
    <x v="102"/>
  </r>
  <r>
    <x v="127"/>
    <x v="102"/>
    <x v="96"/>
    <x v="105"/>
    <x v="1"/>
    <x v="3"/>
    <x v="104"/>
    <x v="148"/>
  </r>
  <r>
    <x v="128"/>
    <x v="103"/>
    <x v="97"/>
    <x v="22"/>
    <x v="11"/>
    <x v="0"/>
    <x v="17"/>
    <x v="19"/>
  </r>
  <r>
    <x v="129"/>
    <x v="104"/>
    <x v="98"/>
    <x v="22"/>
    <x v="11"/>
    <x v="0"/>
    <x v="17"/>
    <x v="19"/>
  </r>
  <r>
    <x v="130"/>
    <x v="105"/>
    <x v="99"/>
    <x v="106"/>
    <x v="126"/>
    <x v="0"/>
    <x v="105"/>
    <x v="149"/>
  </r>
  <r>
    <x v="130"/>
    <x v="105"/>
    <x v="99"/>
    <x v="107"/>
    <x v="127"/>
    <x v="0"/>
    <x v="6"/>
    <x v="6"/>
  </r>
  <r>
    <x v="130"/>
    <x v="105"/>
    <x v="99"/>
    <x v="108"/>
    <x v="128"/>
    <x v="1"/>
    <x v="6"/>
    <x v="6"/>
  </r>
  <r>
    <x v="130"/>
    <x v="105"/>
    <x v="99"/>
    <x v="109"/>
    <x v="129"/>
    <x v="0"/>
    <x v="6"/>
    <x v="6"/>
  </r>
  <r>
    <x v="130"/>
    <x v="105"/>
    <x v="99"/>
    <x v="51"/>
    <x v="61"/>
    <x v="7"/>
    <x v="106"/>
    <x v="150"/>
  </r>
  <r>
    <x v="130"/>
    <x v="105"/>
    <x v="99"/>
    <x v="91"/>
    <x v="109"/>
    <x v="1"/>
    <x v="6"/>
    <x v="6"/>
  </r>
  <r>
    <x v="130"/>
    <x v="105"/>
    <x v="99"/>
    <x v="21"/>
    <x v="95"/>
    <x v="1"/>
    <x v="6"/>
    <x v="6"/>
  </r>
  <r>
    <x v="130"/>
    <x v="105"/>
    <x v="99"/>
    <x v="76"/>
    <x v="130"/>
    <x v="1"/>
    <x v="42"/>
    <x v="123"/>
  </r>
  <r>
    <x v="130"/>
    <x v="105"/>
    <x v="99"/>
    <x v="110"/>
    <x v="131"/>
    <x v="1"/>
    <x v="6"/>
    <x v="6"/>
  </r>
  <r>
    <x v="130"/>
    <x v="105"/>
    <x v="99"/>
    <x v="33"/>
    <x v="1"/>
    <x v="0"/>
    <x v="107"/>
    <x v="151"/>
  </r>
  <r>
    <x v="131"/>
    <x v="106"/>
    <x v="99"/>
    <x v="111"/>
    <x v="132"/>
    <x v="13"/>
    <x v="6"/>
    <x v="6"/>
  </r>
  <r>
    <x v="132"/>
    <x v="107"/>
    <x v="100"/>
    <x v="6"/>
    <x v="6"/>
    <x v="0"/>
    <x v="49"/>
    <x v="65"/>
  </r>
  <r>
    <x v="132"/>
    <x v="107"/>
    <x v="100"/>
    <x v="70"/>
    <x v="86"/>
    <x v="0"/>
    <x v="69"/>
    <x v="98"/>
  </r>
  <r>
    <x v="132"/>
    <x v="107"/>
    <x v="100"/>
    <x v="112"/>
    <x v="133"/>
    <x v="1"/>
    <x v="108"/>
    <x v="152"/>
  </r>
  <r>
    <x v="133"/>
    <x v="45"/>
    <x v="101"/>
    <x v="23"/>
    <x v="22"/>
    <x v="1"/>
    <x v="18"/>
    <x v="153"/>
  </r>
  <r>
    <x v="134"/>
    <x v="108"/>
    <x v="102"/>
    <x v="58"/>
    <x v="73"/>
    <x v="0"/>
    <x v="109"/>
    <x v="154"/>
  </r>
  <r>
    <x v="135"/>
    <x v="25"/>
    <x v="99"/>
    <x v="27"/>
    <x v="42"/>
    <x v="3"/>
    <x v="78"/>
    <x v="155"/>
  </r>
  <r>
    <x v="135"/>
    <x v="25"/>
    <x v="99"/>
    <x v="1"/>
    <x v="1"/>
    <x v="0"/>
    <x v="47"/>
    <x v="61"/>
  </r>
  <r>
    <x v="136"/>
    <x v="109"/>
    <x v="103"/>
    <x v="4"/>
    <x v="4"/>
    <x v="1"/>
    <x v="110"/>
    <x v="156"/>
  </r>
  <r>
    <x v="136"/>
    <x v="109"/>
    <x v="103"/>
    <x v="5"/>
    <x v="5"/>
    <x v="1"/>
    <x v="111"/>
    <x v="157"/>
  </r>
  <r>
    <x v="136"/>
    <x v="109"/>
    <x v="103"/>
    <x v="6"/>
    <x v="6"/>
    <x v="1"/>
    <x v="6"/>
    <x v="6"/>
  </r>
  <r>
    <x v="136"/>
    <x v="109"/>
    <x v="103"/>
    <x v="7"/>
    <x v="7"/>
    <x v="1"/>
    <x v="6"/>
    <x v="6"/>
  </r>
  <r>
    <x v="136"/>
    <x v="109"/>
    <x v="103"/>
    <x v="44"/>
    <x v="51"/>
    <x v="0"/>
    <x v="112"/>
    <x v="158"/>
  </r>
  <r>
    <x v="136"/>
    <x v="109"/>
    <x v="103"/>
    <x v="8"/>
    <x v="8"/>
    <x v="1"/>
    <x v="113"/>
    <x v="159"/>
  </r>
  <r>
    <x v="136"/>
    <x v="109"/>
    <x v="103"/>
    <x v="0"/>
    <x v="0"/>
    <x v="1"/>
    <x v="114"/>
    <x v="160"/>
  </r>
  <r>
    <x v="137"/>
    <x v="110"/>
    <x v="104"/>
    <x v="2"/>
    <x v="2"/>
    <x v="0"/>
    <x v="2"/>
    <x v="2"/>
  </r>
  <r>
    <x v="137"/>
    <x v="110"/>
    <x v="104"/>
    <x v="20"/>
    <x v="20"/>
    <x v="0"/>
    <x v="15"/>
    <x v="18"/>
  </r>
  <r>
    <x v="137"/>
    <x v="110"/>
    <x v="104"/>
    <x v="21"/>
    <x v="21"/>
    <x v="0"/>
    <x v="6"/>
    <x v="6"/>
  </r>
  <r>
    <x v="137"/>
    <x v="110"/>
    <x v="104"/>
    <x v="8"/>
    <x v="8"/>
    <x v="0"/>
    <x v="7"/>
    <x v="7"/>
  </r>
  <r>
    <x v="138"/>
    <x v="107"/>
    <x v="105"/>
    <x v="79"/>
    <x v="97"/>
    <x v="1"/>
    <x v="72"/>
    <x v="121"/>
  </r>
  <r>
    <x v="138"/>
    <x v="107"/>
    <x v="105"/>
    <x v="71"/>
    <x v="134"/>
    <x v="1"/>
    <x v="6"/>
    <x v="6"/>
  </r>
  <r>
    <x v="138"/>
    <x v="107"/>
    <x v="105"/>
    <x v="81"/>
    <x v="99"/>
    <x v="1"/>
    <x v="49"/>
    <x v="122"/>
  </r>
  <r>
    <x v="138"/>
    <x v="107"/>
    <x v="105"/>
    <x v="45"/>
    <x v="52"/>
    <x v="1"/>
    <x v="42"/>
    <x v="123"/>
  </r>
  <r>
    <x v="138"/>
    <x v="107"/>
    <x v="105"/>
    <x v="84"/>
    <x v="102"/>
    <x v="0"/>
    <x v="42"/>
    <x v="56"/>
  </r>
  <r>
    <x v="138"/>
    <x v="107"/>
    <x v="105"/>
    <x v="113"/>
    <x v="135"/>
    <x v="0"/>
    <x v="115"/>
    <x v="161"/>
  </r>
  <r>
    <x v="138"/>
    <x v="107"/>
    <x v="105"/>
    <x v="2"/>
    <x v="136"/>
    <x v="1"/>
    <x v="6"/>
    <x v="6"/>
  </r>
  <r>
    <x v="139"/>
    <x v="83"/>
    <x v="106"/>
    <x v="9"/>
    <x v="9"/>
    <x v="7"/>
    <x v="8"/>
    <x v="21"/>
  </r>
  <r>
    <x v="140"/>
    <x v="32"/>
    <x v="105"/>
    <x v="34"/>
    <x v="137"/>
    <x v="0"/>
    <x v="116"/>
    <x v="162"/>
  </r>
  <r>
    <x v="140"/>
    <x v="32"/>
    <x v="105"/>
    <x v="114"/>
    <x v="138"/>
    <x v="0"/>
    <x v="117"/>
    <x v="130"/>
  </r>
  <r>
    <x v="140"/>
    <x v="32"/>
    <x v="105"/>
    <x v="115"/>
    <x v="139"/>
    <x v="0"/>
    <x v="6"/>
    <x v="6"/>
  </r>
  <r>
    <x v="140"/>
    <x v="32"/>
    <x v="105"/>
    <x v="1"/>
    <x v="1"/>
    <x v="0"/>
    <x v="118"/>
    <x v="163"/>
  </r>
  <r>
    <x v="141"/>
    <x v="111"/>
    <x v="107"/>
    <x v="0"/>
    <x v="0"/>
    <x v="0"/>
    <x v="15"/>
    <x v="18"/>
  </r>
  <r>
    <x v="142"/>
    <x v="111"/>
    <x v="108"/>
    <x v="22"/>
    <x v="11"/>
    <x v="0"/>
    <x v="17"/>
    <x v="19"/>
  </r>
  <r>
    <x v="143"/>
    <x v="112"/>
    <x v="105"/>
    <x v="10"/>
    <x v="10"/>
    <x v="4"/>
    <x v="35"/>
    <x v="141"/>
  </r>
  <r>
    <x v="143"/>
    <x v="112"/>
    <x v="105"/>
    <x v="1"/>
    <x v="1"/>
    <x v="0"/>
    <x v="119"/>
    <x v="164"/>
  </r>
  <r>
    <x v="144"/>
    <x v="27"/>
    <x v="105"/>
    <x v="10"/>
    <x v="10"/>
    <x v="0"/>
    <x v="9"/>
    <x v="125"/>
  </r>
  <r>
    <x v="144"/>
    <x v="27"/>
    <x v="105"/>
    <x v="20"/>
    <x v="20"/>
    <x v="1"/>
    <x v="15"/>
    <x v="16"/>
  </r>
  <r>
    <x v="144"/>
    <x v="27"/>
    <x v="105"/>
    <x v="116"/>
    <x v="140"/>
    <x v="1"/>
    <x v="15"/>
    <x v="16"/>
  </r>
  <r>
    <x v="144"/>
    <x v="27"/>
    <x v="105"/>
    <x v="111"/>
    <x v="141"/>
    <x v="14"/>
    <x v="6"/>
    <x v="6"/>
  </r>
  <r>
    <x v="144"/>
    <x v="27"/>
    <x v="105"/>
    <x v="12"/>
    <x v="12"/>
    <x v="2"/>
    <x v="12"/>
    <x v="12"/>
  </r>
  <r>
    <x v="144"/>
    <x v="27"/>
    <x v="105"/>
    <x v="27"/>
    <x v="42"/>
    <x v="1"/>
    <x v="12"/>
    <x v="46"/>
  </r>
  <r>
    <x v="144"/>
    <x v="27"/>
    <x v="105"/>
    <x v="99"/>
    <x v="118"/>
    <x v="1"/>
    <x v="49"/>
    <x v="122"/>
  </r>
  <r>
    <x v="145"/>
    <x v="113"/>
    <x v="105"/>
    <x v="34"/>
    <x v="142"/>
    <x v="0"/>
    <x v="5"/>
    <x v="5"/>
  </r>
  <r>
    <x v="145"/>
    <x v="113"/>
    <x v="105"/>
    <x v="117"/>
    <x v="143"/>
    <x v="0"/>
    <x v="6"/>
    <x v="6"/>
  </r>
  <r>
    <x v="145"/>
    <x v="113"/>
    <x v="105"/>
    <x v="118"/>
    <x v="144"/>
    <x v="0"/>
    <x v="6"/>
    <x v="6"/>
  </r>
  <r>
    <x v="145"/>
    <x v="113"/>
    <x v="105"/>
    <x v="1"/>
    <x v="1"/>
    <x v="0"/>
    <x v="60"/>
    <x v="81"/>
  </r>
  <r>
    <x v="146"/>
    <x v="114"/>
    <x v="109"/>
    <x v="53"/>
    <x v="68"/>
    <x v="0"/>
    <x v="54"/>
    <x v="71"/>
  </r>
  <r>
    <x v="147"/>
    <x v="115"/>
    <x v="110"/>
    <x v="44"/>
    <x v="51"/>
    <x v="0"/>
    <x v="17"/>
    <x v="19"/>
  </r>
  <r>
    <x v="148"/>
    <x v="116"/>
    <x v="111"/>
    <x v="11"/>
    <x v="11"/>
    <x v="1"/>
    <x v="10"/>
    <x v="10"/>
  </r>
  <r>
    <x v="149"/>
    <x v="117"/>
    <x v="112"/>
    <x v="45"/>
    <x v="52"/>
    <x v="0"/>
    <x v="42"/>
    <x v="56"/>
  </r>
  <r>
    <x v="150"/>
    <x v="118"/>
    <x v="113"/>
    <x v="22"/>
    <x v="11"/>
    <x v="0"/>
    <x v="17"/>
    <x v="19"/>
  </r>
  <r>
    <x v="151"/>
    <x v="119"/>
    <x v="114"/>
    <x v="23"/>
    <x v="22"/>
    <x v="0"/>
    <x v="102"/>
    <x v="147"/>
  </r>
  <r>
    <x v="152"/>
    <x v="120"/>
    <x v="115"/>
    <x v="9"/>
    <x v="9"/>
    <x v="1"/>
    <x v="8"/>
    <x v="64"/>
  </r>
  <r>
    <x v="153"/>
    <x v="121"/>
    <x v="116"/>
    <x v="4"/>
    <x v="4"/>
    <x v="1"/>
    <x v="4"/>
    <x v="72"/>
  </r>
  <r>
    <x v="153"/>
    <x v="121"/>
    <x v="116"/>
    <x v="45"/>
    <x v="52"/>
    <x v="1"/>
    <x v="6"/>
    <x v="6"/>
  </r>
  <r>
    <x v="153"/>
    <x v="121"/>
    <x v="116"/>
    <x v="6"/>
    <x v="6"/>
    <x v="1"/>
    <x v="6"/>
    <x v="6"/>
  </r>
  <r>
    <x v="153"/>
    <x v="121"/>
    <x v="116"/>
    <x v="7"/>
    <x v="7"/>
    <x v="1"/>
    <x v="6"/>
    <x v="6"/>
  </r>
  <r>
    <x v="153"/>
    <x v="121"/>
    <x v="116"/>
    <x v="9"/>
    <x v="9"/>
    <x v="5"/>
    <x v="8"/>
    <x v="165"/>
  </r>
  <r>
    <x v="153"/>
    <x v="121"/>
    <x v="116"/>
    <x v="21"/>
    <x v="21"/>
    <x v="0"/>
    <x v="2"/>
    <x v="2"/>
  </r>
  <r>
    <x v="154"/>
    <x v="122"/>
    <x v="117"/>
    <x v="53"/>
    <x v="68"/>
    <x v="1"/>
    <x v="54"/>
    <x v="166"/>
  </r>
  <r>
    <x v="155"/>
    <x v="123"/>
    <x v="118"/>
    <x v="20"/>
    <x v="20"/>
    <x v="1"/>
    <x v="15"/>
    <x v="16"/>
  </r>
  <r>
    <x v="155"/>
    <x v="123"/>
    <x v="118"/>
    <x v="21"/>
    <x v="21"/>
    <x v="1"/>
    <x v="6"/>
    <x v="6"/>
  </r>
  <r>
    <x v="156"/>
    <x v="124"/>
    <x v="119"/>
    <x v="106"/>
    <x v="126"/>
    <x v="2"/>
    <x v="120"/>
    <x v="167"/>
  </r>
  <r>
    <x v="156"/>
    <x v="124"/>
    <x v="119"/>
    <x v="108"/>
    <x v="128"/>
    <x v="3"/>
    <x v="6"/>
    <x v="6"/>
  </r>
  <r>
    <x v="156"/>
    <x v="124"/>
    <x v="119"/>
    <x v="107"/>
    <x v="127"/>
    <x v="2"/>
    <x v="6"/>
    <x v="6"/>
  </r>
  <r>
    <x v="156"/>
    <x v="124"/>
    <x v="119"/>
    <x v="109"/>
    <x v="129"/>
    <x v="2"/>
    <x v="6"/>
    <x v="6"/>
  </r>
  <r>
    <x v="156"/>
    <x v="124"/>
    <x v="119"/>
    <x v="62"/>
    <x v="75"/>
    <x v="7"/>
    <x v="83"/>
    <x v="168"/>
  </r>
  <r>
    <x v="156"/>
    <x v="124"/>
    <x v="119"/>
    <x v="6"/>
    <x v="57"/>
    <x v="7"/>
    <x v="6"/>
    <x v="6"/>
  </r>
  <r>
    <x v="156"/>
    <x v="124"/>
    <x v="119"/>
    <x v="12"/>
    <x v="76"/>
    <x v="7"/>
    <x v="6"/>
    <x v="6"/>
  </r>
  <r>
    <x v="156"/>
    <x v="124"/>
    <x v="119"/>
    <x v="14"/>
    <x v="145"/>
    <x v="7"/>
    <x v="108"/>
    <x v="169"/>
  </r>
  <r>
    <x v="156"/>
    <x v="124"/>
    <x v="119"/>
    <x v="2"/>
    <x v="2"/>
    <x v="7"/>
    <x v="6"/>
    <x v="6"/>
  </r>
  <r>
    <x v="156"/>
    <x v="124"/>
    <x v="119"/>
    <x v="9"/>
    <x v="9"/>
    <x v="3"/>
    <x v="121"/>
    <x v="94"/>
  </r>
  <r>
    <x v="156"/>
    <x v="124"/>
    <x v="119"/>
    <x v="80"/>
    <x v="98"/>
    <x v="15"/>
    <x v="20"/>
    <x v="170"/>
  </r>
  <r>
    <x v="156"/>
    <x v="124"/>
    <x v="119"/>
    <x v="91"/>
    <x v="146"/>
    <x v="7"/>
    <x v="6"/>
    <x v="6"/>
  </r>
  <r>
    <x v="156"/>
    <x v="124"/>
    <x v="119"/>
    <x v="49"/>
    <x v="147"/>
    <x v="1"/>
    <x v="6"/>
    <x v="6"/>
  </r>
  <r>
    <x v="156"/>
    <x v="124"/>
    <x v="119"/>
    <x v="119"/>
    <x v="148"/>
    <x v="6"/>
    <x v="6"/>
    <x v="6"/>
  </r>
  <r>
    <x v="157"/>
    <x v="125"/>
    <x v="120"/>
    <x v="8"/>
    <x v="8"/>
    <x v="7"/>
    <x v="7"/>
    <x v="171"/>
  </r>
  <r>
    <x v="158"/>
    <x v="126"/>
    <x v="121"/>
    <x v="20"/>
    <x v="20"/>
    <x v="0"/>
    <x v="15"/>
    <x v="18"/>
  </r>
  <r>
    <x v="158"/>
    <x v="126"/>
    <x v="121"/>
    <x v="21"/>
    <x v="21"/>
    <x v="0"/>
    <x v="6"/>
    <x v="6"/>
  </r>
  <r>
    <x v="159"/>
    <x v="127"/>
    <x v="122"/>
    <x v="2"/>
    <x v="2"/>
    <x v="0"/>
    <x v="2"/>
    <x v="2"/>
  </r>
  <r>
    <x v="159"/>
    <x v="127"/>
    <x v="122"/>
    <x v="23"/>
    <x v="22"/>
    <x v="1"/>
    <x v="18"/>
    <x v="153"/>
  </r>
  <r>
    <x v="160"/>
    <x v="128"/>
    <x v="123"/>
    <x v="0"/>
    <x v="0"/>
    <x v="0"/>
    <x v="15"/>
    <x v="18"/>
  </r>
  <r>
    <x v="161"/>
    <x v="129"/>
    <x v="124"/>
    <x v="27"/>
    <x v="42"/>
    <x v="1"/>
    <x v="12"/>
    <x v="46"/>
  </r>
  <r>
    <x v="162"/>
    <x v="124"/>
    <x v="125"/>
    <x v="51"/>
    <x v="61"/>
    <x v="0"/>
    <x v="50"/>
    <x v="172"/>
  </r>
  <r>
    <x v="162"/>
    <x v="124"/>
    <x v="125"/>
    <x v="1"/>
    <x v="1"/>
    <x v="0"/>
    <x v="122"/>
    <x v="173"/>
  </r>
  <r>
    <x v="163"/>
    <x v="130"/>
    <x v="126"/>
    <x v="11"/>
    <x v="11"/>
    <x v="0"/>
    <x v="10"/>
    <x v="47"/>
  </r>
  <r>
    <x v="164"/>
    <x v="131"/>
    <x v="125"/>
    <x v="10"/>
    <x v="10"/>
    <x v="0"/>
    <x v="6"/>
    <x v="6"/>
  </r>
  <r>
    <x v="164"/>
    <x v="131"/>
    <x v="125"/>
    <x v="111"/>
    <x v="132"/>
    <x v="13"/>
    <x v="6"/>
    <x v="6"/>
  </r>
  <r>
    <x v="165"/>
    <x v="132"/>
    <x v="127"/>
    <x v="20"/>
    <x v="20"/>
    <x v="0"/>
    <x v="15"/>
    <x v="18"/>
  </r>
  <r>
    <x v="165"/>
    <x v="132"/>
    <x v="127"/>
    <x v="21"/>
    <x v="21"/>
    <x v="0"/>
    <x v="6"/>
    <x v="6"/>
  </r>
</pivotCacheRecords>
</file>

<file path=xl/pivotCache/pivotCacheRecords15.xml><?xml version="1.0" encoding="utf-8"?>
<pivotCacheRecords xmlns:r="http://schemas.openxmlformats.org/officeDocument/2006/relationships" xmlns="http://schemas.openxmlformats.org/spreadsheetml/2006/main" count="423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0"/>
  </r>
  <r>
    <x v="8"/>
    <x v="8"/>
    <x v="0"/>
  </r>
  <r>
    <x v="9"/>
    <x v="9"/>
    <x v="0"/>
  </r>
  <r>
    <x v="10"/>
    <x v="10"/>
    <x v="1"/>
  </r>
  <r>
    <x v="11"/>
    <x v="11"/>
    <x v="1"/>
  </r>
  <r>
    <x v="5"/>
    <x v="5"/>
    <x v="0"/>
  </r>
  <r>
    <x v="12"/>
    <x v="12"/>
    <x v="2"/>
  </r>
  <r>
    <x v="13"/>
    <x v="13"/>
    <x v="3"/>
  </r>
  <r>
    <x v="14"/>
    <x v="14"/>
    <x v="0"/>
  </r>
  <r>
    <x v="9"/>
    <x v="9"/>
    <x v="0"/>
  </r>
  <r>
    <x v="2"/>
    <x v="2"/>
    <x v="4"/>
  </r>
  <r>
    <x v="0"/>
    <x v="0"/>
    <x v="1"/>
  </r>
  <r>
    <x v="15"/>
    <x v="15"/>
    <x v="5"/>
  </r>
  <r>
    <x v="16"/>
    <x v="16"/>
    <x v="6"/>
  </r>
  <r>
    <x v="17"/>
    <x v="17"/>
    <x v="6"/>
  </r>
  <r>
    <x v="18"/>
    <x v="18"/>
    <x v="6"/>
  </r>
  <r>
    <x v="19"/>
    <x v="19"/>
    <x v="0"/>
  </r>
  <r>
    <x v="20"/>
    <x v="20"/>
    <x v="0"/>
  </r>
  <r>
    <x v="21"/>
    <x v="21"/>
    <x v="0"/>
  </r>
  <r>
    <x v="22"/>
    <x v="11"/>
    <x v="0"/>
  </r>
  <r>
    <x v="23"/>
    <x v="22"/>
    <x v="0"/>
  </r>
  <r>
    <x v="9"/>
    <x v="9"/>
    <x v="7"/>
  </r>
  <r>
    <x v="14"/>
    <x v="14"/>
    <x v="1"/>
  </r>
  <r>
    <x v="6"/>
    <x v="6"/>
    <x v="1"/>
  </r>
  <r>
    <x v="1"/>
    <x v="1"/>
    <x v="0"/>
  </r>
  <r>
    <x v="24"/>
    <x v="23"/>
    <x v="1"/>
  </r>
  <r>
    <x v="25"/>
    <x v="24"/>
    <x v="1"/>
  </r>
  <r>
    <x v="26"/>
    <x v="25"/>
    <x v="1"/>
  </r>
  <r>
    <x v="27"/>
    <x v="26"/>
    <x v="1"/>
  </r>
  <r>
    <x v="28"/>
    <x v="27"/>
    <x v="1"/>
  </r>
  <r>
    <x v="29"/>
    <x v="28"/>
    <x v="1"/>
  </r>
  <r>
    <x v="30"/>
    <x v="29"/>
    <x v="0"/>
  </r>
  <r>
    <x v="30"/>
    <x v="30"/>
    <x v="0"/>
  </r>
  <r>
    <x v="30"/>
    <x v="31"/>
    <x v="0"/>
  </r>
  <r>
    <x v="30"/>
    <x v="32"/>
    <x v="0"/>
  </r>
  <r>
    <x v="30"/>
    <x v="33"/>
    <x v="0"/>
  </r>
  <r>
    <x v="30"/>
    <x v="34"/>
    <x v="0"/>
  </r>
  <r>
    <x v="30"/>
    <x v="35"/>
    <x v="0"/>
  </r>
  <r>
    <x v="30"/>
    <x v="36"/>
    <x v="0"/>
  </r>
  <r>
    <x v="24"/>
    <x v="37"/>
    <x v="8"/>
  </r>
  <r>
    <x v="31"/>
    <x v="38"/>
    <x v="6"/>
  </r>
  <r>
    <x v="32"/>
    <x v="39"/>
    <x v="3"/>
  </r>
  <r>
    <x v="26"/>
    <x v="40"/>
    <x v="6"/>
  </r>
  <r>
    <x v="33"/>
    <x v="1"/>
    <x v="0"/>
  </r>
  <r>
    <x v="34"/>
    <x v="41"/>
    <x v="0"/>
  </r>
  <r>
    <x v="3"/>
    <x v="3"/>
    <x v="1"/>
  </r>
  <r>
    <x v="7"/>
    <x v="7"/>
    <x v="1"/>
  </r>
  <r>
    <x v="8"/>
    <x v="8"/>
    <x v="6"/>
  </r>
  <r>
    <x v="27"/>
    <x v="42"/>
    <x v="1"/>
  </r>
  <r>
    <x v="2"/>
    <x v="2"/>
    <x v="1"/>
  </r>
  <r>
    <x v="11"/>
    <x v="11"/>
    <x v="0"/>
  </r>
  <r>
    <x v="9"/>
    <x v="9"/>
    <x v="4"/>
  </r>
  <r>
    <x v="20"/>
    <x v="20"/>
    <x v="0"/>
  </r>
  <r>
    <x v="21"/>
    <x v="21"/>
    <x v="0"/>
  </r>
  <r>
    <x v="35"/>
    <x v="43"/>
    <x v="9"/>
  </r>
  <r>
    <x v="21"/>
    <x v="21"/>
    <x v="0"/>
  </r>
  <r>
    <x v="36"/>
    <x v="44"/>
    <x v="4"/>
  </r>
  <r>
    <x v="19"/>
    <x v="19"/>
    <x v="0"/>
  </r>
  <r>
    <x v="1"/>
    <x v="1"/>
    <x v="0"/>
  </r>
  <r>
    <x v="5"/>
    <x v="5"/>
    <x v="10"/>
  </r>
  <r>
    <x v="37"/>
    <x v="45"/>
    <x v="0"/>
  </r>
  <r>
    <x v="1"/>
    <x v="1"/>
    <x v="0"/>
  </r>
  <r>
    <x v="38"/>
    <x v="46"/>
    <x v="0"/>
  </r>
  <r>
    <x v="39"/>
    <x v="47"/>
    <x v="0"/>
  </r>
  <r>
    <x v="40"/>
    <x v="48"/>
    <x v="0"/>
  </r>
  <r>
    <x v="27"/>
    <x v="42"/>
    <x v="0"/>
  </r>
  <r>
    <x v="41"/>
    <x v="49"/>
    <x v="0"/>
  </r>
  <r>
    <x v="42"/>
    <x v="50"/>
    <x v="0"/>
  </r>
  <r>
    <x v="43"/>
    <x v="1"/>
    <x v="0"/>
  </r>
  <r>
    <x v="10"/>
    <x v="10"/>
    <x v="4"/>
  </r>
  <r>
    <x v="44"/>
    <x v="51"/>
    <x v="0"/>
  </r>
  <r>
    <x v="45"/>
    <x v="52"/>
    <x v="0"/>
  </r>
  <r>
    <x v="7"/>
    <x v="7"/>
    <x v="0"/>
  </r>
  <r>
    <x v="46"/>
    <x v="53"/>
    <x v="7"/>
  </r>
  <r>
    <x v="47"/>
    <x v="54"/>
    <x v="7"/>
  </r>
  <r>
    <x v="46"/>
    <x v="55"/>
    <x v="1"/>
  </r>
  <r>
    <x v="47"/>
    <x v="54"/>
    <x v="1"/>
  </r>
  <r>
    <x v="1"/>
    <x v="1"/>
    <x v="0"/>
  </r>
  <r>
    <x v="0"/>
    <x v="0"/>
    <x v="0"/>
  </r>
  <r>
    <x v="48"/>
    <x v="56"/>
    <x v="7"/>
  </r>
  <r>
    <x v="6"/>
    <x v="57"/>
    <x v="7"/>
  </r>
  <r>
    <x v="49"/>
    <x v="58"/>
    <x v="1"/>
  </r>
  <r>
    <x v="50"/>
    <x v="59"/>
    <x v="0"/>
  </r>
  <r>
    <x v="1"/>
    <x v="1"/>
    <x v="0"/>
  </r>
  <r>
    <x v="6"/>
    <x v="6"/>
    <x v="7"/>
  </r>
  <r>
    <x v="34"/>
    <x v="60"/>
    <x v="0"/>
  </r>
  <r>
    <x v="3"/>
    <x v="3"/>
    <x v="0"/>
  </r>
  <r>
    <x v="9"/>
    <x v="9"/>
    <x v="1"/>
  </r>
  <r>
    <x v="8"/>
    <x v="8"/>
    <x v="0"/>
  </r>
  <r>
    <x v="14"/>
    <x v="14"/>
    <x v="0"/>
  </r>
  <r>
    <x v="44"/>
    <x v="51"/>
    <x v="0"/>
  </r>
  <r>
    <x v="3"/>
    <x v="3"/>
    <x v="0"/>
  </r>
  <r>
    <x v="7"/>
    <x v="7"/>
    <x v="0"/>
  </r>
  <r>
    <x v="6"/>
    <x v="6"/>
    <x v="0"/>
  </r>
  <r>
    <x v="51"/>
    <x v="61"/>
    <x v="1"/>
  </r>
  <r>
    <x v="52"/>
    <x v="62"/>
    <x v="0"/>
  </r>
  <r>
    <x v="1"/>
    <x v="1"/>
    <x v="0"/>
  </r>
  <r>
    <x v="34"/>
    <x v="63"/>
    <x v="0"/>
  </r>
  <r>
    <x v="0"/>
    <x v="0"/>
    <x v="1"/>
  </r>
  <r>
    <x v="2"/>
    <x v="2"/>
    <x v="0"/>
  </r>
  <r>
    <x v="21"/>
    <x v="21"/>
    <x v="0"/>
  </r>
  <r>
    <x v="23"/>
    <x v="22"/>
    <x v="0"/>
  </r>
  <r>
    <x v="46"/>
    <x v="53"/>
    <x v="10"/>
  </r>
  <r>
    <x v="1"/>
    <x v="1"/>
    <x v="0"/>
  </r>
  <r>
    <x v="5"/>
    <x v="64"/>
    <x v="0"/>
  </r>
  <r>
    <x v="30"/>
    <x v="65"/>
    <x v="10"/>
  </r>
  <r>
    <x v="4"/>
    <x v="4"/>
    <x v="0"/>
  </r>
  <r>
    <x v="6"/>
    <x v="57"/>
    <x v="0"/>
  </r>
  <r>
    <x v="2"/>
    <x v="66"/>
    <x v="0"/>
  </r>
  <r>
    <x v="45"/>
    <x v="67"/>
    <x v="0"/>
  </r>
  <r>
    <x v="53"/>
    <x v="68"/>
    <x v="0"/>
  </r>
  <r>
    <x v="4"/>
    <x v="4"/>
    <x v="1"/>
  </r>
  <r>
    <x v="45"/>
    <x v="52"/>
    <x v="1"/>
  </r>
  <r>
    <x v="6"/>
    <x v="6"/>
    <x v="1"/>
  </r>
  <r>
    <x v="7"/>
    <x v="7"/>
    <x v="1"/>
  </r>
  <r>
    <x v="44"/>
    <x v="51"/>
    <x v="0"/>
  </r>
  <r>
    <x v="19"/>
    <x v="19"/>
    <x v="0"/>
  </r>
  <r>
    <x v="8"/>
    <x v="8"/>
    <x v="1"/>
  </r>
  <r>
    <x v="9"/>
    <x v="9"/>
    <x v="0"/>
  </r>
  <r>
    <x v="22"/>
    <x v="11"/>
    <x v="0"/>
  </r>
  <r>
    <x v="54"/>
    <x v="69"/>
    <x v="0"/>
  </r>
  <r>
    <x v="8"/>
    <x v="8"/>
    <x v="2"/>
  </r>
  <r>
    <x v="0"/>
    <x v="0"/>
    <x v="1"/>
  </r>
  <r>
    <x v="11"/>
    <x v="11"/>
    <x v="0"/>
  </r>
  <r>
    <x v="11"/>
    <x v="11"/>
    <x v="0"/>
  </r>
  <r>
    <x v="0"/>
    <x v="0"/>
    <x v="7"/>
  </r>
  <r>
    <x v="4"/>
    <x v="4"/>
    <x v="1"/>
  </r>
  <r>
    <x v="45"/>
    <x v="52"/>
    <x v="1"/>
  </r>
  <r>
    <x v="6"/>
    <x v="6"/>
    <x v="1"/>
  </r>
  <r>
    <x v="7"/>
    <x v="7"/>
    <x v="1"/>
  </r>
  <r>
    <x v="55"/>
    <x v="70"/>
    <x v="1"/>
  </r>
  <r>
    <x v="1"/>
    <x v="1"/>
    <x v="0"/>
  </r>
  <r>
    <x v="0"/>
    <x v="0"/>
    <x v="10"/>
  </r>
  <r>
    <x v="1"/>
    <x v="1"/>
    <x v="0"/>
  </r>
  <r>
    <x v="56"/>
    <x v="71"/>
    <x v="4"/>
  </r>
  <r>
    <x v="57"/>
    <x v="72"/>
    <x v="4"/>
  </r>
  <r>
    <x v="1"/>
    <x v="1"/>
    <x v="0"/>
  </r>
  <r>
    <x v="58"/>
    <x v="73"/>
    <x v="0"/>
  </r>
  <r>
    <x v="59"/>
    <x v="1"/>
    <x v="0"/>
  </r>
  <r>
    <x v="33"/>
    <x v="1"/>
    <x v="0"/>
  </r>
  <r>
    <x v="44"/>
    <x v="51"/>
    <x v="0"/>
  </r>
  <r>
    <x v="10"/>
    <x v="10"/>
    <x v="1"/>
  </r>
  <r>
    <x v="60"/>
    <x v="1"/>
    <x v="0"/>
  </r>
  <r>
    <x v="1"/>
    <x v="1"/>
    <x v="0"/>
  </r>
  <r>
    <x v="61"/>
    <x v="74"/>
    <x v="1"/>
  </r>
  <r>
    <x v="62"/>
    <x v="75"/>
    <x v="1"/>
  </r>
  <r>
    <x v="6"/>
    <x v="57"/>
    <x v="1"/>
  </r>
  <r>
    <x v="12"/>
    <x v="76"/>
    <x v="1"/>
  </r>
  <r>
    <x v="7"/>
    <x v="77"/>
    <x v="1"/>
  </r>
  <r>
    <x v="14"/>
    <x v="78"/>
    <x v="1"/>
  </r>
  <r>
    <x v="19"/>
    <x v="19"/>
    <x v="0"/>
  </r>
  <r>
    <x v="1"/>
    <x v="1"/>
    <x v="0"/>
  </r>
  <r>
    <x v="53"/>
    <x v="68"/>
    <x v="0"/>
  </r>
  <r>
    <x v="9"/>
    <x v="9"/>
    <x v="1"/>
  </r>
  <r>
    <x v="44"/>
    <x v="51"/>
    <x v="0"/>
  </r>
  <r>
    <x v="10"/>
    <x v="10"/>
    <x v="1"/>
  </r>
  <r>
    <x v="63"/>
    <x v="79"/>
    <x v="1"/>
  </r>
  <r>
    <x v="54"/>
    <x v="69"/>
    <x v="0"/>
  </r>
  <r>
    <x v="34"/>
    <x v="80"/>
    <x v="0"/>
  </r>
  <r>
    <x v="64"/>
    <x v="81"/>
    <x v="1"/>
  </r>
  <r>
    <x v="65"/>
    <x v="82"/>
    <x v="0"/>
  </r>
  <r>
    <x v="3"/>
    <x v="3"/>
    <x v="0"/>
  </r>
  <r>
    <x v="0"/>
    <x v="0"/>
    <x v="1"/>
  </r>
  <r>
    <x v="8"/>
    <x v="8"/>
    <x v="2"/>
  </r>
  <r>
    <x v="9"/>
    <x v="9"/>
    <x v="0"/>
  </r>
  <r>
    <x v="22"/>
    <x v="11"/>
    <x v="0"/>
  </r>
  <r>
    <x v="0"/>
    <x v="0"/>
    <x v="1"/>
  </r>
  <r>
    <x v="66"/>
    <x v="1"/>
    <x v="0"/>
  </r>
  <r>
    <x v="1"/>
    <x v="1"/>
    <x v="0"/>
  </r>
  <r>
    <x v="11"/>
    <x v="11"/>
    <x v="0"/>
  </r>
  <r>
    <x v="9"/>
    <x v="9"/>
    <x v="11"/>
  </r>
  <r>
    <x v="4"/>
    <x v="4"/>
    <x v="0"/>
  </r>
  <r>
    <x v="5"/>
    <x v="5"/>
    <x v="0"/>
  </r>
  <r>
    <x v="6"/>
    <x v="6"/>
    <x v="0"/>
  </r>
  <r>
    <x v="7"/>
    <x v="7"/>
    <x v="0"/>
  </r>
  <r>
    <x v="67"/>
    <x v="83"/>
    <x v="0"/>
  </r>
  <r>
    <x v="68"/>
    <x v="84"/>
    <x v="10"/>
  </r>
  <r>
    <x v="69"/>
    <x v="85"/>
    <x v="10"/>
  </r>
  <r>
    <x v="8"/>
    <x v="8"/>
    <x v="5"/>
  </r>
  <r>
    <x v="70"/>
    <x v="86"/>
    <x v="0"/>
  </r>
  <r>
    <x v="71"/>
    <x v="87"/>
    <x v="10"/>
  </r>
  <r>
    <x v="66"/>
    <x v="1"/>
    <x v="0"/>
  </r>
  <r>
    <x v="62"/>
    <x v="75"/>
    <x v="7"/>
  </r>
  <r>
    <x v="6"/>
    <x v="57"/>
    <x v="7"/>
  </r>
  <r>
    <x v="12"/>
    <x v="76"/>
    <x v="7"/>
  </r>
  <r>
    <x v="7"/>
    <x v="77"/>
    <x v="7"/>
  </r>
  <r>
    <x v="30"/>
    <x v="88"/>
    <x v="7"/>
  </r>
  <r>
    <x v="9"/>
    <x v="9"/>
    <x v="7"/>
  </r>
  <r>
    <x v="33"/>
    <x v="1"/>
    <x v="0"/>
  </r>
  <r>
    <x v="8"/>
    <x v="8"/>
    <x v="1"/>
  </r>
  <r>
    <x v="72"/>
    <x v="89"/>
    <x v="1"/>
  </r>
  <r>
    <x v="73"/>
    <x v="90"/>
    <x v="5"/>
  </r>
  <r>
    <x v="54"/>
    <x v="69"/>
    <x v="10"/>
  </r>
  <r>
    <x v="74"/>
    <x v="91"/>
    <x v="5"/>
  </r>
  <r>
    <x v="21"/>
    <x v="21"/>
    <x v="7"/>
  </r>
  <r>
    <x v="2"/>
    <x v="2"/>
    <x v="5"/>
  </r>
  <r>
    <x v="75"/>
    <x v="92"/>
    <x v="0"/>
  </r>
  <r>
    <x v="44"/>
    <x v="51"/>
    <x v="0"/>
  </r>
  <r>
    <x v="62"/>
    <x v="75"/>
    <x v="1"/>
  </r>
  <r>
    <x v="6"/>
    <x v="57"/>
    <x v="1"/>
  </r>
  <r>
    <x v="12"/>
    <x v="76"/>
    <x v="1"/>
  </r>
  <r>
    <x v="76"/>
    <x v="93"/>
    <x v="1"/>
  </r>
  <r>
    <x v="74"/>
    <x v="91"/>
    <x v="3"/>
  </r>
  <r>
    <x v="77"/>
    <x v="94"/>
    <x v="6"/>
  </r>
  <r>
    <x v="21"/>
    <x v="95"/>
    <x v="0"/>
  </r>
  <r>
    <x v="78"/>
    <x v="96"/>
    <x v="0"/>
  </r>
  <r>
    <x v="37"/>
    <x v="45"/>
    <x v="1"/>
  </r>
  <r>
    <x v="1"/>
    <x v="1"/>
    <x v="0"/>
  </r>
  <r>
    <x v="51"/>
    <x v="61"/>
    <x v="7"/>
  </r>
  <r>
    <x v="33"/>
    <x v="1"/>
    <x v="0"/>
  </r>
  <r>
    <x v="0"/>
    <x v="0"/>
    <x v="0"/>
  </r>
  <r>
    <x v="11"/>
    <x v="11"/>
    <x v="1"/>
  </r>
  <r>
    <x v="10"/>
    <x v="10"/>
    <x v="1"/>
  </r>
  <r>
    <x v="1"/>
    <x v="1"/>
    <x v="0"/>
  </r>
  <r>
    <x v="79"/>
    <x v="97"/>
    <x v="1"/>
  </r>
  <r>
    <x v="80"/>
    <x v="98"/>
    <x v="1"/>
  </r>
  <r>
    <x v="81"/>
    <x v="99"/>
    <x v="1"/>
  </r>
  <r>
    <x v="45"/>
    <x v="52"/>
    <x v="1"/>
  </r>
  <r>
    <x v="7"/>
    <x v="7"/>
    <x v="1"/>
  </r>
  <r>
    <x v="44"/>
    <x v="51"/>
    <x v="0"/>
  </r>
  <r>
    <x v="11"/>
    <x v="11"/>
    <x v="0"/>
  </r>
  <r>
    <x v="9"/>
    <x v="9"/>
    <x v="1"/>
  </r>
  <r>
    <x v="45"/>
    <x v="52"/>
    <x v="1"/>
  </r>
  <r>
    <x v="82"/>
    <x v="100"/>
    <x v="0"/>
  </r>
  <r>
    <x v="11"/>
    <x v="11"/>
    <x v="0"/>
  </r>
  <r>
    <x v="11"/>
    <x v="11"/>
    <x v="0"/>
  </r>
  <r>
    <x v="79"/>
    <x v="97"/>
    <x v="0"/>
  </r>
  <r>
    <x v="81"/>
    <x v="99"/>
    <x v="0"/>
  </r>
  <r>
    <x v="0"/>
    <x v="0"/>
    <x v="0"/>
  </r>
  <r>
    <x v="4"/>
    <x v="4"/>
    <x v="1"/>
  </r>
  <r>
    <x v="45"/>
    <x v="52"/>
    <x v="1"/>
  </r>
  <r>
    <x v="6"/>
    <x v="6"/>
    <x v="1"/>
  </r>
  <r>
    <x v="7"/>
    <x v="7"/>
    <x v="1"/>
  </r>
  <r>
    <x v="19"/>
    <x v="19"/>
    <x v="0"/>
  </r>
  <r>
    <x v="9"/>
    <x v="9"/>
    <x v="1"/>
  </r>
  <r>
    <x v="83"/>
    <x v="101"/>
    <x v="1"/>
  </r>
  <r>
    <x v="84"/>
    <x v="102"/>
    <x v="0"/>
  </r>
  <r>
    <x v="85"/>
    <x v="103"/>
    <x v="1"/>
  </r>
  <r>
    <x v="86"/>
    <x v="104"/>
    <x v="0"/>
  </r>
  <r>
    <x v="6"/>
    <x v="6"/>
    <x v="0"/>
  </r>
  <r>
    <x v="87"/>
    <x v="105"/>
    <x v="0"/>
  </r>
  <r>
    <x v="53"/>
    <x v="68"/>
    <x v="0"/>
  </r>
  <r>
    <x v="22"/>
    <x v="11"/>
    <x v="0"/>
  </r>
  <r>
    <x v="58"/>
    <x v="73"/>
    <x v="1"/>
  </r>
  <r>
    <x v="44"/>
    <x v="51"/>
    <x v="1"/>
  </r>
  <r>
    <x v="1"/>
    <x v="1"/>
    <x v="0"/>
  </r>
  <r>
    <x v="8"/>
    <x v="8"/>
    <x v="7"/>
  </r>
  <r>
    <x v="6"/>
    <x v="6"/>
    <x v="7"/>
  </r>
  <r>
    <x v="88"/>
    <x v="106"/>
    <x v="1"/>
  </r>
  <r>
    <x v="12"/>
    <x v="12"/>
    <x v="7"/>
  </r>
  <r>
    <x v="4"/>
    <x v="4"/>
    <x v="1"/>
  </r>
  <r>
    <x v="6"/>
    <x v="57"/>
    <x v="1"/>
  </r>
  <r>
    <x v="89"/>
    <x v="107"/>
    <x v="1"/>
  </r>
  <r>
    <x v="90"/>
    <x v="108"/>
    <x v="1"/>
  </r>
  <r>
    <x v="45"/>
    <x v="67"/>
    <x v="1"/>
  </r>
  <r>
    <x v="2"/>
    <x v="66"/>
    <x v="1"/>
  </r>
  <r>
    <x v="91"/>
    <x v="109"/>
    <x v="1"/>
  </r>
  <r>
    <x v="9"/>
    <x v="9"/>
    <x v="1"/>
  </r>
  <r>
    <x v="3"/>
    <x v="3"/>
    <x v="1"/>
  </r>
  <r>
    <x v="45"/>
    <x v="52"/>
    <x v="1"/>
  </r>
  <r>
    <x v="92"/>
    <x v="110"/>
    <x v="12"/>
  </r>
  <r>
    <x v="93"/>
    <x v="111"/>
    <x v="12"/>
  </r>
  <r>
    <x v="28"/>
    <x v="27"/>
    <x v="0"/>
  </r>
  <r>
    <x v="94"/>
    <x v="112"/>
    <x v="0"/>
  </r>
  <r>
    <x v="95"/>
    <x v="113"/>
    <x v="0"/>
  </r>
  <r>
    <x v="96"/>
    <x v="114"/>
    <x v="0"/>
  </r>
  <r>
    <x v="97"/>
    <x v="115"/>
    <x v="0"/>
  </r>
  <r>
    <x v="98"/>
    <x v="116"/>
    <x v="0"/>
  </r>
  <r>
    <x v="42"/>
    <x v="117"/>
    <x v="0"/>
  </r>
  <r>
    <x v="74"/>
    <x v="91"/>
    <x v="1"/>
  </r>
  <r>
    <x v="77"/>
    <x v="94"/>
    <x v="0"/>
  </r>
  <r>
    <x v="27"/>
    <x v="42"/>
    <x v="0"/>
  </r>
  <r>
    <x v="44"/>
    <x v="51"/>
    <x v="4"/>
  </r>
  <r>
    <x v="11"/>
    <x v="11"/>
    <x v="0"/>
  </r>
  <r>
    <x v="99"/>
    <x v="118"/>
    <x v="7"/>
  </r>
  <r>
    <x v="1"/>
    <x v="1"/>
    <x v="0"/>
  </r>
  <r>
    <x v="100"/>
    <x v="119"/>
    <x v="1"/>
  </r>
  <r>
    <x v="6"/>
    <x v="57"/>
    <x v="1"/>
  </r>
  <r>
    <x v="45"/>
    <x v="67"/>
    <x v="5"/>
  </r>
  <r>
    <x v="2"/>
    <x v="66"/>
    <x v="5"/>
  </r>
  <r>
    <x v="101"/>
    <x v="120"/>
    <x v="0"/>
  </r>
  <r>
    <x v="33"/>
    <x v="1"/>
    <x v="0"/>
  </r>
  <r>
    <x v="22"/>
    <x v="11"/>
    <x v="0"/>
  </r>
  <r>
    <x v="9"/>
    <x v="9"/>
    <x v="0"/>
  </r>
  <r>
    <x v="8"/>
    <x v="8"/>
    <x v="1"/>
  </r>
  <r>
    <x v="10"/>
    <x v="10"/>
    <x v="4"/>
  </r>
  <r>
    <x v="91"/>
    <x v="121"/>
    <x v="5"/>
  </r>
  <r>
    <x v="1"/>
    <x v="1"/>
    <x v="0"/>
  </r>
  <r>
    <x v="4"/>
    <x v="4"/>
    <x v="1"/>
  </r>
  <r>
    <x v="5"/>
    <x v="122"/>
    <x v="1"/>
  </r>
  <r>
    <x v="6"/>
    <x v="57"/>
    <x v="1"/>
  </r>
  <r>
    <x v="7"/>
    <x v="77"/>
    <x v="1"/>
  </r>
  <r>
    <x v="102"/>
    <x v="123"/>
    <x v="7"/>
  </r>
  <r>
    <x v="1"/>
    <x v="1"/>
    <x v="0"/>
  </r>
  <r>
    <x v="45"/>
    <x v="52"/>
    <x v="0"/>
  </r>
  <r>
    <x v="79"/>
    <x v="97"/>
    <x v="0"/>
  </r>
  <r>
    <x v="81"/>
    <x v="99"/>
    <x v="0"/>
  </r>
  <r>
    <x v="6"/>
    <x v="6"/>
    <x v="0"/>
  </r>
  <r>
    <x v="4"/>
    <x v="4"/>
    <x v="1"/>
  </r>
  <r>
    <x v="5"/>
    <x v="5"/>
    <x v="1"/>
  </r>
  <r>
    <x v="103"/>
    <x v="124"/>
    <x v="1"/>
  </r>
  <r>
    <x v="6"/>
    <x v="6"/>
    <x v="1"/>
  </r>
  <r>
    <x v="7"/>
    <x v="7"/>
    <x v="1"/>
  </r>
  <r>
    <x v="9"/>
    <x v="9"/>
    <x v="7"/>
  </r>
  <r>
    <x v="5"/>
    <x v="5"/>
    <x v="0"/>
  </r>
  <r>
    <x v="4"/>
    <x v="4"/>
    <x v="1"/>
  </r>
  <r>
    <x v="5"/>
    <x v="5"/>
    <x v="1"/>
  </r>
  <r>
    <x v="6"/>
    <x v="6"/>
    <x v="1"/>
  </r>
  <r>
    <x v="7"/>
    <x v="7"/>
    <x v="1"/>
  </r>
  <r>
    <x v="102"/>
    <x v="123"/>
    <x v="7"/>
  </r>
  <r>
    <x v="44"/>
    <x v="51"/>
    <x v="0"/>
  </r>
  <r>
    <x v="23"/>
    <x v="22"/>
    <x v="0"/>
  </r>
  <r>
    <x v="104"/>
    <x v="125"/>
    <x v="6"/>
  </r>
  <r>
    <x v="105"/>
    <x v="1"/>
    <x v="3"/>
  </r>
  <r>
    <x v="22"/>
    <x v="11"/>
    <x v="0"/>
  </r>
  <r>
    <x v="22"/>
    <x v="11"/>
    <x v="0"/>
  </r>
  <r>
    <x v="106"/>
    <x v="126"/>
    <x v="0"/>
  </r>
  <r>
    <x v="107"/>
    <x v="127"/>
    <x v="0"/>
  </r>
  <r>
    <x v="108"/>
    <x v="128"/>
    <x v="1"/>
  </r>
  <r>
    <x v="109"/>
    <x v="129"/>
    <x v="0"/>
  </r>
  <r>
    <x v="51"/>
    <x v="61"/>
    <x v="7"/>
  </r>
  <r>
    <x v="91"/>
    <x v="109"/>
    <x v="1"/>
  </r>
  <r>
    <x v="21"/>
    <x v="95"/>
    <x v="1"/>
  </r>
  <r>
    <x v="76"/>
    <x v="130"/>
    <x v="1"/>
  </r>
  <r>
    <x v="110"/>
    <x v="131"/>
    <x v="1"/>
  </r>
  <r>
    <x v="33"/>
    <x v="1"/>
    <x v="0"/>
  </r>
  <r>
    <x v="111"/>
    <x v="132"/>
    <x v="13"/>
  </r>
  <r>
    <x v="6"/>
    <x v="6"/>
    <x v="0"/>
  </r>
  <r>
    <x v="70"/>
    <x v="86"/>
    <x v="0"/>
  </r>
  <r>
    <x v="112"/>
    <x v="133"/>
    <x v="1"/>
  </r>
  <r>
    <x v="23"/>
    <x v="22"/>
    <x v="1"/>
  </r>
  <r>
    <x v="58"/>
    <x v="73"/>
    <x v="0"/>
  </r>
  <r>
    <x v="27"/>
    <x v="42"/>
    <x v="3"/>
  </r>
  <r>
    <x v="1"/>
    <x v="1"/>
    <x v="0"/>
  </r>
  <r>
    <x v="4"/>
    <x v="4"/>
    <x v="1"/>
  </r>
  <r>
    <x v="5"/>
    <x v="5"/>
    <x v="1"/>
  </r>
  <r>
    <x v="6"/>
    <x v="6"/>
    <x v="1"/>
  </r>
  <r>
    <x v="7"/>
    <x v="7"/>
    <x v="1"/>
  </r>
  <r>
    <x v="44"/>
    <x v="51"/>
    <x v="0"/>
  </r>
  <r>
    <x v="8"/>
    <x v="8"/>
    <x v="1"/>
  </r>
  <r>
    <x v="0"/>
    <x v="0"/>
    <x v="1"/>
  </r>
  <r>
    <x v="2"/>
    <x v="2"/>
    <x v="0"/>
  </r>
  <r>
    <x v="20"/>
    <x v="20"/>
    <x v="0"/>
  </r>
  <r>
    <x v="21"/>
    <x v="21"/>
    <x v="0"/>
  </r>
  <r>
    <x v="8"/>
    <x v="8"/>
    <x v="0"/>
  </r>
  <r>
    <x v="79"/>
    <x v="97"/>
    <x v="1"/>
  </r>
  <r>
    <x v="71"/>
    <x v="134"/>
    <x v="1"/>
  </r>
  <r>
    <x v="81"/>
    <x v="99"/>
    <x v="1"/>
  </r>
  <r>
    <x v="45"/>
    <x v="52"/>
    <x v="1"/>
  </r>
  <r>
    <x v="84"/>
    <x v="102"/>
    <x v="0"/>
  </r>
  <r>
    <x v="113"/>
    <x v="135"/>
    <x v="0"/>
  </r>
  <r>
    <x v="2"/>
    <x v="136"/>
    <x v="1"/>
  </r>
  <r>
    <x v="9"/>
    <x v="9"/>
    <x v="7"/>
  </r>
  <r>
    <x v="34"/>
    <x v="137"/>
    <x v="0"/>
  </r>
  <r>
    <x v="114"/>
    <x v="138"/>
    <x v="0"/>
  </r>
  <r>
    <x v="115"/>
    <x v="139"/>
    <x v="0"/>
  </r>
  <r>
    <x v="1"/>
    <x v="1"/>
    <x v="0"/>
  </r>
  <r>
    <x v="0"/>
    <x v="0"/>
    <x v="0"/>
  </r>
  <r>
    <x v="22"/>
    <x v="11"/>
    <x v="0"/>
  </r>
  <r>
    <x v="10"/>
    <x v="10"/>
    <x v="4"/>
  </r>
  <r>
    <x v="1"/>
    <x v="1"/>
    <x v="0"/>
  </r>
  <r>
    <x v="10"/>
    <x v="10"/>
    <x v="0"/>
  </r>
  <r>
    <x v="20"/>
    <x v="20"/>
    <x v="1"/>
  </r>
  <r>
    <x v="116"/>
    <x v="140"/>
    <x v="1"/>
  </r>
  <r>
    <x v="111"/>
    <x v="141"/>
    <x v="14"/>
  </r>
  <r>
    <x v="12"/>
    <x v="12"/>
    <x v="2"/>
  </r>
  <r>
    <x v="27"/>
    <x v="42"/>
    <x v="1"/>
  </r>
  <r>
    <x v="99"/>
    <x v="118"/>
    <x v="1"/>
  </r>
  <r>
    <x v="34"/>
    <x v="142"/>
    <x v="0"/>
  </r>
  <r>
    <x v="117"/>
    <x v="143"/>
    <x v="0"/>
  </r>
  <r>
    <x v="118"/>
    <x v="144"/>
    <x v="0"/>
  </r>
  <r>
    <x v="1"/>
    <x v="1"/>
    <x v="0"/>
  </r>
  <r>
    <x v="53"/>
    <x v="68"/>
    <x v="0"/>
  </r>
  <r>
    <x v="44"/>
    <x v="51"/>
    <x v="0"/>
  </r>
  <r>
    <x v="11"/>
    <x v="11"/>
    <x v="1"/>
  </r>
  <r>
    <x v="45"/>
    <x v="52"/>
    <x v="0"/>
  </r>
  <r>
    <x v="22"/>
    <x v="11"/>
    <x v="0"/>
  </r>
  <r>
    <x v="23"/>
    <x v="22"/>
    <x v="0"/>
  </r>
  <r>
    <x v="9"/>
    <x v="9"/>
    <x v="1"/>
  </r>
  <r>
    <x v="4"/>
    <x v="4"/>
    <x v="1"/>
  </r>
  <r>
    <x v="45"/>
    <x v="52"/>
    <x v="1"/>
  </r>
  <r>
    <x v="6"/>
    <x v="6"/>
    <x v="1"/>
  </r>
  <r>
    <x v="7"/>
    <x v="7"/>
    <x v="1"/>
  </r>
  <r>
    <x v="9"/>
    <x v="9"/>
    <x v="5"/>
  </r>
  <r>
    <x v="21"/>
    <x v="21"/>
    <x v="0"/>
  </r>
  <r>
    <x v="53"/>
    <x v="68"/>
    <x v="1"/>
  </r>
  <r>
    <x v="20"/>
    <x v="20"/>
    <x v="1"/>
  </r>
  <r>
    <x v="21"/>
    <x v="21"/>
    <x v="1"/>
  </r>
  <r>
    <x v="106"/>
    <x v="126"/>
    <x v="2"/>
  </r>
  <r>
    <x v="108"/>
    <x v="128"/>
    <x v="3"/>
  </r>
  <r>
    <x v="107"/>
    <x v="127"/>
    <x v="2"/>
  </r>
  <r>
    <x v="109"/>
    <x v="129"/>
    <x v="2"/>
  </r>
  <r>
    <x v="62"/>
    <x v="75"/>
    <x v="7"/>
  </r>
  <r>
    <x v="6"/>
    <x v="57"/>
    <x v="7"/>
  </r>
  <r>
    <x v="12"/>
    <x v="76"/>
    <x v="7"/>
  </r>
  <r>
    <x v="14"/>
    <x v="145"/>
    <x v="7"/>
  </r>
  <r>
    <x v="2"/>
    <x v="2"/>
    <x v="7"/>
  </r>
  <r>
    <x v="9"/>
    <x v="9"/>
    <x v="3"/>
  </r>
  <r>
    <x v="80"/>
    <x v="98"/>
    <x v="15"/>
  </r>
  <r>
    <x v="91"/>
    <x v="146"/>
    <x v="7"/>
  </r>
  <r>
    <x v="49"/>
    <x v="147"/>
    <x v="1"/>
  </r>
  <r>
    <x v="119"/>
    <x v="148"/>
    <x v="6"/>
  </r>
  <r>
    <x v="8"/>
    <x v="8"/>
    <x v="7"/>
  </r>
  <r>
    <x v="20"/>
    <x v="20"/>
    <x v="0"/>
  </r>
  <r>
    <x v="21"/>
    <x v="21"/>
    <x v="0"/>
  </r>
  <r>
    <x v="2"/>
    <x v="2"/>
    <x v="0"/>
  </r>
  <r>
    <x v="23"/>
    <x v="22"/>
    <x v="1"/>
  </r>
  <r>
    <x v="0"/>
    <x v="0"/>
    <x v="0"/>
  </r>
  <r>
    <x v="27"/>
    <x v="42"/>
    <x v="1"/>
  </r>
  <r>
    <x v="51"/>
    <x v="61"/>
    <x v="0"/>
  </r>
  <r>
    <x v="1"/>
    <x v="1"/>
    <x v="0"/>
  </r>
  <r>
    <x v="11"/>
    <x v="11"/>
    <x v="0"/>
  </r>
  <r>
    <x v="10"/>
    <x v="10"/>
    <x v="0"/>
  </r>
  <r>
    <x v="111"/>
    <x v="132"/>
    <x v="13"/>
  </r>
  <r>
    <x v="20"/>
    <x v="20"/>
    <x v="0"/>
  </r>
  <r>
    <x v="21"/>
    <x v="21"/>
    <x v="0"/>
  </r>
</pivotCacheRecords>
</file>

<file path=xl/pivotCache/pivotCacheRecords16.xml><?xml version="1.0" encoding="utf-8"?>
<pivotCacheRecords xmlns:r="http://schemas.openxmlformats.org/officeDocument/2006/relationships" xmlns="http://schemas.openxmlformats.org/spreadsheetml/2006/main" count="423">
  <r>
    <x v="0"/>
    <x v="0"/>
    <x v="0"/>
    <x v="0"/>
    <x v="0"/>
  </r>
  <r>
    <x v="1"/>
    <x v="1"/>
    <x v="0"/>
    <x v="1"/>
    <x v="1"/>
  </r>
  <r>
    <x v="2"/>
    <x v="2"/>
    <x v="0"/>
    <x v="2"/>
    <x v="2"/>
  </r>
  <r>
    <x v="3"/>
    <x v="3"/>
    <x v="0"/>
    <x v="3"/>
    <x v="3"/>
  </r>
  <r>
    <x v="4"/>
    <x v="4"/>
    <x v="0"/>
    <x v="4"/>
    <x v="4"/>
  </r>
  <r>
    <x v="5"/>
    <x v="5"/>
    <x v="0"/>
    <x v="5"/>
    <x v="5"/>
  </r>
  <r>
    <x v="6"/>
    <x v="6"/>
    <x v="0"/>
    <x v="6"/>
    <x v="6"/>
  </r>
  <r>
    <x v="7"/>
    <x v="7"/>
    <x v="0"/>
    <x v="6"/>
    <x v="6"/>
  </r>
  <r>
    <x v="8"/>
    <x v="8"/>
    <x v="0"/>
    <x v="7"/>
    <x v="7"/>
  </r>
  <r>
    <x v="9"/>
    <x v="9"/>
    <x v="0"/>
    <x v="8"/>
    <x v="8"/>
  </r>
  <r>
    <x v="10"/>
    <x v="10"/>
    <x v="1"/>
    <x v="9"/>
    <x v="9"/>
  </r>
  <r>
    <x v="11"/>
    <x v="11"/>
    <x v="1"/>
    <x v="10"/>
    <x v="10"/>
  </r>
  <r>
    <x v="5"/>
    <x v="5"/>
    <x v="0"/>
    <x v="11"/>
    <x v="11"/>
  </r>
  <r>
    <x v="12"/>
    <x v="12"/>
    <x v="2"/>
    <x v="12"/>
    <x v="12"/>
  </r>
  <r>
    <x v="13"/>
    <x v="13"/>
    <x v="3"/>
    <x v="13"/>
    <x v="13"/>
  </r>
  <r>
    <x v="14"/>
    <x v="14"/>
    <x v="0"/>
    <x v="14"/>
    <x v="14"/>
  </r>
  <r>
    <x v="9"/>
    <x v="9"/>
    <x v="0"/>
    <x v="8"/>
    <x v="8"/>
  </r>
  <r>
    <x v="2"/>
    <x v="2"/>
    <x v="4"/>
    <x v="2"/>
    <x v="15"/>
  </r>
  <r>
    <x v="0"/>
    <x v="0"/>
    <x v="1"/>
    <x v="15"/>
    <x v="16"/>
  </r>
  <r>
    <x v="15"/>
    <x v="15"/>
    <x v="5"/>
    <x v="6"/>
    <x v="6"/>
  </r>
  <r>
    <x v="16"/>
    <x v="16"/>
    <x v="6"/>
    <x v="6"/>
    <x v="6"/>
  </r>
  <r>
    <x v="17"/>
    <x v="17"/>
    <x v="6"/>
    <x v="6"/>
    <x v="6"/>
  </r>
  <r>
    <x v="18"/>
    <x v="18"/>
    <x v="6"/>
    <x v="6"/>
    <x v="6"/>
  </r>
  <r>
    <x v="19"/>
    <x v="19"/>
    <x v="0"/>
    <x v="16"/>
    <x v="17"/>
  </r>
  <r>
    <x v="20"/>
    <x v="20"/>
    <x v="0"/>
    <x v="15"/>
    <x v="18"/>
  </r>
  <r>
    <x v="21"/>
    <x v="21"/>
    <x v="0"/>
    <x v="6"/>
    <x v="6"/>
  </r>
  <r>
    <x v="22"/>
    <x v="11"/>
    <x v="0"/>
    <x v="17"/>
    <x v="19"/>
  </r>
  <r>
    <x v="23"/>
    <x v="22"/>
    <x v="0"/>
    <x v="18"/>
    <x v="20"/>
  </r>
  <r>
    <x v="9"/>
    <x v="9"/>
    <x v="7"/>
    <x v="8"/>
    <x v="21"/>
  </r>
  <r>
    <x v="14"/>
    <x v="14"/>
    <x v="1"/>
    <x v="19"/>
    <x v="22"/>
  </r>
  <r>
    <x v="6"/>
    <x v="6"/>
    <x v="1"/>
    <x v="20"/>
    <x v="23"/>
  </r>
  <r>
    <x v="1"/>
    <x v="1"/>
    <x v="0"/>
    <x v="21"/>
    <x v="24"/>
  </r>
  <r>
    <x v="24"/>
    <x v="23"/>
    <x v="1"/>
    <x v="22"/>
    <x v="25"/>
  </r>
  <r>
    <x v="25"/>
    <x v="24"/>
    <x v="1"/>
    <x v="7"/>
    <x v="26"/>
  </r>
  <r>
    <x v="26"/>
    <x v="25"/>
    <x v="1"/>
    <x v="23"/>
    <x v="27"/>
  </r>
  <r>
    <x v="27"/>
    <x v="26"/>
    <x v="1"/>
    <x v="24"/>
    <x v="28"/>
  </r>
  <r>
    <x v="28"/>
    <x v="27"/>
    <x v="1"/>
    <x v="14"/>
    <x v="29"/>
  </r>
  <r>
    <x v="29"/>
    <x v="28"/>
    <x v="1"/>
    <x v="6"/>
    <x v="6"/>
  </r>
  <r>
    <x v="30"/>
    <x v="29"/>
    <x v="0"/>
    <x v="25"/>
    <x v="30"/>
  </r>
  <r>
    <x v="30"/>
    <x v="30"/>
    <x v="0"/>
    <x v="26"/>
    <x v="31"/>
  </r>
  <r>
    <x v="30"/>
    <x v="31"/>
    <x v="0"/>
    <x v="27"/>
    <x v="32"/>
  </r>
  <r>
    <x v="30"/>
    <x v="32"/>
    <x v="0"/>
    <x v="28"/>
    <x v="33"/>
  </r>
  <r>
    <x v="30"/>
    <x v="33"/>
    <x v="0"/>
    <x v="29"/>
    <x v="34"/>
  </r>
  <r>
    <x v="30"/>
    <x v="34"/>
    <x v="0"/>
    <x v="30"/>
    <x v="35"/>
  </r>
  <r>
    <x v="30"/>
    <x v="35"/>
    <x v="0"/>
    <x v="31"/>
    <x v="36"/>
  </r>
  <r>
    <x v="30"/>
    <x v="36"/>
    <x v="0"/>
    <x v="32"/>
    <x v="37"/>
  </r>
  <r>
    <x v="24"/>
    <x v="37"/>
    <x v="8"/>
    <x v="33"/>
    <x v="38"/>
  </r>
  <r>
    <x v="31"/>
    <x v="38"/>
    <x v="6"/>
    <x v="34"/>
    <x v="39"/>
  </r>
  <r>
    <x v="32"/>
    <x v="39"/>
    <x v="3"/>
    <x v="35"/>
    <x v="40"/>
  </r>
  <r>
    <x v="26"/>
    <x v="40"/>
    <x v="6"/>
    <x v="36"/>
    <x v="41"/>
  </r>
  <r>
    <x v="33"/>
    <x v="1"/>
    <x v="0"/>
    <x v="37"/>
    <x v="42"/>
  </r>
  <r>
    <x v="34"/>
    <x v="41"/>
    <x v="0"/>
    <x v="6"/>
    <x v="6"/>
  </r>
  <r>
    <x v="3"/>
    <x v="3"/>
    <x v="1"/>
    <x v="3"/>
    <x v="43"/>
  </r>
  <r>
    <x v="7"/>
    <x v="7"/>
    <x v="1"/>
    <x v="2"/>
    <x v="44"/>
  </r>
  <r>
    <x v="8"/>
    <x v="8"/>
    <x v="6"/>
    <x v="7"/>
    <x v="45"/>
  </r>
  <r>
    <x v="27"/>
    <x v="42"/>
    <x v="1"/>
    <x v="12"/>
    <x v="46"/>
  </r>
  <r>
    <x v="2"/>
    <x v="2"/>
    <x v="1"/>
    <x v="2"/>
    <x v="44"/>
  </r>
  <r>
    <x v="11"/>
    <x v="11"/>
    <x v="0"/>
    <x v="10"/>
    <x v="47"/>
  </r>
  <r>
    <x v="9"/>
    <x v="9"/>
    <x v="4"/>
    <x v="8"/>
    <x v="48"/>
  </r>
  <r>
    <x v="20"/>
    <x v="20"/>
    <x v="0"/>
    <x v="15"/>
    <x v="18"/>
  </r>
  <r>
    <x v="21"/>
    <x v="21"/>
    <x v="0"/>
    <x v="6"/>
    <x v="6"/>
  </r>
  <r>
    <x v="35"/>
    <x v="43"/>
    <x v="9"/>
    <x v="6"/>
    <x v="6"/>
  </r>
  <r>
    <x v="21"/>
    <x v="21"/>
    <x v="0"/>
    <x v="6"/>
    <x v="6"/>
  </r>
  <r>
    <x v="36"/>
    <x v="44"/>
    <x v="4"/>
    <x v="6"/>
    <x v="6"/>
  </r>
  <r>
    <x v="19"/>
    <x v="19"/>
    <x v="0"/>
    <x v="16"/>
    <x v="17"/>
  </r>
  <r>
    <x v="1"/>
    <x v="1"/>
    <x v="0"/>
    <x v="38"/>
    <x v="49"/>
  </r>
  <r>
    <x v="5"/>
    <x v="5"/>
    <x v="10"/>
    <x v="11"/>
    <x v="50"/>
  </r>
  <r>
    <x v="37"/>
    <x v="45"/>
    <x v="0"/>
    <x v="28"/>
    <x v="33"/>
  </r>
  <r>
    <x v="1"/>
    <x v="1"/>
    <x v="0"/>
    <x v="39"/>
    <x v="51"/>
  </r>
  <r>
    <x v="38"/>
    <x v="46"/>
    <x v="0"/>
    <x v="40"/>
    <x v="52"/>
  </r>
  <r>
    <x v="39"/>
    <x v="47"/>
    <x v="0"/>
    <x v="40"/>
    <x v="52"/>
  </r>
  <r>
    <x v="40"/>
    <x v="48"/>
    <x v="0"/>
    <x v="6"/>
    <x v="6"/>
  </r>
  <r>
    <x v="27"/>
    <x v="42"/>
    <x v="0"/>
    <x v="12"/>
    <x v="53"/>
  </r>
  <r>
    <x v="41"/>
    <x v="49"/>
    <x v="0"/>
    <x v="12"/>
    <x v="53"/>
  </r>
  <r>
    <x v="42"/>
    <x v="50"/>
    <x v="0"/>
    <x v="6"/>
    <x v="6"/>
  </r>
  <r>
    <x v="43"/>
    <x v="1"/>
    <x v="0"/>
    <x v="41"/>
    <x v="54"/>
  </r>
  <r>
    <x v="10"/>
    <x v="10"/>
    <x v="4"/>
    <x v="9"/>
    <x v="55"/>
  </r>
  <r>
    <x v="44"/>
    <x v="51"/>
    <x v="0"/>
    <x v="17"/>
    <x v="19"/>
  </r>
  <r>
    <x v="45"/>
    <x v="52"/>
    <x v="0"/>
    <x v="42"/>
    <x v="56"/>
  </r>
  <r>
    <x v="7"/>
    <x v="7"/>
    <x v="0"/>
    <x v="2"/>
    <x v="2"/>
  </r>
  <r>
    <x v="46"/>
    <x v="53"/>
    <x v="7"/>
    <x v="43"/>
    <x v="57"/>
  </r>
  <r>
    <x v="47"/>
    <x v="54"/>
    <x v="7"/>
    <x v="44"/>
    <x v="58"/>
  </r>
  <r>
    <x v="46"/>
    <x v="55"/>
    <x v="1"/>
    <x v="6"/>
    <x v="6"/>
  </r>
  <r>
    <x v="47"/>
    <x v="54"/>
    <x v="1"/>
    <x v="6"/>
    <x v="6"/>
  </r>
  <r>
    <x v="1"/>
    <x v="1"/>
    <x v="0"/>
    <x v="45"/>
    <x v="59"/>
  </r>
  <r>
    <x v="0"/>
    <x v="0"/>
    <x v="0"/>
    <x v="15"/>
    <x v="18"/>
  </r>
  <r>
    <x v="48"/>
    <x v="56"/>
    <x v="7"/>
    <x v="46"/>
    <x v="60"/>
  </r>
  <r>
    <x v="6"/>
    <x v="57"/>
    <x v="7"/>
    <x v="6"/>
    <x v="6"/>
  </r>
  <r>
    <x v="49"/>
    <x v="58"/>
    <x v="1"/>
    <x v="6"/>
    <x v="6"/>
  </r>
  <r>
    <x v="50"/>
    <x v="59"/>
    <x v="0"/>
    <x v="47"/>
    <x v="61"/>
  </r>
  <r>
    <x v="1"/>
    <x v="1"/>
    <x v="0"/>
    <x v="48"/>
    <x v="62"/>
  </r>
  <r>
    <x v="6"/>
    <x v="6"/>
    <x v="7"/>
    <x v="49"/>
    <x v="63"/>
  </r>
  <r>
    <x v="34"/>
    <x v="60"/>
    <x v="0"/>
    <x v="6"/>
    <x v="6"/>
  </r>
  <r>
    <x v="3"/>
    <x v="3"/>
    <x v="0"/>
    <x v="3"/>
    <x v="3"/>
  </r>
  <r>
    <x v="9"/>
    <x v="9"/>
    <x v="1"/>
    <x v="8"/>
    <x v="64"/>
  </r>
  <r>
    <x v="8"/>
    <x v="8"/>
    <x v="0"/>
    <x v="7"/>
    <x v="7"/>
  </r>
  <r>
    <x v="14"/>
    <x v="14"/>
    <x v="0"/>
    <x v="14"/>
    <x v="14"/>
  </r>
  <r>
    <x v="44"/>
    <x v="51"/>
    <x v="0"/>
    <x v="17"/>
    <x v="19"/>
  </r>
  <r>
    <x v="3"/>
    <x v="3"/>
    <x v="0"/>
    <x v="3"/>
    <x v="3"/>
  </r>
  <r>
    <x v="7"/>
    <x v="7"/>
    <x v="0"/>
    <x v="2"/>
    <x v="2"/>
  </r>
  <r>
    <x v="6"/>
    <x v="6"/>
    <x v="0"/>
    <x v="49"/>
    <x v="65"/>
  </r>
  <r>
    <x v="51"/>
    <x v="61"/>
    <x v="1"/>
    <x v="50"/>
    <x v="66"/>
  </r>
  <r>
    <x v="52"/>
    <x v="62"/>
    <x v="0"/>
    <x v="6"/>
    <x v="6"/>
  </r>
  <r>
    <x v="1"/>
    <x v="1"/>
    <x v="0"/>
    <x v="51"/>
    <x v="67"/>
  </r>
  <r>
    <x v="34"/>
    <x v="63"/>
    <x v="0"/>
    <x v="6"/>
    <x v="6"/>
  </r>
  <r>
    <x v="0"/>
    <x v="0"/>
    <x v="1"/>
    <x v="15"/>
    <x v="16"/>
  </r>
  <r>
    <x v="2"/>
    <x v="2"/>
    <x v="0"/>
    <x v="2"/>
    <x v="2"/>
  </r>
  <r>
    <x v="21"/>
    <x v="21"/>
    <x v="0"/>
    <x v="2"/>
    <x v="2"/>
  </r>
  <r>
    <x v="23"/>
    <x v="22"/>
    <x v="0"/>
    <x v="18"/>
    <x v="20"/>
  </r>
  <r>
    <x v="46"/>
    <x v="53"/>
    <x v="10"/>
    <x v="43"/>
    <x v="68"/>
  </r>
  <r>
    <x v="1"/>
    <x v="1"/>
    <x v="0"/>
    <x v="52"/>
    <x v="69"/>
  </r>
  <r>
    <x v="5"/>
    <x v="64"/>
    <x v="0"/>
    <x v="11"/>
    <x v="11"/>
  </r>
  <r>
    <x v="30"/>
    <x v="65"/>
    <x v="10"/>
    <x v="53"/>
    <x v="70"/>
  </r>
  <r>
    <x v="4"/>
    <x v="4"/>
    <x v="0"/>
    <x v="4"/>
    <x v="4"/>
  </r>
  <r>
    <x v="6"/>
    <x v="57"/>
    <x v="0"/>
    <x v="6"/>
    <x v="6"/>
  </r>
  <r>
    <x v="2"/>
    <x v="66"/>
    <x v="0"/>
    <x v="6"/>
    <x v="6"/>
  </r>
  <r>
    <x v="45"/>
    <x v="67"/>
    <x v="0"/>
    <x v="6"/>
    <x v="6"/>
  </r>
  <r>
    <x v="53"/>
    <x v="68"/>
    <x v="0"/>
    <x v="54"/>
    <x v="71"/>
  </r>
  <r>
    <x v="4"/>
    <x v="4"/>
    <x v="1"/>
    <x v="4"/>
    <x v="72"/>
  </r>
  <r>
    <x v="45"/>
    <x v="52"/>
    <x v="1"/>
    <x v="6"/>
    <x v="6"/>
  </r>
  <r>
    <x v="6"/>
    <x v="6"/>
    <x v="1"/>
    <x v="6"/>
    <x v="6"/>
  </r>
  <r>
    <x v="7"/>
    <x v="7"/>
    <x v="1"/>
    <x v="6"/>
    <x v="6"/>
  </r>
  <r>
    <x v="44"/>
    <x v="51"/>
    <x v="0"/>
    <x v="17"/>
    <x v="19"/>
  </r>
  <r>
    <x v="19"/>
    <x v="19"/>
    <x v="0"/>
    <x v="55"/>
    <x v="73"/>
  </r>
  <r>
    <x v="8"/>
    <x v="8"/>
    <x v="1"/>
    <x v="7"/>
    <x v="26"/>
  </r>
  <r>
    <x v="9"/>
    <x v="9"/>
    <x v="0"/>
    <x v="8"/>
    <x v="8"/>
  </r>
  <r>
    <x v="22"/>
    <x v="11"/>
    <x v="0"/>
    <x v="17"/>
    <x v="19"/>
  </r>
  <r>
    <x v="54"/>
    <x v="69"/>
    <x v="0"/>
    <x v="12"/>
    <x v="53"/>
  </r>
  <r>
    <x v="8"/>
    <x v="8"/>
    <x v="2"/>
    <x v="7"/>
    <x v="74"/>
  </r>
  <r>
    <x v="0"/>
    <x v="0"/>
    <x v="1"/>
    <x v="15"/>
    <x v="16"/>
  </r>
  <r>
    <x v="11"/>
    <x v="11"/>
    <x v="0"/>
    <x v="10"/>
    <x v="47"/>
  </r>
  <r>
    <x v="11"/>
    <x v="11"/>
    <x v="0"/>
    <x v="10"/>
    <x v="47"/>
  </r>
  <r>
    <x v="0"/>
    <x v="0"/>
    <x v="7"/>
    <x v="15"/>
    <x v="75"/>
  </r>
  <r>
    <x v="4"/>
    <x v="4"/>
    <x v="1"/>
    <x v="4"/>
    <x v="72"/>
  </r>
  <r>
    <x v="45"/>
    <x v="52"/>
    <x v="1"/>
    <x v="6"/>
    <x v="6"/>
  </r>
  <r>
    <x v="6"/>
    <x v="6"/>
    <x v="1"/>
    <x v="6"/>
    <x v="6"/>
  </r>
  <r>
    <x v="7"/>
    <x v="7"/>
    <x v="1"/>
    <x v="6"/>
    <x v="6"/>
  </r>
  <r>
    <x v="55"/>
    <x v="70"/>
    <x v="1"/>
    <x v="14"/>
    <x v="29"/>
  </r>
  <r>
    <x v="1"/>
    <x v="1"/>
    <x v="0"/>
    <x v="56"/>
    <x v="76"/>
  </r>
  <r>
    <x v="0"/>
    <x v="0"/>
    <x v="10"/>
    <x v="0"/>
    <x v="77"/>
  </r>
  <r>
    <x v="1"/>
    <x v="1"/>
    <x v="0"/>
    <x v="57"/>
    <x v="78"/>
  </r>
  <r>
    <x v="56"/>
    <x v="71"/>
    <x v="4"/>
    <x v="58"/>
    <x v="79"/>
  </r>
  <r>
    <x v="57"/>
    <x v="72"/>
    <x v="4"/>
    <x v="59"/>
    <x v="80"/>
  </r>
  <r>
    <x v="1"/>
    <x v="1"/>
    <x v="0"/>
    <x v="60"/>
    <x v="81"/>
  </r>
  <r>
    <x v="58"/>
    <x v="73"/>
    <x v="0"/>
    <x v="61"/>
    <x v="82"/>
  </r>
  <r>
    <x v="59"/>
    <x v="1"/>
    <x v="0"/>
    <x v="62"/>
    <x v="83"/>
  </r>
  <r>
    <x v="33"/>
    <x v="1"/>
    <x v="0"/>
    <x v="63"/>
    <x v="84"/>
  </r>
  <r>
    <x v="44"/>
    <x v="51"/>
    <x v="0"/>
    <x v="17"/>
    <x v="19"/>
  </r>
  <r>
    <x v="10"/>
    <x v="10"/>
    <x v="1"/>
    <x v="35"/>
    <x v="85"/>
  </r>
  <r>
    <x v="60"/>
    <x v="1"/>
    <x v="0"/>
    <x v="64"/>
    <x v="86"/>
  </r>
  <r>
    <x v="1"/>
    <x v="1"/>
    <x v="0"/>
    <x v="65"/>
    <x v="87"/>
  </r>
  <r>
    <x v="61"/>
    <x v="74"/>
    <x v="1"/>
    <x v="6"/>
    <x v="6"/>
  </r>
  <r>
    <x v="62"/>
    <x v="75"/>
    <x v="1"/>
    <x v="66"/>
    <x v="88"/>
  </r>
  <r>
    <x v="6"/>
    <x v="57"/>
    <x v="1"/>
    <x v="6"/>
    <x v="6"/>
  </r>
  <r>
    <x v="12"/>
    <x v="76"/>
    <x v="1"/>
    <x v="6"/>
    <x v="6"/>
  </r>
  <r>
    <x v="7"/>
    <x v="77"/>
    <x v="1"/>
    <x v="6"/>
    <x v="6"/>
  </r>
  <r>
    <x v="14"/>
    <x v="78"/>
    <x v="1"/>
    <x v="67"/>
    <x v="89"/>
  </r>
  <r>
    <x v="19"/>
    <x v="19"/>
    <x v="0"/>
    <x v="55"/>
    <x v="73"/>
  </r>
  <r>
    <x v="1"/>
    <x v="1"/>
    <x v="0"/>
    <x v="68"/>
    <x v="90"/>
  </r>
  <r>
    <x v="53"/>
    <x v="68"/>
    <x v="0"/>
    <x v="54"/>
    <x v="71"/>
  </r>
  <r>
    <x v="9"/>
    <x v="9"/>
    <x v="1"/>
    <x v="8"/>
    <x v="64"/>
  </r>
  <r>
    <x v="44"/>
    <x v="51"/>
    <x v="0"/>
    <x v="17"/>
    <x v="19"/>
  </r>
  <r>
    <x v="10"/>
    <x v="10"/>
    <x v="1"/>
    <x v="9"/>
    <x v="9"/>
  </r>
  <r>
    <x v="63"/>
    <x v="79"/>
    <x v="1"/>
    <x v="69"/>
    <x v="91"/>
  </r>
  <r>
    <x v="54"/>
    <x v="69"/>
    <x v="0"/>
    <x v="12"/>
    <x v="53"/>
  </r>
  <r>
    <x v="34"/>
    <x v="80"/>
    <x v="0"/>
    <x v="6"/>
    <x v="6"/>
  </r>
  <r>
    <x v="64"/>
    <x v="81"/>
    <x v="1"/>
    <x v="6"/>
    <x v="6"/>
  </r>
  <r>
    <x v="65"/>
    <x v="82"/>
    <x v="0"/>
    <x v="6"/>
    <x v="6"/>
  </r>
  <r>
    <x v="3"/>
    <x v="3"/>
    <x v="0"/>
    <x v="3"/>
    <x v="3"/>
  </r>
  <r>
    <x v="0"/>
    <x v="0"/>
    <x v="1"/>
    <x v="15"/>
    <x v="16"/>
  </r>
  <r>
    <x v="8"/>
    <x v="8"/>
    <x v="2"/>
    <x v="7"/>
    <x v="74"/>
  </r>
  <r>
    <x v="9"/>
    <x v="9"/>
    <x v="0"/>
    <x v="8"/>
    <x v="8"/>
  </r>
  <r>
    <x v="22"/>
    <x v="11"/>
    <x v="0"/>
    <x v="17"/>
    <x v="19"/>
  </r>
  <r>
    <x v="0"/>
    <x v="0"/>
    <x v="1"/>
    <x v="15"/>
    <x v="16"/>
  </r>
  <r>
    <x v="66"/>
    <x v="1"/>
    <x v="0"/>
    <x v="70"/>
    <x v="92"/>
  </r>
  <r>
    <x v="1"/>
    <x v="1"/>
    <x v="0"/>
    <x v="71"/>
    <x v="93"/>
  </r>
  <r>
    <x v="11"/>
    <x v="11"/>
    <x v="0"/>
    <x v="10"/>
    <x v="47"/>
  </r>
  <r>
    <x v="9"/>
    <x v="9"/>
    <x v="11"/>
    <x v="8"/>
    <x v="94"/>
  </r>
  <r>
    <x v="4"/>
    <x v="4"/>
    <x v="0"/>
    <x v="4"/>
    <x v="4"/>
  </r>
  <r>
    <x v="5"/>
    <x v="5"/>
    <x v="0"/>
    <x v="5"/>
    <x v="5"/>
  </r>
  <r>
    <x v="6"/>
    <x v="6"/>
    <x v="0"/>
    <x v="6"/>
    <x v="6"/>
  </r>
  <r>
    <x v="7"/>
    <x v="7"/>
    <x v="0"/>
    <x v="6"/>
    <x v="6"/>
  </r>
  <r>
    <x v="67"/>
    <x v="83"/>
    <x v="0"/>
    <x v="72"/>
    <x v="95"/>
  </r>
  <r>
    <x v="68"/>
    <x v="84"/>
    <x v="10"/>
    <x v="6"/>
    <x v="6"/>
  </r>
  <r>
    <x v="69"/>
    <x v="85"/>
    <x v="10"/>
    <x v="73"/>
    <x v="96"/>
  </r>
  <r>
    <x v="8"/>
    <x v="8"/>
    <x v="5"/>
    <x v="7"/>
    <x v="97"/>
  </r>
  <r>
    <x v="70"/>
    <x v="86"/>
    <x v="0"/>
    <x v="69"/>
    <x v="98"/>
  </r>
  <r>
    <x v="71"/>
    <x v="87"/>
    <x v="10"/>
    <x v="49"/>
    <x v="99"/>
  </r>
  <r>
    <x v="66"/>
    <x v="1"/>
    <x v="0"/>
    <x v="74"/>
    <x v="100"/>
  </r>
  <r>
    <x v="62"/>
    <x v="75"/>
    <x v="7"/>
    <x v="66"/>
    <x v="101"/>
  </r>
  <r>
    <x v="6"/>
    <x v="57"/>
    <x v="7"/>
    <x v="6"/>
    <x v="6"/>
  </r>
  <r>
    <x v="12"/>
    <x v="76"/>
    <x v="7"/>
    <x v="6"/>
    <x v="6"/>
  </r>
  <r>
    <x v="7"/>
    <x v="77"/>
    <x v="7"/>
    <x v="6"/>
    <x v="6"/>
  </r>
  <r>
    <x v="30"/>
    <x v="88"/>
    <x v="7"/>
    <x v="75"/>
    <x v="102"/>
  </r>
  <r>
    <x v="9"/>
    <x v="9"/>
    <x v="7"/>
    <x v="8"/>
    <x v="21"/>
  </r>
  <r>
    <x v="33"/>
    <x v="1"/>
    <x v="0"/>
    <x v="76"/>
    <x v="103"/>
  </r>
  <r>
    <x v="8"/>
    <x v="8"/>
    <x v="1"/>
    <x v="7"/>
    <x v="26"/>
  </r>
  <r>
    <x v="72"/>
    <x v="89"/>
    <x v="1"/>
    <x v="77"/>
    <x v="104"/>
  </r>
  <r>
    <x v="73"/>
    <x v="90"/>
    <x v="5"/>
    <x v="36"/>
    <x v="105"/>
  </r>
  <r>
    <x v="54"/>
    <x v="69"/>
    <x v="10"/>
    <x v="78"/>
    <x v="106"/>
  </r>
  <r>
    <x v="74"/>
    <x v="91"/>
    <x v="5"/>
    <x v="79"/>
    <x v="107"/>
  </r>
  <r>
    <x v="21"/>
    <x v="21"/>
    <x v="7"/>
    <x v="80"/>
    <x v="108"/>
  </r>
  <r>
    <x v="2"/>
    <x v="2"/>
    <x v="5"/>
    <x v="80"/>
    <x v="109"/>
  </r>
  <r>
    <x v="75"/>
    <x v="92"/>
    <x v="0"/>
    <x v="81"/>
    <x v="110"/>
  </r>
  <r>
    <x v="44"/>
    <x v="51"/>
    <x v="0"/>
    <x v="82"/>
    <x v="111"/>
  </r>
  <r>
    <x v="62"/>
    <x v="75"/>
    <x v="1"/>
    <x v="83"/>
    <x v="112"/>
  </r>
  <r>
    <x v="6"/>
    <x v="57"/>
    <x v="1"/>
    <x v="6"/>
    <x v="6"/>
  </r>
  <r>
    <x v="12"/>
    <x v="76"/>
    <x v="1"/>
    <x v="6"/>
    <x v="6"/>
  </r>
  <r>
    <x v="76"/>
    <x v="93"/>
    <x v="1"/>
    <x v="6"/>
    <x v="6"/>
  </r>
  <r>
    <x v="74"/>
    <x v="91"/>
    <x v="3"/>
    <x v="79"/>
    <x v="113"/>
  </r>
  <r>
    <x v="77"/>
    <x v="94"/>
    <x v="6"/>
    <x v="79"/>
    <x v="114"/>
  </r>
  <r>
    <x v="21"/>
    <x v="95"/>
    <x v="0"/>
    <x v="6"/>
    <x v="6"/>
  </r>
  <r>
    <x v="78"/>
    <x v="96"/>
    <x v="0"/>
    <x v="84"/>
    <x v="115"/>
  </r>
  <r>
    <x v="37"/>
    <x v="45"/>
    <x v="1"/>
    <x v="85"/>
    <x v="116"/>
  </r>
  <r>
    <x v="1"/>
    <x v="1"/>
    <x v="0"/>
    <x v="86"/>
    <x v="117"/>
  </r>
  <r>
    <x v="51"/>
    <x v="61"/>
    <x v="7"/>
    <x v="50"/>
    <x v="118"/>
  </r>
  <r>
    <x v="33"/>
    <x v="1"/>
    <x v="0"/>
    <x v="87"/>
    <x v="119"/>
  </r>
  <r>
    <x v="0"/>
    <x v="0"/>
    <x v="0"/>
    <x v="15"/>
    <x v="18"/>
  </r>
  <r>
    <x v="11"/>
    <x v="11"/>
    <x v="1"/>
    <x v="10"/>
    <x v="10"/>
  </r>
  <r>
    <x v="10"/>
    <x v="10"/>
    <x v="1"/>
    <x v="35"/>
    <x v="85"/>
  </r>
  <r>
    <x v="1"/>
    <x v="1"/>
    <x v="0"/>
    <x v="88"/>
    <x v="120"/>
  </r>
  <r>
    <x v="79"/>
    <x v="97"/>
    <x v="1"/>
    <x v="72"/>
    <x v="121"/>
  </r>
  <r>
    <x v="80"/>
    <x v="98"/>
    <x v="1"/>
    <x v="49"/>
    <x v="122"/>
  </r>
  <r>
    <x v="81"/>
    <x v="99"/>
    <x v="1"/>
    <x v="6"/>
    <x v="6"/>
  </r>
  <r>
    <x v="45"/>
    <x v="52"/>
    <x v="1"/>
    <x v="42"/>
    <x v="123"/>
  </r>
  <r>
    <x v="7"/>
    <x v="7"/>
    <x v="1"/>
    <x v="2"/>
    <x v="44"/>
  </r>
  <r>
    <x v="44"/>
    <x v="51"/>
    <x v="0"/>
    <x v="17"/>
    <x v="19"/>
  </r>
  <r>
    <x v="11"/>
    <x v="11"/>
    <x v="0"/>
    <x v="10"/>
    <x v="47"/>
  </r>
  <r>
    <x v="9"/>
    <x v="9"/>
    <x v="1"/>
    <x v="8"/>
    <x v="64"/>
  </r>
  <r>
    <x v="45"/>
    <x v="52"/>
    <x v="1"/>
    <x v="42"/>
    <x v="123"/>
  </r>
  <r>
    <x v="82"/>
    <x v="100"/>
    <x v="0"/>
    <x v="11"/>
    <x v="11"/>
  </r>
  <r>
    <x v="11"/>
    <x v="11"/>
    <x v="0"/>
    <x v="10"/>
    <x v="47"/>
  </r>
  <r>
    <x v="11"/>
    <x v="11"/>
    <x v="0"/>
    <x v="10"/>
    <x v="47"/>
  </r>
  <r>
    <x v="79"/>
    <x v="97"/>
    <x v="0"/>
    <x v="72"/>
    <x v="95"/>
  </r>
  <r>
    <x v="81"/>
    <x v="99"/>
    <x v="0"/>
    <x v="6"/>
    <x v="6"/>
  </r>
  <r>
    <x v="0"/>
    <x v="0"/>
    <x v="0"/>
    <x v="15"/>
    <x v="18"/>
  </r>
  <r>
    <x v="4"/>
    <x v="4"/>
    <x v="1"/>
    <x v="4"/>
    <x v="72"/>
  </r>
  <r>
    <x v="45"/>
    <x v="52"/>
    <x v="1"/>
    <x v="6"/>
    <x v="6"/>
  </r>
  <r>
    <x v="6"/>
    <x v="6"/>
    <x v="1"/>
    <x v="6"/>
    <x v="6"/>
  </r>
  <r>
    <x v="7"/>
    <x v="7"/>
    <x v="1"/>
    <x v="6"/>
    <x v="6"/>
  </r>
  <r>
    <x v="19"/>
    <x v="19"/>
    <x v="0"/>
    <x v="55"/>
    <x v="73"/>
  </r>
  <r>
    <x v="9"/>
    <x v="9"/>
    <x v="1"/>
    <x v="8"/>
    <x v="64"/>
  </r>
  <r>
    <x v="83"/>
    <x v="101"/>
    <x v="1"/>
    <x v="53"/>
    <x v="124"/>
  </r>
  <r>
    <x v="84"/>
    <x v="102"/>
    <x v="0"/>
    <x v="42"/>
    <x v="56"/>
  </r>
  <r>
    <x v="85"/>
    <x v="103"/>
    <x v="1"/>
    <x v="69"/>
    <x v="91"/>
  </r>
  <r>
    <x v="86"/>
    <x v="104"/>
    <x v="0"/>
    <x v="9"/>
    <x v="125"/>
  </r>
  <r>
    <x v="6"/>
    <x v="6"/>
    <x v="0"/>
    <x v="6"/>
    <x v="6"/>
  </r>
  <r>
    <x v="87"/>
    <x v="105"/>
    <x v="0"/>
    <x v="6"/>
    <x v="6"/>
  </r>
  <r>
    <x v="53"/>
    <x v="68"/>
    <x v="0"/>
    <x v="54"/>
    <x v="71"/>
  </r>
  <r>
    <x v="22"/>
    <x v="11"/>
    <x v="0"/>
    <x v="22"/>
    <x v="126"/>
  </r>
  <r>
    <x v="58"/>
    <x v="73"/>
    <x v="1"/>
    <x v="61"/>
    <x v="127"/>
  </r>
  <r>
    <x v="44"/>
    <x v="51"/>
    <x v="1"/>
    <x v="82"/>
    <x v="128"/>
  </r>
  <r>
    <x v="1"/>
    <x v="1"/>
    <x v="0"/>
    <x v="89"/>
    <x v="129"/>
  </r>
  <r>
    <x v="8"/>
    <x v="8"/>
    <x v="7"/>
    <x v="6"/>
    <x v="6"/>
  </r>
  <r>
    <x v="6"/>
    <x v="6"/>
    <x v="7"/>
    <x v="6"/>
    <x v="6"/>
  </r>
  <r>
    <x v="88"/>
    <x v="106"/>
    <x v="1"/>
    <x v="6"/>
    <x v="6"/>
  </r>
  <r>
    <x v="12"/>
    <x v="12"/>
    <x v="7"/>
    <x v="6"/>
    <x v="6"/>
  </r>
  <r>
    <x v="4"/>
    <x v="4"/>
    <x v="1"/>
    <x v="4"/>
    <x v="72"/>
  </r>
  <r>
    <x v="6"/>
    <x v="57"/>
    <x v="1"/>
    <x v="6"/>
    <x v="6"/>
  </r>
  <r>
    <x v="89"/>
    <x v="107"/>
    <x v="1"/>
    <x v="6"/>
    <x v="6"/>
  </r>
  <r>
    <x v="90"/>
    <x v="108"/>
    <x v="1"/>
    <x v="6"/>
    <x v="6"/>
  </r>
  <r>
    <x v="45"/>
    <x v="67"/>
    <x v="1"/>
    <x v="6"/>
    <x v="6"/>
  </r>
  <r>
    <x v="2"/>
    <x v="66"/>
    <x v="1"/>
    <x v="6"/>
    <x v="6"/>
  </r>
  <r>
    <x v="91"/>
    <x v="109"/>
    <x v="1"/>
    <x v="6"/>
    <x v="6"/>
  </r>
  <r>
    <x v="9"/>
    <x v="9"/>
    <x v="1"/>
    <x v="8"/>
    <x v="64"/>
  </r>
  <r>
    <x v="3"/>
    <x v="3"/>
    <x v="1"/>
    <x v="3"/>
    <x v="43"/>
  </r>
  <r>
    <x v="45"/>
    <x v="52"/>
    <x v="1"/>
    <x v="42"/>
    <x v="123"/>
  </r>
  <r>
    <x v="92"/>
    <x v="110"/>
    <x v="12"/>
    <x v="90"/>
    <x v="130"/>
  </r>
  <r>
    <x v="93"/>
    <x v="111"/>
    <x v="12"/>
    <x v="6"/>
    <x v="6"/>
  </r>
  <r>
    <x v="28"/>
    <x v="27"/>
    <x v="0"/>
    <x v="11"/>
    <x v="11"/>
  </r>
  <r>
    <x v="94"/>
    <x v="112"/>
    <x v="0"/>
    <x v="13"/>
    <x v="131"/>
  </r>
  <r>
    <x v="95"/>
    <x v="113"/>
    <x v="0"/>
    <x v="91"/>
    <x v="132"/>
  </r>
  <r>
    <x v="96"/>
    <x v="114"/>
    <x v="0"/>
    <x v="15"/>
    <x v="18"/>
  </r>
  <r>
    <x v="97"/>
    <x v="115"/>
    <x v="0"/>
    <x v="6"/>
    <x v="6"/>
  </r>
  <r>
    <x v="98"/>
    <x v="116"/>
    <x v="0"/>
    <x v="6"/>
    <x v="6"/>
  </r>
  <r>
    <x v="42"/>
    <x v="117"/>
    <x v="0"/>
    <x v="6"/>
    <x v="6"/>
  </r>
  <r>
    <x v="74"/>
    <x v="91"/>
    <x v="1"/>
    <x v="92"/>
    <x v="133"/>
  </r>
  <r>
    <x v="77"/>
    <x v="94"/>
    <x v="0"/>
    <x v="92"/>
    <x v="134"/>
  </r>
  <r>
    <x v="27"/>
    <x v="42"/>
    <x v="0"/>
    <x v="12"/>
    <x v="53"/>
  </r>
  <r>
    <x v="44"/>
    <x v="51"/>
    <x v="4"/>
    <x v="17"/>
    <x v="135"/>
  </r>
  <r>
    <x v="11"/>
    <x v="11"/>
    <x v="0"/>
    <x v="10"/>
    <x v="47"/>
  </r>
  <r>
    <x v="99"/>
    <x v="118"/>
    <x v="7"/>
    <x v="20"/>
    <x v="99"/>
  </r>
  <r>
    <x v="1"/>
    <x v="1"/>
    <x v="0"/>
    <x v="93"/>
    <x v="136"/>
  </r>
  <r>
    <x v="100"/>
    <x v="119"/>
    <x v="1"/>
    <x v="94"/>
    <x v="137"/>
  </r>
  <r>
    <x v="6"/>
    <x v="57"/>
    <x v="1"/>
    <x v="6"/>
    <x v="6"/>
  </r>
  <r>
    <x v="45"/>
    <x v="67"/>
    <x v="5"/>
    <x v="6"/>
    <x v="6"/>
  </r>
  <r>
    <x v="2"/>
    <x v="66"/>
    <x v="5"/>
    <x v="6"/>
    <x v="6"/>
  </r>
  <r>
    <x v="101"/>
    <x v="120"/>
    <x v="0"/>
    <x v="95"/>
    <x v="138"/>
  </r>
  <r>
    <x v="33"/>
    <x v="1"/>
    <x v="0"/>
    <x v="96"/>
    <x v="139"/>
  </r>
  <r>
    <x v="22"/>
    <x v="11"/>
    <x v="0"/>
    <x v="17"/>
    <x v="19"/>
  </r>
  <r>
    <x v="9"/>
    <x v="9"/>
    <x v="0"/>
    <x v="8"/>
    <x v="8"/>
  </r>
  <r>
    <x v="8"/>
    <x v="8"/>
    <x v="1"/>
    <x v="97"/>
    <x v="140"/>
  </r>
  <r>
    <x v="10"/>
    <x v="10"/>
    <x v="4"/>
    <x v="35"/>
    <x v="141"/>
  </r>
  <r>
    <x v="91"/>
    <x v="121"/>
    <x v="5"/>
    <x v="98"/>
    <x v="142"/>
  </r>
  <r>
    <x v="1"/>
    <x v="1"/>
    <x v="0"/>
    <x v="99"/>
    <x v="143"/>
  </r>
  <r>
    <x v="4"/>
    <x v="4"/>
    <x v="1"/>
    <x v="4"/>
    <x v="72"/>
  </r>
  <r>
    <x v="5"/>
    <x v="122"/>
    <x v="1"/>
    <x v="5"/>
    <x v="144"/>
  </r>
  <r>
    <x v="6"/>
    <x v="57"/>
    <x v="1"/>
    <x v="6"/>
    <x v="6"/>
  </r>
  <r>
    <x v="7"/>
    <x v="77"/>
    <x v="1"/>
    <x v="6"/>
    <x v="6"/>
  </r>
  <r>
    <x v="102"/>
    <x v="123"/>
    <x v="7"/>
    <x v="49"/>
    <x v="63"/>
  </r>
  <r>
    <x v="1"/>
    <x v="1"/>
    <x v="0"/>
    <x v="100"/>
    <x v="145"/>
  </r>
  <r>
    <x v="45"/>
    <x v="52"/>
    <x v="0"/>
    <x v="42"/>
    <x v="56"/>
  </r>
  <r>
    <x v="79"/>
    <x v="97"/>
    <x v="0"/>
    <x v="72"/>
    <x v="95"/>
  </r>
  <r>
    <x v="81"/>
    <x v="99"/>
    <x v="0"/>
    <x v="6"/>
    <x v="6"/>
  </r>
  <r>
    <x v="6"/>
    <x v="6"/>
    <x v="0"/>
    <x v="49"/>
    <x v="65"/>
  </r>
  <r>
    <x v="4"/>
    <x v="4"/>
    <x v="1"/>
    <x v="4"/>
    <x v="72"/>
  </r>
  <r>
    <x v="5"/>
    <x v="5"/>
    <x v="1"/>
    <x v="5"/>
    <x v="144"/>
  </r>
  <r>
    <x v="103"/>
    <x v="124"/>
    <x v="1"/>
    <x v="101"/>
    <x v="146"/>
  </r>
  <r>
    <x v="6"/>
    <x v="6"/>
    <x v="1"/>
    <x v="6"/>
    <x v="6"/>
  </r>
  <r>
    <x v="7"/>
    <x v="7"/>
    <x v="1"/>
    <x v="6"/>
    <x v="6"/>
  </r>
  <r>
    <x v="9"/>
    <x v="9"/>
    <x v="7"/>
    <x v="8"/>
    <x v="21"/>
  </r>
  <r>
    <x v="5"/>
    <x v="5"/>
    <x v="0"/>
    <x v="11"/>
    <x v="11"/>
  </r>
  <r>
    <x v="4"/>
    <x v="4"/>
    <x v="1"/>
    <x v="4"/>
    <x v="72"/>
  </r>
  <r>
    <x v="5"/>
    <x v="5"/>
    <x v="1"/>
    <x v="5"/>
    <x v="144"/>
  </r>
  <r>
    <x v="6"/>
    <x v="6"/>
    <x v="1"/>
    <x v="6"/>
    <x v="6"/>
  </r>
  <r>
    <x v="7"/>
    <x v="7"/>
    <x v="1"/>
    <x v="6"/>
    <x v="6"/>
  </r>
  <r>
    <x v="102"/>
    <x v="123"/>
    <x v="7"/>
    <x v="49"/>
    <x v="63"/>
  </r>
  <r>
    <x v="44"/>
    <x v="51"/>
    <x v="0"/>
    <x v="17"/>
    <x v="19"/>
  </r>
  <r>
    <x v="23"/>
    <x v="22"/>
    <x v="0"/>
    <x v="102"/>
    <x v="147"/>
  </r>
  <r>
    <x v="104"/>
    <x v="125"/>
    <x v="6"/>
    <x v="103"/>
    <x v="102"/>
  </r>
  <r>
    <x v="105"/>
    <x v="1"/>
    <x v="3"/>
    <x v="104"/>
    <x v="148"/>
  </r>
  <r>
    <x v="22"/>
    <x v="11"/>
    <x v="0"/>
    <x v="17"/>
    <x v="19"/>
  </r>
  <r>
    <x v="22"/>
    <x v="11"/>
    <x v="0"/>
    <x v="17"/>
    <x v="19"/>
  </r>
  <r>
    <x v="106"/>
    <x v="126"/>
    <x v="0"/>
    <x v="105"/>
    <x v="149"/>
  </r>
  <r>
    <x v="107"/>
    <x v="127"/>
    <x v="0"/>
    <x v="6"/>
    <x v="6"/>
  </r>
  <r>
    <x v="108"/>
    <x v="128"/>
    <x v="1"/>
    <x v="6"/>
    <x v="6"/>
  </r>
  <r>
    <x v="109"/>
    <x v="129"/>
    <x v="0"/>
    <x v="6"/>
    <x v="6"/>
  </r>
  <r>
    <x v="51"/>
    <x v="61"/>
    <x v="7"/>
    <x v="106"/>
    <x v="150"/>
  </r>
  <r>
    <x v="91"/>
    <x v="109"/>
    <x v="1"/>
    <x v="6"/>
    <x v="6"/>
  </r>
  <r>
    <x v="21"/>
    <x v="95"/>
    <x v="1"/>
    <x v="6"/>
    <x v="6"/>
  </r>
  <r>
    <x v="76"/>
    <x v="130"/>
    <x v="1"/>
    <x v="42"/>
    <x v="123"/>
  </r>
  <r>
    <x v="110"/>
    <x v="131"/>
    <x v="1"/>
    <x v="6"/>
    <x v="6"/>
  </r>
  <r>
    <x v="33"/>
    <x v="1"/>
    <x v="0"/>
    <x v="107"/>
    <x v="151"/>
  </r>
  <r>
    <x v="111"/>
    <x v="132"/>
    <x v="13"/>
    <x v="6"/>
    <x v="6"/>
  </r>
  <r>
    <x v="6"/>
    <x v="6"/>
    <x v="0"/>
    <x v="49"/>
    <x v="65"/>
  </r>
  <r>
    <x v="70"/>
    <x v="86"/>
    <x v="0"/>
    <x v="69"/>
    <x v="98"/>
  </r>
  <r>
    <x v="112"/>
    <x v="133"/>
    <x v="1"/>
    <x v="108"/>
    <x v="152"/>
  </r>
  <r>
    <x v="23"/>
    <x v="22"/>
    <x v="1"/>
    <x v="18"/>
    <x v="153"/>
  </r>
  <r>
    <x v="58"/>
    <x v="73"/>
    <x v="0"/>
    <x v="109"/>
    <x v="154"/>
  </r>
  <r>
    <x v="27"/>
    <x v="42"/>
    <x v="3"/>
    <x v="78"/>
    <x v="155"/>
  </r>
  <r>
    <x v="1"/>
    <x v="1"/>
    <x v="0"/>
    <x v="47"/>
    <x v="61"/>
  </r>
  <r>
    <x v="4"/>
    <x v="4"/>
    <x v="1"/>
    <x v="110"/>
    <x v="156"/>
  </r>
  <r>
    <x v="5"/>
    <x v="5"/>
    <x v="1"/>
    <x v="111"/>
    <x v="157"/>
  </r>
  <r>
    <x v="6"/>
    <x v="6"/>
    <x v="1"/>
    <x v="6"/>
    <x v="6"/>
  </r>
  <r>
    <x v="7"/>
    <x v="7"/>
    <x v="1"/>
    <x v="6"/>
    <x v="6"/>
  </r>
  <r>
    <x v="44"/>
    <x v="51"/>
    <x v="0"/>
    <x v="112"/>
    <x v="158"/>
  </r>
  <r>
    <x v="8"/>
    <x v="8"/>
    <x v="1"/>
    <x v="113"/>
    <x v="159"/>
  </r>
  <r>
    <x v="0"/>
    <x v="0"/>
    <x v="1"/>
    <x v="114"/>
    <x v="160"/>
  </r>
  <r>
    <x v="2"/>
    <x v="2"/>
    <x v="0"/>
    <x v="2"/>
    <x v="2"/>
  </r>
  <r>
    <x v="20"/>
    <x v="20"/>
    <x v="0"/>
    <x v="15"/>
    <x v="18"/>
  </r>
  <r>
    <x v="21"/>
    <x v="21"/>
    <x v="0"/>
    <x v="6"/>
    <x v="6"/>
  </r>
  <r>
    <x v="8"/>
    <x v="8"/>
    <x v="0"/>
    <x v="7"/>
    <x v="7"/>
  </r>
  <r>
    <x v="79"/>
    <x v="97"/>
    <x v="1"/>
    <x v="72"/>
    <x v="121"/>
  </r>
  <r>
    <x v="71"/>
    <x v="134"/>
    <x v="1"/>
    <x v="6"/>
    <x v="6"/>
  </r>
  <r>
    <x v="81"/>
    <x v="99"/>
    <x v="1"/>
    <x v="49"/>
    <x v="122"/>
  </r>
  <r>
    <x v="45"/>
    <x v="52"/>
    <x v="1"/>
    <x v="42"/>
    <x v="123"/>
  </r>
  <r>
    <x v="84"/>
    <x v="102"/>
    <x v="0"/>
    <x v="42"/>
    <x v="56"/>
  </r>
  <r>
    <x v="113"/>
    <x v="135"/>
    <x v="0"/>
    <x v="115"/>
    <x v="161"/>
  </r>
  <r>
    <x v="2"/>
    <x v="136"/>
    <x v="1"/>
    <x v="6"/>
    <x v="6"/>
  </r>
  <r>
    <x v="9"/>
    <x v="9"/>
    <x v="7"/>
    <x v="8"/>
    <x v="21"/>
  </r>
  <r>
    <x v="34"/>
    <x v="137"/>
    <x v="0"/>
    <x v="116"/>
    <x v="162"/>
  </r>
  <r>
    <x v="114"/>
    <x v="138"/>
    <x v="0"/>
    <x v="117"/>
    <x v="130"/>
  </r>
  <r>
    <x v="115"/>
    <x v="139"/>
    <x v="0"/>
    <x v="6"/>
    <x v="6"/>
  </r>
  <r>
    <x v="1"/>
    <x v="1"/>
    <x v="0"/>
    <x v="118"/>
    <x v="163"/>
  </r>
  <r>
    <x v="0"/>
    <x v="0"/>
    <x v="0"/>
    <x v="15"/>
    <x v="18"/>
  </r>
  <r>
    <x v="22"/>
    <x v="11"/>
    <x v="0"/>
    <x v="17"/>
    <x v="19"/>
  </r>
  <r>
    <x v="10"/>
    <x v="10"/>
    <x v="4"/>
    <x v="35"/>
    <x v="141"/>
  </r>
  <r>
    <x v="1"/>
    <x v="1"/>
    <x v="0"/>
    <x v="119"/>
    <x v="164"/>
  </r>
  <r>
    <x v="10"/>
    <x v="10"/>
    <x v="0"/>
    <x v="9"/>
    <x v="125"/>
  </r>
  <r>
    <x v="20"/>
    <x v="20"/>
    <x v="1"/>
    <x v="15"/>
    <x v="16"/>
  </r>
  <r>
    <x v="116"/>
    <x v="140"/>
    <x v="1"/>
    <x v="15"/>
    <x v="16"/>
  </r>
  <r>
    <x v="111"/>
    <x v="141"/>
    <x v="14"/>
    <x v="6"/>
    <x v="6"/>
  </r>
  <r>
    <x v="12"/>
    <x v="12"/>
    <x v="2"/>
    <x v="12"/>
    <x v="12"/>
  </r>
  <r>
    <x v="27"/>
    <x v="42"/>
    <x v="1"/>
    <x v="12"/>
    <x v="46"/>
  </r>
  <r>
    <x v="99"/>
    <x v="118"/>
    <x v="1"/>
    <x v="49"/>
    <x v="122"/>
  </r>
  <r>
    <x v="34"/>
    <x v="142"/>
    <x v="0"/>
    <x v="5"/>
    <x v="5"/>
  </r>
  <r>
    <x v="117"/>
    <x v="143"/>
    <x v="0"/>
    <x v="6"/>
    <x v="6"/>
  </r>
  <r>
    <x v="118"/>
    <x v="144"/>
    <x v="0"/>
    <x v="6"/>
    <x v="6"/>
  </r>
  <r>
    <x v="1"/>
    <x v="1"/>
    <x v="0"/>
    <x v="60"/>
    <x v="81"/>
  </r>
  <r>
    <x v="53"/>
    <x v="68"/>
    <x v="0"/>
    <x v="54"/>
    <x v="71"/>
  </r>
  <r>
    <x v="44"/>
    <x v="51"/>
    <x v="0"/>
    <x v="17"/>
    <x v="19"/>
  </r>
  <r>
    <x v="11"/>
    <x v="11"/>
    <x v="1"/>
    <x v="10"/>
    <x v="10"/>
  </r>
  <r>
    <x v="45"/>
    <x v="52"/>
    <x v="0"/>
    <x v="42"/>
    <x v="56"/>
  </r>
  <r>
    <x v="22"/>
    <x v="11"/>
    <x v="0"/>
    <x v="17"/>
    <x v="19"/>
  </r>
  <r>
    <x v="23"/>
    <x v="22"/>
    <x v="0"/>
    <x v="102"/>
    <x v="147"/>
  </r>
  <r>
    <x v="9"/>
    <x v="9"/>
    <x v="1"/>
    <x v="8"/>
    <x v="64"/>
  </r>
  <r>
    <x v="4"/>
    <x v="4"/>
    <x v="1"/>
    <x v="4"/>
    <x v="72"/>
  </r>
  <r>
    <x v="45"/>
    <x v="52"/>
    <x v="1"/>
    <x v="6"/>
    <x v="6"/>
  </r>
  <r>
    <x v="6"/>
    <x v="6"/>
    <x v="1"/>
    <x v="6"/>
    <x v="6"/>
  </r>
  <r>
    <x v="7"/>
    <x v="7"/>
    <x v="1"/>
    <x v="6"/>
    <x v="6"/>
  </r>
  <r>
    <x v="9"/>
    <x v="9"/>
    <x v="5"/>
    <x v="8"/>
    <x v="165"/>
  </r>
  <r>
    <x v="21"/>
    <x v="21"/>
    <x v="0"/>
    <x v="2"/>
    <x v="2"/>
  </r>
  <r>
    <x v="53"/>
    <x v="68"/>
    <x v="1"/>
    <x v="54"/>
    <x v="166"/>
  </r>
  <r>
    <x v="20"/>
    <x v="20"/>
    <x v="1"/>
    <x v="15"/>
    <x v="16"/>
  </r>
  <r>
    <x v="21"/>
    <x v="21"/>
    <x v="1"/>
    <x v="6"/>
    <x v="6"/>
  </r>
  <r>
    <x v="106"/>
    <x v="126"/>
    <x v="2"/>
    <x v="120"/>
    <x v="167"/>
  </r>
  <r>
    <x v="108"/>
    <x v="128"/>
    <x v="3"/>
    <x v="6"/>
    <x v="6"/>
  </r>
  <r>
    <x v="107"/>
    <x v="127"/>
    <x v="2"/>
    <x v="6"/>
    <x v="6"/>
  </r>
  <r>
    <x v="109"/>
    <x v="129"/>
    <x v="2"/>
    <x v="6"/>
    <x v="6"/>
  </r>
  <r>
    <x v="62"/>
    <x v="75"/>
    <x v="7"/>
    <x v="83"/>
    <x v="168"/>
  </r>
  <r>
    <x v="6"/>
    <x v="57"/>
    <x v="7"/>
    <x v="6"/>
    <x v="6"/>
  </r>
  <r>
    <x v="12"/>
    <x v="76"/>
    <x v="7"/>
    <x v="6"/>
    <x v="6"/>
  </r>
  <r>
    <x v="14"/>
    <x v="145"/>
    <x v="7"/>
    <x v="108"/>
    <x v="169"/>
  </r>
  <r>
    <x v="2"/>
    <x v="2"/>
    <x v="7"/>
    <x v="6"/>
    <x v="6"/>
  </r>
  <r>
    <x v="9"/>
    <x v="9"/>
    <x v="3"/>
    <x v="121"/>
    <x v="94"/>
  </r>
  <r>
    <x v="80"/>
    <x v="98"/>
    <x v="15"/>
    <x v="20"/>
    <x v="170"/>
  </r>
  <r>
    <x v="91"/>
    <x v="146"/>
    <x v="7"/>
    <x v="6"/>
    <x v="6"/>
  </r>
  <r>
    <x v="49"/>
    <x v="147"/>
    <x v="1"/>
    <x v="6"/>
    <x v="6"/>
  </r>
  <r>
    <x v="119"/>
    <x v="148"/>
    <x v="6"/>
    <x v="6"/>
    <x v="6"/>
  </r>
  <r>
    <x v="8"/>
    <x v="8"/>
    <x v="7"/>
    <x v="7"/>
    <x v="171"/>
  </r>
  <r>
    <x v="20"/>
    <x v="20"/>
    <x v="0"/>
    <x v="15"/>
    <x v="18"/>
  </r>
  <r>
    <x v="21"/>
    <x v="21"/>
    <x v="0"/>
    <x v="6"/>
    <x v="6"/>
  </r>
  <r>
    <x v="2"/>
    <x v="2"/>
    <x v="0"/>
    <x v="2"/>
    <x v="2"/>
  </r>
  <r>
    <x v="23"/>
    <x v="22"/>
    <x v="1"/>
    <x v="18"/>
    <x v="153"/>
  </r>
  <r>
    <x v="0"/>
    <x v="0"/>
    <x v="0"/>
    <x v="15"/>
    <x v="18"/>
  </r>
  <r>
    <x v="27"/>
    <x v="42"/>
    <x v="1"/>
    <x v="12"/>
    <x v="46"/>
  </r>
  <r>
    <x v="51"/>
    <x v="61"/>
    <x v="0"/>
    <x v="50"/>
    <x v="172"/>
  </r>
  <r>
    <x v="1"/>
    <x v="1"/>
    <x v="0"/>
    <x v="122"/>
    <x v="173"/>
  </r>
  <r>
    <x v="11"/>
    <x v="11"/>
    <x v="0"/>
    <x v="10"/>
    <x v="47"/>
  </r>
  <r>
    <x v="10"/>
    <x v="10"/>
    <x v="0"/>
    <x v="6"/>
    <x v="6"/>
  </r>
  <r>
    <x v="111"/>
    <x v="132"/>
    <x v="13"/>
    <x v="6"/>
    <x v="6"/>
  </r>
  <r>
    <x v="20"/>
    <x v="20"/>
    <x v="0"/>
    <x v="15"/>
    <x v="18"/>
  </r>
  <r>
    <x v="21"/>
    <x v="21"/>
    <x v="0"/>
    <x v="6"/>
    <x v="6"/>
  </r>
</pivotCacheRecords>
</file>

<file path=xl/pivotCache/pivotCacheRecords17.xml><?xml version="1.0" encoding="utf-8"?>
<pivotCacheRecords xmlns:r="http://schemas.openxmlformats.org/officeDocument/2006/relationships" xmlns="http://schemas.openxmlformats.org/spreadsheetml/2006/main" count="331">
  <r>
    <x v="0"/>
    <x v="0"/>
    <x v="0"/>
    <x v="0"/>
    <x v="0"/>
    <x v="0"/>
    <x v="0"/>
    <x v="0"/>
  </r>
  <r>
    <x v="1"/>
    <x v="1"/>
    <x v="1"/>
    <x v="1"/>
    <x v="1"/>
    <x v="1"/>
    <x v="0"/>
    <x v="1"/>
  </r>
  <r>
    <x v="2"/>
    <x v="2"/>
    <x v="2"/>
    <x v="2"/>
    <x v="2"/>
    <x v="1"/>
    <x v="1"/>
    <x v="2"/>
  </r>
  <r>
    <x v="3"/>
    <x v="3"/>
    <x v="3"/>
    <x v="3"/>
    <x v="3"/>
    <x v="0"/>
    <x v="2"/>
    <x v="3"/>
  </r>
  <r>
    <x v="4"/>
    <x v="4"/>
    <x v="4"/>
    <x v="4"/>
    <x v="4"/>
    <x v="1"/>
    <x v="3"/>
    <x v="4"/>
  </r>
  <r>
    <x v="4"/>
    <x v="4"/>
    <x v="4"/>
    <x v="5"/>
    <x v="5"/>
    <x v="2"/>
    <x v="4"/>
    <x v="5"/>
  </r>
  <r>
    <x v="4"/>
    <x v="4"/>
    <x v="4"/>
    <x v="6"/>
    <x v="6"/>
    <x v="0"/>
    <x v="5"/>
    <x v="6"/>
  </r>
  <r>
    <x v="4"/>
    <x v="4"/>
    <x v="4"/>
    <x v="7"/>
    <x v="7"/>
    <x v="0"/>
    <x v="0"/>
    <x v="0"/>
  </r>
  <r>
    <x v="4"/>
    <x v="4"/>
    <x v="4"/>
    <x v="2"/>
    <x v="2"/>
    <x v="0"/>
    <x v="1"/>
    <x v="7"/>
  </r>
  <r>
    <x v="5"/>
    <x v="5"/>
    <x v="5"/>
    <x v="8"/>
    <x v="8"/>
    <x v="1"/>
    <x v="6"/>
    <x v="8"/>
  </r>
  <r>
    <x v="5"/>
    <x v="5"/>
    <x v="5"/>
    <x v="9"/>
    <x v="9"/>
    <x v="1"/>
    <x v="7"/>
    <x v="9"/>
  </r>
  <r>
    <x v="6"/>
    <x v="6"/>
    <x v="5"/>
    <x v="10"/>
    <x v="10"/>
    <x v="3"/>
    <x v="8"/>
    <x v="10"/>
  </r>
  <r>
    <x v="6"/>
    <x v="6"/>
    <x v="5"/>
    <x v="11"/>
    <x v="9"/>
    <x v="1"/>
    <x v="9"/>
    <x v="11"/>
  </r>
  <r>
    <x v="7"/>
    <x v="7"/>
    <x v="6"/>
    <x v="12"/>
    <x v="11"/>
    <x v="1"/>
    <x v="10"/>
    <x v="12"/>
  </r>
  <r>
    <x v="8"/>
    <x v="8"/>
    <x v="7"/>
    <x v="12"/>
    <x v="11"/>
    <x v="1"/>
    <x v="11"/>
    <x v="13"/>
  </r>
  <r>
    <x v="8"/>
    <x v="8"/>
    <x v="7"/>
    <x v="13"/>
    <x v="12"/>
    <x v="1"/>
    <x v="12"/>
    <x v="14"/>
  </r>
  <r>
    <x v="9"/>
    <x v="9"/>
    <x v="8"/>
    <x v="14"/>
    <x v="13"/>
    <x v="3"/>
    <x v="13"/>
    <x v="15"/>
  </r>
  <r>
    <x v="9"/>
    <x v="9"/>
    <x v="8"/>
    <x v="15"/>
    <x v="14"/>
    <x v="3"/>
    <x v="14"/>
    <x v="16"/>
  </r>
  <r>
    <x v="9"/>
    <x v="9"/>
    <x v="8"/>
    <x v="16"/>
    <x v="15"/>
    <x v="3"/>
    <x v="14"/>
    <x v="16"/>
  </r>
  <r>
    <x v="9"/>
    <x v="9"/>
    <x v="8"/>
    <x v="7"/>
    <x v="7"/>
    <x v="3"/>
    <x v="14"/>
    <x v="16"/>
  </r>
  <r>
    <x v="9"/>
    <x v="9"/>
    <x v="8"/>
    <x v="17"/>
    <x v="16"/>
    <x v="3"/>
    <x v="14"/>
    <x v="16"/>
  </r>
  <r>
    <x v="9"/>
    <x v="9"/>
    <x v="8"/>
    <x v="3"/>
    <x v="3"/>
    <x v="0"/>
    <x v="2"/>
    <x v="3"/>
  </r>
  <r>
    <x v="9"/>
    <x v="9"/>
    <x v="8"/>
    <x v="18"/>
    <x v="17"/>
    <x v="4"/>
    <x v="15"/>
    <x v="17"/>
  </r>
  <r>
    <x v="9"/>
    <x v="9"/>
    <x v="8"/>
    <x v="6"/>
    <x v="6"/>
    <x v="0"/>
    <x v="5"/>
    <x v="6"/>
  </r>
  <r>
    <x v="10"/>
    <x v="10"/>
    <x v="9"/>
    <x v="19"/>
    <x v="18"/>
    <x v="1"/>
    <x v="16"/>
    <x v="18"/>
  </r>
  <r>
    <x v="11"/>
    <x v="11"/>
    <x v="10"/>
    <x v="19"/>
    <x v="18"/>
    <x v="1"/>
    <x v="16"/>
    <x v="18"/>
  </r>
  <r>
    <x v="12"/>
    <x v="12"/>
    <x v="11"/>
    <x v="20"/>
    <x v="19"/>
    <x v="5"/>
    <x v="17"/>
    <x v="19"/>
  </r>
  <r>
    <x v="13"/>
    <x v="9"/>
    <x v="12"/>
    <x v="21"/>
    <x v="9"/>
    <x v="1"/>
    <x v="18"/>
    <x v="20"/>
  </r>
  <r>
    <x v="14"/>
    <x v="13"/>
    <x v="12"/>
    <x v="22"/>
    <x v="20"/>
    <x v="1"/>
    <x v="19"/>
    <x v="21"/>
  </r>
  <r>
    <x v="14"/>
    <x v="13"/>
    <x v="12"/>
    <x v="23"/>
    <x v="21"/>
    <x v="1"/>
    <x v="14"/>
    <x v="16"/>
  </r>
  <r>
    <x v="14"/>
    <x v="13"/>
    <x v="12"/>
    <x v="24"/>
    <x v="22"/>
    <x v="0"/>
    <x v="14"/>
    <x v="16"/>
  </r>
  <r>
    <x v="14"/>
    <x v="13"/>
    <x v="12"/>
    <x v="25"/>
    <x v="23"/>
    <x v="3"/>
    <x v="14"/>
    <x v="16"/>
  </r>
  <r>
    <x v="14"/>
    <x v="13"/>
    <x v="12"/>
    <x v="26"/>
    <x v="24"/>
    <x v="0"/>
    <x v="14"/>
    <x v="16"/>
  </r>
  <r>
    <x v="15"/>
    <x v="14"/>
    <x v="13"/>
    <x v="4"/>
    <x v="4"/>
    <x v="1"/>
    <x v="3"/>
    <x v="4"/>
  </r>
  <r>
    <x v="16"/>
    <x v="15"/>
    <x v="14"/>
    <x v="1"/>
    <x v="1"/>
    <x v="1"/>
    <x v="0"/>
    <x v="1"/>
  </r>
  <r>
    <x v="17"/>
    <x v="16"/>
    <x v="15"/>
    <x v="27"/>
    <x v="25"/>
    <x v="3"/>
    <x v="20"/>
    <x v="22"/>
  </r>
  <r>
    <x v="17"/>
    <x v="16"/>
    <x v="15"/>
    <x v="28"/>
    <x v="26"/>
    <x v="3"/>
    <x v="21"/>
    <x v="23"/>
  </r>
  <r>
    <x v="17"/>
    <x v="16"/>
    <x v="15"/>
    <x v="4"/>
    <x v="4"/>
    <x v="0"/>
    <x v="22"/>
    <x v="24"/>
  </r>
  <r>
    <x v="17"/>
    <x v="16"/>
    <x v="15"/>
    <x v="6"/>
    <x v="27"/>
    <x v="5"/>
    <x v="23"/>
    <x v="25"/>
  </r>
  <r>
    <x v="17"/>
    <x v="16"/>
    <x v="15"/>
    <x v="17"/>
    <x v="28"/>
    <x v="5"/>
    <x v="24"/>
    <x v="26"/>
  </r>
  <r>
    <x v="17"/>
    <x v="16"/>
    <x v="15"/>
    <x v="29"/>
    <x v="29"/>
    <x v="3"/>
    <x v="25"/>
    <x v="27"/>
  </r>
  <r>
    <x v="17"/>
    <x v="16"/>
    <x v="15"/>
    <x v="30"/>
    <x v="30"/>
    <x v="5"/>
    <x v="26"/>
    <x v="28"/>
  </r>
  <r>
    <x v="17"/>
    <x v="16"/>
    <x v="15"/>
    <x v="31"/>
    <x v="31"/>
    <x v="6"/>
    <x v="27"/>
    <x v="29"/>
  </r>
  <r>
    <x v="17"/>
    <x v="16"/>
    <x v="15"/>
    <x v="32"/>
    <x v="32"/>
    <x v="5"/>
    <x v="28"/>
    <x v="30"/>
  </r>
  <r>
    <x v="17"/>
    <x v="16"/>
    <x v="15"/>
    <x v="33"/>
    <x v="33"/>
    <x v="7"/>
    <x v="29"/>
    <x v="31"/>
  </r>
  <r>
    <x v="17"/>
    <x v="16"/>
    <x v="15"/>
    <x v="34"/>
    <x v="34"/>
    <x v="5"/>
    <x v="30"/>
    <x v="32"/>
  </r>
  <r>
    <x v="17"/>
    <x v="16"/>
    <x v="15"/>
    <x v="35"/>
    <x v="35"/>
    <x v="0"/>
    <x v="31"/>
    <x v="33"/>
  </r>
  <r>
    <x v="17"/>
    <x v="16"/>
    <x v="15"/>
    <x v="36"/>
    <x v="36"/>
    <x v="3"/>
    <x v="14"/>
    <x v="16"/>
  </r>
  <r>
    <x v="17"/>
    <x v="16"/>
    <x v="15"/>
    <x v="37"/>
    <x v="37"/>
    <x v="2"/>
    <x v="14"/>
    <x v="16"/>
  </r>
  <r>
    <x v="17"/>
    <x v="16"/>
    <x v="15"/>
    <x v="38"/>
    <x v="38"/>
    <x v="3"/>
    <x v="14"/>
    <x v="16"/>
  </r>
  <r>
    <x v="17"/>
    <x v="16"/>
    <x v="15"/>
    <x v="5"/>
    <x v="5"/>
    <x v="3"/>
    <x v="14"/>
    <x v="16"/>
  </r>
  <r>
    <x v="17"/>
    <x v="16"/>
    <x v="15"/>
    <x v="11"/>
    <x v="9"/>
    <x v="1"/>
    <x v="32"/>
    <x v="34"/>
  </r>
  <r>
    <x v="18"/>
    <x v="17"/>
    <x v="15"/>
    <x v="39"/>
    <x v="39"/>
    <x v="1"/>
    <x v="14"/>
    <x v="16"/>
  </r>
  <r>
    <x v="18"/>
    <x v="17"/>
    <x v="15"/>
    <x v="40"/>
    <x v="40"/>
    <x v="1"/>
    <x v="14"/>
    <x v="16"/>
  </r>
  <r>
    <x v="19"/>
    <x v="14"/>
    <x v="16"/>
    <x v="4"/>
    <x v="4"/>
    <x v="1"/>
    <x v="3"/>
    <x v="4"/>
  </r>
  <r>
    <x v="20"/>
    <x v="18"/>
    <x v="17"/>
    <x v="41"/>
    <x v="41"/>
    <x v="1"/>
    <x v="15"/>
    <x v="35"/>
  </r>
  <r>
    <x v="21"/>
    <x v="19"/>
    <x v="18"/>
    <x v="12"/>
    <x v="11"/>
    <x v="1"/>
    <x v="10"/>
    <x v="12"/>
  </r>
  <r>
    <x v="22"/>
    <x v="20"/>
    <x v="19"/>
    <x v="22"/>
    <x v="42"/>
    <x v="1"/>
    <x v="33"/>
    <x v="36"/>
  </r>
  <r>
    <x v="22"/>
    <x v="20"/>
    <x v="19"/>
    <x v="38"/>
    <x v="38"/>
    <x v="8"/>
    <x v="14"/>
    <x v="16"/>
  </r>
  <r>
    <x v="22"/>
    <x v="20"/>
    <x v="19"/>
    <x v="5"/>
    <x v="5"/>
    <x v="8"/>
    <x v="14"/>
    <x v="16"/>
  </r>
  <r>
    <x v="22"/>
    <x v="20"/>
    <x v="19"/>
    <x v="11"/>
    <x v="9"/>
    <x v="1"/>
    <x v="34"/>
    <x v="37"/>
  </r>
  <r>
    <x v="23"/>
    <x v="21"/>
    <x v="20"/>
    <x v="3"/>
    <x v="3"/>
    <x v="9"/>
    <x v="2"/>
    <x v="38"/>
  </r>
  <r>
    <x v="23"/>
    <x v="21"/>
    <x v="20"/>
    <x v="17"/>
    <x v="16"/>
    <x v="1"/>
    <x v="15"/>
    <x v="35"/>
  </r>
  <r>
    <x v="23"/>
    <x v="21"/>
    <x v="20"/>
    <x v="6"/>
    <x v="6"/>
    <x v="1"/>
    <x v="5"/>
    <x v="39"/>
  </r>
  <r>
    <x v="23"/>
    <x v="21"/>
    <x v="20"/>
    <x v="38"/>
    <x v="38"/>
    <x v="10"/>
    <x v="4"/>
    <x v="40"/>
  </r>
  <r>
    <x v="24"/>
    <x v="22"/>
    <x v="21"/>
    <x v="42"/>
    <x v="43"/>
    <x v="1"/>
    <x v="35"/>
    <x v="41"/>
  </r>
  <r>
    <x v="24"/>
    <x v="22"/>
    <x v="21"/>
    <x v="1"/>
    <x v="1"/>
    <x v="0"/>
    <x v="0"/>
    <x v="0"/>
  </r>
  <r>
    <x v="24"/>
    <x v="22"/>
    <x v="21"/>
    <x v="3"/>
    <x v="3"/>
    <x v="3"/>
    <x v="2"/>
    <x v="42"/>
  </r>
  <r>
    <x v="25"/>
    <x v="23"/>
    <x v="22"/>
    <x v="4"/>
    <x v="4"/>
    <x v="0"/>
    <x v="3"/>
    <x v="43"/>
  </r>
  <r>
    <x v="26"/>
    <x v="24"/>
    <x v="23"/>
    <x v="43"/>
    <x v="44"/>
    <x v="1"/>
    <x v="36"/>
    <x v="44"/>
  </r>
  <r>
    <x v="26"/>
    <x v="24"/>
    <x v="23"/>
    <x v="1"/>
    <x v="1"/>
    <x v="1"/>
    <x v="14"/>
    <x v="16"/>
  </r>
  <r>
    <x v="27"/>
    <x v="25"/>
    <x v="24"/>
    <x v="17"/>
    <x v="16"/>
    <x v="1"/>
    <x v="15"/>
    <x v="35"/>
  </r>
  <r>
    <x v="28"/>
    <x v="26"/>
    <x v="25"/>
    <x v="13"/>
    <x v="12"/>
    <x v="1"/>
    <x v="36"/>
    <x v="44"/>
  </r>
  <r>
    <x v="29"/>
    <x v="13"/>
    <x v="26"/>
    <x v="22"/>
    <x v="45"/>
    <x v="1"/>
    <x v="37"/>
    <x v="45"/>
  </r>
  <r>
    <x v="29"/>
    <x v="13"/>
    <x v="26"/>
    <x v="44"/>
    <x v="46"/>
    <x v="1"/>
    <x v="38"/>
    <x v="46"/>
  </r>
  <r>
    <x v="29"/>
    <x v="13"/>
    <x v="26"/>
    <x v="45"/>
    <x v="47"/>
    <x v="1"/>
    <x v="14"/>
    <x v="16"/>
  </r>
  <r>
    <x v="29"/>
    <x v="13"/>
    <x v="26"/>
    <x v="46"/>
    <x v="48"/>
    <x v="1"/>
    <x v="39"/>
    <x v="47"/>
  </r>
  <r>
    <x v="29"/>
    <x v="13"/>
    <x v="26"/>
    <x v="24"/>
    <x v="22"/>
    <x v="0"/>
    <x v="14"/>
    <x v="16"/>
  </r>
  <r>
    <x v="29"/>
    <x v="13"/>
    <x v="26"/>
    <x v="47"/>
    <x v="49"/>
    <x v="1"/>
    <x v="14"/>
    <x v="16"/>
  </r>
  <r>
    <x v="29"/>
    <x v="13"/>
    <x v="26"/>
    <x v="26"/>
    <x v="24"/>
    <x v="0"/>
    <x v="14"/>
    <x v="16"/>
  </r>
  <r>
    <x v="29"/>
    <x v="13"/>
    <x v="26"/>
    <x v="25"/>
    <x v="23"/>
    <x v="3"/>
    <x v="14"/>
    <x v="16"/>
  </r>
  <r>
    <x v="30"/>
    <x v="27"/>
    <x v="26"/>
    <x v="19"/>
    <x v="18"/>
    <x v="0"/>
    <x v="16"/>
    <x v="48"/>
  </r>
  <r>
    <x v="30"/>
    <x v="27"/>
    <x v="26"/>
    <x v="11"/>
    <x v="9"/>
    <x v="1"/>
    <x v="40"/>
    <x v="49"/>
  </r>
  <r>
    <x v="31"/>
    <x v="28"/>
    <x v="26"/>
    <x v="48"/>
    <x v="50"/>
    <x v="3"/>
    <x v="31"/>
    <x v="50"/>
  </r>
  <r>
    <x v="31"/>
    <x v="28"/>
    <x v="26"/>
    <x v="9"/>
    <x v="9"/>
    <x v="1"/>
    <x v="41"/>
    <x v="51"/>
  </r>
  <r>
    <x v="32"/>
    <x v="29"/>
    <x v="27"/>
    <x v="49"/>
    <x v="51"/>
    <x v="1"/>
    <x v="42"/>
    <x v="52"/>
  </r>
  <r>
    <x v="33"/>
    <x v="30"/>
    <x v="28"/>
    <x v="20"/>
    <x v="19"/>
    <x v="1"/>
    <x v="17"/>
    <x v="53"/>
  </r>
  <r>
    <x v="34"/>
    <x v="31"/>
    <x v="29"/>
    <x v="2"/>
    <x v="2"/>
    <x v="1"/>
    <x v="1"/>
    <x v="2"/>
  </r>
  <r>
    <x v="35"/>
    <x v="32"/>
    <x v="30"/>
    <x v="14"/>
    <x v="13"/>
    <x v="3"/>
    <x v="13"/>
    <x v="15"/>
  </r>
  <r>
    <x v="35"/>
    <x v="32"/>
    <x v="30"/>
    <x v="15"/>
    <x v="14"/>
    <x v="3"/>
    <x v="14"/>
    <x v="16"/>
  </r>
  <r>
    <x v="35"/>
    <x v="32"/>
    <x v="30"/>
    <x v="16"/>
    <x v="15"/>
    <x v="3"/>
    <x v="14"/>
    <x v="16"/>
  </r>
  <r>
    <x v="35"/>
    <x v="32"/>
    <x v="30"/>
    <x v="0"/>
    <x v="0"/>
    <x v="3"/>
    <x v="14"/>
    <x v="16"/>
  </r>
  <r>
    <x v="35"/>
    <x v="32"/>
    <x v="30"/>
    <x v="17"/>
    <x v="52"/>
    <x v="3"/>
    <x v="14"/>
    <x v="16"/>
  </r>
  <r>
    <x v="35"/>
    <x v="32"/>
    <x v="30"/>
    <x v="50"/>
    <x v="53"/>
    <x v="0"/>
    <x v="5"/>
    <x v="6"/>
  </r>
  <r>
    <x v="35"/>
    <x v="32"/>
    <x v="30"/>
    <x v="51"/>
    <x v="54"/>
    <x v="3"/>
    <x v="43"/>
    <x v="54"/>
  </r>
  <r>
    <x v="35"/>
    <x v="32"/>
    <x v="30"/>
    <x v="3"/>
    <x v="3"/>
    <x v="3"/>
    <x v="2"/>
    <x v="42"/>
  </r>
  <r>
    <x v="35"/>
    <x v="32"/>
    <x v="30"/>
    <x v="42"/>
    <x v="43"/>
    <x v="1"/>
    <x v="35"/>
    <x v="41"/>
  </r>
  <r>
    <x v="35"/>
    <x v="32"/>
    <x v="30"/>
    <x v="20"/>
    <x v="19"/>
    <x v="5"/>
    <x v="17"/>
    <x v="19"/>
  </r>
  <r>
    <x v="36"/>
    <x v="33"/>
    <x v="30"/>
    <x v="22"/>
    <x v="55"/>
    <x v="1"/>
    <x v="14"/>
    <x v="16"/>
  </r>
  <r>
    <x v="36"/>
    <x v="33"/>
    <x v="30"/>
    <x v="13"/>
    <x v="12"/>
    <x v="1"/>
    <x v="14"/>
    <x v="16"/>
  </r>
  <r>
    <x v="37"/>
    <x v="34"/>
    <x v="31"/>
    <x v="3"/>
    <x v="3"/>
    <x v="0"/>
    <x v="2"/>
    <x v="3"/>
  </r>
  <r>
    <x v="38"/>
    <x v="35"/>
    <x v="32"/>
    <x v="4"/>
    <x v="4"/>
    <x v="1"/>
    <x v="3"/>
    <x v="4"/>
  </r>
  <r>
    <x v="38"/>
    <x v="35"/>
    <x v="32"/>
    <x v="52"/>
    <x v="56"/>
    <x v="0"/>
    <x v="42"/>
    <x v="55"/>
  </r>
  <r>
    <x v="38"/>
    <x v="35"/>
    <x v="32"/>
    <x v="53"/>
    <x v="57"/>
    <x v="1"/>
    <x v="44"/>
    <x v="56"/>
  </r>
  <r>
    <x v="38"/>
    <x v="35"/>
    <x v="32"/>
    <x v="17"/>
    <x v="16"/>
    <x v="1"/>
    <x v="14"/>
    <x v="16"/>
  </r>
  <r>
    <x v="38"/>
    <x v="35"/>
    <x v="32"/>
    <x v="54"/>
    <x v="58"/>
    <x v="1"/>
    <x v="45"/>
    <x v="57"/>
  </r>
  <r>
    <x v="38"/>
    <x v="35"/>
    <x v="32"/>
    <x v="15"/>
    <x v="14"/>
    <x v="1"/>
    <x v="14"/>
    <x v="16"/>
  </r>
  <r>
    <x v="38"/>
    <x v="35"/>
    <x v="32"/>
    <x v="7"/>
    <x v="7"/>
    <x v="1"/>
    <x v="14"/>
    <x v="16"/>
  </r>
  <r>
    <x v="39"/>
    <x v="36"/>
    <x v="33"/>
    <x v="2"/>
    <x v="2"/>
    <x v="1"/>
    <x v="1"/>
    <x v="2"/>
  </r>
  <r>
    <x v="40"/>
    <x v="37"/>
    <x v="34"/>
    <x v="12"/>
    <x v="11"/>
    <x v="0"/>
    <x v="10"/>
    <x v="58"/>
  </r>
  <r>
    <x v="40"/>
    <x v="37"/>
    <x v="34"/>
    <x v="11"/>
    <x v="9"/>
    <x v="1"/>
    <x v="46"/>
    <x v="59"/>
  </r>
  <r>
    <x v="40"/>
    <x v="37"/>
    <x v="34"/>
    <x v="55"/>
    <x v="9"/>
    <x v="1"/>
    <x v="47"/>
    <x v="60"/>
  </r>
  <r>
    <x v="41"/>
    <x v="38"/>
    <x v="34"/>
    <x v="37"/>
    <x v="37"/>
    <x v="10"/>
    <x v="14"/>
    <x v="16"/>
  </r>
  <r>
    <x v="42"/>
    <x v="39"/>
    <x v="34"/>
    <x v="56"/>
    <x v="59"/>
    <x v="0"/>
    <x v="14"/>
    <x v="16"/>
  </r>
  <r>
    <x v="43"/>
    <x v="40"/>
    <x v="34"/>
    <x v="13"/>
    <x v="12"/>
    <x v="0"/>
    <x v="36"/>
    <x v="61"/>
  </r>
  <r>
    <x v="44"/>
    <x v="41"/>
    <x v="35"/>
    <x v="12"/>
    <x v="11"/>
    <x v="1"/>
    <x v="10"/>
    <x v="12"/>
  </r>
  <r>
    <x v="45"/>
    <x v="42"/>
    <x v="36"/>
    <x v="14"/>
    <x v="13"/>
    <x v="5"/>
    <x v="48"/>
    <x v="62"/>
  </r>
  <r>
    <x v="45"/>
    <x v="42"/>
    <x v="36"/>
    <x v="15"/>
    <x v="14"/>
    <x v="5"/>
    <x v="14"/>
    <x v="16"/>
  </r>
  <r>
    <x v="45"/>
    <x v="42"/>
    <x v="36"/>
    <x v="16"/>
    <x v="15"/>
    <x v="5"/>
    <x v="14"/>
    <x v="16"/>
  </r>
  <r>
    <x v="45"/>
    <x v="42"/>
    <x v="36"/>
    <x v="0"/>
    <x v="0"/>
    <x v="5"/>
    <x v="14"/>
    <x v="16"/>
  </r>
  <r>
    <x v="45"/>
    <x v="42"/>
    <x v="36"/>
    <x v="49"/>
    <x v="51"/>
    <x v="5"/>
    <x v="49"/>
    <x v="63"/>
  </r>
  <r>
    <x v="45"/>
    <x v="42"/>
    <x v="36"/>
    <x v="41"/>
    <x v="60"/>
    <x v="2"/>
    <x v="14"/>
    <x v="16"/>
  </r>
  <r>
    <x v="45"/>
    <x v="42"/>
    <x v="36"/>
    <x v="57"/>
    <x v="61"/>
    <x v="0"/>
    <x v="50"/>
    <x v="64"/>
  </r>
  <r>
    <x v="45"/>
    <x v="42"/>
    <x v="36"/>
    <x v="58"/>
    <x v="62"/>
    <x v="5"/>
    <x v="49"/>
    <x v="63"/>
  </r>
  <r>
    <x v="45"/>
    <x v="42"/>
    <x v="36"/>
    <x v="59"/>
    <x v="63"/>
    <x v="3"/>
    <x v="21"/>
    <x v="23"/>
  </r>
  <r>
    <x v="45"/>
    <x v="42"/>
    <x v="36"/>
    <x v="60"/>
    <x v="64"/>
    <x v="11"/>
    <x v="51"/>
    <x v="65"/>
  </r>
  <r>
    <x v="45"/>
    <x v="42"/>
    <x v="36"/>
    <x v="61"/>
    <x v="65"/>
    <x v="11"/>
    <x v="52"/>
    <x v="66"/>
  </r>
  <r>
    <x v="45"/>
    <x v="42"/>
    <x v="36"/>
    <x v="11"/>
    <x v="9"/>
    <x v="1"/>
    <x v="53"/>
    <x v="67"/>
  </r>
  <r>
    <x v="46"/>
    <x v="43"/>
    <x v="36"/>
    <x v="53"/>
    <x v="57"/>
    <x v="11"/>
    <x v="54"/>
    <x v="68"/>
  </r>
  <r>
    <x v="46"/>
    <x v="43"/>
    <x v="36"/>
    <x v="15"/>
    <x v="14"/>
    <x v="11"/>
    <x v="14"/>
    <x v="16"/>
  </r>
  <r>
    <x v="46"/>
    <x v="43"/>
    <x v="36"/>
    <x v="0"/>
    <x v="0"/>
    <x v="11"/>
    <x v="14"/>
    <x v="16"/>
  </r>
  <r>
    <x v="46"/>
    <x v="43"/>
    <x v="36"/>
    <x v="17"/>
    <x v="16"/>
    <x v="11"/>
    <x v="14"/>
    <x v="16"/>
  </r>
  <r>
    <x v="46"/>
    <x v="43"/>
    <x v="36"/>
    <x v="6"/>
    <x v="6"/>
    <x v="11"/>
    <x v="23"/>
    <x v="69"/>
  </r>
  <r>
    <x v="46"/>
    <x v="43"/>
    <x v="36"/>
    <x v="62"/>
    <x v="66"/>
    <x v="11"/>
    <x v="55"/>
    <x v="70"/>
  </r>
  <r>
    <x v="46"/>
    <x v="43"/>
    <x v="36"/>
    <x v="34"/>
    <x v="34"/>
    <x v="11"/>
    <x v="30"/>
    <x v="71"/>
  </r>
  <r>
    <x v="46"/>
    <x v="43"/>
    <x v="36"/>
    <x v="35"/>
    <x v="35"/>
    <x v="0"/>
    <x v="31"/>
    <x v="33"/>
  </r>
  <r>
    <x v="46"/>
    <x v="43"/>
    <x v="36"/>
    <x v="42"/>
    <x v="43"/>
    <x v="1"/>
    <x v="56"/>
    <x v="72"/>
  </r>
  <r>
    <x v="46"/>
    <x v="43"/>
    <x v="36"/>
    <x v="33"/>
    <x v="33"/>
    <x v="12"/>
    <x v="29"/>
    <x v="73"/>
  </r>
  <r>
    <x v="46"/>
    <x v="43"/>
    <x v="36"/>
    <x v="63"/>
    <x v="9"/>
    <x v="1"/>
    <x v="57"/>
    <x v="74"/>
  </r>
  <r>
    <x v="46"/>
    <x v="43"/>
    <x v="36"/>
    <x v="9"/>
    <x v="9"/>
    <x v="1"/>
    <x v="58"/>
    <x v="75"/>
  </r>
  <r>
    <x v="47"/>
    <x v="38"/>
    <x v="36"/>
    <x v="64"/>
    <x v="67"/>
    <x v="13"/>
    <x v="59"/>
    <x v="76"/>
  </r>
  <r>
    <x v="47"/>
    <x v="38"/>
    <x v="36"/>
    <x v="11"/>
    <x v="9"/>
    <x v="1"/>
    <x v="60"/>
    <x v="77"/>
  </r>
  <r>
    <x v="48"/>
    <x v="44"/>
    <x v="37"/>
    <x v="13"/>
    <x v="12"/>
    <x v="1"/>
    <x v="36"/>
    <x v="44"/>
  </r>
  <r>
    <x v="48"/>
    <x v="44"/>
    <x v="37"/>
    <x v="20"/>
    <x v="19"/>
    <x v="0"/>
    <x v="17"/>
    <x v="78"/>
  </r>
  <r>
    <x v="48"/>
    <x v="44"/>
    <x v="37"/>
    <x v="3"/>
    <x v="3"/>
    <x v="1"/>
    <x v="2"/>
    <x v="79"/>
  </r>
  <r>
    <x v="49"/>
    <x v="45"/>
    <x v="38"/>
    <x v="42"/>
    <x v="43"/>
    <x v="1"/>
    <x v="35"/>
    <x v="41"/>
  </r>
  <r>
    <x v="50"/>
    <x v="46"/>
    <x v="39"/>
    <x v="1"/>
    <x v="1"/>
    <x v="0"/>
    <x v="0"/>
    <x v="0"/>
  </r>
  <r>
    <x v="51"/>
    <x v="47"/>
    <x v="40"/>
    <x v="20"/>
    <x v="19"/>
    <x v="0"/>
    <x v="17"/>
    <x v="78"/>
  </r>
  <r>
    <x v="52"/>
    <x v="48"/>
    <x v="41"/>
    <x v="12"/>
    <x v="11"/>
    <x v="1"/>
    <x v="10"/>
    <x v="12"/>
  </r>
  <r>
    <x v="53"/>
    <x v="49"/>
    <x v="42"/>
    <x v="0"/>
    <x v="0"/>
    <x v="1"/>
    <x v="0"/>
    <x v="1"/>
  </r>
  <r>
    <x v="54"/>
    <x v="50"/>
    <x v="43"/>
    <x v="65"/>
    <x v="68"/>
    <x v="0"/>
    <x v="61"/>
    <x v="80"/>
  </r>
  <r>
    <x v="54"/>
    <x v="50"/>
    <x v="43"/>
    <x v="7"/>
    <x v="7"/>
    <x v="0"/>
    <x v="0"/>
    <x v="0"/>
  </r>
  <r>
    <x v="55"/>
    <x v="40"/>
    <x v="44"/>
    <x v="2"/>
    <x v="2"/>
    <x v="0"/>
    <x v="1"/>
    <x v="7"/>
  </r>
  <r>
    <x v="55"/>
    <x v="40"/>
    <x v="44"/>
    <x v="66"/>
    <x v="9"/>
    <x v="1"/>
    <x v="62"/>
    <x v="81"/>
  </r>
  <r>
    <x v="56"/>
    <x v="51"/>
    <x v="44"/>
    <x v="25"/>
    <x v="23"/>
    <x v="12"/>
    <x v="14"/>
    <x v="16"/>
  </r>
  <r>
    <x v="57"/>
    <x v="52"/>
    <x v="45"/>
    <x v="62"/>
    <x v="66"/>
    <x v="3"/>
    <x v="63"/>
    <x v="82"/>
  </r>
  <r>
    <x v="57"/>
    <x v="52"/>
    <x v="45"/>
    <x v="49"/>
    <x v="51"/>
    <x v="2"/>
    <x v="42"/>
    <x v="63"/>
  </r>
  <r>
    <x v="57"/>
    <x v="52"/>
    <x v="45"/>
    <x v="38"/>
    <x v="38"/>
    <x v="10"/>
    <x v="4"/>
    <x v="40"/>
  </r>
  <r>
    <x v="58"/>
    <x v="53"/>
    <x v="46"/>
    <x v="13"/>
    <x v="12"/>
    <x v="1"/>
    <x v="36"/>
    <x v="44"/>
  </r>
  <r>
    <x v="59"/>
    <x v="54"/>
    <x v="47"/>
    <x v="1"/>
    <x v="1"/>
    <x v="0"/>
    <x v="0"/>
    <x v="0"/>
  </r>
  <r>
    <x v="60"/>
    <x v="55"/>
    <x v="48"/>
    <x v="19"/>
    <x v="18"/>
    <x v="1"/>
    <x v="16"/>
    <x v="18"/>
  </r>
  <r>
    <x v="61"/>
    <x v="56"/>
    <x v="49"/>
    <x v="13"/>
    <x v="12"/>
    <x v="0"/>
    <x v="36"/>
    <x v="61"/>
  </r>
  <r>
    <x v="62"/>
    <x v="57"/>
    <x v="50"/>
    <x v="14"/>
    <x v="13"/>
    <x v="3"/>
    <x v="13"/>
    <x v="15"/>
  </r>
  <r>
    <x v="62"/>
    <x v="57"/>
    <x v="50"/>
    <x v="15"/>
    <x v="14"/>
    <x v="3"/>
    <x v="14"/>
    <x v="16"/>
  </r>
  <r>
    <x v="62"/>
    <x v="57"/>
    <x v="50"/>
    <x v="16"/>
    <x v="15"/>
    <x v="3"/>
    <x v="14"/>
    <x v="16"/>
  </r>
  <r>
    <x v="62"/>
    <x v="57"/>
    <x v="50"/>
    <x v="7"/>
    <x v="7"/>
    <x v="3"/>
    <x v="14"/>
    <x v="16"/>
  </r>
  <r>
    <x v="62"/>
    <x v="57"/>
    <x v="50"/>
    <x v="6"/>
    <x v="6"/>
    <x v="3"/>
    <x v="64"/>
    <x v="83"/>
  </r>
  <r>
    <x v="62"/>
    <x v="57"/>
    <x v="50"/>
    <x v="3"/>
    <x v="3"/>
    <x v="2"/>
    <x v="2"/>
    <x v="84"/>
  </r>
  <r>
    <x v="62"/>
    <x v="57"/>
    <x v="50"/>
    <x v="67"/>
    <x v="69"/>
    <x v="14"/>
    <x v="65"/>
    <x v="85"/>
  </r>
  <r>
    <x v="63"/>
    <x v="58"/>
    <x v="51"/>
    <x v="13"/>
    <x v="12"/>
    <x v="8"/>
    <x v="36"/>
    <x v="86"/>
  </r>
  <r>
    <x v="64"/>
    <x v="59"/>
    <x v="52"/>
    <x v="68"/>
    <x v="70"/>
    <x v="0"/>
    <x v="63"/>
    <x v="87"/>
  </r>
  <r>
    <x v="64"/>
    <x v="59"/>
    <x v="52"/>
    <x v="3"/>
    <x v="3"/>
    <x v="0"/>
    <x v="2"/>
    <x v="3"/>
  </r>
  <r>
    <x v="65"/>
    <x v="56"/>
    <x v="53"/>
    <x v="12"/>
    <x v="11"/>
    <x v="1"/>
    <x v="10"/>
    <x v="12"/>
  </r>
  <r>
    <x v="66"/>
    <x v="60"/>
    <x v="54"/>
    <x v="43"/>
    <x v="44"/>
    <x v="1"/>
    <x v="36"/>
    <x v="44"/>
  </r>
  <r>
    <x v="66"/>
    <x v="60"/>
    <x v="54"/>
    <x v="1"/>
    <x v="1"/>
    <x v="1"/>
    <x v="14"/>
    <x v="16"/>
  </r>
  <r>
    <x v="66"/>
    <x v="60"/>
    <x v="54"/>
    <x v="1"/>
    <x v="1"/>
    <x v="1"/>
    <x v="0"/>
    <x v="1"/>
  </r>
  <r>
    <x v="66"/>
    <x v="60"/>
    <x v="54"/>
    <x v="0"/>
    <x v="0"/>
    <x v="1"/>
    <x v="0"/>
    <x v="1"/>
  </r>
  <r>
    <x v="66"/>
    <x v="60"/>
    <x v="54"/>
    <x v="3"/>
    <x v="3"/>
    <x v="1"/>
    <x v="2"/>
    <x v="79"/>
  </r>
  <r>
    <x v="66"/>
    <x v="60"/>
    <x v="54"/>
    <x v="12"/>
    <x v="11"/>
    <x v="0"/>
    <x v="10"/>
    <x v="58"/>
  </r>
  <r>
    <x v="67"/>
    <x v="61"/>
    <x v="55"/>
    <x v="69"/>
    <x v="71"/>
    <x v="10"/>
    <x v="14"/>
    <x v="16"/>
  </r>
  <r>
    <x v="68"/>
    <x v="62"/>
    <x v="55"/>
    <x v="70"/>
    <x v="72"/>
    <x v="1"/>
    <x v="14"/>
    <x v="16"/>
  </r>
  <r>
    <x v="68"/>
    <x v="62"/>
    <x v="55"/>
    <x v="71"/>
    <x v="73"/>
    <x v="0"/>
    <x v="14"/>
    <x v="16"/>
  </r>
  <r>
    <x v="69"/>
    <x v="63"/>
    <x v="56"/>
    <x v="43"/>
    <x v="44"/>
    <x v="1"/>
    <x v="36"/>
    <x v="44"/>
  </r>
  <r>
    <x v="69"/>
    <x v="63"/>
    <x v="56"/>
    <x v="1"/>
    <x v="1"/>
    <x v="1"/>
    <x v="14"/>
    <x v="16"/>
  </r>
  <r>
    <x v="70"/>
    <x v="64"/>
    <x v="57"/>
    <x v="72"/>
    <x v="18"/>
    <x v="1"/>
    <x v="3"/>
    <x v="4"/>
  </r>
  <r>
    <x v="71"/>
    <x v="65"/>
    <x v="58"/>
    <x v="73"/>
    <x v="74"/>
    <x v="0"/>
    <x v="65"/>
    <x v="88"/>
  </r>
  <r>
    <x v="71"/>
    <x v="65"/>
    <x v="58"/>
    <x v="62"/>
    <x v="66"/>
    <x v="0"/>
    <x v="63"/>
    <x v="87"/>
  </r>
  <r>
    <x v="72"/>
    <x v="66"/>
    <x v="59"/>
    <x v="12"/>
    <x v="11"/>
    <x v="0"/>
    <x v="10"/>
    <x v="58"/>
  </r>
  <r>
    <x v="73"/>
    <x v="67"/>
    <x v="60"/>
    <x v="35"/>
    <x v="35"/>
    <x v="2"/>
    <x v="31"/>
    <x v="89"/>
  </r>
  <r>
    <x v="73"/>
    <x v="67"/>
    <x v="60"/>
    <x v="11"/>
    <x v="9"/>
    <x v="1"/>
    <x v="7"/>
    <x v="9"/>
  </r>
  <r>
    <x v="74"/>
    <x v="68"/>
    <x v="61"/>
    <x v="4"/>
    <x v="4"/>
    <x v="1"/>
    <x v="3"/>
    <x v="4"/>
  </r>
  <r>
    <x v="75"/>
    <x v="69"/>
    <x v="62"/>
    <x v="13"/>
    <x v="12"/>
    <x v="1"/>
    <x v="36"/>
    <x v="44"/>
  </r>
  <r>
    <x v="76"/>
    <x v="70"/>
    <x v="63"/>
    <x v="74"/>
    <x v="75"/>
    <x v="1"/>
    <x v="66"/>
    <x v="90"/>
  </r>
  <r>
    <x v="76"/>
    <x v="70"/>
    <x v="63"/>
    <x v="75"/>
    <x v="9"/>
    <x v="1"/>
    <x v="67"/>
    <x v="91"/>
  </r>
  <r>
    <x v="77"/>
    <x v="71"/>
    <x v="64"/>
    <x v="13"/>
    <x v="12"/>
    <x v="0"/>
    <x v="36"/>
    <x v="61"/>
  </r>
  <r>
    <x v="78"/>
    <x v="65"/>
    <x v="65"/>
    <x v="73"/>
    <x v="74"/>
    <x v="0"/>
    <x v="65"/>
    <x v="88"/>
  </r>
  <r>
    <x v="78"/>
    <x v="65"/>
    <x v="65"/>
    <x v="62"/>
    <x v="66"/>
    <x v="4"/>
    <x v="63"/>
    <x v="92"/>
  </r>
  <r>
    <x v="79"/>
    <x v="72"/>
    <x v="66"/>
    <x v="76"/>
    <x v="76"/>
    <x v="10"/>
    <x v="61"/>
    <x v="93"/>
  </r>
  <r>
    <x v="80"/>
    <x v="73"/>
    <x v="67"/>
    <x v="3"/>
    <x v="3"/>
    <x v="0"/>
    <x v="2"/>
    <x v="3"/>
  </r>
  <r>
    <x v="80"/>
    <x v="73"/>
    <x v="67"/>
    <x v="20"/>
    <x v="19"/>
    <x v="0"/>
    <x v="17"/>
    <x v="78"/>
  </r>
  <r>
    <x v="81"/>
    <x v="74"/>
    <x v="68"/>
    <x v="43"/>
    <x v="44"/>
    <x v="1"/>
    <x v="36"/>
    <x v="44"/>
  </r>
  <r>
    <x v="81"/>
    <x v="74"/>
    <x v="68"/>
    <x v="1"/>
    <x v="1"/>
    <x v="1"/>
    <x v="14"/>
    <x v="16"/>
  </r>
  <r>
    <x v="82"/>
    <x v="44"/>
    <x v="69"/>
    <x v="77"/>
    <x v="77"/>
    <x v="1"/>
    <x v="65"/>
    <x v="94"/>
  </r>
  <r>
    <x v="83"/>
    <x v="75"/>
    <x v="70"/>
    <x v="13"/>
    <x v="12"/>
    <x v="4"/>
    <x v="36"/>
    <x v="95"/>
  </r>
  <r>
    <x v="84"/>
    <x v="76"/>
    <x v="71"/>
    <x v="78"/>
    <x v="78"/>
    <x v="14"/>
    <x v="61"/>
    <x v="96"/>
  </r>
  <r>
    <x v="85"/>
    <x v="77"/>
    <x v="72"/>
    <x v="12"/>
    <x v="11"/>
    <x v="1"/>
    <x v="68"/>
    <x v="97"/>
  </r>
  <r>
    <x v="86"/>
    <x v="78"/>
    <x v="73"/>
    <x v="3"/>
    <x v="3"/>
    <x v="0"/>
    <x v="2"/>
    <x v="3"/>
  </r>
  <r>
    <x v="86"/>
    <x v="78"/>
    <x v="73"/>
    <x v="1"/>
    <x v="1"/>
    <x v="0"/>
    <x v="14"/>
    <x v="16"/>
  </r>
  <r>
    <x v="87"/>
    <x v="79"/>
    <x v="74"/>
    <x v="1"/>
    <x v="1"/>
    <x v="1"/>
    <x v="0"/>
    <x v="1"/>
  </r>
  <r>
    <x v="88"/>
    <x v="80"/>
    <x v="75"/>
    <x v="72"/>
    <x v="18"/>
    <x v="1"/>
    <x v="3"/>
    <x v="4"/>
  </r>
  <r>
    <x v="89"/>
    <x v="81"/>
    <x v="76"/>
    <x v="72"/>
    <x v="18"/>
    <x v="1"/>
    <x v="3"/>
    <x v="4"/>
  </r>
  <r>
    <x v="90"/>
    <x v="82"/>
    <x v="77"/>
    <x v="13"/>
    <x v="12"/>
    <x v="4"/>
    <x v="36"/>
    <x v="95"/>
  </r>
  <r>
    <x v="91"/>
    <x v="83"/>
    <x v="78"/>
    <x v="73"/>
    <x v="74"/>
    <x v="0"/>
    <x v="65"/>
    <x v="88"/>
  </r>
  <r>
    <x v="92"/>
    <x v="84"/>
    <x v="79"/>
    <x v="79"/>
    <x v="79"/>
    <x v="1"/>
    <x v="69"/>
    <x v="98"/>
  </r>
  <r>
    <x v="93"/>
    <x v="17"/>
    <x v="80"/>
    <x v="27"/>
    <x v="25"/>
    <x v="1"/>
    <x v="70"/>
    <x v="99"/>
  </r>
  <r>
    <x v="93"/>
    <x v="17"/>
    <x v="80"/>
    <x v="80"/>
    <x v="80"/>
    <x v="1"/>
    <x v="14"/>
    <x v="16"/>
  </r>
  <r>
    <x v="94"/>
    <x v="85"/>
    <x v="81"/>
    <x v="1"/>
    <x v="1"/>
    <x v="0"/>
    <x v="0"/>
    <x v="0"/>
  </r>
  <r>
    <x v="94"/>
    <x v="85"/>
    <x v="81"/>
    <x v="5"/>
    <x v="5"/>
    <x v="5"/>
    <x v="4"/>
    <x v="100"/>
  </r>
  <r>
    <x v="95"/>
    <x v="86"/>
    <x v="82"/>
    <x v="13"/>
    <x v="12"/>
    <x v="0"/>
    <x v="36"/>
    <x v="61"/>
  </r>
  <r>
    <x v="96"/>
    <x v="87"/>
    <x v="83"/>
    <x v="4"/>
    <x v="4"/>
    <x v="1"/>
    <x v="3"/>
    <x v="4"/>
  </r>
  <r>
    <x v="97"/>
    <x v="88"/>
    <x v="84"/>
    <x v="20"/>
    <x v="19"/>
    <x v="1"/>
    <x v="17"/>
    <x v="53"/>
  </r>
  <r>
    <x v="98"/>
    <x v="89"/>
    <x v="85"/>
    <x v="0"/>
    <x v="0"/>
    <x v="1"/>
    <x v="0"/>
    <x v="1"/>
  </r>
  <r>
    <x v="99"/>
    <x v="89"/>
    <x v="86"/>
    <x v="13"/>
    <x v="12"/>
    <x v="1"/>
    <x v="36"/>
    <x v="44"/>
  </r>
  <r>
    <x v="100"/>
    <x v="90"/>
    <x v="87"/>
    <x v="76"/>
    <x v="76"/>
    <x v="3"/>
    <x v="6"/>
    <x v="101"/>
  </r>
  <r>
    <x v="100"/>
    <x v="90"/>
    <x v="87"/>
    <x v="81"/>
    <x v="81"/>
    <x v="5"/>
    <x v="51"/>
    <x v="102"/>
  </r>
  <r>
    <x v="100"/>
    <x v="90"/>
    <x v="87"/>
    <x v="15"/>
    <x v="14"/>
    <x v="11"/>
    <x v="49"/>
    <x v="103"/>
  </r>
  <r>
    <x v="100"/>
    <x v="90"/>
    <x v="87"/>
    <x v="11"/>
    <x v="9"/>
    <x v="1"/>
    <x v="71"/>
    <x v="104"/>
  </r>
  <r>
    <x v="101"/>
    <x v="91"/>
    <x v="87"/>
    <x v="53"/>
    <x v="57"/>
    <x v="10"/>
    <x v="54"/>
    <x v="105"/>
  </r>
  <r>
    <x v="101"/>
    <x v="91"/>
    <x v="87"/>
    <x v="14"/>
    <x v="13"/>
    <x v="10"/>
    <x v="48"/>
    <x v="106"/>
  </r>
  <r>
    <x v="101"/>
    <x v="91"/>
    <x v="87"/>
    <x v="15"/>
    <x v="14"/>
    <x v="12"/>
    <x v="14"/>
    <x v="16"/>
  </r>
  <r>
    <x v="101"/>
    <x v="91"/>
    <x v="87"/>
    <x v="17"/>
    <x v="52"/>
    <x v="12"/>
    <x v="14"/>
    <x v="16"/>
  </r>
  <r>
    <x v="101"/>
    <x v="91"/>
    <x v="87"/>
    <x v="0"/>
    <x v="0"/>
    <x v="12"/>
    <x v="14"/>
    <x v="16"/>
  </r>
  <r>
    <x v="101"/>
    <x v="91"/>
    <x v="87"/>
    <x v="52"/>
    <x v="56"/>
    <x v="12"/>
    <x v="49"/>
    <x v="107"/>
  </r>
  <r>
    <x v="101"/>
    <x v="91"/>
    <x v="87"/>
    <x v="62"/>
    <x v="66"/>
    <x v="12"/>
    <x v="55"/>
    <x v="108"/>
  </r>
  <r>
    <x v="101"/>
    <x v="91"/>
    <x v="87"/>
    <x v="49"/>
    <x v="51"/>
    <x v="12"/>
    <x v="49"/>
    <x v="107"/>
  </r>
  <r>
    <x v="101"/>
    <x v="91"/>
    <x v="87"/>
    <x v="51"/>
    <x v="54"/>
    <x v="0"/>
    <x v="72"/>
    <x v="109"/>
  </r>
  <r>
    <x v="101"/>
    <x v="91"/>
    <x v="87"/>
    <x v="54"/>
    <x v="58"/>
    <x v="10"/>
    <x v="73"/>
    <x v="110"/>
  </r>
  <r>
    <x v="101"/>
    <x v="91"/>
    <x v="87"/>
    <x v="42"/>
    <x v="43"/>
    <x v="8"/>
    <x v="56"/>
    <x v="111"/>
  </r>
  <r>
    <x v="101"/>
    <x v="91"/>
    <x v="87"/>
    <x v="17"/>
    <x v="16"/>
    <x v="15"/>
    <x v="24"/>
    <x v="112"/>
  </r>
  <r>
    <x v="101"/>
    <x v="91"/>
    <x v="87"/>
    <x v="10"/>
    <x v="82"/>
    <x v="10"/>
    <x v="74"/>
    <x v="113"/>
  </r>
  <r>
    <x v="101"/>
    <x v="91"/>
    <x v="87"/>
    <x v="71"/>
    <x v="73"/>
    <x v="0"/>
    <x v="14"/>
    <x v="16"/>
  </r>
  <r>
    <x v="101"/>
    <x v="91"/>
    <x v="87"/>
    <x v="70"/>
    <x v="72"/>
    <x v="1"/>
    <x v="14"/>
    <x v="16"/>
  </r>
  <r>
    <x v="101"/>
    <x v="91"/>
    <x v="87"/>
    <x v="27"/>
    <x v="25"/>
    <x v="1"/>
    <x v="14"/>
    <x v="16"/>
  </r>
  <r>
    <x v="101"/>
    <x v="91"/>
    <x v="87"/>
    <x v="35"/>
    <x v="35"/>
    <x v="1"/>
    <x v="14"/>
    <x v="16"/>
  </r>
  <r>
    <x v="101"/>
    <x v="91"/>
    <x v="87"/>
    <x v="80"/>
    <x v="80"/>
    <x v="1"/>
    <x v="14"/>
    <x v="16"/>
  </r>
  <r>
    <x v="101"/>
    <x v="91"/>
    <x v="87"/>
    <x v="16"/>
    <x v="15"/>
    <x v="10"/>
    <x v="14"/>
    <x v="16"/>
  </r>
  <r>
    <x v="101"/>
    <x v="91"/>
    <x v="87"/>
    <x v="82"/>
    <x v="83"/>
    <x v="1"/>
    <x v="14"/>
    <x v="16"/>
  </r>
  <r>
    <x v="101"/>
    <x v="91"/>
    <x v="87"/>
    <x v="83"/>
    <x v="84"/>
    <x v="1"/>
    <x v="14"/>
    <x v="16"/>
  </r>
  <r>
    <x v="101"/>
    <x v="91"/>
    <x v="87"/>
    <x v="11"/>
    <x v="9"/>
    <x v="1"/>
    <x v="75"/>
    <x v="114"/>
  </r>
  <r>
    <x v="102"/>
    <x v="90"/>
    <x v="87"/>
    <x v="84"/>
    <x v="85"/>
    <x v="1"/>
    <x v="14"/>
    <x v="16"/>
  </r>
  <r>
    <x v="102"/>
    <x v="90"/>
    <x v="87"/>
    <x v="15"/>
    <x v="14"/>
    <x v="1"/>
    <x v="14"/>
    <x v="16"/>
  </r>
  <r>
    <x v="102"/>
    <x v="90"/>
    <x v="87"/>
    <x v="17"/>
    <x v="16"/>
    <x v="3"/>
    <x v="14"/>
    <x v="16"/>
  </r>
  <r>
    <x v="102"/>
    <x v="90"/>
    <x v="87"/>
    <x v="0"/>
    <x v="0"/>
    <x v="3"/>
    <x v="14"/>
    <x v="16"/>
  </r>
  <r>
    <x v="102"/>
    <x v="90"/>
    <x v="87"/>
    <x v="1"/>
    <x v="1"/>
    <x v="1"/>
    <x v="14"/>
    <x v="16"/>
  </r>
  <r>
    <x v="102"/>
    <x v="90"/>
    <x v="87"/>
    <x v="51"/>
    <x v="54"/>
    <x v="0"/>
    <x v="14"/>
    <x v="16"/>
  </r>
  <r>
    <x v="103"/>
    <x v="92"/>
    <x v="88"/>
    <x v="2"/>
    <x v="2"/>
    <x v="1"/>
    <x v="1"/>
    <x v="2"/>
  </r>
  <r>
    <x v="104"/>
    <x v="93"/>
    <x v="89"/>
    <x v="85"/>
    <x v="86"/>
    <x v="16"/>
    <x v="76"/>
    <x v="115"/>
  </r>
  <r>
    <x v="104"/>
    <x v="93"/>
    <x v="89"/>
    <x v="15"/>
    <x v="87"/>
    <x v="16"/>
    <x v="14"/>
    <x v="16"/>
  </r>
  <r>
    <x v="104"/>
    <x v="93"/>
    <x v="89"/>
    <x v="41"/>
    <x v="88"/>
    <x v="17"/>
    <x v="14"/>
    <x v="16"/>
  </r>
  <r>
    <x v="105"/>
    <x v="94"/>
    <x v="89"/>
    <x v="86"/>
    <x v="89"/>
    <x v="0"/>
    <x v="77"/>
    <x v="116"/>
  </r>
  <r>
    <x v="105"/>
    <x v="94"/>
    <x v="89"/>
    <x v="86"/>
    <x v="89"/>
    <x v="0"/>
    <x v="78"/>
    <x v="117"/>
  </r>
  <r>
    <x v="105"/>
    <x v="94"/>
    <x v="89"/>
    <x v="87"/>
    <x v="90"/>
    <x v="2"/>
    <x v="14"/>
    <x v="16"/>
  </r>
  <r>
    <x v="105"/>
    <x v="94"/>
    <x v="89"/>
    <x v="88"/>
    <x v="91"/>
    <x v="3"/>
    <x v="14"/>
    <x v="16"/>
  </r>
  <r>
    <x v="105"/>
    <x v="94"/>
    <x v="89"/>
    <x v="35"/>
    <x v="35"/>
    <x v="1"/>
    <x v="14"/>
    <x v="16"/>
  </r>
  <r>
    <x v="105"/>
    <x v="94"/>
    <x v="89"/>
    <x v="11"/>
    <x v="9"/>
    <x v="1"/>
    <x v="79"/>
    <x v="118"/>
  </r>
  <r>
    <x v="106"/>
    <x v="95"/>
    <x v="90"/>
    <x v="4"/>
    <x v="4"/>
    <x v="1"/>
    <x v="3"/>
    <x v="4"/>
  </r>
  <r>
    <x v="107"/>
    <x v="6"/>
    <x v="91"/>
    <x v="53"/>
    <x v="57"/>
    <x v="5"/>
    <x v="44"/>
    <x v="119"/>
  </r>
  <r>
    <x v="107"/>
    <x v="6"/>
    <x v="91"/>
    <x v="6"/>
    <x v="6"/>
    <x v="5"/>
    <x v="64"/>
    <x v="10"/>
  </r>
  <r>
    <x v="107"/>
    <x v="6"/>
    <x v="91"/>
    <x v="15"/>
    <x v="14"/>
    <x v="5"/>
    <x v="14"/>
    <x v="16"/>
  </r>
  <r>
    <x v="107"/>
    <x v="6"/>
    <x v="91"/>
    <x v="7"/>
    <x v="92"/>
    <x v="5"/>
    <x v="14"/>
    <x v="16"/>
  </r>
  <r>
    <x v="108"/>
    <x v="96"/>
    <x v="92"/>
    <x v="12"/>
    <x v="11"/>
    <x v="1"/>
    <x v="10"/>
    <x v="12"/>
  </r>
  <r>
    <x v="108"/>
    <x v="96"/>
    <x v="92"/>
    <x v="13"/>
    <x v="12"/>
    <x v="1"/>
    <x v="36"/>
    <x v="44"/>
  </r>
  <r>
    <x v="109"/>
    <x v="97"/>
    <x v="93"/>
    <x v="1"/>
    <x v="1"/>
    <x v="0"/>
    <x v="0"/>
    <x v="0"/>
  </r>
  <r>
    <x v="110"/>
    <x v="98"/>
    <x v="94"/>
    <x v="62"/>
    <x v="66"/>
    <x v="1"/>
    <x v="63"/>
    <x v="120"/>
  </r>
  <r>
    <x v="110"/>
    <x v="98"/>
    <x v="94"/>
    <x v="16"/>
    <x v="15"/>
    <x v="1"/>
    <x v="63"/>
    <x v="120"/>
  </r>
  <r>
    <x v="110"/>
    <x v="98"/>
    <x v="94"/>
    <x v="49"/>
    <x v="51"/>
    <x v="1"/>
    <x v="42"/>
    <x v="52"/>
  </r>
  <r>
    <x v="111"/>
    <x v="99"/>
    <x v="95"/>
    <x v="4"/>
    <x v="4"/>
    <x v="1"/>
    <x v="3"/>
    <x v="4"/>
  </r>
  <r>
    <x v="111"/>
    <x v="99"/>
    <x v="95"/>
    <x v="20"/>
    <x v="19"/>
    <x v="1"/>
    <x v="17"/>
    <x v="53"/>
  </r>
  <r>
    <x v="111"/>
    <x v="99"/>
    <x v="95"/>
    <x v="43"/>
    <x v="44"/>
    <x v="0"/>
    <x v="36"/>
    <x v="61"/>
  </r>
  <r>
    <x v="111"/>
    <x v="99"/>
    <x v="95"/>
    <x v="1"/>
    <x v="1"/>
    <x v="0"/>
    <x v="14"/>
    <x v="16"/>
  </r>
  <r>
    <x v="112"/>
    <x v="100"/>
    <x v="96"/>
    <x v="20"/>
    <x v="19"/>
    <x v="0"/>
    <x v="17"/>
    <x v="78"/>
  </r>
  <r>
    <x v="113"/>
    <x v="101"/>
    <x v="97"/>
    <x v="35"/>
    <x v="35"/>
    <x v="0"/>
    <x v="80"/>
    <x v="121"/>
  </r>
  <r>
    <x v="113"/>
    <x v="101"/>
    <x v="97"/>
    <x v="42"/>
    <x v="43"/>
    <x v="1"/>
    <x v="35"/>
    <x v="41"/>
  </r>
  <r>
    <x v="114"/>
    <x v="102"/>
    <x v="98"/>
    <x v="89"/>
    <x v="93"/>
    <x v="1"/>
    <x v="14"/>
    <x v="16"/>
  </r>
  <r>
    <x v="115"/>
    <x v="103"/>
    <x v="98"/>
    <x v="22"/>
    <x v="94"/>
    <x v="1"/>
    <x v="38"/>
    <x v="46"/>
  </r>
  <r>
    <x v="115"/>
    <x v="103"/>
    <x v="98"/>
    <x v="82"/>
    <x v="83"/>
    <x v="1"/>
    <x v="14"/>
    <x v="16"/>
  </r>
  <r>
    <x v="115"/>
    <x v="103"/>
    <x v="98"/>
    <x v="11"/>
    <x v="9"/>
    <x v="1"/>
    <x v="81"/>
    <x v="122"/>
  </r>
  <r>
    <x v="116"/>
    <x v="104"/>
    <x v="98"/>
    <x v="15"/>
    <x v="14"/>
    <x v="6"/>
    <x v="42"/>
    <x v="123"/>
  </r>
  <r>
    <x v="116"/>
    <x v="104"/>
    <x v="98"/>
    <x v="90"/>
    <x v="95"/>
    <x v="1"/>
    <x v="82"/>
    <x v="124"/>
  </r>
  <r>
    <x v="117"/>
    <x v="105"/>
    <x v="98"/>
    <x v="37"/>
    <x v="37"/>
    <x v="1"/>
    <x v="14"/>
    <x v="16"/>
  </r>
  <r>
    <x v="118"/>
    <x v="17"/>
    <x v="99"/>
    <x v="10"/>
    <x v="82"/>
    <x v="4"/>
    <x v="83"/>
    <x v="125"/>
  </r>
  <r>
    <x v="118"/>
    <x v="17"/>
    <x v="99"/>
    <x v="3"/>
    <x v="3"/>
    <x v="5"/>
    <x v="2"/>
    <x v="126"/>
  </r>
  <r>
    <x v="118"/>
    <x v="17"/>
    <x v="99"/>
    <x v="1"/>
    <x v="1"/>
    <x v="5"/>
    <x v="14"/>
    <x v="16"/>
  </r>
  <r>
    <x v="118"/>
    <x v="17"/>
    <x v="99"/>
    <x v="6"/>
    <x v="6"/>
    <x v="11"/>
    <x v="5"/>
    <x v="127"/>
  </r>
  <r>
    <x v="118"/>
    <x v="17"/>
    <x v="99"/>
    <x v="62"/>
    <x v="66"/>
    <x v="4"/>
    <x v="63"/>
    <x v="92"/>
  </r>
  <r>
    <x v="118"/>
    <x v="17"/>
    <x v="99"/>
    <x v="32"/>
    <x v="32"/>
    <x v="1"/>
    <x v="84"/>
    <x v="128"/>
  </r>
  <r>
    <x v="118"/>
    <x v="17"/>
    <x v="99"/>
    <x v="68"/>
    <x v="70"/>
    <x v="3"/>
    <x v="63"/>
    <x v="82"/>
  </r>
  <r>
    <x v="119"/>
    <x v="106"/>
    <x v="100"/>
    <x v="72"/>
    <x v="18"/>
    <x v="1"/>
    <x v="3"/>
    <x v="4"/>
  </r>
  <r>
    <x v="120"/>
    <x v="107"/>
    <x v="101"/>
    <x v="43"/>
    <x v="44"/>
    <x v="1"/>
    <x v="14"/>
    <x v="16"/>
  </r>
  <r>
    <x v="121"/>
    <x v="108"/>
    <x v="101"/>
    <x v="91"/>
    <x v="96"/>
    <x v="1"/>
    <x v="14"/>
    <x v="16"/>
  </r>
  <r>
    <x v="122"/>
    <x v="109"/>
    <x v="101"/>
    <x v="35"/>
    <x v="35"/>
    <x v="1"/>
    <x v="14"/>
    <x v="16"/>
  </r>
  <r>
    <x v="123"/>
    <x v="110"/>
    <x v="102"/>
    <x v="4"/>
    <x v="4"/>
    <x v="1"/>
    <x v="3"/>
    <x v="4"/>
  </r>
  <r>
    <x v="123"/>
    <x v="110"/>
    <x v="102"/>
    <x v="3"/>
    <x v="3"/>
    <x v="0"/>
    <x v="2"/>
    <x v="3"/>
  </r>
  <r>
    <x v="123"/>
    <x v="110"/>
    <x v="102"/>
    <x v="1"/>
    <x v="1"/>
    <x v="0"/>
    <x v="14"/>
    <x v="16"/>
  </r>
  <r>
    <x v="123"/>
    <x v="110"/>
    <x v="102"/>
    <x v="0"/>
    <x v="0"/>
    <x v="0"/>
    <x v="0"/>
    <x v="0"/>
  </r>
  <r>
    <x v="124"/>
    <x v="111"/>
    <x v="103"/>
    <x v="4"/>
    <x v="4"/>
    <x v="0"/>
    <x v="3"/>
    <x v="43"/>
  </r>
  <r>
    <x v="125"/>
    <x v="112"/>
    <x v="104"/>
    <x v="65"/>
    <x v="68"/>
    <x v="1"/>
    <x v="61"/>
    <x v="129"/>
  </r>
  <r>
    <x v="125"/>
    <x v="112"/>
    <x v="104"/>
    <x v="7"/>
    <x v="92"/>
    <x v="1"/>
    <x v="85"/>
    <x v="130"/>
  </r>
  <r>
    <x v="126"/>
    <x v="113"/>
    <x v="105"/>
    <x v="92"/>
    <x v="97"/>
    <x v="1"/>
    <x v="14"/>
    <x v="16"/>
  </r>
  <r>
    <x v="126"/>
    <x v="113"/>
    <x v="105"/>
    <x v="93"/>
    <x v="98"/>
    <x v="1"/>
    <x v="14"/>
    <x v="16"/>
  </r>
  <r>
    <x v="127"/>
    <x v="114"/>
    <x v="106"/>
    <x v="14"/>
    <x v="13"/>
    <x v="1"/>
    <x v="13"/>
    <x v="131"/>
  </r>
  <r>
    <x v="127"/>
    <x v="114"/>
    <x v="106"/>
    <x v="15"/>
    <x v="14"/>
    <x v="1"/>
    <x v="42"/>
    <x v="52"/>
  </r>
  <r>
    <x v="127"/>
    <x v="114"/>
    <x v="106"/>
    <x v="16"/>
    <x v="15"/>
    <x v="1"/>
    <x v="63"/>
    <x v="120"/>
  </r>
  <r>
    <x v="127"/>
    <x v="114"/>
    <x v="106"/>
    <x v="7"/>
    <x v="92"/>
    <x v="1"/>
    <x v="85"/>
    <x v="130"/>
  </r>
  <r>
    <x v="127"/>
    <x v="114"/>
    <x v="106"/>
    <x v="17"/>
    <x v="16"/>
    <x v="1"/>
    <x v="14"/>
    <x v="16"/>
  </r>
  <r>
    <x v="127"/>
    <x v="114"/>
    <x v="106"/>
    <x v="50"/>
    <x v="53"/>
    <x v="1"/>
    <x v="5"/>
    <x v="39"/>
  </r>
  <r>
    <x v="127"/>
    <x v="114"/>
    <x v="106"/>
    <x v="94"/>
    <x v="99"/>
    <x v="1"/>
    <x v="86"/>
    <x v="132"/>
  </r>
  <r>
    <x v="127"/>
    <x v="114"/>
    <x v="106"/>
    <x v="49"/>
    <x v="51"/>
    <x v="4"/>
    <x v="42"/>
    <x v="133"/>
  </r>
  <r>
    <x v="128"/>
    <x v="115"/>
    <x v="107"/>
    <x v="72"/>
    <x v="18"/>
    <x v="1"/>
    <x v="3"/>
    <x v="4"/>
  </r>
  <r>
    <x v="129"/>
    <x v="116"/>
    <x v="108"/>
    <x v="53"/>
    <x v="57"/>
    <x v="0"/>
    <x v="44"/>
    <x v="134"/>
  </r>
  <r>
    <x v="129"/>
    <x v="116"/>
    <x v="108"/>
    <x v="17"/>
    <x v="16"/>
    <x v="0"/>
    <x v="14"/>
    <x v="16"/>
  </r>
  <r>
    <x v="129"/>
    <x v="116"/>
    <x v="108"/>
    <x v="54"/>
    <x v="58"/>
    <x v="0"/>
    <x v="45"/>
    <x v="135"/>
  </r>
  <r>
    <x v="129"/>
    <x v="116"/>
    <x v="108"/>
    <x v="15"/>
    <x v="14"/>
    <x v="0"/>
    <x v="14"/>
    <x v="16"/>
  </r>
  <r>
    <x v="129"/>
    <x v="116"/>
    <x v="108"/>
    <x v="7"/>
    <x v="92"/>
    <x v="0"/>
    <x v="14"/>
    <x v="16"/>
  </r>
  <r>
    <x v="130"/>
    <x v="117"/>
    <x v="109"/>
    <x v="19"/>
    <x v="18"/>
    <x v="1"/>
    <x v="16"/>
    <x v="18"/>
  </r>
  <r>
    <x v="131"/>
    <x v="118"/>
    <x v="110"/>
    <x v="42"/>
    <x v="43"/>
    <x v="1"/>
    <x v="35"/>
    <x v="41"/>
  </r>
  <r>
    <x v="132"/>
    <x v="119"/>
    <x v="111"/>
    <x v="19"/>
    <x v="18"/>
    <x v="1"/>
    <x v="16"/>
    <x v="18"/>
  </r>
  <r>
    <x v="132"/>
    <x v="119"/>
    <x v="111"/>
    <x v="20"/>
    <x v="19"/>
    <x v="1"/>
    <x v="17"/>
    <x v="53"/>
  </r>
  <r>
    <x v="133"/>
    <x v="120"/>
    <x v="112"/>
    <x v="16"/>
    <x v="15"/>
    <x v="1"/>
    <x v="63"/>
    <x v="120"/>
  </r>
  <r>
    <x v="134"/>
    <x v="121"/>
    <x v="113"/>
    <x v="20"/>
    <x v="19"/>
    <x v="1"/>
    <x v="17"/>
    <x v="53"/>
  </r>
  <r>
    <x v="135"/>
    <x v="122"/>
    <x v="114"/>
    <x v="12"/>
    <x v="11"/>
    <x v="1"/>
    <x v="10"/>
    <x v="12"/>
  </r>
</pivotCacheRecords>
</file>

<file path=xl/pivotCache/pivotCacheRecords18.xml><?xml version="1.0" encoding="utf-8"?>
<pivotCacheRecords xmlns:r="http://schemas.openxmlformats.org/officeDocument/2006/relationships" xmlns="http://schemas.openxmlformats.org/spreadsheetml/2006/main" count="341">
  <r>
    <x v="0"/>
    <x v="0"/>
    <x v="0"/>
  </r>
  <r>
    <x v="1"/>
    <x v="1"/>
    <x v="1"/>
  </r>
  <r>
    <x v="2"/>
    <x v="2"/>
    <x v="1"/>
  </r>
  <r>
    <x v="3"/>
    <x v="3"/>
    <x v="0"/>
  </r>
  <r>
    <x v="4"/>
    <x v="4"/>
    <x v="1"/>
  </r>
  <r>
    <x v="5"/>
    <x v="5"/>
    <x v="2"/>
  </r>
  <r>
    <x v="6"/>
    <x v="6"/>
    <x v="0"/>
  </r>
  <r>
    <x v="7"/>
    <x v="7"/>
    <x v="0"/>
  </r>
  <r>
    <x v="2"/>
    <x v="2"/>
    <x v="0"/>
  </r>
  <r>
    <x v="8"/>
    <x v="8"/>
    <x v="1"/>
  </r>
  <r>
    <x v="9"/>
    <x v="9"/>
    <x v="1"/>
  </r>
  <r>
    <x v="10"/>
    <x v="10"/>
    <x v="3"/>
  </r>
  <r>
    <x v="11"/>
    <x v="9"/>
    <x v="1"/>
  </r>
  <r>
    <x v="12"/>
    <x v="11"/>
    <x v="1"/>
  </r>
  <r>
    <x v="12"/>
    <x v="11"/>
    <x v="1"/>
  </r>
  <r>
    <x v="13"/>
    <x v="12"/>
    <x v="1"/>
  </r>
  <r>
    <x v="14"/>
    <x v="13"/>
    <x v="3"/>
  </r>
  <r>
    <x v="15"/>
    <x v="14"/>
    <x v="3"/>
  </r>
  <r>
    <x v="16"/>
    <x v="15"/>
    <x v="3"/>
  </r>
  <r>
    <x v="7"/>
    <x v="7"/>
    <x v="3"/>
  </r>
  <r>
    <x v="17"/>
    <x v="16"/>
    <x v="3"/>
  </r>
  <r>
    <x v="3"/>
    <x v="3"/>
    <x v="0"/>
  </r>
  <r>
    <x v="18"/>
    <x v="17"/>
    <x v="4"/>
  </r>
  <r>
    <x v="6"/>
    <x v="6"/>
    <x v="0"/>
  </r>
  <r>
    <x v="19"/>
    <x v="18"/>
    <x v="1"/>
  </r>
  <r>
    <x v="19"/>
    <x v="18"/>
    <x v="1"/>
  </r>
  <r>
    <x v="20"/>
    <x v="19"/>
    <x v="5"/>
  </r>
  <r>
    <x v="21"/>
    <x v="9"/>
    <x v="1"/>
  </r>
  <r>
    <x v="22"/>
    <x v="20"/>
    <x v="1"/>
  </r>
  <r>
    <x v="23"/>
    <x v="21"/>
    <x v="1"/>
  </r>
  <r>
    <x v="24"/>
    <x v="22"/>
    <x v="0"/>
  </r>
  <r>
    <x v="25"/>
    <x v="23"/>
    <x v="3"/>
  </r>
  <r>
    <x v="26"/>
    <x v="24"/>
    <x v="0"/>
  </r>
  <r>
    <x v="4"/>
    <x v="4"/>
    <x v="1"/>
  </r>
  <r>
    <x v="1"/>
    <x v="1"/>
    <x v="1"/>
  </r>
  <r>
    <x v="27"/>
    <x v="25"/>
    <x v="3"/>
  </r>
  <r>
    <x v="28"/>
    <x v="26"/>
    <x v="3"/>
  </r>
  <r>
    <x v="4"/>
    <x v="4"/>
    <x v="0"/>
  </r>
  <r>
    <x v="6"/>
    <x v="27"/>
    <x v="5"/>
  </r>
  <r>
    <x v="17"/>
    <x v="28"/>
    <x v="5"/>
  </r>
  <r>
    <x v="29"/>
    <x v="29"/>
    <x v="3"/>
  </r>
  <r>
    <x v="30"/>
    <x v="30"/>
    <x v="5"/>
  </r>
  <r>
    <x v="31"/>
    <x v="31"/>
    <x v="6"/>
  </r>
  <r>
    <x v="32"/>
    <x v="32"/>
    <x v="5"/>
  </r>
  <r>
    <x v="33"/>
    <x v="33"/>
    <x v="7"/>
  </r>
  <r>
    <x v="34"/>
    <x v="34"/>
    <x v="5"/>
  </r>
  <r>
    <x v="35"/>
    <x v="35"/>
    <x v="0"/>
  </r>
  <r>
    <x v="36"/>
    <x v="36"/>
    <x v="3"/>
  </r>
  <r>
    <x v="37"/>
    <x v="37"/>
    <x v="2"/>
  </r>
  <r>
    <x v="38"/>
    <x v="38"/>
    <x v="3"/>
  </r>
  <r>
    <x v="5"/>
    <x v="5"/>
    <x v="3"/>
  </r>
  <r>
    <x v="11"/>
    <x v="9"/>
    <x v="1"/>
  </r>
  <r>
    <x v="39"/>
    <x v="39"/>
    <x v="1"/>
  </r>
  <r>
    <x v="40"/>
    <x v="40"/>
    <x v="1"/>
  </r>
  <r>
    <x v="4"/>
    <x v="4"/>
    <x v="1"/>
  </r>
  <r>
    <x v="41"/>
    <x v="41"/>
    <x v="1"/>
  </r>
  <r>
    <x v="12"/>
    <x v="11"/>
    <x v="1"/>
  </r>
  <r>
    <x v="22"/>
    <x v="42"/>
    <x v="1"/>
  </r>
  <r>
    <x v="38"/>
    <x v="38"/>
    <x v="8"/>
  </r>
  <r>
    <x v="5"/>
    <x v="5"/>
    <x v="8"/>
  </r>
  <r>
    <x v="11"/>
    <x v="9"/>
    <x v="1"/>
  </r>
  <r>
    <x v="3"/>
    <x v="3"/>
    <x v="9"/>
  </r>
  <r>
    <x v="17"/>
    <x v="16"/>
    <x v="1"/>
  </r>
  <r>
    <x v="6"/>
    <x v="6"/>
    <x v="1"/>
  </r>
  <r>
    <x v="38"/>
    <x v="38"/>
    <x v="10"/>
  </r>
  <r>
    <x v="42"/>
    <x v="43"/>
    <x v="1"/>
  </r>
  <r>
    <x v="1"/>
    <x v="1"/>
    <x v="0"/>
  </r>
  <r>
    <x v="3"/>
    <x v="3"/>
    <x v="3"/>
  </r>
  <r>
    <x v="4"/>
    <x v="4"/>
    <x v="0"/>
  </r>
  <r>
    <x v="43"/>
    <x v="44"/>
    <x v="1"/>
  </r>
  <r>
    <x v="1"/>
    <x v="1"/>
    <x v="1"/>
  </r>
  <r>
    <x v="17"/>
    <x v="16"/>
    <x v="1"/>
  </r>
  <r>
    <x v="13"/>
    <x v="12"/>
    <x v="1"/>
  </r>
  <r>
    <x v="22"/>
    <x v="45"/>
    <x v="1"/>
  </r>
  <r>
    <x v="44"/>
    <x v="46"/>
    <x v="1"/>
  </r>
  <r>
    <x v="45"/>
    <x v="47"/>
    <x v="1"/>
  </r>
  <r>
    <x v="46"/>
    <x v="48"/>
    <x v="1"/>
  </r>
  <r>
    <x v="24"/>
    <x v="22"/>
    <x v="0"/>
  </r>
  <r>
    <x v="47"/>
    <x v="49"/>
    <x v="1"/>
  </r>
  <r>
    <x v="26"/>
    <x v="24"/>
    <x v="0"/>
  </r>
  <r>
    <x v="25"/>
    <x v="23"/>
    <x v="3"/>
  </r>
  <r>
    <x v="19"/>
    <x v="18"/>
    <x v="0"/>
  </r>
  <r>
    <x v="11"/>
    <x v="9"/>
    <x v="1"/>
  </r>
  <r>
    <x v="48"/>
    <x v="50"/>
    <x v="3"/>
  </r>
  <r>
    <x v="9"/>
    <x v="9"/>
    <x v="1"/>
  </r>
  <r>
    <x v="49"/>
    <x v="51"/>
    <x v="1"/>
  </r>
  <r>
    <x v="20"/>
    <x v="19"/>
    <x v="1"/>
  </r>
  <r>
    <x v="2"/>
    <x v="2"/>
    <x v="1"/>
  </r>
  <r>
    <x v="14"/>
    <x v="13"/>
    <x v="3"/>
  </r>
  <r>
    <x v="15"/>
    <x v="14"/>
    <x v="3"/>
  </r>
  <r>
    <x v="16"/>
    <x v="15"/>
    <x v="3"/>
  </r>
  <r>
    <x v="0"/>
    <x v="0"/>
    <x v="3"/>
  </r>
  <r>
    <x v="17"/>
    <x v="52"/>
    <x v="3"/>
  </r>
  <r>
    <x v="50"/>
    <x v="53"/>
    <x v="0"/>
  </r>
  <r>
    <x v="51"/>
    <x v="54"/>
    <x v="3"/>
  </r>
  <r>
    <x v="3"/>
    <x v="3"/>
    <x v="3"/>
  </r>
  <r>
    <x v="42"/>
    <x v="43"/>
    <x v="1"/>
  </r>
  <r>
    <x v="20"/>
    <x v="19"/>
    <x v="5"/>
  </r>
  <r>
    <x v="22"/>
    <x v="55"/>
    <x v="1"/>
  </r>
  <r>
    <x v="13"/>
    <x v="12"/>
    <x v="1"/>
  </r>
  <r>
    <x v="3"/>
    <x v="3"/>
    <x v="0"/>
  </r>
  <r>
    <x v="4"/>
    <x v="4"/>
    <x v="1"/>
  </r>
  <r>
    <x v="52"/>
    <x v="56"/>
    <x v="0"/>
  </r>
  <r>
    <x v="53"/>
    <x v="57"/>
    <x v="1"/>
  </r>
  <r>
    <x v="17"/>
    <x v="16"/>
    <x v="1"/>
  </r>
  <r>
    <x v="54"/>
    <x v="58"/>
    <x v="1"/>
  </r>
  <r>
    <x v="15"/>
    <x v="14"/>
    <x v="1"/>
  </r>
  <r>
    <x v="7"/>
    <x v="7"/>
    <x v="1"/>
  </r>
  <r>
    <x v="2"/>
    <x v="2"/>
    <x v="1"/>
  </r>
  <r>
    <x v="12"/>
    <x v="11"/>
    <x v="0"/>
  </r>
  <r>
    <x v="11"/>
    <x v="9"/>
    <x v="1"/>
  </r>
  <r>
    <x v="55"/>
    <x v="9"/>
    <x v="1"/>
  </r>
  <r>
    <x v="37"/>
    <x v="37"/>
    <x v="10"/>
  </r>
  <r>
    <x v="56"/>
    <x v="59"/>
    <x v="0"/>
  </r>
  <r>
    <x v="13"/>
    <x v="12"/>
    <x v="0"/>
  </r>
  <r>
    <x v="12"/>
    <x v="11"/>
    <x v="1"/>
  </r>
  <r>
    <x v="14"/>
    <x v="13"/>
    <x v="5"/>
  </r>
  <r>
    <x v="15"/>
    <x v="14"/>
    <x v="5"/>
  </r>
  <r>
    <x v="16"/>
    <x v="15"/>
    <x v="5"/>
  </r>
  <r>
    <x v="0"/>
    <x v="0"/>
    <x v="5"/>
  </r>
  <r>
    <x v="49"/>
    <x v="51"/>
    <x v="5"/>
  </r>
  <r>
    <x v="41"/>
    <x v="60"/>
    <x v="2"/>
  </r>
  <r>
    <x v="57"/>
    <x v="61"/>
    <x v="0"/>
  </r>
  <r>
    <x v="58"/>
    <x v="62"/>
    <x v="5"/>
  </r>
  <r>
    <x v="59"/>
    <x v="63"/>
    <x v="3"/>
  </r>
  <r>
    <x v="60"/>
    <x v="64"/>
    <x v="11"/>
  </r>
  <r>
    <x v="61"/>
    <x v="65"/>
    <x v="11"/>
  </r>
  <r>
    <x v="11"/>
    <x v="9"/>
    <x v="1"/>
  </r>
  <r>
    <x v="53"/>
    <x v="57"/>
    <x v="11"/>
  </r>
  <r>
    <x v="15"/>
    <x v="14"/>
    <x v="11"/>
  </r>
  <r>
    <x v="0"/>
    <x v="0"/>
    <x v="11"/>
  </r>
  <r>
    <x v="17"/>
    <x v="16"/>
    <x v="11"/>
  </r>
  <r>
    <x v="6"/>
    <x v="6"/>
    <x v="11"/>
  </r>
  <r>
    <x v="62"/>
    <x v="66"/>
    <x v="11"/>
  </r>
  <r>
    <x v="34"/>
    <x v="34"/>
    <x v="11"/>
  </r>
  <r>
    <x v="35"/>
    <x v="35"/>
    <x v="0"/>
  </r>
  <r>
    <x v="42"/>
    <x v="43"/>
    <x v="1"/>
  </r>
  <r>
    <x v="33"/>
    <x v="33"/>
    <x v="12"/>
  </r>
  <r>
    <x v="63"/>
    <x v="9"/>
    <x v="1"/>
  </r>
  <r>
    <x v="9"/>
    <x v="9"/>
    <x v="1"/>
  </r>
  <r>
    <x v="64"/>
    <x v="67"/>
    <x v="13"/>
  </r>
  <r>
    <x v="11"/>
    <x v="9"/>
    <x v="1"/>
  </r>
  <r>
    <x v="13"/>
    <x v="12"/>
    <x v="1"/>
  </r>
  <r>
    <x v="20"/>
    <x v="19"/>
    <x v="0"/>
  </r>
  <r>
    <x v="3"/>
    <x v="3"/>
    <x v="1"/>
  </r>
  <r>
    <x v="42"/>
    <x v="43"/>
    <x v="1"/>
  </r>
  <r>
    <x v="1"/>
    <x v="1"/>
    <x v="0"/>
  </r>
  <r>
    <x v="20"/>
    <x v="19"/>
    <x v="0"/>
  </r>
  <r>
    <x v="12"/>
    <x v="11"/>
    <x v="1"/>
  </r>
  <r>
    <x v="0"/>
    <x v="0"/>
    <x v="1"/>
  </r>
  <r>
    <x v="65"/>
    <x v="68"/>
    <x v="0"/>
  </r>
  <r>
    <x v="7"/>
    <x v="7"/>
    <x v="0"/>
  </r>
  <r>
    <x v="2"/>
    <x v="2"/>
    <x v="0"/>
  </r>
  <r>
    <x v="66"/>
    <x v="9"/>
    <x v="1"/>
  </r>
  <r>
    <x v="25"/>
    <x v="23"/>
    <x v="12"/>
  </r>
  <r>
    <x v="62"/>
    <x v="66"/>
    <x v="3"/>
  </r>
  <r>
    <x v="49"/>
    <x v="51"/>
    <x v="2"/>
  </r>
  <r>
    <x v="38"/>
    <x v="38"/>
    <x v="10"/>
  </r>
  <r>
    <x v="13"/>
    <x v="12"/>
    <x v="1"/>
  </r>
  <r>
    <x v="1"/>
    <x v="1"/>
    <x v="0"/>
  </r>
  <r>
    <x v="19"/>
    <x v="18"/>
    <x v="1"/>
  </r>
  <r>
    <x v="13"/>
    <x v="12"/>
    <x v="0"/>
  </r>
  <r>
    <x v="14"/>
    <x v="13"/>
    <x v="3"/>
  </r>
  <r>
    <x v="15"/>
    <x v="14"/>
    <x v="3"/>
  </r>
  <r>
    <x v="16"/>
    <x v="15"/>
    <x v="3"/>
  </r>
  <r>
    <x v="7"/>
    <x v="7"/>
    <x v="3"/>
  </r>
  <r>
    <x v="6"/>
    <x v="6"/>
    <x v="3"/>
  </r>
  <r>
    <x v="3"/>
    <x v="3"/>
    <x v="2"/>
  </r>
  <r>
    <x v="67"/>
    <x v="69"/>
    <x v="14"/>
  </r>
  <r>
    <x v="13"/>
    <x v="12"/>
    <x v="8"/>
  </r>
  <r>
    <x v="68"/>
    <x v="70"/>
    <x v="0"/>
  </r>
  <r>
    <x v="3"/>
    <x v="3"/>
    <x v="0"/>
  </r>
  <r>
    <x v="12"/>
    <x v="11"/>
    <x v="1"/>
  </r>
  <r>
    <x v="43"/>
    <x v="44"/>
    <x v="1"/>
  </r>
  <r>
    <x v="1"/>
    <x v="1"/>
    <x v="1"/>
  </r>
  <r>
    <x v="1"/>
    <x v="1"/>
    <x v="1"/>
  </r>
  <r>
    <x v="0"/>
    <x v="0"/>
    <x v="1"/>
  </r>
  <r>
    <x v="3"/>
    <x v="3"/>
    <x v="1"/>
  </r>
  <r>
    <x v="12"/>
    <x v="11"/>
    <x v="0"/>
  </r>
  <r>
    <x v="69"/>
    <x v="71"/>
    <x v="10"/>
  </r>
  <r>
    <x v="70"/>
    <x v="72"/>
    <x v="1"/>
  </r>
  <r>
    <x v="71"/>
    <x v="73"/>
    <x v="0"/>
  </r>
  <r>
    <x v="43"/>
    <x v="44"/>
    <x v="1"/>
  </r>
  <r>
    <x v="1"/>
    <x v="1"/>
    <x v="1"/>
  </r>
  <r>
    <x v="72"/>
    <x v="18"/>
    <x v="1"/>
  </r>
  <r>
    <x v="73"/>
    <x v="74"/>
    <x v="0"/>
  </r>
  <r>
    <x v="62"/>
    <x v="66"/>
    <x v="0"/>
  </r>
  <r>
    <x v="12"/>
    <x v="11"/>
    <x v="0"/>
  </r>
  <r>
    <x v="35"/>
    <x v="35"/>
    <x v="2"/>
  </r>
  <r>
    <x v="11"/>
    <x v="9"/>
    <x v="1"/>
  </r>
  <r>
    <x v="4"/>
    <x v="4"/>
    <x v="1"/>
  </r>
  <r>
    <x v="13"/>
    <x v="12"/>
    <x v="1"/>
  </r>
  <r>
    <x v="74"/>
    <x v="75"/>
    <x v="1"/>
  </r>
  <r>
    <x v="75"/>
    <x v="9"/>
    <x v="1"/>
  </r>
  <r>
    <x v="13"/>
    <x v="12"/>
    <x v="0"/>
  </r>
  <r>
    <x v="73"/>
    <x v="74"/>
    <x v="0"/>
  </r>
  <r>
    <x v="62"/>
    <x v="66"/>
    <x v="4"/>
  </r>
  <r>
    <x v="76"/>
    <x v="76"/>
    <x v="10"/>
  </r>
  <r>
    <x v="3"/>
    <x v="3"/>
    <x v="0"/>
  </r>
  <r>
    <x v="20"/>
    <x v="19"/>
    <x v="0"/>
  </r>
  <r>
    <x v="43"/>
    <x v="44"/>
    <x v="1"/>
  </r>
  <r>
    <x v="1"/>
    <x v="1"/>
    <x v="1"/>
  </r>
  <r>
    <x v="77"/>
    <x v="77"/>
    <x v="1"/>
  </r>
  <r>
    <x v="13"/>
    <x v="12"/>
    <x v="4"/>
  </r>
  <r>
    <x v="78"/>
    <x v="78"/>
    <x v="14"/>
  </r>
  <r>
    <x v="12"/>
    <x v="11"/>
    <x v="1"/>
  </r>
  <r>
    <x v="3"/>
    <x v="3"/>
    <x v="0"/>
  </r>
  <r>
    <x v="1"/>
    <x v="1"/>
    <x v="0"/>
  </r>
  <r>
    <x v="1"/>
    <x v="1"/>
    <x v="1"/>
  </r>
  <r>
    <x v="72"/>
    <x v="18"/>
    <x v="1"/>
  </r>
  <r>
    <x v="72"/>
    <x v="18"/>
    <x v="1"/>
  </r>
  <r>
    <x v="13"/>
    <x v="12"/>
    <x v="4"/>
  </r>
  <r>
    <x v="73"/>
    <x v="74"/>
    <x v="0"/>
  </r>
  <r>
    <x v="79"/>
    <x v="79"/>
    <x v="1"/>
  </r>
  <r>
    <x v="27"/>
    <x v="25"/>
    <x v="1"/>
  </r>
  <r>
    <x v="80"/>
    <x v="80"/>
    <x v="1"/>
  </r>
  <r>
    <x v="1"/>
    <x v="1"/>
    <x v="0"/>
  </r>
  <r>
    <x v="5"/>
    <x v="5"/>
    <x v="5"/>
  </r>
  <r>
    <x v="13"/>
    <x v="12"/>
    <x v="0"/>
  </r>
  <r>
    <x v="4"/>
    <x v="4"/>
    <x v="1"/>
  </r>
  <r>
    <x v="20"/>
    <x v="19"/>
    <x v="1"/>
  </r>
  <r>
    <x v="0"/>
    <x v="0"/>
    <x v="1"/>
  </r>
  <r>
    <x v="13"/>
    <x v="12"/>
    <x v="1"/>
  </r>
  <r>
    <x v="76"/>
    <x v="76"/>
    <x v="3"/>
  </r>
  <r>
    <x v="81"/>
    <x v="81"/>
    <x v="5"/>
  </r>
  <r>
    <x v="15"/>
    <x v="14"/>
    <x v="11"/>
  </r>
  <r>
    <x v="11"/>
    <x v="9"/>
    <x v="1"/>
  </r>
  <r>
    <x v="53"/>
    <x v="57"/>
    <x v="10"/>
  </r>
  <r>
    <x v="14"/>
    <x v="13"/>
    <x v="10"/>
  </r>
  <r>
    <x v="15"/>
    <x v="14"/>
    <x v="12"/>
  </r>
  <r>
    <x v="17"/>
    <x v="52"/>
    <x v="12"/>
  </r>
  <r>
    <x v="0"/>
    <x v="0"/>
    <x v="12"/>
  </r>
  <r>
    <x v="52"/>
    <x v="56"/>
    <x v="12"/>
  </r>
  <r>
    <x v="62"/>
    <x v="66"/>
    <x v="12"/>
  </r>
  <r>
    <x v="49"/>
    <x v="51"/>
    <x v="12"/>
  </r>
  <r>
    <x v="51"/>
    <x v="54"/>
    <x v="0"/>
  </r>
  <r>
    <x v="54"/>
    <x v="58"/>
    <x v="10"/>
  </r>
  <r>
    <x v="42"/>
    <x v="43"/>
    <x v="8"/>
  </r>
  <r>
    <x v="17"/>
    <x v="16"/>
    <x v="15"/>
  </r>
  <r>
    <x v="10"/>
    <x v="82"/>
    <x v="10"/>
  </r>
  <r>
    <x v="71"/>
    <x v="73"/>
    <x v="0"/>
  </r>
  <r>
    <x v="70"/>
    <x v="72"/>
    <x v="1"/>
  </r>
  <r>
    <x v="27"/>
    <x v="25"/>
    <x v="1"/>
  </r>
  <r>
    <x v="35"/>
    <x v="35"/>
    <x v="1"/>
  </r>
  <r>
    <x v="80"/>
    <x v="80"/>
    <x v="1"/>
  </r>
  <r>
    <x v="16"/>
    <x v="15"/>
    <x v="10"/>
  </r>
  <r>
    <x v="82"/>
    <x v="83"/>
    <x v="1"/>
  </r>
  <r>
    <x v="83"/>
    <x v="84"/>
    <x v="1"/>
  </r>
  <r>
    <x v="11"/>
    <x v="9"/>
    <x v="1"/>
  </r>
  <r>
    <x v="84"/>
    <x v="85"/>
    <x v="1"/>
  </r>
  <r>
    <x v="15"/>
    <x v="14"/>
    <x v="1"/>
  </r>
  <r>
    <x v="17"/>
    <x v="16"/>
    <x v="3"/>
  </r>
  <r>
    <x v="0"/>
    <x v="0"/>
    <x v="3"/>
  </r>
  <r>
    <x v="1"/>
    <x v="1"/>
    <x v="1"/>
  </r>
  <r>
    <x v="51"/>
    <x v="54"/>
    <x v="0"/>
  </r>
  <r>
    <x v="2"/>
    <x v="2"/>
    <x v="1"/>
  </r>
  <r>
    <x v="85"/>
    <x v="86"/>
    <x v="16"/>
  </r>
  <r>
    <x v="15"/>
    <x v="87"/>
    <x v="16"/>
  </r>
  <r>
    <x v="41"/>
    <x v="88"/>
    <x v="17"/>
  </r>
  <r>
    <x v="86"/>
    <x v="89"/>
    <x v="0"/>
  </r>
  <r>
    <x v="86"/>
    <x v="89"/>
    <x v="0"/>
  </r>
  <r>
    <x v="87"/>
    <x v="90"/>
    <x v="2"/>
  </r>
  <r>
    <x v="88"/>
    <x v="91"/>
    <x v="3"/>
  </r>
  <r>
    <x v="35"/>
    <x v="35"/>
    <x v="1"/>
  </r>
  <r>
    <x v="11"/>
    <x v="9"/>
    <x v="1"/>
  </r>
  <r>
    <x v="4"/>
    <x v="4"/>
    <x v="1"/>
  </r>
  <r>
    <x v="53"/>
    <x v="57"/>
    <x v="5"/>
  </r>
  <r>
    <x v="6"/>
    <x v="6"/>
    <x v="5"/>
  </r>
  <r>
    <x v="15"/>
    <x v="14"/>
    <x v="5"/>
  </r>
  <r>
    <x v="7"/>
    <x v="92"/>
    <x v="5"/>
  </r>
  <r>
    <x v="12"/>
    <x v="11"/>
    <x v="1"/>
  </r>
  <r>
    <x v="13"/>
    <x v="12"/>
    <x v="1"/>
  </r>
  <r>
    <x v="1"/>
    <x v="1"/>
    <x v="0"/>
  </r>
  <r>
    <x v="62"/>
    <x v="66"/>
    <x v="1"/>
  </r>
  <r>
    <x v="16"/>
    <x v="15"/>
    <x v="1"/>
  </r>
  <r>
    <x v="49"/>
    <x v="51"/>
    <x v="1"/>
  </r>
  <r>
    <x v="4"/>
    <x v="4"/>
    <x v="1"/>
  </r>
  <r>
    <x v="20"/>
    <x v="19"/>
    <x v="1"/>
  </r>
  <r>
    <x v="43"/>
    <x v="44"/>
    <x v="0"/>
  </r>
  <r>
    <x v="1"/>
    <x v="1"/>
    <x v="0"/>
  </r>
  <r>
    <x v="20"/>
    <x v="19"/>
    <x v="0"/>
  </r>
  <r>
    <x v="35"/>
    <x v="35"/>
    <x v="0"/>
  </r>
  <r>
    <x v="42"/>
    <x v="43"/>
    <x v="1"/>
  </r>
  <r>
    <x v="89"/>
    <x v="93"/>
    <x v="1"/>
  </r>
  <r>
    <x v="22"/>
    <x v="94"/>
    <x v="1"/>
  </r>
  <r>
    <x v="82"/>
    <x v="83"/>
    <x v="1"/>
  </r>
  <r>
    <x v="11"/>
    <x v="9"/>
    <x v="1"/>
  </r>
  <r>
    <x v="15"/>
    <x v="14"/>
    <x v="6"/>
  </r>
  <r>
    <x v="90"/>
    <x v="95"/>
    <x v="1"/>
  </r>
  <r>
    <x v="37"/>
    <x v="37"/>
    <x v="1"/>
  </r>
  <r>
    <x v="10"/>
    <x v="82"/>
    <x v="4"/>
  </r>
  <r>
    <x v="3"/>
    <x v="3"/>
    <x v="5"/>
  </r>
  <r>
    <x v="1"/>
    <x v="1"/>
    <x v="5"/>
  </r>
  <r>
    <x v="6"/>
    <x v="6"/>
    <x v="11"/>
  </r>
  <r>
    <x v="62"/>
    <x v="66"/>
    <x v="4"/>
  </r>
  <r>
    <x v="32"/>
    <x v="32"/>
    <x v="1"/>
  </r>
  <r>
    <x v="68"/>
    <x v="70"/>
    <x v="3"/>
  </r>
  <r>
    <x v="72"/>
    <x v="18"/>
    <x v="1"/>
  </r>
  <r>
    <x v="43"/>
    <x v="44"/>
    <x v="1"/>
  </r>
  <r>
    <x v="91"/>
    <x v="96"/>
    <x v="1"/>
  </r>
  <r>
    <x v="35"/>
    <x v="35"/>
    <x v="1"/>
  </r>
  <r>
    <x v="4"/>
    <x v="4"/>
    <x v="1"/>
  </r>
  <r>
    <x v="3"/>
    <x v="3"/>
    <x v="0"/>
  </r>
  <r>
    <x v="1"/>
    <x v="1"/>
    <x v="0"/>
  </r>
  <r>
    <x v="0"/>
    <x v="0"/>
    <x v="0"/>
  </r>
  <r>
    <x v="4"/>
    <x v="4"/>
    <x v="0"/>
  </r>
  <r>
    <x v="65"/>
    <x v="68"/>
    <x v="1"/>
  </r>
  <r>
    <x v="7"/>
    <x v="92"/>
    <x v="1"/>
  </r>
  <r>
    <x v="92"/>
    <x v="97"/>
    <x v="1"/>
  </r>
  <r>
    <x v="93"/>
    <x v="98"/>
    <x v="1"/>
  </r>
  <r>
    <x v="14"/>
    <x v="13"/>
    <x v="1"/>
  </r>
  <r>
    <x v="15"/>
    <x v="14"/>
    <x v="1"/>
  </r>
  <r>
    <x v="16"/>
    <x v="15"/>
    <x v="1"/>
  </r>
  <r>
    <x v="7"/>
    <x v="92"/>
    <x v="1"/>
  </r>
  <r>
    <x v="17"/>
    <x v="16"/>
    <x v="1"/>
  </r>
  <r>
    <x v="50"/>
    <x v="53"/>
    <x v="1"/>
  </r>
  <r>
    <x v="94"/>
    <x v="99"/>
    <x v="1"/>
  </r>
  <r>
    <x v="49"/>
    <x v="51"/>
    <x v="4"/>
  </r>
  <r>
    <x v="72"/>
    <x v="18"/>
    <x v="1"/>
  </r>
  <r>
    <x v="53"/>
    <x v="57"/>
    <x v="0"/>
  </r>
  <r>
    <x v="17"/>
    <x v="16"/>
    <x v="0"/>
  </r>
  <r>
    <x v="54"/>
    <x v="58"/>
    <x v="0"/>
  </r>
  <r>
    <x v="15"/>
    <x v="14"/>
    <x v="0"/>
  </r>
  <r>
    <x v="7"/>
    <x v="92"/>
    <x v="0"/>
  </r>
  <r>
    <x v="19"/>
    <x v="18"/>
    <x v="1"/>
  </r>
  <r>
    <x v="42"/>
    <x v="43"/>
    <x v="1"/>
  </r>
  <r>
    <x v="19"/>
    <x v="18"/>
    <x v="1"/>
  </r>
  <r>
    <x v="20"/>
    <x v="19"/>
    <x v="1"/>
  </r>
  <r>
    <x v="16"/>
    <x v="15"/>
    <x v="1"/>
  </r>
  <r>
    <x v="20"/>
    <x v="19"/>
    <x v="1"/>
  </r>
  <r>
    <x v="12"/>
    <x v="11"/>
    <x v="1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  <r>
    <x v="95"/>
    <x v="9"/>
    <x v="18"/>
  </r>
</pivotCacheRecords>
</file>

<file path=xl/pivotCache/pivotCacheRecords19.xml><?xml version="1.0" encoding="utf-8"?>
<pivotCacheRecords xmlns:r="http://schemas.openxmlformats.org/officeDocument/2006/relationships" xmlns="http://schemas.openxmlformats.org/spreadsheetml/2006/main" count="341">
  <r>
    <x v="0"/>
    <x v="0"/>
    <x v="0"/>
    <x v="0"/>
    <x v="0"/>
  </r>
  <r>
    <x v="1"/>
    <x v="1"/>
    <x v="1"/>
    <x v="0"/>
    <x v="1"/>
  </r>
  <r>
    <x v="2"/>
    <x v="2"/>
    <x v="1"/>
    <x v="1"/>
    <x v="2"/>
  </r>
  <r>
    <x v="3"/>
    <x v="3"/>
    <x v="0"/>
    <x v="2"/>
    <x v="3"/>
  </r>
  <r>
    <x v="4"/>
    <x v="4"/>
    <x v="1"/>
    <x v="3"/>
    <x v="4"/>
  </r>
  <r>
    <x v="5"/>
    <x v="5"/>
    <x v="2"/>
    <x v="4"/>
    <x v="5"/>
  </r>
  <r>
    <x v="6"/>
    <x v="6"/>
    <x v="0"/>
    <x v="5"/>
    <x v="6"/>
  </r>
  <r>
    <x v="7"/>
    <x v="7"/>
    <x v="0"/>
    <x v="0"/>
    <x v="0"/>
  </r>
  <r>
    <x v="2"/>
    <x v="2"/>
    <x v="0"/>
    <x v="1"/>
    <x v="7"/>
  </r>
  <r>
    <x v="8"/>
    <x v="8"/>
    <x v="1"/>
    <x v="6"/>
    <x v="8"/>
  </r>
  <r>
    <x v="9"/>
    <x v="9"/>
    <x v="1"/>
    <x v="7"/>
    <x v="9"/>
  </r>
  <r>
    <x v="10"/>
    <x v="10"/>
    <x v="3"/>
    <x v="8"/>
    <x v="10"/>
  </r>
  <r>
    <x v="11"/>
    <x v="9"/>
    <x v="1"/>
    <x v="9"/>
    <x v="11"/>
  </r>
  <r>
    <x v="12"/>
    <x v="11"/>
    <x v="1"/>
    <x v="10"/>
    <x v="12"/>
  </r>
  <r>
    <x v="12"/>
    <x v="11"/>
    <x v="1"/>
    <x v="11"/>
    <x v="13"/>
  </r>
  <r>
    <x v="13"/>
    <x v="12"/>
    <x v="1"/>
    <x v="12"/>
    <x v="14"/>
  </r>
  <r>
    <x v="14"/>
    <x v="13"/>
    <x v="3"/>
    <x v="13"/>
    <x v="15"/>
  </r>
  <r>
    <x v="15"/>
    <x v="14"/>
    <x v="3"/>
    <x v="14"/>
    <x v="16"/>
  </r>
  <r>
    <x v="16"/>
    <x v="15"/>
    <x v="3"/>
    <x v="14"/>
    <x v="16"/>
  </r>
  <r>
    <x v="7"/>
    <x v="7"/>
    <x v="3"/>
    <x v="14"/>
    <x v="16"/>
  </r>
  <r>
    <x v="17"/>
    <x v="16"/>
    <x v="3"/>
    <x v="14"/>
    <x v="16"/>
  </r>
  <r>
    <x v="3"/>
    <x v="3"/>
    <x v="0"/>
    <x v="2"/>
    <x v="3"/>
  </r>
  <r>
    <x v="18"/>
    <x v="17"/>
    <x v="4"/>
    <x v="15"/>
    <x v="17"/>
  </r>
  <r>
    <x v="6"/>
    <x v="6"/>
    <x v="0"/>
    <x v="5"/>
    <x v="6"/>
  </r>
  <r>
    <x v="19"/>
    <x v="18"/>
    <x v="1"/>
    <x v="16"/>
    <x v="18"/>
  </r>
  <r>
    <x v="19"/>
    <x v="18"/>
    <x v="1"/>
    <x v="16"/>
    <x v="18"/>
  </r>
  <r>
    <x v="20"/>
    <x v="19"/>
    <x v="5"/>
    <x v="17"/>
    <x v="19"/>
  </r>
  <r>
    <x v="21"/>
    <x v="9"/>
    <x v="1"/>
    <x v="18"/>
    <x v="20"/>
  </r>
  <r>
    <x v="22"/>
    <x v="20"/>
    <x v="1"/>
    <x v="19"/>
    <x v="21"/>
  </r>
  <r>
    <x v="23"/>
    <x v="21"/>
    <x v="1"/>
    <x v="14"/>
    <x v="16"/>
  </r>
  <r>
    <x v="24"/>
    <x v="22"/>
    <x v="0"/>
    <x v="14"/>
    <x v="16"/>
  </r>
  <r>
    <x v="25"/>
    <x v="23"/>
    <x v="3"/>
    <x v="14"/>
    <x v="16"/>
  </r>
  <r>
    <x v="26"/>
    <x v="24"/>
    <x v="0"/>
    <x v="14"/>
    <x v="16"/>
  </r>
  <r>
    <x v="4"/>
    <x v="4"/>
    <x v="1"/>
    <x v="3"/>
    <x v="4"/>
  </r>
  <r>
    <x v="1"/>
    <x v="1"/>
    <x v="1"/>
    <x v="0"/>
    <x v="1"/>
  </r>
  <r>
    <x v="27"/>
    <x v="25"/>
    <x v="3"/>
    <x v="20"/>
    <x v="22"/>
  </r>
  <r>
    <x v="28"/>
    <x v="26"/>
    <x v="3"/>
    <x v="21"/>
    <x v="23"/>
  </r>
  <r>
    <x v="4"/>
    <x v="4"/>
    <x v="0"/>
    <x v="22"/>
    <x v="24"/>
  </r>
  <r>
    <x v="6"/>
    <x v="27"/>
    <x v="5"/>
    <x v="23"/>
    <x v="25"/>
  </r>
  <r>
    <x v="17"/>
    <x v="28"/>
    <x v="5"/>
    <x v="24"/>
    <x v="26"/>
  </r>
  <r>
    <x v="29"/>
    <x v="29"/>
    <x v="3"/>
    <x v="25"/>
    <x v="27"/>
  </r>
  <r>
    <x v="30"/>
    <x v="30"/>
    <x v="5"/>
    <x v="26"/>
    <x v="28"/>
  </r>
  <r>
    <x v="31"/>
    <x v="31"/>
    <x v="6"/>
    <x v="27"/>
    <x v="29"/>
  </r>
  <r>
    <x v="32"/>
    <x v="32"/>
    <x v="5"/>
    <x v="28"/>
    <x v="30"/>
  </r>
  <r>
    <x v="33"/>
    <x v="33"/>
    <x v="7"/>
    <x v="29"/>
    <x v="31"/>
  </r>
  <r>
    <x v="34"/>
    <x v="34"/>
    <x v="5"/>
    <x v="30"/>
    <x v="32"/>
  </r>
  <r>
    <x v="35"/>
    <x v="35"/>
    <x v="0"/>
    <x v="31"/>
    <x v="33"/>
  </r>
  <r>
    <x v="36"/>
    <x v="36"/>
    <x v="3"/>
    <x v="14"/>
    <x v="16"/>
  </r>
  <r>
    <x v="37"/>
    <x v="37"/>
    <x v="2"/>
    <x v="14"/>
    <x v="16"/>
  </r>
  <r>
    <x v="38"/>
    <x v="38"/>
    <x v="3"/>
    <x v="14"/>
    <x v="16"/>
  </r>
  <r>
    <x v="5"/>
    <x v="5"/>
    <x v="3"/>
    <x v="14"/>
    <x v="16"/>
  </r>
  <r>
    <x v="11"/>
    <x v="9"/>
    <x v="1"/>
    <x v="32"/>
    <x v="34"/>
  </r>
  <r>
    <x v="39"/>
    <x v="39"/>
    <x v="1"/>
    <x v="14"/>
    <x v="16"/>
  </r>
  <r>
    <x v="40"/>
    <x v="40"/>
    <x v="1"/>
    <x v="14"/>
    <x v="16"/>
  </r>
  <r>
    <x v="4"/>
    <x v="4"/>
    <x v="1"/>
    <x v="3"/>
    <x v="4"/>
  </r>
  <r>
    <x v="41"/>
    <x v="41"/>
    <x v="1"/>
    <x v="15"/>
    <x v="35"/>
  </r>
  <r>
    <x v="12"/>
    <x v="11"/>
    <x v="1"/>
    <x v="10"/>
    <x v="12"/>
  </r>
  <r>
    <x v="22"/>
    <x v="42"/>
    <x v="1"/>
    <x v="33"/>
    <x v="36"/>
  </r>
  <r>
    <x v="38"/>
    <x v="38"/>
    <x v="8"/>
    <x v="14"/>
    <x v="16"/>
  </r>
  <r>
    <x v="5"/>
    <x v="5"/>
    <x v="8"/>
    <x v="14"/>
    <x v="16"/>
  </r>
  <r>
    <x v="11"/>
    <x v="9"/>
    <x v="1"/>
    <x v="34"/>
    <x v="37"/>
  </r>
  <r>
    <x v="3"/>
    <x v="3"/>
    <x v="9"/>
    <x v="2"/>
    <x v="38"/>
  </r>
  <r>
    <x v="17"/>
    <x v="16"/>
    <x v="1"/>
    <x v="15"/>
    <x v="35"/>
  </r>
  <r>
    <x v="6"/>
    <x v="6"/>
    <x v="1"/>
    <x v="5"/>
    <x v="39"/>
  </r>
  <r>
    <x v="38"/>
    <x v="38"/>
    <x v="10"/>
    <x v="4"/>
    <x v="40"/>
  </r>
  <r>
    <x v="42"/>
    <x v="43"/>
    <x v="1"/>
    <x v="35"/>
    <x v="41"/>
  </r>
  <r>
    <x v="1"/>
    <x v="1"/>
    <x v="0"/>
    <x v="0"/>
    <x v="0"/>
  </r>
  <r>
    <x v="3"/>
    <x v="3"/>
    <x v="3"/>
    <x v="2"/>
    <x v="42"/>
  </r>
  <r>
    <x v="4"/>
    <x v="4"/>
    <x v="0"/>
    <x v="3"/>
    <x v="43"/>
  </r>
  <r>
    <x v="43"/>
    <x v="44"/>
    <x v="1"/>
    <x v="36"/>
    <x v="44"/>
  </r>
  <r>
    <x v="1"/>
    <x v="1"/>
    <x v="1"/>
    <x v="14"/>
    <x v="16"/>
  </r>
  <r>
    <x v="17"/>
    <x v="16"/>
    <x v="1"/>
    <x v="15"/>
    <x v="35"/>
  </r>
  <r>
    <x v="13"/>
    <x v="12"/>
    <x v="1"/>
    <x v="36"/>
    <x v="44"/>
  </r>
  <r>
    <x v="22"/>
    <x v="45"/>
    <x v="1"/>
    <x v="37"/>
    <x v="45"/>
  </r>
  <r>
    <x v="44"/>
    <x v="46"/>
    <x v="1"/>
    <x v="38"/>
    <x v="46"/>
  </r>
  <r>
    <x v="45"/>
    <x v="47"/>
    <x v="1"/>
    <x v="14"/>
    <x v="16"/>
  </r>
  <r>
    <x v="46"/>
    <x v="48"/>
    <x v="1"/>
    <x v="39"/>
    <x v="47"/>
  </r>
  <r>
    <x v="24"/>
    <x v="22"/>
    <x v="0"/>
    <x v="14"/>
    <x v="16"/>
  </r>
  <r>
    <x v="47"/>
    <x v="49"/>
    <x v="1"/>
    <x v="14"/>
    <x v="16"/>
  </r>
  <r>
    <x v="26"/>
    <x v="24"/>
    <x v="0"/>
    <x v="14"/>
    <x v="16"/>
  </r>
  <r>
    <x v="25"/>
    <x v="23"/>
    <x v="3"/>
    <x v="14"/>
    <x v="16"/>
  </r>
  <r>
    <x v="19"/>
    <x v="18"/>
    <x v="0"/>
    <x v="16"/>
    <x v="48"/>
  </r>
  <r>
    <x v="11"/>
    <x v="9"/>
    <x v="1"/>
    <x v="40"/>
    <x v="49"/>
  </r>
  <r>
    <x v="48"/>
    <x v="50"/>
    <x v="3"/>
    <x v="31"/>
    <x v="50"/>
  </r>
  <r>
    <x v="9"/>
    <x v="9"/>
    <x v="1"/>
    <x v="41"/>
    <x v="51"/>
  </r>
  <r>
    <x v="49"/>
    <x v="51"/>
    <x v="1"/>
    <x v="42"/>
    <x v="52"/>
  </r>
  <r>
    <x v="20"/>
    <x v="19"/>
    <x v="1"/>
    <x v="17"/>
    <x v="53"/>
  </r>
  <r>
    <x v="2"/>
    <x v="2"/>
    <x v="1"/>
    <x v="1"/>
    <x v="2"/>
  </r>
  <r>
    <x v="14"/>
    <x v="13"/>
    <x v="3"/>
    <x v="13"/>
    <x v="15"/>
  </r>
  <r>
    <x v="15"/>
    <x v="14"/>
    <x v="3"/>
    <x v="14"/>
    <x v="16"/>
  </r>
  <r>
    <x v="16"/>
    <x v="15"/>
    <x v="3"/>
    <x v="14"/>
    <x v="16"/>
  </r>
  <r>
    <x v="0"/>
    <x v="0"/>
    <x v="3"/>
    <x v="14"/>
    <x v="16"/>
  </r>
  <r>
    <x v="17"/>
    <x v="52"/>
    <x v="3"/>
    <x v="14"/>
    <x v="16"/>
  </r>
  <r>
    <x v="50"/>
    <x v="53"/>
    <x v="0"/>
    <x v="5"/>
    <x v="6"/>
  </r>
  <r>
    <x v="51"/>
    <x v="54"/>
    <x v="3"/>
    <x v="43"/>
    <x v="54"/>
  </r>
  <r>
    <x v="3"/>
    <x v="3"/>
    <x v="3"/>
    <x v="2"/>
    <x v="42"/>
  </r>
  <r>
    <x v="42"/>
    <x v="43"/>
    <x v="1"/>
    <x v="35"/>
    <x v="41"/>
  </r>
  <r>
    <x v="20"/>
    <x v="19"/>
    <x v="5"/>
    <x v="17"/>
    <x v="19"/>
  </r>
  <r>
    <x v="22"/>
    <x v="55"/>
    <x v="1"/>
    <x v="14"/>
    <x v="16"/>
  </r>
  <r>
    <x v="13"/>
    <x v="12"/>
    <x v="1"/>
    <x v="14"/>
    <x v="16"/>
  </r>
  <r>
    <x v="3"/>
    <x v="3"/>
    <x v="0"/>
    <x v="2"/>
    <x v="3"/>
  </r>
  <r>
    <x v="4"/>
    <x v="4"/>
    <x v="1"/>
    <x v="3"/>
    <x v="4"/>
  </r>
  <r>
    <x v="52"/>
    <x v="56"/>
    <x v="0"/>
    <x v="42"/>
    <x v="55"/>
  </r>
  <r>
    <x v="53"/>
    <x v="57"/>
    <x v="1"/>
    <x v="44"/>
    <x v="56"/>
  </r>
  <r>
    <x v="17"/>
    <x v="16"/>
    <x v="1"/>
    <x v="14"/>
    <x v="16"/>
  </r>
  <r>
    <x v="54"/>
    <x v="58"/>
    <x v="1"/>
    <x v="45"/>
    <x v="57"/>
  </r>
  <r>
    <x v="15"/>
    <x v="14"/>
    <x v="1"/>
    <x v="14"/>
    <x v="16"/>
  </r>
  <r>
    <x v="7"/>
    <x v="7"/>
    <x v="1"/>
    <x v="14"/>
    <x v="16"/>
  </r>
  <r>
    <x v="2"/>
    <x v="2"/>
    <x v="1"/>
    <x v="1"/>
    <x v="2"/>
  </r>
  <r>
    <x v="12"/>
    <x v="11"/>
    <x v="0"/>
    <x v="10"/>
    <x v="58"/>
  </r>
  <r>
    <x v="11"/>
    <x v="9"/>
    <x v="1"/>
    <x v="46"/>
    <x v="59"/>
  </r>
  <r>
    <x v="55"/>
    <x v="9"/>
    <x v="1"/>
    <x v="47"/>
    <x v="60"/>
  </r>
  <r>
    <x v="37"/>
    <x v="37"/>
    <x v="10"/>
    <x v="14"/>
    <x v="16"/>
  </r>
  <r>
    <x v="56"/>
    <x v="59"/>
    <x v="0"/>
    <x v="14"/>
    <x v="16"/>
  </r>
  <r>
    <x v="13"/>
    <x v="12"/>
    <x v="0"/>
    <x v="36"/>
    <x v="61"/>
  </r>
  <r>
    <x v="12"/>
    <x v="11"/>
    <x v="1"/>
    <x v="10"/>
    <x v="12"/>
  </r>
  <r>
    <x v="14"/>
    <x v="13"/>
    <x v="5"/>
    <x v="48"/>
    <x v="62"/>
  </r>
  <r>
    <x v="15"/>
    <x v="14"/>
    <x v="5"/>
    <x v="14"/>
    <x v="16"/>
  </r>
  <r>
    <x v="16"/>
    <x v="15"/>
    <x v="5"/>
    <x v="14"/>
    <x v="16"/>
  </r>
  <r>
    <x v="0"/>
    <x v="0"/>
    <x v="5"/>
    <x v="14"/>
    <x v="16"/>
  </r>
  <r>
    <x v="49"/>
    <x v="51"/>
    <x v="5"/>
    <x v="49"/>
    <x v="63"/>
  </r>
  <r>
    <x v="41"/>
    <x v="60"/>
    <x v="2"/>
    <x v="14"/>
    <x v="16"/>
  </r>
  <r>
    <x v="57"/>
    <x v="61"/>
    <x v="0"/>
    <x v="50"/>
    <x v="64"/>
  </r>
  <r>
    <x v="58"/>
    <x v="62"/>
    <x v="5"/>
    <x v="49"/>
    <x v="63"/>
  </r>
  <r>
    <x v="59"/>
    <x v="63"/>
    <x v="3"/>
    <x v="21"/>
    <x v="23"/>
  </r>
  <r>
    <x v="60"/>
    <x v="64"/>
    <x v="11"/>
    <x v="51"/>
    <x v="65"/>
  </r>
  <r>
    <x v="61"/>
    <x v="65"/>
    <x v="11"/>
    <x v="52"/>
    <x v="66"/>
  </r>
  <r>
    <x v="11"/>
    <x v="9"/>
    <x v="1"/>
    <x v="53"/>
    <x v="67"/>
  </r>
  <r>
    <x v="53"/>
    <x v="57"/>
    <x v="11"/>
    <x v="54"/>
    <x v="68"/>
  </r>
  <r>
    <x v="15"/>
    <x v="14"/>
    <x v="11"/>
    <x v="14"/>
    <x v="16"/>
  </r>
  <r>
    <x v="0"/>
    <x v="0"/>
    <x v="11"/>
    <x v="14"/>
    <x v="16"/>
  </r>
  <r>
    <x v="17"/>
    <x v="16"/>
    <x v="11"/>
    <x v="14"/>
    <x v="16"/>
  </r>
  <r>
    <x v="6"/>
    <x v="6"/>
    <x v="11"/>
    <x v="23"/>
    <x v="69"/>
  </r>
  <r>
    <x v="62"/>
    <x v="66"/>
    <x v="11"/>
    <x v="55"/>
    <x v="70"/>
  </r>
  <r>
    <x v="34"/>
    <x v="34"/>
    <x v="11"/>
    <x v="30"/>
    <x v="71"/>
  </r>
  <r>
    <x v="35"/>
    <x v="35"/>
    <x v="0"/>
    <x v="31"/>
    <x v="33"/>
  </r>
  <r>
    <x v="42"/>
    <x v="43"/>
    <x v="1"/>
    <x v="56"/>
    <x v="72"/>
  </r>
  <r>
    <x v="33"/>
    <x v="33"/>
    <x v="12"/>
    <x v="29"/>
    <x v="73"/>
  </r>
  <r>
    <x v="63"/>
    <x v="9"/>
    <x v="1"/>
    <x v="57"/>
    <x v="74"/>
  </r>
  <r>
    <x v="9"/>
    <x v="9"/>
    <x v="1"/>
    <x v="58"/>
    <x v="75"/>
  </r>
  <r>
    <x v="64"/>
    <x v="67"/>
    <x v="13"/>
    <x v="59"/>
    <x v="76"/>
  </r>
  <r>
    <x v="11"/>
    <x v="9"/>
    <x v="1"/>
    <x v="60"/>
    <x v="77"/>
  </r>
  <r>
    <x v="13"/>
    <x v="12"/>
    <x v="1"/>
    <x v="36"/>
    <x v="44"/>
  </r>
  <r>
    <x v="20"/>
    <x v="19"/>
    <x v="0"/>
    <x v="17"/>
    <x v="78"/>
  </r>
  <r>
    <x v="3"/>
    <x v="3"/>
    <x v="1"/>
    <x v="2"/>
    <x v="79"/>
  </r>
  <r>
    <x v="42"/>
    <x v="43"/>
    <x v="1"/>
    <x v="35"/>
    <x v="41"/>
  </r>
  <r>
    <x v="1"/>
    <x v="1"/>
    <x v="0"/>
    <x v="0"/>
    <x v="0"/>
  </r>
  <r>
    <x v="20"/>
    <x v="19"/>
    <x v="0"/>
    <x v="17"/>
    <x v="78"/>
  </r>
  <r>
    <x v="12"/>
    <x v="11"/>
    <x v="1"/>
    <x v="10"/>
    <x v="12"/>
  </r>
  <r>
    <x v="0"/>
    <x v="0"/>
    <x v="1"/>
    <x v="0"/>
    <x v="1"/>
  </r>
  <r>
    <x v="65"/>
    <x v="68"/>
    <x v="0"/>
    <x v="61"/>
    <x v="80"/>
  </r>
  <r>
    <x v="7"/>
    <x v="7"/>
    <x v="0"/>
    <x v="0"/>
    <x v="0"/>
  </r>
  <r>
    <x v="2"/>
    <x v="2"/>
    <x v="0"/>
    <x v="1"/>
    <x v="7"/>
  </r>
  <r>
    <x v="66"/>
    <x v="9"/>
    <x v="1"/>
    <x v="62"/>
    <x v="81"/>
  </r>
  <r>
    <x v="25"/>
    <x v="23"/>
    <x v="12"/>
    <x v="14"/>
    <x v="16"/>
  </r>
  <r>
    <x v="62"/>
    <x v="66"/>
    <x v="3"/>
    <x v="63"/>
    <x v="82"/>
  </r>
  <r>
    <x v="49"/>
    <x v="51"/>
    <x v="2"/>
    <x v="42"/>
    <x v="63"/>
  </r>
  <r>
    <x v="38"/>
    <x v="38"/>
    <x v="10"/>
    <x v="4"/>
    <x v="40"/>
  </r>
  <r>
    <x v="13"/>
    <x v="12"/>
    <x v="1"/>
    <x v="36"/>
    <x v="44"/>
  </r>
  <r>
    <x v="1"/>
    <x v="1"/>
    <x v="0"/>
    <x v="0"/>
    <x v="0"/>
  </r>
  <r>
    <x v="19"/>
    <x v="18"/>
    <x v="1"/>
    <x v="16"/>
    <x v="18"/>
  </r>
  <r>
    <x v="13"/>
    <x v="12"/>
    <x v="0"/>
    <x v="36"/>
    <x v="61"/>
  </r>
  <r>
    <x v="14"/>
    <x v="13"/>
    <x v="3"/>
    <x v="13"/>
    <x v="15"/>
  </r>
  <r>
    <x v="15"/>
    <x v="14"/>
    <x v="3"/>
    <x v="14"/>
    <x v="16"/>
  </r>
  <r>
    <x v="16"/>
    <x v="15"/>
    <x v="3"/>
    <x v="14"/>
    <x v="16"/>
  </r>
  <r>
    <x v="7"/>
    <x v="7"/>
    <x v="3"/>
    <x v="14"/>
    <x v="16"/>
  </r>
  <r>
    <x v="6"/>
    <x v="6"/>
    <x v="3"/>
    <x v="64"/>
    <x v="83"/>
  </r>
  <r>
    <x v="3"/>
    <x v="3"/>
    <x v="2"/>
    <x v="2"/>
    <x v="84"/>
  </r>
  <r>
    <x v="67"/>
    <x v="69"/>
    <x v="14"/>
    <x v="65"/>
    <x v="85"/>
  </r>
  <r>
    <x v="13"/>
    <x v="12"/>
    <x v="8"/>
    <x v="36"/>
    <x v="86"/>
  </r>
  <r>
    <x v="68"/>
    <x v="70"/>
    <x v="0"/>
    <x v="63"/>
    <x v="87"/>
  </r>
  <r>
    <x v="3"/>
    <x v="3"/>
    <x v="0"/>
    <x v="2"/>
    <x v="3"/>
  </r>
  <r>
    <x v="12"/>
    <x v="11"/>
    <x v="1"/>
    <x v="10"/>
    <x v="12"/>
  </r>
  <r>
    <x v="43"/>
    <x v="44"/>
    <x v="1"/>
    <x v="36"/>
    <x v="44"/>
  </r>
  <r>
    <x v="1"/>
    <x v="1"/>
    <x v="1"/>
    <x v="14"/>
    <x v="16"/>
  </r>
  <r>
    <x v="1"/>
    <x v="1"/>
    <x v="1"/>
    <x v="0"/>
    <x v="1"/>
  </r>
  <r>
    <x v="0"/>
    <x v="0"/>
    <x v="1"/>
    <x v="0"/>
    <x v="1"/>
  </r>
  <r>
    <x v="3"/>
    <x v="3"/>
    <x v="1"/>
    <x v="2"/>
    <x v="79"/>
  </r>
  <r>
    <x v="12"/>
    <x v="11"/>
    <x v="0"/>
    <x v="10"/>
    <x v="58"/>
  </r>
  <r>
    <x v="69"/>
    <x v="71"/>
    <x v="10"/>
    <x v="14"/>
    <x v="16"/>
  </r>
  <r>
    <x v="70"/>
    <x v="72"/>
    <x v="1"/>
    <x v="14"/>
    <x v="16"/>
  </r>
  <r>
    <x v="71"/>
    <x v="73"/>
    <x v="0"/>
    <x v="14"/>
    <x v="16"/>
  </r>
  <r>
    <x v="43"/>
    <x v="44"/>
    <x v="1"/>
    <x v="36"/>
    <x v="44"/>
  </r>
  <r>
    <x v="1"/>
    <x v="1"/>
    <x v="1"/>
    <x v="14"/>
    <x v="16"/>
  </r>
  <r>
    <x v="72"/>
    <x v="18"/>
    <x v="1"/>
    <x v="3"/>
    <x v="4"/>
  </r>
  <r>
    <x v="73"/>
    <x v="74"/>
    <x v="0"/>
    <x v="65"/>
    <x v="88"/>
  </r>
  <r>
    <x v="62"/>
    <x v="66"/>
    <x v="0"/>
    <x v="63"/>
    <x v="87"/>
  </r>
  <r>
    <x v="12"/>
    <x v="11"/>
    <x v="0"/>
    <x v="10"/>
    <x v="58"/>
  </r>
  <r>
    <x v="35"/>
    <x v="35"/>
    <x v="2"/>
    <x v="31"/>
    <x v="89"/>
  </r>
  <r>
    <x v="11"/>
    <x v="9"/>
    <x v="1"/>
    <x v="7"/>
    <x v="9"/>
  </r>
  <r>
    <x v="4"/>
    <x v="4"/>
    <x v="1"/>
    <x v="3"/>
    <x v="4"/>
  </r>
  <r>
    <x v="13"/>
    <x v="12"/>
    <x v="1"/>
    <x v="36"/>
    <x v="44"/>
  </r>
  <r>
    <x v="74"/>
    <x v="75"/>
    <x v="1"/>
    <x v="66"/>
    <x v="90"/>
  </r>
  <r>
    <x v="75"/>
    <x v="9"/>
    <x v="1"/>
    <x v="67"/>
    <x v="91"/>
  </r>
  <r>
    <x v="13"/>
    <x v="12"/>
    <x v="0"/>
    <x v="36"/>
    <x v="61"/>
  </r>
  <r>
    <x v="73"/>
    <x v="74"/>
    <x v="0"/>
    <x v="65"/>
    <x v="88"/>
  </r>
  <r>
    <x v="62"/>
    <x v="66"/>
    <x v="4"/>
    <x v="63"/>
    <x v="92"/>
  </r>
  <r>
    <x v="76"/>
    <x v="76"/>
    <x v="10"/>
    <x v="61"/>
    <x v="93"/>
  </r>
  <r>
    <x v="3"/>
    <x v="3"/>
    <x v="0"/>
    <x v="2"/>
    <x v="3"/>
  </r>
  <r>
    <x v="20"/>
    <x v="19"/>
    <x v="0"/>
    <x v="17"/>
    <x v="78"/>
  </r>
  <r>
    <x v="43"/>
    <x v="44"/>
    <x v="1"/>
    <x v="36"/>
    <x v="44"/>
  </r>
  <r>
    <x v="1"/>
    <x v="1"/>
    <x v="1"/>
    <x v="14"/>
    <x v="16"/>
  </r>
  <r>
    <x v="77"/>
    <x v="77"/>
    <x v="1"/>
    <x v="65"/>
    <x v="94"/>
  </r>
  <r>
    <x v="13"/>
    <x v="12"/>
    <x v="4"/>
    <x v="36"/>
    <x v="95"/>
  </r>
  <r>
    <x v="78"/>
    <x v="78"/>
    <x v="14"/>
    <x v="61"/>
    <x v="96"/>
  </r>
  <r>
    <x v="12"/>
    <x v="11"/>
    <x v="1"/>
    <x v="68"/>
    <x v="97"/>
  </r>
  <r>
    <x v="3"/>
    <x v="3"/>
    <x v="0"/>
    <x v="2"/>
    <x v="3"/>
  </r>
  <r>
    <x v="1"/>
    <x v="1"/>
    <x v="0"/>
    <x v="14"/>
    <x v="16"/>
  </r>
  <r>
    <x v="1"/>
    <x v="1"/>
    <x v="1"/>
    <x v="0"/>
    <x v="1"/>
  </r>
  <r>
    <x v="72"/>
    <x v="18"/>
    <x v="1"/>
    <x v="3"/>
    <x v="4"/>
  </r>
  <r>
    <x v="72"/>
    <x v="18"/>
    <x v="1"/>
    <x v="3"/>
    <x v="4"/>
  </r>
  <r>
    <x v="13"/>
    <x v="12"/>
    <x v="4"/>
    <x v="36"/>
    <x v="95"/>
  </r>
  <r>
    <x v="73"/>
    <x v="74"/>
    <x v="0"/>
    <x v="65"/>
    <x v="88"/>
  </r>
  <r>
    <x v="79"/>
    <x v="79"/>
    <x v="1"/>
    <x v="69"/>
    <x v="98"/>
  </r>
  <r>
    <x v="27"/>
    <x v="25"/>
    <x v="1"/>
    <x v="70"/>
    <x v="99"/>
  </r>
  <r>
    <x v="80"/>
    <x v="80"/>
    <x v="1"/>
    <x v="14"/>
    <x v="16"/>
  </r>
  <r>
    <x v="1"/>
    <x v="1"/>
    <x v="0"/>
    <x v="0"/>
    <x v="0"/>
  </r>
  <r>
    <x v="5"/>
    <x v="5"/>
    <x v="5"/>
    <x v="4"/>
    <x v="100"/>
  </r>
  <r>
    <x v="13"/>
    <x v="12"/>
    <x v="0"/>
    <x v="36"/>
    <x v="61"/>
  </r>
  <r>
    <x v="4"/>
    <x v="4"/>
    <x v="1"/>
    <x v="3"/>
    <x v="4"/>
  </r>
  <r>
    <x v="20"/>
    <x v="19"/>
    <x v="1"/>
    <x v="17"/>
    <x v="53"/>
  </r>
  <r>
    <x v="0"/>
    <x v="0"/>
    <x v="1"/>
    <x v="0"/>
    <x v="1"/>
  </r>
  <r>
    <x v="13"/>
    <x v="12"/>
    <x v="1"/>
    <x v="36"/>
    <x v="44"/>
  </r>
  <r>
    <x v="76"/>
    <x v="76"/>
    <x v="3"/>
    <x v="6"/>
    <x v="101"/>
  </r>
  <r>
    <x v="81"/>
    <x v="81"/>
    <x v="5"/>
    <x v="51"/>
    <x v="102"/>
  </r>
  <r>
    <x v="15"/>
    <x v="14"/>
    <x v="11"/>
    <x v="49"/>
    <x v="103"/>
  </r>
  <r>
    <x v="11"/>
    <x v="9"/>
    <x v="1"/>
    <x v="71"/>
    <x v="104"/>
  </r>
  <r>
    <x v="53"/>
    <x v="57"/>
    <x v="10"/>
    <x v="54"/>
    <x v="105"/>
  </r>
  <r>
    <x v="14"/>
    <x v="13"/>
    <x v="10"/>
    <x v="48"/>
    <x v="106"/>
  </r>
  <r>
    <x v="15"/>
    <x v="14"/>
    <x v="12"/>
    <x v="14"/>
    <x v="16"/>
  </r>
  <r>
    <x v="17"/>
    <x v="52"/>
    <x v="12"/>
    <x v="14"/>
    <x v="16"/>
  </r>
  <r>
    <x v="0"/>
    <x v="0"/>
    <x v="12"/>
    <x v="14"/>
    <x v="16"/>
  </r>
  <r>
    <x v="52"/>
    <x v="56"/>
    <x v="12"/>
    <x v="49"/>
    <x v="107"/>
  </r>
  <r>
    <x v="62"/>
    <x v="66"/>
    <x v="12"/>
    <x v="55"/>
    <x v="108"/>
  </r>
  <r>
    <x v="49"/>
    <x v="51"/>
    <x v="12"/>
    <x v="49"/>
    <x v="107"/>
  </r>
  <r>
    <x v="51"/>
    <x v="54"/>
    <x v="0"/>
    <x v="72"/>
    <x v="109"/>
  </r>
  <r>
    <x v="54"/>
    <x v="58"/>
    <x v="10"/>
    <x v="73"/>
    <x v="110"/>
  </r>
  <r>
    <x v="42"/>
    <x v="43"/>
    <x v="8"/>
    <x v="56"/>
    <x v="111"/>
  </r>
  <r>
    <x v="17"/>
    <x v="16"/>
    <x v="15"/>
    <x v="24"/>
    <x v="112"/>
  </r>
  <r>
    <x v="10"/>
    <x v="82"/>
    <x v="10"/>
    <x v="74"/>
    <x v="113"/>
  </r>
  <r>
    <x v="71"/>
    <x v="73"/>
    <x v="0"/>
    <x v="14"/>
    <x v="16"/>
  </r>
  <r>
    <x v="70"/>
    <x v="72"/>
    <x v="1"/>
    <x v="14"/>
    <x v="16"/>
  </r>
  <r>
    <x v="27"/>
    <x v="25"/>
    <x v="1"/>
    <x v="14"/>
    <x v="16"/>
  </r>
  <r>
    <x v="35"/>
    <x v="35"/>
    <x v="1"/>
    <x v="14"/>
    <x v="16"/>
  </r>
  <r>
    <x v="80"/>
    <x v="80"/>
    <x v="1"/>
    <x v="14"/>
    <x v="16"/>
  </r>
  <r>
    <x v="16"/>
    <x v="15"/>
    <x v="10"/>
    <x v="14"/>
    <x v="16"/>
  </r>
  <r>
    <x v="82"/>
    <x v="83"/>
    <x v="1"/>
    <x v="14"/>
    <x v="16"/>
  </r>
  <r>
    <x v="83"/>
    <x v="84"/>
    <x v="1"/>
    <x v="14"/>
    <x v="16"/>
  </r>
  <r>
    <x v="11"/>
    <x v="9"/>
    <x v="1"/>
    <x v="75"/>
    <x v="114"/>
  </r>
  <r>
    <x v="84"/>
    <x v="85"/>
    <x v="1"/>
    <x v="14"/>
    <x v="16"/>
  </r>
  <r>
    <x v="15"/>
    <x v="14"/>
    <x v="1"/>
    <x v="14"/>
    <x v="16"/>
  </r>
  <r>
    <x v="17"/>
    <x v="16"/>
    <x v="3"/>
    <x v="14"/>
    <x v="16"/>
  </r>
  <r>
    <x v="0"/>
    <x v="0"/>
    <x v="3"/>
    <x v="14"/>
    <x v="16"/>
  </r>
  <r>
    <x v="1"/>
    <x v="1"/>
    <x v="1"/>
    <x v="14"/>
    <x v="16"/>
  </r>
  <r>
    <x v="51"/>
    <x v="54"/>
    <x v="0"/>
    <x v="14"/>
    <x v="16"/>
  </r>
  <r>
    <x v="2"/>
    <x v="2"/>
    <x v="1"/>
    <x v="1"/>
    <x v="2"/>
  </r>
  <r>
    <x v="85"/>
    <x v="86"/>
    <x v="16"/>
    <x v="76"/>
    <x v="115"/>
  </r>
  <r>
    <x v="15"/>
    <x v="87"/>
    <x v="16"/>
    <x v="14"/>
    <x v="16"/>
  </r>
  <r>
    <x v="41"/>
    <x v="88"/>
    <x v="17"/>
    <x v="14"/>
    <x v="16"/>
  </r>
  <r>
    <x v="86"/>
    <x v="89"/>
    <x v="0"/>
    <x v="77"/>
    <x v="116"/>
  </r>
  <r>
    <x v="86"/>
    <x v="89"/>
    <x v="0"/>
    <x v="78"/>
    <x v="117"/>
  </r>
  <r>
    <x v="87"/>
    <x v="90"/>
    <x v="2"/>
    <x v="14"/>
    <x v="16"/>
  </r>
  <r>
    <x v="88"/>
    <x v="91"/>
    <x v="3"/>
    <x v="14"/>
    <x v="16"/>
  </r>
  <r>
    <x v="35"/>
    <x v="35"/>
    <x v="1"/>
    <x v="14"/>
    <x v="16"/>
  </r>
  <r>
    <x v="11"/>
    <x v="9"/>
    <x v="1"/>
    <x v="79"/>
    <x v="118"/>
  </r>
  <r>
    <x v="4"/>
    <x v="4"/>
    <x v="1"/>
    <x v="3"/>
    <x v="4"/>
  </r>
  <r>
    <x v="53"/>
    <x v="57"/>
    <x v="5"/>
    <x v="44"/>
    <x v="119"/>
  </r>
  <r>
    <x v="6"/>
    <x v="6"/>
    <x v="5"/>
    <x v="64"/>
    <x v="10"/>
  </r>
  <r>
    <x v="15"/>
    <x v="14"/>
    <x v="5"/>
    <x v="14"/>
    <x v="16"/>
  </r>
  <r>
    <x v="7"/>
    <x v="92"/>
    <x v="5"/>
    <x v="14"/>
    <x v="16"/>
  </r>
  <r>
    <x v="12"/>
    <x v="11"/>
    <x v="1"/>
    <x v="10"/>
    <x v="12"/>
  </r>
  <r>
    <x v="13"/>
    <x v="12"/>
    <x v="1"/>
    <x v="36"/>
    <x v="44"/>
  </r>
  <r>
    <x v="1"/>
    <x v="1"/>
    <x v="0"/>
    <x v="0"/>
    <x v="0"/>
  </r>
  <r>
    <x v="62"/>
    <x v="66"/>
    <x v="1"/>
    <x v="63"/>
    <x v="120"/>
  </r>
  <r>
    <x v="16"/>
    <x v="15"/>
    <x v="1"/>
    <x v="63"/>
    <x v="120"/>
  </r>
  <r>
    <x v="49"/>
    <x v="51"/>
    <x v="1"/>
    <x v="42"/>
    <x v="52"/>
  </r>
  <r>
    <x v="4"/>
    <x v="4"/>
    <x v="1"/>
    <x v="3"/>
    <x v="4"/>
  </r>
  <r>
    <x v="20"/>
    <x v="19"/>
    <x v="1"/>
    <x v="17"/>
    <x v="53"/>
  </r>
  <r>
    <x v="43"/>
    <x v="44"/>
    <x v="0"/>
    <x v="36"/>
    <x v="61"/>
  </r>
  <r>
    <x v="1"/>
    <x v="1"/>
    <x v="0"/>
    <x v="14"/>
    <x v="16"/>
  </r>
  <r>
    <x v="20"/>
    <x v="19"/>
    <x v="0"/>
    <x v="17"/>
    <x v="78"/>
  </r>
  <r>
    <x v="35"/>
    <x v="35"/>
    <x v="0"/>
    <x v="80"/>
    <x v="121"/>
  </r>
  <r>
    <x v="42"/>
    <x v="43"/>
    <x v="1"/>
    <x v="35"/>
    <x v="41"/>
  </r>
  <r>
    <x v="89"/>
    <x v="93"/>
    <x v="1"/>
    <x v="14"/>
    <x v="16"/>
  </r>
  <r>
    <x v="22"/>
    <x v="94"/>
    <x v="1"/>
    <x v="38"/>
    <x v="46"/>
  </r>
  <r>
    <x v="82"/>
    <x v="83"/>
    <x v="1"/>
    <x v="14"/>
    <x v="16"/>
  </r>
  <r>
    <x v="11"/>
    <x v="9"/>
    <x v="1"/>
    <x v="81"/>
    <x v="122"/>
  </r>
  <r>
    <x v="15"/>
    <x v="14"/>
    <x v="6"/>
    <x v="42"/>
    <x v="123"/>
  </r>
  <r>
    <x v="90"/>
    <x v="95"/>
    <x v="1"/>
    <x v="82"/>
    <x v="124"/>
  </r>
  <r>
    <x v="37"/>
    <x v="37"/>
    <x v="1"/>
    <x v="14"/>
    <x v="16"/>
  </r>
  <r>
    <x v="10"/>
    <x v="82"/>
    <x v="4"/>
    <x v="83"/>
    <x v="125"/>
  </r>
  <r>
    <x v="3"/>
    <x v="3"/>
    <x v="5"/>
    <x v="2"/>
    <x v="126"/>
  </r>
  <r>
    <x v="1"/>
    <x v="1"/>
    <x v="5"/>
    <x v="14"/>
    <x v="16"/>
  </r>
  <r>
    <x v="6"/>
    <x v="6"/>
    <x v="11"/>
    <x v="5"/>
    <x v="127"/>
  </r>
  <r>
    <x v="62"/>
    <x v="66"/>
    <x v="4"/>
    <x v="63"/>
    <x v="92"/>
  </r>
  <r>
    <x v="32"/>
    <x v="32"/>
    <x v="1"/>
    <x v="84"/>
    <x v="128"/>
  </r>
  <r>
    <x v="68"/>
    <x v="70"/>
    <x v="3"/>
    <x v="63"/>
    <x v="82"/>
  </r>
  <r>
    <x v="72"/>
    <x v="18"/>
    <x v="1"/>
    <x v="3"/>
    <x v="4"/>
  </r>
  <r>
    <x v="43"/>
    <x v="44"/>
    <x v="1"/>
    <x v="14"/>
    <x v="16"/>
  </r>
  <r>
    <x v="91"/>
    <x v="96"/>
    <x v="1"/>
    <x v="14"/>
    <x v="16"/>
  </r>
  <r>
    <x v="35"/>
    <x v="35"/>
    <x v="1"/>
    <x v="14"/>
    <x v="16"/>
  </r>
  <r>
    <x v="4"/>
    <x v="4"/>
    <x v="1"/>
    <x v="3"/>
    <x v="4"/>
  </r>
  <r>
    <x v="3"/>
    <x v="3"/>
    <x v="0"/>
    <x v="2"/>
    <x v="3"/>
  </r>
  <r>
    <x v="1"/>
    <x v="1"/>
    <x v="0"/>
    <x v="14"/>
    <x v="16"/>
  </r>
  <r>
    <x v="0"/>
    <x v="0"/>
    <x v="0"/>
    <x v="0"/>
    <x v="0"/>
  </r>
  <r>
    <x v="4"/>
    <x v="4"/>
    <x v="0"/>
    <x v="3"/>
    <x v="43"/>
  </r>
  <r>
    <x v="65"/>
    <x v="68"/>
    <x v="1"/>
    <x v="61"/>
    <x v="129"/>
  </r>
  <r>
    <x v="7"/>
    <x v="92"/>
    <x v="1"/>
    <x v="85"/>
    <x v="130"/>
  </r>
  <r>
    <x v="92"/>
    <x v="97"/>
    <x v="1"/>
    <x v="14"/>
    <x v="16"/>
  </r>
  <r>
    <x v="93"/>
    <x v="98"/>
    <x v="1"/>
    <x v="14"/>
    <x v="16"/>
  </r>
  <r>
    <x v="14"/>
    <x v="13"/>
    <x v="1"/>
    <x v="13"/>
    <x v="131"/>
  </r>
  <r>
    <x v="15"/>
    <x v="14"/>
    <x v="1"/>
    <x v="42"/>
    <x v="52"/>
  </r>
  <r>
    <x v="16"/>
    <x v="15"/>
    <x v="1"/>
    <x v="63"/>
    <x v="120"/>
  </r>
  <r>
    <x v="7"/>
    <x v="92"/>
    <x v="1"/>
    <x v="85"/>
    <x v="130"/>
  </r>
  <r>
    <x v="17"/>
    <x v="16"/>
    <x v="1"/>
    <x v="14"/>
    <x v="16"/>
  </r>
  <r>
    <x v="50"/>
    <x v="53"/>
    <x v="1"/>
    <x v="5"/>
    <x v="39"/>
  </r>
  <r>
    <x v="94"/>
    <x v="99"/>
    <x v="1"/>
    <x v="86"/>
    <x v="132"/>
  </r>
  <r>
    <x v="49"/>
    <x v="51"/>
    <x v="4"/>
    <x v="42"/>
    <x v="133"/>
  </r>
  <r>
    <x v="72"/>
    <x v="18"/>
    <x v="1"/>
    <x v="3"/>
    <x v="4"/>
  </r>
  <r>
    <x v="53"/>
    <x v="57"/>
    <x v="0"/>
    <x v="44"/>
    <x v="134"/>
  </r>
  <r>
    <x v="17"/>
    <x v="16"/>
    <x v="0"/>
    <x v="14"/>
    <x v="16"/>
  </r>
  <r>
    <x v="54"/>
    <x v="58"/>
    <x v="0"/>
    <x v="45"/>
    <x v="135"/>
  </r>
  <r>
    <x v="15"/>
    <x v="14"/>
    <x v="0"/>
    <x v="14"/>
    <x v="16"/>
  </r>
  <r>
    <x v="7"/>
    <x v="92"/>
    <x v="0"/>
    <x v="14"/>
    <x v="16"/>
  </r>
  <r>
    <x v="19"/>
    <x v="18"/>
    <x v="1"/>
    <x v="16"/>
    <x v="18"/>
  </r>
  <r>
    <x v="42"/>
    <x v="43"/>
    <x v="1"/>
    <x v="35"/>
    <x v="41"/>
  </r>
  <r>
    <x v="19"/>
    <x v="18"/>
    <x v="1"/>
    <x v="16"/>
    <x v="18"/>
  </r>
  <r>
    <x v="20"/>
    <x v="19"/>
    <x v="1"/>
    <x v="17"/>
    <x v="53"/>
  </r>
  <r>
    <x v="16"/>
    <x v="15"/>
    <x v="1"/>
    <x v="63"/>
    <x v="120"/>
  </r>
  <r>
    <x v="20"/>
    <x v="19"/>
    <x v="1"/>
    <x v="17"/>
    <x v="53"/>
  </r>
  <r>
    <x v="12"/>
    <x v="11"/>
    <x v="1"/>
    <x v="10"/>
    <x v="12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  <r>
    <x v="95"/>
    <x v="9"/>
    <x v="18"/>
    <x v="87"/>
    <x v="136"/>
  </r>
</pivotCacheRecords>
</file>

<file path=xl/pivotCache/pivotCacheRecords20.xml><?xml version="1.0" encoding="utf-8"?>
<pivotCacheRecords xmlns:r="http://schemas.openxmlformats.org/officeDocument/2006/relationships" xmlns="http://schemas.openxmlformats.org/spreadsheetml/2006/main" count="341">
  <r>
    <x v="0"/>
    <x v="0"/>
    <x v="0"/>
    <x v="0"/>
    <x v="0"/>
    <x v="0"/>
    <x v="0"/>
    <x v="0"/>
  </r>
  <r>
    <x v="1"/>
    <x v="1"/>
    <x v="1"/>
    <x v="1"/>
    <x v="1"/>
    <x v="0"/>
    <x v="1"/>
    <x v="1"/>
  </r>
  <r>
    <x v="1"/>
    <x v="1"/>
    <x v="1"/>
    <x v="2"/>
    <x v="2"/>
    <x v="1"/>
    <x v="2"/>
    <x v="2"/>
  </r>
  <r>
    <x v="1"/>
    <x v="1"/>
    <x v="1"/>
    <x v="3"/>
    <x v="3"/>
    <x v="0"/>
    <x v="3"/>
    <x v="3"/>
  </r>
  <r>
    <x v="2"/>
    <x v="2"/>
    <x v="1"/>
    <x v="4"/>
    <x v="4"/>
    <x v="2"/>
    <x v="4"/>
    <x v="4"/>
  </r>
  <r>
    <x v="2"/>
    <x v="2"/>
    <x v="1"/>
    <x v="5"/>
    <x v="5"/>
    <x v="2"/>
    <x v="5"/>
    <x v="5"/>
  </r>
  <r>
    <x v="2"/>
    <x v="2"/>
    <x v="1"/>
    <x v="6"/>
    <x v="6"/>
    <x v="3"/>
    <x v="5"/>
    <x v="5"/>
  </r>
  <r>
    <x v="2"/>
    <x v="2"/>
    <x v="1"/>
    <x v="7"/>
    <x v="7"/>
    <x v="3"/>
    <x v="5"/>
    <x v="5"/>
  </r>
  <r>
    <x v="2"/>
    <x v="2"/>
    <x v="1"/>
    <x v="8"/>
    <x v="8"/>
    <x v="3"/>
    <x v="5"/>
    <x v="5"/>
  </r>
  <r>
    <x v="3"/>
    <x v="3"/>
    <x v="1"/>
    <x v="9"/>
    <x v="9"/>
    <x v="1"/>
    <x v="6"/>
    <x v="6"/>
  </r>
  <r>
    <x v="3"/>
    <x v="3"/>
    <x v="1"/>
    <x v="5"/>
    <x v="5"/>
    <x v="1"/>
    <x v="5"/>
    <x v="5"/>
  </r>
  <r>
    <x v="3"/>
    <x v="3"/>
    <x v="1"/>
    <x v="10"/>
    <x v="10"/>
    <x v="1"/>
    <x v="1"/>
    <x v="7"/>
  </r>
  <r>
    <x v="3"/>
    <x v="3"/>
    <x v="1"/>
    <x v="11"/>
    <x v="11"/>
    <x v="1"/>
    <x v="5"/>
    <x v="5"/>
  </r>
  <r>
    <x v="3"/>
    <x v="3"/>
    <x v="1"/>
    <x v="12"/>
    <x v="12"/>
    <x v="4"/>
    <x v="5"/>
    <x v="5"/>
  </r>
  <r>
    <x v="3"/>
    <x v="3"/>
    <x v="1"/>
    <x v="13"/>
    <x v="13"/>
    <x v="0"/>
    <x v="5"/>
    <x v="5"/>
  </r>
  <r>
    <x v="3"/>
    <x v="3"/>
    <x v="1"/>
    <x v="14"/>
    <x v="14"/>
    <x v="0"/>
    <x v="7"/>
    <x v="8"/>
  </r>
  <r>
    <x v="3"/>
    <x v="3"/>
    <x v="1"/>
    <x v="14"/>
    <x v="14"/>
    <x v="0"/>
    <x v="7"/>
    <x v="8"/>
  </r>
  <r>
    <x v="3"/>
    <x v="3"/>
    <x v="1"/>
    <x v="15"/>
    <x v="15"/>
    <x v="2"/>
    <x v="8"/>
    <x v="9"/>
  </r>
  <r>
    <x v="3"/>
    <x v="3"/>
    <x v="1"/>
    <x v="16"/>
    <x v="3"/>
    <x v="0"/>
    <x v="9"/>
    <x v="10"/>
  </r>
  <r>
    <x v="4"/>
    <x v="3"/>
    <x v="1"/>
    <x v="13"/>
    <x v="13"/>
    <x v="0"/>
    <x v="10"/>
    <x v="11"/>
  </r>
  <r>
    <x v="4"/>
    <x v="3"/>
    <x v="1"/>
    <x v="17"/>
    <x v="16"/>
    <x v="2"/>
    <x v="11"/>
    <x v="12"/>
  </r>
  <r>
    <x v="4"/>
    <x v="3"/>
    <x v="1"/>
    <x v="3"/>
    <x v="3"/>
    <x v="0"/>
    <x v="12"/>
    <x v="13"/>
  </r>
  <r>
    <x v="5"/>
    <x v="4"/>
    <x v="1"/>
    <x v="18"/>
    <x v="17"/>
    <x v="2"/>
    <x v="5"/>
    <x v="5"/>
  </r>
  <r>
    <x v="6"/>
    <x v="5"/>
    <x v="1"/>
    <x v="19"/>
    <x v="18"/>
    <x v="0"/>
    <x v="5"/>
    <x v="5"/>
  </r>
  <r>
    <x v="7"/>
    <x v="6"/>
    <x v="2"/>
    <x v="20"/>
    <x v="19"/>
    <x v="0"/>
    <x v="13"/>
    <x v="14"/>
  </r>
  <r>
    <x v="7"/>
    <x v="6"/>
    <x v="2"/>
    <x v="6"/>
    <x v="6"/>
    <x v="0"/>
    <x v="5"/>
    <x v="5"/>
  </r>
  <r>
    <x v="7"/>
    <x v="6"/>
    <x v="2"/>
    <x v="21"/>
    <x v="20"/>
    <x v="2"/>
    <x v="13"/>
    <x v="15"/>
  </r>
  <r>
    <x v="8"/>
    <x v="7"/>
    <x v="3"/>
    <x v="22"/>
    <x v="21"/>
    <x v="0"/>
    <x v="14"/>
    <x v="16"/>
  </r>
  <r>
    <x v="9"/>
    <x v="8"/>
    <x v="4"/>
    <x v="23"/>
    <x v="22"/>
    <x v="0"/>
    <x v="15"/>
    <x v="17"/>
  </r>
  <r>
    <x v="10"/>
    <x v="9"/>
    <x v="5"/>
    <x v="24"/>
    <x v="23"/>
    <x v="0"/>
    <x v="16"/>
    <x v="18"/>
  </r>
  <r>
    <x v="10"/>
    <x v="9"/>
    <x v="5"/>
    <x v="3"/>
    <x v="3"/>
    <x v="0"/>
    <x v="17"/>
    <x v="19"/>
  </r>
  <r>
    <x v="11"/>
    <x v="10"/>
    <x v="6"/>
    <x v="21"/>
    <x v="20"/>
    <x v="1"/>
    <x v="13"/>
    <x v="20"/>
  </r>
  <r>
    <x v="12"/>
    <x v="11"/>
    <x v="7"/>
    <x v="25"/>
    <x v="24"/>
    <x v="2"/>
    <x v="18"/>
    <x v="21"/>
  </r>
  <r>
    <x v="13"/>
    <x v="10"/>
    <x v="8"/>
    <x v="26"/>
    <x v="25"/>
    <x v="0"/>
    <x v="19"/>
    <x v="22"/>
  </r>
  <r>
    <x v="14"/>
    <x v="12"/>
    <x v="9"/>
    <x v="7"/>
    <x v="7"/>
    <x v="2"/>
    <x v="20"/>
    <x v="23"/>
  </r>
  <r>
    <x v="15"/>
    <x v="13"/>
    <x v="10"/>
    <x v="24"/>
    <x v="23"/>
    <x v="0"/>
    <x v="16"/>
    <x v="18"/>
  </r>
  <r>
    <x v="15"/>
    <x v="13"/>
    <x v="10"/>
    <x v="26"/>
    <x v="25"/>
    <x v="0"/>
    <x v="19"/>
    <x v="22"/>
  </r>
  <r>
    <x v="15"/>
    <x v="13"/>
    <x v="10"/>
    <x v="2"/>
    <x v="2"/>
    <x v="0"/>
    <x v="21"/>
    <x v="24"/>
  </r>
  <r>
    <x v="16"/>
    <x v="14"/>
    <x v="11"/>
    <x v="21"/>
    <x v="20"/>
    <x v="2"/>
    <x v="22"/>
    <x v="25"/>
  </r>
  <r>
    <x v="16"/>
    <x v="14"/>
    <x v="11"/>
    <x v="3"/>
    <x v="3"/>
    <x v="0"/>
    <x v="23"/>
    <x v="26"/>
  </r>
  <r>
    <x v="17"/>
    <x v="15"/>
    <x v="11"/>
    <x v="19"/>
    <x v="26"/>
    <x v="0"/>
    <x v="5"/>
    <x v="5"/>
  </r>
  <r>
    <x v="17"/>
    <x v="15"/>
    <x v="11"/>
    <x v="3"/>
    <x v="3"/>
    <x v="0"/>
    <x v="24"/>
    <x v="27"/>
  </r>
  <r>
    <x v="18"/>
    <x v="16"/>
    <x v="12"/>
    <x v="26"/>
    <x v="25"/>
    <x v="0"/>
    <x v="19"/>
    <x v="22"/>
  </r>
  <r>
    <x v="19"/>
    <x v="17"/>
    <x v="13"/>
    <x v="27"/>
    <x v="21"/>
    <x v="0"/>
    <x v="19"/>
    <x v="22"/>
  </r>
  <r>
    <x v="20"/>
    <x v="18"/>
    <x v="14"/>
    <x v="28"/>
    <x v="27"/>
    <x v="0"/>
    <x v="25"/>
    <x v="28"/>
  </r>
  <r>
    <x v="21"/>
    <x v="19"/>
    <x v="15"/>
    <x v="29"/>
    <x v="28"/>
    <x v="1"/>
    <x v="26"/>
    <x v="29"/>
  </r>
  <r>
    <x v="22"/>
    <x v="20"/>
    <x v="16"/>
    <x v="30"/>
    <x v="29"/>
    <x v="0"/>
    <x v="27"/>
    <x v="30"/>
  </r>
  <r>
    <x v="23"/>
    <x v="21"/>
    <x v="17"/>
    <x v="0"/>
    <x v="0"/>
    <x v="0"/>
    <x v="0"/>
    <x v="0"/>
  </r>
  <r>
    <x v="23"/>
    <x v="21"/>
    <x v="17"/>
    <x v="31"/>
    <x v="30"/>
    <x v="0"/>
    <x v="1"/>
    <x v="1"/>
  </r>
  <r>
    <x v="24"/>
    <x v="21"/>
    <x v="18"/>
    <x v="32"/>
    <x v="31"/>
    <x v="0"/>
    <x v="28"/>
    <x v="31"/>
  </r>
  <r>
    <x v="25"/>
    <x v="22"/>
    <x v="19"/>
    <x v="19"/>
    <x v="32"/>
    <x v="0"/>
    <x v="5"/>
    <x v="5"/>
  </r>
  <r>
    <x v="26"/>
    <x v="23"/>
    <x v="19"/>
    <x v="19"/>
    <x v="33"/>
    <x v="0"/>
    <x v="5"/>
    <x v="5"/>
  </r>
  <r>
    <x v="27"/>
    <x v="24"/>
    <x v="20"/>
    <x v="26"/>
    <x v="25"/>
    <x v="0"/>
    <x v="19"/>
    <x v="22"/>
  </r>
  <r>
    <x v="28"/>
    <x v="25"/>
    <x v="21"/>
    <x v="21"/>
    <x v="20"/>
    <x v="2"/>
    <x v="13"/>
    <x v="15"/>
  </r>
  <r>
    <x v="29"/>
    <x v="26"/>
    <x v="22"/>
    <x v="7"/>
    <x v="7"/>
    <x v="0"/>
    <x v="20"/>
    <x v="32"/>
  </r>
  <r>
    <x v="29"/>
    <x v="26"/>
    <x v="22"/>
    <x v="20"/>
    <x v="19"/>
    <x v="0"/>
    <x v="13"/>
    <x v="14"/>
  </r>
  <r>
    <x v="29"/>
    <x v="26"/>
    <x v="22"/>
    <x v="6"/>
    <x v="6"/>
    <x v="0"/>
    <x v="5"/>
    <x v="5"/>
  </r>
  <r>
    <x v="30"/>
    <x v="27"/>
    <x v="23"/>
    <x v="27"/>
    <x v="21"/>
    <x v="0"/>
    <x v="19"/>
    <x v="22"/>
  </r>
  <r>
    <x v="31"/>
    <x v="28"/>
    <x v="24"/>
    <x v="33"/>
    <x v="34"/>
    <x v="0"/>
    <x v="29"/>
    <x v="33"/>
  </r>
  <r>
    <x v="32"/>
    <x v="29"/>
    <x v="25"/>
    <x v="32"/>
    <x v="31"/>
    <x v="0"/>
    <x v="28"/>
    <x v="31"/>
  </r>
  <r>
    <x v="33"/>
    <x v="30"/>
    <x v="26"/>
    <x v="34"/>
    <x v="35"/>
    <x v="0"/>
    <x v="7"/>
    <x v="8"/>
  </r>
  <r>
    <x v="34"/>
    <x v="31"/>
    <x v="27"/>
    <x v="28"/>
    <x v="27"/>
    <x v="2"/>
    <x v="25"/>
    <x v="34"/>
  </r>
  <r>
    <x v="35"/>
    <x v="32"/>
    <x v="28"/>
    <x v="26"/>
    <x v="25"/>
    <x v="0"/>
    <x v="30"/>
    <x v="35"/>
  </r>
  <r>
    <x v="35"/>
    <x v="32"/>
    <x v="28"/>
    <x v="35"/>
    <x v="36"/>
    <x v="0"/>
    <x v="31"/>
    <x v="36"/>
  </r>
  <r>
    <x v="36"/>
    <x v="33"/>
    <x v="29"/>
    <x v="22"/>
    <x v="21"/>
    <x v="0"/>
    <x v="14"/>
    <x v="16"/>
  </r>
  <r>
    <x v="37"/>
    <x v="20"/>
    <x v="30"/>
    <x v="30"/>
    <x v="29"/>
    <x v="0"/>
    <x v="27"/>
    <x v="30"/>
  </r>
  <r>
    <x v="38"/>
    <x v="34"/>
    <x v="31"/>
    <x v="7"/>
    <x v="7"/>
    <x v="5"/>
    <x v="20"/>
    <x v="37"/>
  </r>
  <r>
    <x v="39"/>
    <x v="35"/>
    <x v="32"/>
    <x v="27"/>
    <x v="21"/>
    <x v="0"/>
    <x v="19"/>
    <x v="22"/>
  </r>
  <r>
    <x v="40"/>
    <x v="36"/>
    <x v="33"/>
    <x v="22"/>
    <x v="21"/>
    <x v="0"/>
    <x v="32"/>
    <x v="38"/>
  </r>
  <r>
    <x v="41"/>
    <x v="37"/>
    <x v="34"/>
    <x v="33"/>
    <x v="34"/>
    <x v="0"/>
    <x v="29"/>
    <x v="33"/>
  </r>
  <r>
    <x v="42"/>
    <x v="38"/>
    <x v="35"/>
    <x v="4"/>
    <x v="4"/>
    <x v="0"/>
    <x v="33"/>
    <x v="39"/>
  </r>
  <r>
    <x v="42"/>
    <x v="38"/>
    <x v="35"/>
    <x v="5"/>
    <x v="5"/>
    <x v="0"/>
    <x v="5"/>
    <x v="5"/>
  </r>
  <r>
    <x v="42"/>
    <x v="38"/>
    <x v="35"/>
    <x v="7"/>
    <x v="7"/>
    <x v="1"/>
    <x v="5"/>
    <x v="5"/>
  </r>
  <r>
    <x v="42"/>
    <x v="38"/>
    <x v="35"/>
    <x v="6"/>
    <x v="6"/>
    <x v="2"/>
    <x v="5"/>
    <x v="5"/>
  </r>
  <r>
    <x v="42"/>
    <x v="38"/>
    <x v="35"/>
    <x v="8"/>
    <x v="8"/>
    <x v="4"/>
    <x v="5"/>
    <x v="5"/>
  </r>
  <r>
    <x v="42"/>
    <x v="38"/>
    <x v="35"/>
    <x v="20"/>
    <x v="19"/>
    <x v="2"/>
    <x v="13"/>
    <x v="15"/>
  </r>
  <r>
    <x v="42"/>
    <x v="38"/>
    <x v="35"/>
    <x v="16"/>
    <x v="3"/>
    <x v="0"/>
    <x v="34"/>
    <x v="40"/>
  </r>
  <r>
    <x v="43"/>
    <x v="39"/>
    <x v="35"/>
    <x v="36"/>
    <x v="37"/>
    <x v="0"/>
    <x v="35"/>
    <x v="41"/>
  </r>
  <r>
    <x v="43"/>
    <x v="39"/>
    <x v="35"/>
    <x v="37"/>
    <x v="38"/>
    <x v="0"/>
    <x v="36"/>
    <x v="42"/>
  </r>
  <r>
    <x v="43"/>
    <x v="39"/>
    <x v="35"/>
    <x v="25"/>
    <x v="24"/>
    <x v="0"/>
    <x v="36"/>
    <x v="42"/>
  </r>
  <r>
    <x v="43"/>
    <x v="39"/>
    <x v="35"/>
    <x v="38"/>
    <x v="39"/>
    <x v="0"/>
    <x v="37"/>
    <x v="43"/>
  </r>
  <r>
    <x v="43"/>
    <x v="39"/>
    <x v="35"/>
    <x v="39"/>
    <x v="40"/>
    <x v="0"/>
    <x v="5"/>
    <x v="5"/>
  </r>
  <r>
    <x v="43"/>
    <x v="39"/>
    <x v="35"/>
    <x v="40"/>
    <x v="41"/>
    <x v="0"/>
    <x v="2"/>
    <x v="44"/>
  </r>
  <r>
    <x v="43"/>
    <x v="39"/>
    <x v="35"/>
    <x v="3"/>
    <x v="3"/>
    <x v="0"/>
    <x v="38"/>
    <x v="45"/>
  </r>
  <r>
    <x v="44"/>
    <x v="40"/>
    <x v="35"/>
    <x v="22"/>
    <x v="21"/>
    <x v="0"/>
    <x v="5"/>
    <x v="5"/>
  </r>
  <r>
    <x v="45"/>
    <x v="41"/>
    <x v="36"/>
    <x v="33"/>
    <x v="34"/>
    <x v="2"/>
    <x v="29"/>
    <x v="46"/>
  </r>
  <r>
    <x v="45"/>
    <x v="41"/>
    <x v="36"/>
    <x v="21"/>
    <x v="20"/>
    <x v="2"/>
    <x v="13"/>
    <x v="15"/>
  </r>
  <r>
    <x v="45"/>
    <x v="41"/>
    <x v="36"/>
    <x v="20"/>
    <x v="19"/>
    <x v="0"/>
    <x v="13"/>
    <x v="14"/>
  </r>
  <r>
    <x v="45"/>
    <x v="41"/>
    <x v="36"/>
    <x v="6"/>
    <x v="6"/>
    <x v="0"/>
    <x v="5"/>
    <x v="5"/>
  </r>
  <r>
    <x v="45"/>
    <x v="41"/>
    <x v="36"/>
    <x v="7"/>
    <x v="7"/>
    <x v="2"/>
    <x v="20"/>
    <x v="23"/>
  </r>
  <r>
    <x v="45"/>
    <x v="41"/>
    <x v="36"/>
    <x v="6"/>
    <x v="6"/>
    <x v="2"/>
    <x v="20"/>
    <x v="23"/>
  </r>
  <r>
    <x v="46"/>
    <x v="42"/>
    <x v="37"/>
    <x v="33"/>
    <x v="34"/>
    <x v="2"/>
    <x v="29"/>
    <x v="46"/>
  </r>
  <r>
    <x v="47"/>
    <x v="43"/>
    <x v="38"/>
    <x v="21"/>
    <x v="20"/>
    <x v="1"/>
    <x v="13"/>
    <x v="20"/>
  </r>
  <r>
    <x v="48"/>
    <x v="44"/>
    <x v="39"/>
    <x v="36"/>
    <x v="37"/>
    <x v="1"/>
    <x v="39"/>
    <x v="47"/>
  </r>
  <r>
    <x v="48"/>
    <x v="44"/>
    <x v="39"/>
    <x v="41"/>
    <x v="42"/>
    <x v="1"/>
    <x v="5"/>
    <x v="5"/>
  </r>
  <r>
    <x v="48"/>
    <x v="44"/>
    <x v="39"/>
    <x v="39"/>
    <x v="40"/>
    <x v="1"/>
    <x v="0"/>
    <x v="48"/>
  </r>
  <r>
    <x v="48"/>
    <x v="44"/>
    <x v="39"/>
    <x v="37"/>
    <x v="38"/>
    <x v="1"/>
    <x v="18"/>
    <x v="49"/>
  </r>
  <r>
    <x v="48"/>
    <x v="44"/>
    <x v="39"/>
    <x v="16"/>
    <x v="3"/>
    <x v="0"/>
    <x v="40"/>
    <x v="50"/>
  </r>
  <r>
    <x v="49"/>
    <x v="45"/>
    <x v="39"/>
    <x v="6"/>
    <x v="6"/>
    <x v="0"/>
    <x v="5"/>
    <x v="5"/>
  </r>
  <r>
    <x v="50"/>
    <x v="46"/>
    <x v="39"/>
    <x v="19"/>
    <x v="43"/>
    <x v="0"/>
    <x v="5"/>
    <x v="5"/>
  </r>
  <r>
    <x v="51"/>
    <x v="47"/>
    <x v="39"/>
    <x v="42"/>
    <x v="44"/>
    <x v="3"/>
    <x v="41"/>
    <x v="51"/>
  </r>
  <r>
    <x v="51"/>
    <x v="47"/>
    <x v="39"/>
    <x v="16"/>
    <x v="3"/>
    <x v="0"/>
    <x v="42"/>
    <x v="52"/>
  </r>
  <r>
    <x v="52"/>
    <x v="48"/>
    <x v="40"/>
    <x v="26"/>
    <x v="25"/>
    <x v="0"/>
    <x v="19"/>
    <x v="22"/>
  </r>
  <r>
    <x v="52"/>
    <x v="48"/>
    <x v="40"/>
    <x v="43"/>
    <x v="45"/>
    <x v="0"/>
    <x v="43"/>
    <x v="53"/>
  </r>
  <r>
    <x v="52"/>
    <x v="48"/>
    <x v="40"/>
    <x v="44"/>
    <x v="46"/>
    <x v="0"/>
    <x v="44"/>
    <x v="54"/>
  </r>
  <r>
    <x v="52"/>
    <x v="48"/>
    <x v="40"/>
    <x v="5"/>
    <x v="5"/>
    <x v="0"/>
    <x v="5"/>
    <x v="5"/>
  </r>
  <r>
    <x v="52"/>
    <x v="48"/>
    <x v="40"/>
    <x v="11"/>
    <x v="11"/>
    <x v="0"/>
    <x v="5"/>
    <x v="5"/>
  </r>
  <r>
    <x v="53"/>
    <x v="19"/>
    <x v="41"/>
    <x v="32"/>
    <x v="31"/>
    <x v="2"/>
    <x v="28"/>
    <x v="55"/>
  </r>
  <r>
    <x v="53"/>
    <x v="19"/>
    <x v="41"/>
    <x v="25"/>
    <x v="24"/>
    <x v="2"/>
    <x v="18"/>
    <x v="21"/>
  </r>
  <r>
    <x v="54"/>
    <x v="49"/>
    <x v="42"/>
    <x v="37"/>
    <x v="38"/>
    <x v="2"/>
    <x v="18"/>
    <x v="21"/>
  </r>
  <r>
    <x v="54"/>
    <x v="49"/>
    <x v="42"/>
    <x v="17"/>
    <x v="16"/>
    <x v="0"/>
    <x v="11"/>
    <x v="56"/>
  </r>
  <r>
    <x v="54"/>
    <x v="49"/>
    <x v="42"/>
    <x v="13"/>
    <x v="13"/>
    <x v="0"/>
    <x v="10"/>
    <x v="11"/>
  </r>
  <r>
    <x v="55"/>
    <x v="50"/>
    <x v="43"/>
    <x v="7"/>
    <x v="7"/>
    <x v="0"/>
    <x v="20"/>
    <x v="32"/>
  </r>
  <r>
    <x v="56"/>
    <x v="51"/>
    <x v="44"/>
    <x v="15"/>
    <x v="15"/>
    <x v="3"/>
    <x v="45"/>
    <x v="57"/>
  </r>
  <r>
    <x v="56"/>
    <x v="51"/>
    <x v="44"/>
    <x v="3"/>
    <x v="3"/>
    <x v="0"/>
    <x v="46"/>
    <x v="58"/>
  </r>
  <r>
    <x v="57"/>
    <x v="52"/>
    <x v="44"/>
    <x v="2"/>
    <x v="2"/>
    <x v="4"/>
    <x v="2"/>
    <x v="59"/>
  </r>
  <r>
    <x v="57"/>
    <x v="52"/>
    <x v="44"/>
    <x v="3"/>
    <x v="3"/>
    <x v="0"/>
    <x v="47"/>
    <x v="60"/>
  </r>
  <r>
    <x v="58"/>
    <x v="53"/>
    <x v="45"/>
    <x v="45"/>
    <x v="47"/>
    <x v="2"/>
    <x v="1"/>
    <x v="61"/>
  </r>
  <r>
    <x v="58"/>
    <x v="53"/>
    <x v="45"/>
    <x v="9"/>
    <x v="9"/>
    <x v="2"/>
    <x v="6"/>
    <x v="62"/>
  </r>
  <r>
    <x v="58"/>
    <x v="53"/>
    <x v="45"/>
    <x v="5"/>
    <x v="5"/>
    <x v="2"/>
    <x v="5"/>
    <x v="5"/>
  </r>
  <r>
    <x v="58"/>
    <x v="53"/>
    <x v="45"/>
    <x v="46"/>
    <x v="48"/>
    <x v="2"/>
    <x v="5"/>
    <x v="5"/>
  </r>
  <r>
    <x v="58"/>
    <x v="53"/>
    <x v="45"/>
    <x v="11"/>
    <x v="11"/>
    <x v="2"/>
    <x v="5"/>
    <x v="5"/>
  </r>
  <r>
    <x v="58"/>
    <x v="53"/>
    <x v="45"/>
    <x v="47"/>
    <x v="49"/>
    <x v="2"/>
    <x v="48"/>
    <x v="63"/>
  </r>
  <r>
    <x v="59"/>
    <x v="54"/>
    <x v="46"/>
    <x v="34"/>
    <x v="35"/>
    <x v="0"/>
    <x v="7"/>
    <x v="8"/>
  </r>
  <r>
    <x v="60"/>
    <x v="55"/>
    <x v="47"/>
    <x v="6"/>
    <x v="6"/>
    <x v="2"/>
    <x v="20"/>
    <x v="23"/>
  </r>
  <r>
    <x v="60"/>
    <x v="55"/>
    <x v="47"/>
    <x v="2"/>
    <x v="2"/>
    <x v="0"/>
    <x v="21"/>
    <x v="24"/>
  </r>
  <r>
    <x v="61"/>
    <x v="56"/>
    <x v="48"/>
    <x v="43"/>
    <x v="45"/>
    <x v="2"/>
    <x v="43"/>
    <x v="64"/>
  </r>
  <r>
    <x v="61"/>
    <x v="56"/>
    <x v="48"/>
    <x v="44"/>
    <x v="46"/>
    <x v="2"/>
    <x v="44"/>
    <x v="65"/>
  </r>
  <r>
    <x v="61"/>
    <x v="56"/>
    <x v="48"/>
    <x v="5"/>
    <x v="5"/>
    <x v="2"/>
    <x v="5"/>
    <x v="5"/>
  </r>
  <r>
    <x v="61"/>
    <x v="56"/>
    <x v="48"/>
    <x v="11"/>
    <x v="11"/>
    <x v="2"/>
    <x v="5"/>
    <x v="5"/>
  </r>
  <r>
    <x v="62"/>
    <x v="48"/>
    <x v="49"/>
    <x v="15"/>
    <x v="15"/>
    <x v="2"/>
    <x v="8"/>
    <x v="9"/>
  </r>
  <r>
    <x v="62"/>
    <x v="48"/>
    <x v="49"/>
    <x v="6"/>
    <x v="6"/>
    <x v="2"/>
    <x v="20"/>
    <x v="23"/>
  </r>
  <r>
    <x v="62"/>
    <x v="48"/>
    <x v="49"/>
    <x v="7"/>
    <x v="7"/>
    <x v="1"/>
    <x v="20"/>
    <x v="66"/>
  </r>
  <r>
    <x v="63"/>
    <x v="57"/>
    <x v="50"/>
    <x v="21"/>
    <x v="20"/>
    <x v="0"/>
    <x v="13"/>
    <x v="14"/>
  </r>
  <r>
    <x v="64"/>
    <x v="58"/>
    <x v="51"/>
    <x v="21"/>
    <x v="20"/>
    <x v="2"/>
    <x v="13"/>
    <x v="15"/>
  </r>
  <r>
    <x v="65"/>
    <x v="59"/>
    <x v="52"/>
    <x v="48"/>
    <x v="50"/>
    <x v="0"/>
    <x v="49"/>
    <x v="67"/>
  </r>
  <r>
    <x v="65"/>
    <x v="59"/>
    <x v="52"/>
    <x v="3"/>
    <x v="3"/>
    <x v="0"/>
    <x v="50"/>
    <x v="68"/>
  </r>
  <r>
    <x v="66"/>
    <x v="60"/>
    <x v="52"/>
    <x v="49"/>
    <x v="51"/>
    <x v="1"/>
    <x v="51"/>
    <x v="69"/>
  </r>
  <r>
    <x v="66"/>
    <x v="60"/>
    <x v="52"/>
    <x v="5"/>
    <x v="5"/>
    <x v="1"/>
    <x v="5"/>
    <x v="5"/>
  </r>
  <r>
    <x v="66"/>
    <x v="60"/>
    <x v="52"/>
    <x v="6"/>
    <x v="6"/>
    <x v="1"/>
    <x v="5"/>
    <x v="5"/>
  </r>
  <r>
    <x v="66"/>
    <x v="60"/>
    <x v="52"/>
    <x v="50"/>
    <x v="52"/>
    <x v="1"/>
    <x v="52"/>
    <x v="70"/>
  </r>
  <r>
    <x v="66"/>
    <x v="60"/>
    <x v="52"/>
    <x v="24"/>
    <x v="23"/>
    <x v="0"/>
    <x v="53"/>
    <x v="71"/>
  </r>
  <r>
    <x v="66"/>
    <x v="60"/>
    <x v="52"/>
    <x v="3"/>
    <x v="3"/>
    <x v="0"/>
    <x v="54"/>
    <x v="72"/>
  </r>
  <r>
    <x v="67"/>
    <x v="61"/>
    <x v="53"/>
    <x v="51"/>
    <x v="53"/>
    <x v="0"/>
    <x v="26"/>
    <x v="73"/>
  </r>
  <r>
    <x v="68"/>
    <x v="62"/>
    <x v="54"/>
    <x v="47"/>
    <x v="49"/>
    <x v="2"/>
    <x v="55"/>
    <x v="74"/>
  </r>
  <r>
    <x v="69"/>
    <x v="63"/>
    <x v="55"/>
    <x v="23"/>
    <x v="22"/>
    <x v="4"/>
    <x v="15"/>
    <x v="75"/>
  </r>
  <r>
    <x v="69"/>
    <x v="63"/>
    <x v="55"/>
    <x v="31"/>
    <x v="30"/>
    <x v="0"/>
    <x v="1"/>
    <x v="1"/>
  </r>
  <r>
    <x v="69"/>
    <x v="63"/>
    <x v="55"/>
    <x v="52"/>
    <x v="54"/>
    <x v="2"/>
    <x v="15"/>
    <x v="76"/>
  </r>
  <r>
    <x v="70"/>
    <x v="64"/>
    <x v="56"/>
    <x v="19"/>
    <x v="55"/>
    <x v="0"/>
    <x v="5"/>
    <x v="5"/>
  </r>
  <r>
    <x v="70"/>
    <x v="64"/>
    <x v="56"/>
    <x v="46"/>
    <x v="48"/>
    <x v="1"/>
    <x v="5"/>
    <x v="5"/>
  </r>
  <r>
    <x v="70"/>
    <x v="64"/>
    <x v="56"/>
    <x v="53"/>
    <x v="56"/>
    <x v="2"/>
    <x v="5"/>
    <x v="5"/>
  </r>
  <r>
    <x v="70"/>
    <x v="64"/>
    <x v="56"/>
    <x v="54"/>
    <x v="57"/>
    <x v="2"/>
    <x v="5"/>
    <x v="5"/>
  </r>
  <r>
    <x v="70"/>
    <x v="64"/>
    <x v="56"/>
    <x v="55"/>
    <x v="58"/>
    <x v="1"/>
    <x v="5"/>
    <x v="5"/>
  </r>
  <r>
    <x v="70"/>
    <x v="64"/>
    <x v="56"/>
    <x v="56"/>
    <x v="59"/>
    <x v="0"/>
    <x v="5"/>
    <x v="5"/>
  </r>
  <r>
    <x v="70"/>
    <x v="64"/>
    <x v="56"/>
    <x v="57"/>
    <x v="60"/>
    <x v="0"/>
    <x v="5"/>
    <x v="5"/>
  </r>
  <r>
    <x v="71"/>
    <x v="39"/>
    <x v="56"/>
    <x v="58"/>
    <x v="61"/>
    <x v="2"/>
    <x v="56"/>
    <x v="77"/>
  </r>
  <r>
    <x v="71"/>
    <x v="39"/>
    <x v="56"/>
    <x v="59"/>
    <x v="62"/>
    <x v="6"/>
    <x v="57"/>
    <x v="78"/>
  </r>
  <r>
    <x v="71"/>
    <x v="39"/>
    <x v="56"/>
    <x v="60"/>
    <x v="63"/>
    <x v="3"/>
    <x v="58"/>
    <x v="79"/>
  </r>
  <r>
    <x v="71"/>
    <x v="39"/>
    <x v="56"/>
    <x v="26"/>
    <x v="25"/>
    <x v="0"/>
    <x v="59"/>
    <x v="80"/>
  </r>
  <r>
    <x v="71"/>
    <x v="39"/>
    <x v="56"/>
    <x v="13"/>
    <x v="13"/>
    <x v="4"/>
    <x v="60"/>
    <x v="81"/>
  </r>
  <r>
    <x v="71"/>
    <x v="39"/>
    <x v="56"/>
    <x v="9"/>
    <x v="9"/>
    <x v="0"/>
    <x v="51"/>
    <x v="82"/>
  </r>
  <r>
    <x v="71"/>
    <x v="39"/>
    <x v="56"/>
    <x v="5"/>
    <x v="5"/>
    <x v="0"/>
    <x v="5"/>
    <x v="5"/>
  </r>
  <r>
    <x v="71"/>
    <x v="39"/>
    <x v="56"/>
    <x v="46"/>
    <x v="48"/>
    <x v="0"/>
    <x v="5"/>
    <x v="5"/>
  </r>
  <r>
    <x v="71"/>
    <x v="39"/>
    <x v="56"/>
    <x v="8"/>
    <x v="8"/>
    <x v="0"/>
    <x v="5"/>
    <x v="5"/>
  </r>
  <r>
    <x v="71"/>
    <x v="39"/>
    <x v="56"/>
    <x v="11"/>
    <x v="11"/>
    <x v="0"/>
    <x v="5"/>
    <x v="5"/>
  </r>
  <r>
    <x v="71"/>
    <x v="39"/>
    <x v="56"/>
    <x v="22"/>
    <x v="21"/>
    <x v="4"/>
    <x v="61"/>
    <x v="83"/>
  </r>
  <r>
    <x v="71"/>
    <x v="39"/>
    <x v="56"/>
    <x v="3"/>
    <x v="3"/>
    <x v="0"/>
    <x v="62"/>
    <x v="84"/>
  </r>
  <r>
    <x v="72"/>
    <x v="65"/>
    <x v="56"/>
    <x v="15"/>
    <x v="15"/>
    <x v="1"/>
    <x v="8"/>
    <x v="85"/>
  </r>
  <r>
    <x v="73"/>
    <x v="66"/>
    <x v="56"/>
    <x v="19"/>
    <x v="64"/>
    <x v="0"/>
    <x v="5"/>
    <x v="5"/>
  </r>
  <r>
    <x v="74"/>
    <x v="67"/>
    <x v="57"/>
    <x v="61"/>
    <x v="65"/>
    <x v="0"/>
    <x v="55"/>
    <x v="86"/>
  </r>
  <r>
    <x v="74"/>
    <x v="67"/>
    <x v="57"/>
    <x v="37"/>
    <x v="38"/>
    <x v="0"/>
    <x v="18"/>
    <x v="87"/>
  </r>
  <r>
    <x v="74"/>
    <x v="67"/>
    <x v="57"/>
    <x v="15"/>
    <x v="15"/>
    <x v="2"/>
    <x v="8"/>
    <x v="9"/>
  </r>
  <r>
    <x v="74"/>
    <x v="67"/>
    <x v="57"/>
    <x v="6"/>
    <x v="6"/>
    <x v="2"/>
    <x v="20"/>
    <x v="23"/>
  </r>
  <r>
    <x v="75"/>
    <x v="68"/>
    <x v="58"/>
    <x v="15"/>
    <x v="15"/>
    <x v="1"/>
    <x v="8"/>
    <x v="85"/>
  </r>
  <r>
    <x v="75"/>
    <x v="68"/>
    <x v="58"/>
    <x v="6"/>
    <x v="6"/>
    <x v="1"/>
    <x v="20"/>
    <x v="66"/>
  </r>
  <r>
    <x v="75"/>
    <x v="68"/>
    <x v="58"/>
    <x v="20"/>
    <x v="19"/>
    <x v="0"/>
    <x v="13"/>
    <x v="14"/>
  </r>
  <r>
    <x v="75"/>
    <x v="68"/>
    <x v="58"/>
    <x v="6"/>
    <x v="6"/>
    <x v="0"/>
    <x v="20"/>
    <x v="32"/>
  </r>
  <r>
    <x v="75"/>
    <x v="68"/>
    <x v="58"/>
    <x v="32"/>
    <x v="31"/>
    <x v="2"/>
    <x v="28"/>
    <x v="55"/>
  </r>
  <r>
    <x v="76"/>
    <x v="69"/>
    <x v="59"/>
    <x v="5"/>
    <x v="5"/>
    <x v="0"/>
    <x v="1"/>
    <x v="1"/>
  </r>
  <r>
    <x v="77"/>
    <x v="69"/>
    <x v="60"/>
    <x v="5"/>
    <x v="5"/>
    <x v="0"/>
    <x v="1"/>
    <x v="1"/>
  </r>
  <r>
    <x v="78"/>
    <x v="70"/>
    <x v="61"/>
    <x v="27"/>
    <x v="21"/>
    <x v="0"/>
    <x v="19"/>
    <x v="22"/>
  </r>
  <r>
    <x v="79"/>
    <x v="71"/>
    <x v="62"/>
    <x v="62"/>
    <x v="66"/>
    <x v="2"/>
    <x v="63"/>
    <x v="88"/>
  </r>
  <r>
    <x v="80"/>
    <x v="72"/>
    <x v="63"/>
    <x v="20"/>
    <x v="19"/>
    <x v="1"/>
    <x v="22"/>
    <x v="89"/>
  </r>
  <r>
    <x v="80"/>
    <x v="72"/>
    <x v="63"/>
    <x v="6"/>
    <x v="6"/>
    <x v="1"/>
    <x v="5"/>
    <x v="5"/>
  </r>
  <r>
    <x v="80"/>
    <x v="72"/>
    <x v="63"/>
    <x v="18"/>
    <x v="17"/>
    <x v="2"/>
    <x v="5"/>
    <x v="5"/>
  </r>
  <r>
    <x v="80"/>
    <x v="72"/>
    <x v="63"/>
    <x v="3"/>
    <x v="3"/>
    <x v="0"/>
    <x v="64"/>
    <x v="90"/>
  </r>
  <r>
    <x v="81"/>
    <x v="65"/>
    <x v="63"/>
    <x v="43"/>
    <x v="45"/>
    <x v="3"/>
    <x v="43"/>
    <x v="91"/>
  </r>
  <r>
    <x v="81"/>
    <x v="65"/>
    <x v="63"/>
    <x v="5"/>
    <x v="5"/>
    <x v="3"/>
    <x v="5"/>
    <x v="5"/>
  </r>
  <r>
    <x v="81"/>
    <x v="65"/>
    <x v="63"/>
    <x v="7"/>
    <x v="7"/>
    <x v="3"/>
    <x v="5"/>
    <x v="5"/>
  </r>
  <r>
    <x v="81"/>
    <x v="65"/>
    <x v="63"/>
    <x v="6"/>
    <x v="6"/>
    <x v="7"/>
    <x v="5"/>
    <x v="5"/>
  </r>
  <r>
    <x v="81"/>
    <x v="65"/>
    <x v="63"/>
    <x v="37"/>
    <x v="38"/>
    <x v="4"/>
    <x v="65"/>
    <x v="92"/>
  </r>
  <r>
    <x v="81"/>
    <x v="65"/>
    <x v="63"/>
    <x v="15"/>
    <x v="15"/>
    <x v="1"/>
    <x v="8"/>
    <x v="85"/>
  </r>
  <r>
    <x v="81"/>
    <x v="65"/>
    <x v="63"/>
    <x v="6"/>
    <x v="6"/>
    <x v="8"/>
    <x v="66"/>
    <x v="93"/>
  </r>
  <r>
    <x v="81"/>
    <x v="65"/>
    <x v="63"/>
    <x v="52"/>
    <x v="54"/>
    <x v="9"/>
    <x v="15"/>
    <x v="94"/>
  </r>
  <r>
    <x v="81"/>
    <x v="65"/>
    <x v="63"/>
    <x v="0"/>
    <x v="0"/>
    <x v="1"/>
    <x v="0"/>
    <x v="48"/>
  </r>
  <r>
    <x v="81"/>
    <x v="65"/>
    <x v="63"/>
    <x v="20"/>
    <x v="19"/>
    <x v="0"/>
    <x v="13"/>
    <x v="14"/>
  </r>
  <r>
    <x v="82"/>
    <x v="73"/>
    <x v="63"/>
    <x v="63"/>
    <x v="67"/>
    <x v="0"/>
    <x v="5"/>
    <x v="5"/>
  </r>
  <r>
    <x v="82"/>
    <x v="73"/>
    <x v="63"/>
    <x v="64"/>
    <x v="68"/>
    <x v="1"/>
    <x v="5"/>
    <x v="5"/>
  </r>
  <r>
    <x v="83"/>
    <x v="74"/>
    <x v="63"/>
    <x v="31"/>
    <x v="30"/>
    <x v="10"/>
    <x v="1"/>
    <x v="95"/>
  </r>
  <r>
    <x v="83"/>
    <x v="74"/>
    <x v="63"/>
    <x v="0"/>
    <x v="0"/>
    <x v="11"/>
    <x v="0"/>
    <x v="96"/>
  </r>
  <r>
    <x v="83"/>
    <x v="74"/>
    <x v="63"/>
    <x v="65"/>
    <x v="69"/>
    <x v="0"/>
    <x v="67"/>
    <x v="97"/>
  </r>
  <r>
    <x v="84"/>
    <x v="65"/>
    <x v="63"/>
    <x v="24"/>
    <x v="23"/>
    <x v="0"/>
    <x v="16"/>
    <x v="18"/>
  </r>
  <r>
    <x v="84"/>
    <x v="65"/>
    <x v="63"/>
    <x v="37"/>
    <x v="38"/>
    <x v="8"/>
    <x v="65"/>
    <x v="98"/>
  </r>
  <r>
    <x v="85"/>
    <x v="38"/>
    <x v="64"/>
    <x v="26"/>
    <x v="25"/>
    <x v="0"/>
    <x v="19"/>
    <x v="22"/>
  </r>
  <r>
    <x v="85"/>
    <x v="38"/>
    <x v="64"/>
    <x v="36"/>
    <x v="37"/>
    <x v="0"/>
    <x v="39"/>
    <x v="99"/>
  </r>
  <r>
    <x v="85"/>
    <x v="38"/>
    <x v="64"/>
    <x v="10"/>
    <x v="10"/>
    <x v="0"/>
    <x v="5"/>
    <x v="5"/>
  </r>
  <r>
    <x v="86"/>
    <x v="75"/>
    <x v="65"/>
    <x v="33"/>
    <x v="34"/>
    <x v="0"/>
    <x v="29"/>
    <x v="33"/>
  </r>
  <r>
    <x v="87"/>
    <x v="76"/>
    <x v="66"/>
    <x v="26"/>
    <x v="25"/>
    <x v="2"/>
    <x v="19"/>
    <x v="100"/>
  </r>
  <r>
    <x v="88"/>
    <x v="77"/>
    <x v="67"/>
    <x v="15"/>
    <x v="15"/>
    <x v="1"/>
    <x v="8"/>
    <x v="85"/>
  </r>
  <r>
    <x v="88"/>
    <x v="77"/>
    <x v="67"/>
    <x v="6"/>
    <x v="6"/>
    <x v="1"/>
    <x v="20"/>
    <x v="66"/>
  </r>
  <r>
    <x v="89"/>
    <x v="78"/>
    <x v="68"/>
    <x v="66"/>
    <x v="70"/>
    <x v="0"/>
    <x v="68"/>
    <x v="101"/>
  </r>
  <r>
    <x v="89"/>
    <x v="78"/>
    <x v="68"/>
    <x v="8"/>
    <x v="8"/>
    <x v="0"/>
    <x v="10"/>
    <x v="11"/>
  </r>
  <r>
    <x v="89"/>
    <x v="78"/>
    <x v="68"/>
    <x v="11"/>
    <x v="11"/>
    <x v="0"/>
    <x v="5"/>
    <x v="5"/>
  </r>
  <r>
    <x v="89"/>
    <x v="78"/>
    <x v="68"/>
    <x v="3"/>
    <x v="3"/>
    <x v="0"/>
    <x v="69"/>
    <x v="102"/>
  </r>
  <r>
    <x v="90"/>
    <x v="38"/>
    <x v="68"/>
    <x v="67"/>
    <x v="71"/>
    <x v="0"/>
    <x v="70"/>
    <x v="103"/>
  </r>
  <r>
    <x v="90"/>
    <x v="38"/>
    <x v="68"/>
    <x v="8"/>
    <x v="8"/>
    <x v="0"/>
    <x v="10"/>
    <x v="11"/>
  </r>
  <r>
    <x v="90"/>
    <x v="38"/>
    <x v="68"/>
    <x v="3"/>
    <x v="3"/>
    <x v="0"/>
    <x v="71"/>
    <x v="104"/>
  </r>
  <r>
    <x v="91"/>
    <x v="79"/>
    <x v="69"/>
    <x v="2"/>
    <x v="2"/>
    <x v="2"/>
    <x v="21"/>
    <x v="105"/>
  </r>
  <r>
    <x v="92"/>
    <x v="80"/>
    <x v="70"/>
    <x v="15"/>
    <x v="15"/>
    <x v="4"/>
    <x v="8"/>
    <x v="106"/>
  </r>
  <r>
    <x v="92"/>
    <x v="80"/>
    <x v="70"/>
    <x v="6"/>
    <x v="6"/>
    <x v="4"/>
    <x v="20"/>
    <x v="107"/>
  </r>
  <r>
    <x v="93"/>
    <x v="81"/>
    <x v="71"/>
    <x v="2"/>
    <x v="2"/>
    <x v="0"/>
    <x v="21"/>
    <x v="24"/>
  </r>
  <r>
    <x v="94"/>
    <x v="82"/>
    <x v="72"/>
    <x v="2"/>
    <x v="2"/>
    <x v="2"/>
    <x v="21"/>
    <x v="105"/>
  </r>
  <r>
    <x v="95"/>
    <x v="83"/>
    <x v="73"/>
    <x v="2"/>
    <x v="2"/>
    <x v="7"/>
    <x v="25"/>
    <x v="108"/>
  </r>
  <r>
    <x v="96"/>
    <x v="47"/>
    <x v="73"/>
    <x v="9"/>
    <x v="72"/>
    <x v="8"/>
    <x v="72"/>
    <x v="109"/>
  </r>
  <r>
    <x v="96"/>
    <x v="47"/>
    <x v="73"/>
    <x v="5"/>
    <x v="5"/>
    <x v="8"/>
    <x v="5"/>
    <x v="5"/>
  </r>
  <r>
    <x v="96"/>
    <x v="47"/>
    <x v="73"/>
    <x v="46"/>
    <x v="48"/>
    <x v="8"/>
    <x v="5"/>
    <x v="5"/>
  </r>
  <r>
    <x v="96"/>
    <x v="47"/>
    <x v="73"/>
    <x v="42"/>
    <x v="44"/>
    <x v="12"/>
    <x v="41"/>
    <x v="110"/>
  </r>
  <r>
    <x v="96"/>
    <x v="47"/>
    <x v="73"/>
    <x v="68"/>
    <x v="73"/>
    <x v="13"/>
    <x v="73"/>
    <x v="111"/>
  </r>
  <r>
    <x v="96"/>
    <x v="47"/>
    <x v="73"/>
    <x v="16"/>
    <x v="3"/>
    <x v="0"/>
    <x v="74"/>
    <x v="112"/>
  </r>
  <r>
    <x v="97"/>
    <x v="84"/>
    <x v="74"/>
    <x v="21"/>
    <x v="20"/>
    <x v="2"/>
    <x v="13"/>
    <x v="15"/>
  </r>
  <r>
    <x v="98"/>
    <x v="19"/>
    <x v="75"/>
    <x v="32"/>
    <x v="31"/>
    <x v="2"/>
    <x v="28"/>
    <x v="55"/>
  </r>
  <r>
    <x v="98"/>
    <x v="19"/>
    <x v="75"/>
    <x v="25"/>
    <x v="24"/>
    <x v="2"/>
    <x v="18"/>
    <x v="21"/>
  </r>
  <r>
    <x v="99"/>
    <x v="85"/>
    <x v="76"/>
    <x v="33"/>
    <x v="34"/>
    <x v="0"/>
    <x v="75"/>
    <x v="113"/>
  </r>
  <r>
    <x v="99"/>
    <x v="85"/>
    <x v="76"/>
    <x v="21"/>
    <x v="20"/>
    <x v="2"/>
    <x v="76"/>
    <x v="114"/>
  </r>
  <r>
    <x v="100"/>
    <x v="86"/>
    <x v="77"/>
    <x v="26"/>
    <x v="25"/>
    <x v="0"/>
    <x v="19"/>
    <x v="22"/>
  </r>
  <r>
    <x v="101"/>
    <x v="82"/>
    <x v="78"/>
    <x v="24"/>
    <x v="23"/>
    <x v="0"/>
    <x v="16"/>
    <x v="18"/>
  </r>
  <r>
    <x v="101"/>
    <x v="82"/>
    <x v="78"/>
    <x v="58"/>
    <x v="61"/>
    <x v="2"/>
    <x v="77"/>
    <x v="115"/>
  </r>
  <r>
    <x v="101"/>
    <x v="82"/>
    <x v="78"/>
    <x v="69"/>
    <x v="74"/>
    <x v="3"/>
    <x v="78"/>
    <x v="116"/>
  </r>
  <r>
    <x v="101"/>
    <x v="82"/>
    <x v="78"/>
    <x v="70"/>
    <x v="75"/>
    <x v="3"/>
    <x v="0"/>
    <x v="117"/>
  </r>
  <r>
    <x v="101"/>
    <x v="82"/>
    <x v="78"/>
    <x v="71"/>
    <x v="76"/>
    <x v="4"/>
    <x v="28"/>
    <x v="118"/>
  </r>
  <r>
    <x v="101"/>
    <x v="82"/>
    <x v="78"/>
    <x v="72"/>
    <x v="77"/>
    <x v="0"/>
    <x v="79"/>
    <x v="119"/>
  </r>
  <r>
    <x v="102"/>
    <x v="87"/>
    <x v="79"/>
    <x v="73"/>
    <x v="78"/>
    <x v="0"/>
    <x v="80"/>
    <x v="120"/>
  </r>
  <r>
    <x v="102"/>
    <x v="87"/>
    <x v="79"/>
    <x v="3"/>
    <x v="3"/>
    <x v="0"/>
    <x v="81"/>
    <x v="121"/>
  </r>
  <r>
    <x v="103"/>
    <x v="88"/>
    <x v="79"/>
    <x v="74"/>
    <x v="79"/>
    <x v="1"/>
    <x v="82"/>
    <x v="122"/>
  </r>
  <r>
    <x v="103"/>
    <x v="88"/>
    <x v="79"/>
    <x v="75"/>
    <x v="80"/>
    <x v="3"/>
    <x v="5"/>
    <x v="5"/>
  </r>
  <r>
    <x v="103"/>
    <x v="88"/>
    <x v="79"/>
    <x v="76"/>
    <x v="81"/>
    <x v="3"/>
    <x v="5"/>
    <x v="5"/>
  </r>
  <r>
    <x v="103"/>
    <x v="88"/>
    <x v="79"/>
    <x v="46"/>
    <x v="48"/>
    <x v="1"/>
    <x v="5"/>
    <x v="5"/>
  </r>
  <r>
    <x v="103"/>
    <x v="88"/>
    <x v="79"/>
    <x v="3"/>
    <x v="3"/>
    <x v="0"/>
    <x v="83"/>
    <x v="123"/>
  </r>
  <r>
    <x v="104"/>
    <x v="89"/>
    <x v="79"/>
    <x v="77"/>
    <x v="82"/>
    <x v="8"/>
    <x v="84"/>
    <x v="124"/>
  </r>
  <r>
    <x v="104"/>
    <x v="89"/>
    <x v="79"/>
    <x v="49"/>
    <x v="83"/>
    <x v="14"/>
    <x v="72"/>
    <x v="125"/>
  </r>
  <r>
    <x v="104"/>
    <x v="89"/>
    <x v="79"/>
    <x v="5"/>
    <x v="5"/>
    <x v="7"/>
    <x v="5"/>
    <x v="5"/>
  </r>
  <r>
    <x v="104"/>
    <x v="89"/>
    <x v="79"/>
    <x v="24"/>
    <x v="23"/>
    <x v="0"/>
    <x v="53"/>
    <x v="71"/>
  </r>
  <r>
    <x v="104"/>
    <x v="89"/>
    <x v="79"/>
    <x v="16"/>
    <x v="3"/>
    <x v="0"/>
    <x v="85"/>
    <x v="126"/>
  </r>
  <r>
    <x v="105"/>
    <x v="90"/>
    <x v="79"/>
    <x v="22"/>
    <x v="21"/>
    <x v="0"/>
    <x v="86"/>
    <x v="127"/>
  </r>
  <r>
    <x v="106"/>
    <x v="91"/>
    <x v="80"/>
    <x v="21"/>
    <x v="20"/>
    <x v="2"/>
    <x v="13"/>
    <x v="15"/>
  </r>
  <r>
    <x v="107"/>
    <x v="51"/>
    <x v="81"/>
    <x v="43"/>
    <x v="45"/>
    <x v="3"/>
    <x v="87"/>
    <x v="128"/>
  </r>
  <r>
    <x v="107"/>
    <x v="51"/>
    <x v="81"/>
    <x v="5"/>
    <x v="5"/>
    <x v="3"/>
    <x v="5"/>
    <x v="5"/>
  </r>
  <r>
    <x v="107"/>
    <x v="51"/>
    <x v="81"/>
    <x v="7"/>
    <x v="7"/>
    <x v="3"/>
    <x v="5"/>
    <x v="5"/>
  </r>
  <r>
    <x v="107"/>
    <x v="51"/>
    <x v="81"/>
    <x v="6"/>
    <x v="6"/>
    <x v="3"/>
    <x v="5"/>
    <x v="5"/>
  </r>
  <r>
    <x v="107"/>
    <x v="51"/>
    <x v="81"/>
    <x v="8"/>
    <x v="8"/>
    <x v="1"/>
    <x v="5"/>
    <x v="5"/>
  </r>
  <r>
    <x v="107"/>
    <x v="51"/>
    <x v="81"/>
    <x v="13"/>
    <x v="84"/>
    <x v="0"/>
    <x v="5"/>
    <x v="5"/>
  </r>
  <r>
    <x v="107"/>
    <x v="51"/>
    <x v="81"/>
    <x v="14"/>
    <x v="85"/>
    <x v="4"/>
    <x v="88"/>
    <x v="129"/>
  </r>
  <r>
    <x v="107"/>
    <x v="51"/>
    <x v="81"/>
    <x v="37"/>
    <x v="38"/>
    <x v="0"/>
    <x v="36"/>
    <x v="42"/>
  </r>
  <r>
    <x v="107"/>
    <x v="51"/>
    <x v="81"/>
    <x v="42"/>
    <x v="44"/>
    <x v="2"/>
    <x v="41"/>
    <x v="130"/>
  </r>
  <r>
    <x v="107"/>
    <x v="51"/>
    <x v="81"/>
    <x v="26"/>
    <x v="25"/>
    <x v="1"/>
    <x v="59"/>
    <x v="131"/>
  </r>
  <r>
    <x v="107"/>
    <x v="51"/>
    <x v="81"/>
    <x v="33"/>
    <x v="34"/>
    <x v="2"/>
    <x v="89"/>
    <x v="132"/>
  </r>
  <r>
    <x v="107"/>
    <x v="51"/>
    <x v="81"/>
    <x v="27"/>
    <x v="21"/>
    <x v="4"/>
    <x v="59"/>
    <x v="133"/>
  </r>
  <r>
    <x v="107"/>
    <x v="51"/>
    <x v="81"/>
    <x v="16"/>
    <x v="3"/>
    <x v="0"/>
    <x v="90"/>
    <x v="134"/>
  </r>
  <r>
    <x v="108"/>
    <x v="47"/>
    <x v="81"/>
    <x v="78"/>
    <x v="86"/>
    <x v="2"/>
    <x v="5"/>
    <x v="5"/>
  </r>
  <r>
    <x v="108"/>
    <x v="47"/>
    <x v="81"/>
    <x v="79"/>
    <x v="87"/>
    <x v="12"/>
    <x v="5"/>
    <x v="5"/>
  </r>
  <r>
    <x v="108"/>
    <x v="47"/>
    <x v="81"/>
    <x v="80"/>
    <x v="88"/>
    <x v="12"/>
    <x v="5"/>
    <x v="5"/>
  </r>
  <r>
    <x v="108"/>
    <x v="47"/>
    <x v="81"/>
    <x v="81"/>
    <x v="89"/>
    <x v="3"/>
    <x v="5"/>
    <x v="5"/>
  </r>
  <r>
    <x v="109"/>
    <x v="92"/>
    <x v="82"/>
    <x v="43"/>
    <x v="45"/>
    <x v="2"/>
    <x v="43"/>
    <x v="64"/>
  </r>
  <r>
    <x v="109"/>
    <x v="92"/>
    <x v="82"/>
    <x v="47"/>
    <x v="49"/>
    <x v="2"/>
    <x v="48"/>
    <x v="63"/>
  </r>
  <r>
    <x v="109"/>
    <x v="92"/>
    <x v="82"/>
    <x v="5"/>
    <x v="5"/>
    <x v="2"/>
    <x v="5"/>
    <x v="5"/>
  </r>
  <r>
    <x v="109"/>
    <x v="92"/>
    <x v="82"/>
    <x v="11"/>
    <x v="11"/>
    <x v="2"/>
    <x v="5"/>
    <x v="5"/>
  </r>
  <r>
    <x v="109"/>
    <x v="92"/>
    <x v="82"/>
    <x v="37"/>
    <x v="38"/>
    <x v="0"/>
    <x v="18"/>
    <x v="87"/>
  </r>
  <r>
    <x v="109"/>
    <x v="92"/>
    <x v="82"/>
    <x v="8"/>
    <x v="8"/>
    <x v="0"/>
    <x v="10"/>
    <x v="11"/>
  </r>
  <r>
    <x v="109"/>
    <x v="92"/>
    <x v="82"/>
    <x v="27"/>
    <x v="21"/>
    <x v="0"/>
    <x v="19"/>
    <x v="22"/>
  </r>
  <r>
    <x v="109"/>
    <x v="92"/>
    <x v="82"/>
    <x v="6"/>
    <x v="6"/>
    <x v="2"/>
    <x v="20"/>
    <x v="23"/>
  </r>
  <r>
    <x v="110"/>
    <x v="93"/>
    <x v="83"/>
    <x v="6"/>
    <x v="6"/>
    <x v="0"/>
    <x v="20"/>
    <x v="32"/>
  </r>
  <r>
    <x v="111"/>
    <x v="94"/>
    <x v="84"/>
    <x v="21"/>
    <x v="20"/>
    <x v="2"/>
    <x v="13"/>
    <x v="15"/>
  </r>
  <r>
    <x v="112"/>
    <x v="59"/>
    <x v="85"/>
    <x v="9"/>
    <x v="9"/>
    <x v="15"/>
    <x v="72"/>
    <x v="135"/>
  </r>
  <r>
    <x v="112"/>
    <x v="59"/>
    <x v="85"/>
    <x v="5"/>
    <x v="5"/>
    <x v="15"/>
    <x v="5"/>
    <x v="5"/>
  </r>
  <r>
    <x v="112"/>
    <x v="59"/>
    <x v="85"/>
    <x v="46"/>
    <x v="48"/>
    <x v="15"/>
    <x v="5"/>
    <x v="5"/>
  </r>
  <r>
    <x v="112"/>
    <x v="59"/>
    <x v="85"/>
    <x v="31"/>
    <x v="30"/>
    <x v="16"/>
    <x v="91"/>
    <x v="136"/>
  </r>
  <r>
    <x v="112"/>
    <x v="59"/>
    <x v="85"/>
    <x v="16"/>
    <x v="3"/>
    <x v="0"/>
    <x v="92"/>
    <x v="137"/>
  </r>
  <r>
    <x v="113"/>
    <x v="60"/>
    <x v="85"/>
    <x v="82"/>
    <x v="90"/>
    <x v="2"/>
    <x v="5"/>
    <x v="5"/>
  </r>
  <r>
    <x v="113"/>
    <x v="60"/>
    <x v="85"/>
    <x v="83"/>
    <x v="91"/>
    <x v="0"/>
    <x v="5"/>
    <x v="5"/>
  </r>
  <r>
    <x v="113"/>
    <x v="60"/>
    <x v="85"/>
    <x v="84"/>
    <x v="92"/>
    <x v="17"/>
    <x v="50"/>
    <x v="138"/>
  </r>
  <r>
    <x v="113"/>
    <x v="60"/>
    <x v="85"/>
    <x v="85"/>
    <x v="93"/>
    <x v="1"/>
    <x v="93"/>
    <x v="139"/>
  </r>
  <r>
    <x v="113"/>
    <x v="60"/>
    <x v="85"/>
    <x v="86"/>
    <x v="94"/>
    <x v="3"/>
    <x v="36"/>
    <x v="140"/>
  </r>
  <r>
    <x v="113"/>
    <x v="60"/>
    <x v="85"/>
    <x v="87"/>
    <x v="95"/>
    <x v="1"/>
    <x v="41"/>
    <x v="141"/>
  </r>
  <r>
    <x v="113"/>
    <x v="60"/>
    <x v="85"/>
    <x v="88"/>
    <x v="96"/>
    <x v="1"/>
    <x v="94"/>
    <x v="142"/>
  </r>
  <r>
    <x v="113"/>
    <x v="60"/>
    <x v="85"/>
    <x v="89"/>
    <x v="97"/>
    <x v="1"/>
    <x v="60"/>
    <x v="143"/>
  </r>
  <r>
    <x v="113"/>
    <x v="60"/>
    <x v="85"/>
    <x v="90"/>
    <x v="98"/>
    <x v="1"/>
    <x v="95"/>
    <x v="144"/>
  </r>
  <r>
    <x v="113"/>
    <x v="60"/>
    <x v="85"/>
    <x v="91"/>
    <x v="99"/>
    <x v="16"/>
    <x v="96"/>
    <x v="145"/>
  </r>
  <r>
    <x v="113"/>
    <x v="60"/>
    <x v="85"/>
    <x v="92"/>
    <x v="3"/>
    <x v="18"/>
    <x v="97"/>
    <x v="146"/>
  </r>
  <r>
    <x v="113"/>
    <x v="60"/>
    <x v="85"/>
    <x v="3"/>
    <x v="3"/>
    <x v="0"/>
    <x v="98"/>
    <x v="147"/>
  </r>
  <r>
    <x v="114"/>
    <x v="95"/>
    <x v="85"/>
    <x v="2"/>
    <x v="2"/>
    <x v="19"/>
    <x v="44"/>
    <x v="148"/>
  </r>
  <r>
    <x v="114"/>
    <x v="95"/>
    <x v="85"/>
    <x v="3"/>
    <x v="3"/>
    <x v="0"/>
    <x v="99"/>
    <x v="149"/>
  </r>
  <r>
    <x v="115"/>
    <x v="96"/>
    <x v="86"/>
    <x v="7"/>
    <x v="7"/>
    <x v="2"/>
    <x v="20"/>
    <x v="23"/>
  </r>
  <r>
    <x v="116"/>
    <x v="97"/>
    <x v="87"/>
    <x v="28"/>
    <x v="27"/>
    <x v="2"/>
    <x v="25"/>
    <x v="34"/>
  </r>
  <r>
    <x v="117"/>
    <x v="97"/>
    <x v="88"/>
    <x v="27"/>
    <x v="21"/>
    <x v="2"/>
    <x v="19"/>
    <x v="100"/>
  </r>
  <r>
    <x v="118"/>
    <x v="62"/>
    <x v="89"/>
    <x v="47"/>
    <x v="49"/>
    <x v="2"/>
    <x v="55"/>
    <x v="74"/>
  </r>
  <r>
    <x v="119"/>
    <x v="98"/>
    <x v="90"/>
    <x v="5"/>
    <x v="5"/>
    <x v="8"/>
    <x v="1"/>
    <x v="150"/>
  </r>
  <r>
    <x v="120"/>
    <x v="99"/>
    <x v="91"/>
    <x v="49"/>
    <x v="100"/>
    <x v="8"/>
    <x v="100"/>
    <x v="151"/>
  </r>
  <r>
    <x v="120"/>
    <x v="99"/>
    <x v="91"/>
    <x v="5"/>
    <x v="5"/>
    <x v="8"/>
    <x v="5"/>
    <x v="5"/>
  </r>
  <r>
    <x v="120"/>
    <x v="99"/>
    <x v="91"/>
    <x v="50"/>
    <x v="101"/>
    <x v="8"/>
    <x v="87"/>
    <x v="152"/>
  </r>
  <r>
    <x v="120"/>
    <x v="99"/>
    <x v="91"/>
    <x v="93"/>
    <x v="102"/>
    <x v="0"/>
    <x v="101"/>
    <x v="153"/>
  </r>
  <r>
    <x v="120"/>
    <x v="99"/>
    <x v="91"/>
    <x v="94"/>
    <x v="103"/>
    <x v="2"/>
    <x v="5"/>
    <x v="5"/>
  </r>
  <r>
    <x v="120"/>
    <x v="99"/>
    <x v="91"/>
    <x v="95"/>
    <x v="104"/>
    <x v="0"/>
    <x v="5"/>
    <x v="5"/>
  </r>
  <r>
    <x v="120"/>
    <x v="99"/>
    <x v="91"/>
    <x v="96"/>
    <x v="105"/>
    <x v="0"/>
    <x v="5"/>
    <x v="5"/>
  </r>
  <r>
    <x v="120"/>
    <x v="99"/>
    <x v="91"/>
    <x v="16"/>
    <x v="3"/>
    <x v="0"/>
    <x v="102"/>
    <x v="154"/>
  </r>
  <r>
    <x v="121"/>
    <x v="100"/>
    <x v="92"/>
    <x v="21"/>
    <x v="20"/>
    <x v="0"/>
    <x v="13"/>
    <x v="14"/>
  </r>
  <r>
    <x v="121"/>
    <x v="100"/>
    <x v="92"/>
    <x v="28"/>
    <x v="27"/>
    <x v="4"/>
    <x v="25"/>
    <x v="155"/>
  </r>
  <r>
    <x v="122"/>
    <x v="32"/>
    <x v="93"/>
    <x v="19"/>
    <x v="106"/>
    <x v="0"/>
    <x v="103"/>
    <x v="156"/>
  </r>
  <r>
    <x v="122"/>
    <x v="32"/>
    <x v="93"/>
    <x v="97"/>
    <x v="107"/>
    <x v="0"/>
    <x v="5"/>
    <x v="5"/>
  </r>
  <r>
    <x v="122"/>
    <x v="32"/>
    <x v="93"/>
    <x v="98"/>
    <x v="108"/>
    <x v="3"/>
    <x v="5"/>
    <x v="5"/>
  </r>
  <r>
    <x v="122"/>
    <x v="32"/>
    <x v="93"/>
    <x v="99"/>
    <x v="109"/>
    <x v="3"/>
    <x v="5"/>
    <x v="5"/>
  </r>
  <r>
    <x v="122"/>
    <x v="32"/>
    <x v="93"/>
    <x v="100"/>
    <x v="110"/>
    <x v="3"/>
    <x v="5"/>
    <x v="5"/>
  </r>
  <r>
    <x v="123"/>
    <x v="101"/>
    <x v="93"/>
    <x v="22"/>
    <x v="21"/>
    <x v="1"/>
    <x v="61"/>
    <x v="157"/>
  </r>
  <r>
    <x v="123"/>
    <x v="101"/>
    <x v="93"/>
    <x v="3"/>
    <x v="3"/>
    <x v="0"/>
    <x v="104"/>
    <x v="158"/>
  </r>
  <r>
    <x v="124"/>
    <x v="102"/>
    <x v="94"/>
    <x v="21"/>
    <x v="20"/>
    <x v="0"/>
    <x v="13"/>
    <x v="14"/>
  </r>
  <r>
    <x v="125"/>
    <x v="103"/>
    <x v="95"/>
    <x v="5"/>
    <x v="5"/>
    <x v="0"/>
    <x v="1"/>
    <x v="1"/>
  </r>
  <r>
    <x v="126"/>
    <x v="104"/>
    <x v="96"/>
    <x v="33"/>
    <x v="34"/>
    <x v="0"/>
    <x v="29"/>
    <x v="33"/>
  </r>
  <r>
    <x v="127"/>
    <x v="105"/>
    <x v="97"/>
    <x v="6"/>
    <x v="6"/>
    <x v="8"/>
    <x v="66"/>
    <x v="93"/>
  </r>
  <r>
    <x v="128"/>
    <x v="106"/>
    <x v="98"/>
    <x v="27"/>
    <x v="21"/>
    <x v="0"/>
    <x v="19"/>
    <x v="22"/>
  </r>
  <r>
    <x v="129"/>
    <x v="107"/>
    <x v="99"/>
    <x v="27"/>
    <x v="21"/>
    <x v="0"/>
    <x v="19"/>
    <x v="22"/>
  </r>
  <r>
    <x v="130"/>
    <x v="108"/>
    <x v="100"/>
    <x v="22"/>
    <x v="21"/>
    <x v="0"/>
    <x v="14"/>
    <x v="16"/>
  </r>
  <r>
    <x v="131"/>
    <x v="109"/>
    <x v="101"/>
    <x v="101"/>
    <x v="111"/>
    <x v="2"/>
    <x v="1"/>
    <x v="61"/>
  </r>
  <r>
    <x v="132"/>
    <x v="110"/>
    <x v="102"/>
    <x v="58"/>
    <x v="61"/>
    <x v="0"/>
    <x v="77"/>
    <x v="159"/>
  </r>
  <r>
    <x v="132"/>
    <x v="110"/>
    <x v="102"/>
    <x v="15"/>
    <x v="112"/>
    <x v="2"/>
    <x v="8"/>
    <x v="9"/>
  </r>
  <r>
    <x v="132"/>
    <x v="110"/>
    <x v="102"/>
    <x v="6"/>
    <x v="6"/>
    <x v="2"/>
    <x v="20"/>
    <x v="23"/>
  </r>
  <r>
    <x v="132"/>
    <x v="110"/>
    <x v="102"/>
    <x v="26"/>
    <x v="25"/>
    <x v="0"/>
    <x v="19"/>
    <x v="22"/>
  </r>
  <r>
    <x v="133"/>
    <x v="111"/>
    <x v="103"/>
    <x v="28"/>
    <x v="27"/>
    <x v="4"/>
    <x v="25"/>
    <x v="155"/>
  </r>
  <r>
    <x v="134"/>
    <x v="112"/>
    <x v="104"/>
    <x v="36"/>
    <x v="37"/>
    <x v="0"/>
    <x v="39"/>
    <x v="99"/>
  </r>
  <r>
    <x v="134"/>
    <x v="112"/>
    <x v="104"/>
    <x v="45"/>
    <x v="47"/>
    <x v="0"/>
    <x v="5"/>
    <x v="5"/>
  </r>
  <r>
    <x v="135"/>
    <x v="113"/>
    <x v="104"/>
    <x v="5"/>
    <x v="5"/>
    <x v="0"/>
    <x v="1"/>
    <x v="1"/>
  </r>
  <r>
    <x v="135"/>
    <x v="113"/>
    <x v="104"/>
    <x v="102"/>
    <x v="113"/>
    <x v="0"/>
    <x v="5"/>
    <x v="5"/>
  </r>
  <r>
    <x v="135"/>
    <x v="113"/>
    <x v="104"/>
    <x v="16"/>
    <x v="3"/>
    <x v="0"/>
    <x v="105"/>
    <x v="160"/>
  </r>
</pivotCacheRecords>
</file>

<file path=xl/pivotCache/pivotCacheRecords21.xml><?xml version="1.0" encoding="utf-8"?>
<pivotCacheRecords xmlns:r="http://schemas.openxmlformats.org/officeDocument/2006/relationships" xmlns="http://schemas.openxmlformats.org/spreadsheetml/2006/main" count="341">
  <r>
    <x v="0"/>
    <x v="0"/>
    <x v="0"/>
  </r>
  <r>
    <x v="1"/>
    <x v="1"/>
    <x v="0"/>
  </r>
  <r>
    <x v="2"/>
    <x v="2"/>
    <x v="1"/>
  </r>
  <r>
    <x v="3"/>
    <x v="3"/>
    <x v="0"/>
  </r>
  <r>
    <x v="4"/>
    <x v="4"/>
    <x v="2"/>
  </r>
  <r>
    <x v="5"/>
    <x v="5"/>
    <x v="2"/>
  </r>
  <r>
    <x v="6"/>
    <x v="6"/>
    <x v="3"/>
  </r>
  <r>
    <x v="7"/>
    <x v="7"/>
    <x v="3"/>
  </r>
  <r>
    <x v="8"/>
    <x v="8"/>
    <x v="3"/>
  </r>
  <r>
    <x v="9"/>
    <x v="9"/>
    <x v="1"/>
  </r>
  <r>
    <x v="5"/>
    <x v="5"/>
    <x v="1"/>
  </r>
  <r>
    <x v="10"/>
    <x v="10"/>
    <x v="1"/>
  </r>
  <r>
    <x v="11"/>
    <x v="11"/>
    <x v="1"/>
  </r>
  <r>
    <x v="12"/>
    <x v="12"/>
    <x v="4"/>
  </r>
  <r>
    <x v="13"/>
    <x v="13"/>
    <x v="0"/>
  </r>
  <r>
    <x v="14"/>
    <x v="14"/>
    <x v="0"/>
  </r>
  <r>
    <x v="14"/>
    <x v="14"/>
    <x v="0"/>
  </r>
  <r>
    <x v="15"/>
    <x v="15"/>
    <x v="2"/>
  </r>
  <r>
    <x v="16"/>
    <x v="3"/>
    <x v="0"/>
  </r>
  <r>
    <x v="13"/>
    <x v="13"/>
    <x v="0"/>
  </r>
  <r>
    <x v="17"/>
    <x v="16"/>
    <x v="2"/>
  </r>
  <r>
    <x v="3"/>
    <x v="3"/>
    <x v="0"/>
  </r>
  <r>
    <x v="18"/>
    <x v="17"/>
    <x v="2"/>
  </r>
  <r>
    <x v="19"/>
    <x v="18"/>
    <x v="0"/>
  </r>
  <r>
    <x v="20"/>
    <x v="19"/>
    <x v="0"/>
  </r>
  <r>
    <x v="6"/>
    <x v="6"/>
    <x v="0"/>
  </r>
  <r>
    <x v="21"/>
    <x v="20"/>
    <x v="2"/>
  </r>
  <r>
    <x v="22"/>
    <x v="21"/>
    <x v="0"/>
  </r>
  <r>
    <x v="23"/>
    <x v="22"/>
    <x v="0"/>
  </r>
  <r>
    <x v="24"/>
    <x v="23"/>
    <x v="0"/>
  </r>
  <r>
    <x v="3"/>
    <x v="3"/>
    <x v="0"/>
  </r>
  <r>
    <x v="21"/>
    <x v="20"/>
    <x v="1"/>
  </r>
  <r>
    <x v="25"/>
    <x v="24"/>
    <x v="2"/>
  </r>
  <r>
    <x v="26"/>
    <x v="25"/>
    <x v="0"/>
  </r>
  <r>
    <x v="7"/>
    <x v="7"/>
    <x v="2"/>
  </r>
  <r>
    <x v="24"/>
    <x v="23"/>
    <x v="0"/>
  </r>
  <r>
    <x v="26"/>
    <x v="25"/>
    <x v="0"/>
  </r>
  <r>
    <x v="2"/>
    <x v="2"/>
    <x v="0"/>
  </r>
  <r>
    <x v="21"/>
    <x v="20"/>
    <x v="2"/>
  </r>
  <r>
    <x v="3"/>
    <x v="3"/>
    <x v="0"/>
  </r>
  <r>
    <x v="19"/>
    <x v="26"/>
    <x v="0"/>
  </r>
  <r>
    <x v="3"/>
    <x v="3"/>
    <x v="0"/>
  </r>
  <r>
    <x v="26"/>
    <x v="25"/>
    <x v="0"/>
  </r>
  <r>
    <x v="27"/>
    <x v="21"/>
    <x v="0"/>
  </r>
  <r>
    <x v="28"/>
    <x v="27"/>
    <x v="0"/>
  </r>
  <r>
    <x v="29"/>
    <x v="28"/>
    <x v="1"/>
  </r>
  <r>
    <x v="30"/>
    <x v="29"/>
    <x v="0"/>
  </r>
  <r>
    <x v="0"/>
    <x v="0"/>
    <x v="0"/>
  </r>
  <r>
    <x v="31"/>
    <x v="30"/>
    <x v="0"/>
  </r>
  <r>
    <x v="32"/>
    <x v="31"/>
    <x v="0"/>
  </r>
  <r>
    <x v="19"/>
    <x v="32"/>
    <x v="0"/>
  </r>
  <r>
    <x v="19"/>
    <x v="33"/>
    <x v="0"/>
  </r>
  <r>
    <x v="26"/>
    <x v="25"/>
    <x v="0"/>
  </r>
  <r>
    <x v="21"/>
    <x v="20"/>
    <x v="2"/>
  </r>
  <r>
    <x v="7"/>
    <x v="7"/>
    <x v="0"/>
  </r>
  <r>
    <x v="20"/>
    <x v="19"/>
    <x v="0"/>
  </r>
  <r>
    <x v="6"/>
    <x v="6"/>
    <x v="0"/>
  </r>
  <r>
    <x v="27"/>
    <x v="21"/>
    <x v="0"/>
  </r>
  <r>
    <x v="33"/>
    <x v="34"/>
    <x v="0"/>
  </r>
  <r>
    <x v="32"/>
    <x v="31"/>
    <x v="0"/>
  </r>
  <r>
    <x v="34"/>
    <x v="35"/>
    <x v="0"/>
  </r>
  <r>
    <x v="28"/>
    <x v="27"/>
    <x v="2"/>
  </r>
  <r>
    <x v="26"/>
    <x v="25"/>
    <x v="0"/>
  </r>
  <r>
    <x v="35"/>
    <x v="36"/>
    <x v="0"/>
  </r>
  <r>
    <x v="22"/>
    <x v="21"/>
    <x v="0"/>
  </r>
  <r>
    <x v="30"/>
    <x v="29"/>
    <x v="0"/>
  </r>
  <r>
    <x v="7"/>
    <x v="7"/>
    <x v="5"/>
  </r>
  <r>
    <x v="27"/>
    <x v="21"/>
    <x v="0"/>
  </r>
  <r>
    <x v="22"/>
    <x v="21"/>
    <x v="0"/>
  </r>
  <r>
    <x v="33"/>
    <x v="34"/>
    <x v="0"/>
  </r>
  <r>
    <x v="4"/>
    <x v="4"/>
    <x v="0"/>
  </r>
  <r>
    <x v="5"/>
    <x v="5"/>
    <x v="0"/>
  </r>
  <r>
    <x v="7"/>
    <x v="7"/>
    <x v="1"/>
  </r>
  <r>
    <x v="6"/>
    <x v="6"/>
    <x v="2"/>
  </r>
  <r>
    <x v="8"/>
    <x v="8"/>
    <x v="4"/>
  </r>
  <r>
    <x v="20"/>
    <x v="19"/>
    <x v="2"/>
  </r>
  <r>
    <x v="16"/>
    <x v="3"/>
    <x v="0"/>
  </r>
  <r>
    <x v="36"/>
    <x v="37"/>
    <x v="0"/>
  </r>
  <r>
    <x v="37"/>
    <x v="38"/>
    <x v="0"/>
  </r>
  <r>
    <x v="25"/>
    <x v="24"/>
    <x v="0"/>
  </r>
  <r>
    <x v="38"/>
    <x v="39"/>
    <x v="0"/>
  </r>
  <r>
    <x v="39"/>
    <x v="40"/>
    <x v="0"/>
  </r>
  <r>
    <x v="40"/>
    <x v="41"/>
    <x v="0"/>
  </r>
  <r>
    <x v="3"/>
    <x v="3"/>
    <x v="0"/>
  </r>
  <r>
    <x v="22"/>
    <x v="21"/>
    <x v="0"/>
  </r>
  <r>
    <x v="33"/>
    <x v="34"/>
    <x v="2"/>
  </r>
  <r>
    <x v="21"/>
    <x v="20"/>
    <x v="2"/>
  </r>
  <r>
    <x v="20"/>
    <x v="19"/>
    <x v="0"/>
  </r>
  <r>
    <x v="6"/>
    <x v="6"/>
    <x v="0"/>
  </r>
  <r>
    <x v="7"/>
    <x v="7"/>
    <x v="2"/>
  </r>
  <r>
    <x v="6"/>
    <x v="6"/>
    <x v="2"/>
  </r>
  <r>
    <x v="33"/>
    <x v="34"/>
    <x v="2"/>
  </r>
  <r>
    <x v="21"/>
    <x v="20"/>
    <x v="1"/>
  </r>
  <r>
    <x v="36"/>
    <x v="37"/>
    <x v="1"/>
  </r>
  <r>
    <x v="41"/>
    <x v="42"/>
    <x v="1"/>
  </r>
  <r>
    <x v="39"/>
    <x v="40"/>
    <x v="1"/>
  </r>
  <r>
    <x v="37"/>
    <x v="38"/>
    <x v="1"/>
  </r>
  <r>
    <x v="16"/>
    <x v="3"/>
    <x v="0"/>
  </r>
  <r>
    <x v="6"/>
    <x v="6"/>
    <x v="0"/>
  </r>
  <r>
    <x v="19"/>
    <x v="43"/>
    <x v="0"/>
  </r>
  <r>
    <x v="42"/>
    <x v="44"/>
    <x v="3"/>
  </r>
  <r>
    <x v="16"/>
    <x v="3"/>
    <x v="0"/>
  </r>
  <r>
    <x v="26"/>
    <x v="25"/>
    <x v="0"/>
  </r>
  <r>
    <x v="43"/>
    <x v="45"/>
    <x v="0"/>
  </r>
  <r>
    <x v="44"/>
    <x v="46"/>
    <x v="0"/>
  </r>
  <r>
    <x v="5"/>
    <x v="5"/>
    <x v="0"/>
  </r>
  <r>
    <x v="11"/>
    <x v="11"/>
    <x v="0"/>
  </r>
  <r>
    <x v="32"/>
    <x v="31"/>
    <x v="2"/>
  </r>
  <r>
    <x v="25"/>
    <x v="24"/>
    <x v="2"/>
  </r>
  <r>
    <x v="37"/>
    <x v="38"/>
    <x v="2"/>
  </r>
  <r>
    <x v="17"/>
    <x v="16"/>
    <x v="0"/>
  </r>
  <r>
    <x v="13"/>
    <x v="13"/>
    <x v="0"/>
  </r>
  <r>
    <x v="7"/>
    <x v="7"/>
    <x v="0"/>
  </r>
  <r>
    <x v="15"/>
    <x v="15"/>
    <x v="3"/>
  </r>
  <r>
    <x v="3"/>
    <x v="3"/>
    <x v="0"/>
  </r>
  <r>
    <x v="2"/>
    <x v="2"/>
    <x v="4"/>
  </r>
  <r>
    <x v="3"/>
    <x v="3"/>
    <x v="0"/>
  </r>
  <r>
    <x v="45"/>
    <x v="47"/>
    <x v="2"/>
  </r>
  <r>
    <x v="9"/>
    <x v="9"/>
    <x v="2"/>
  </r>
  <r>
    <x v="5"/>
    <x v="5"/>
    <x v="2"/>
  </r>
  <r>
    <x v="46"/>
    <x v="48"/>
    <x v="2"/>
  </r>
  <r>
    <x v="11"/>
    <x v="11"/>
    <x v="2"/>
  </r>
  <r>
    <x v="47"/>
    <x v="49"/>
    <x v="2"/>
  </r>
  <r>
    <x v="34"/>
    <x v="35"/>
    <x v="0"/>
  </r>
  <r>
    <x v="6"/>
    <x v="6"/>
    <x v="2"/>
  </r>
  <r>
    <x v="2"/>
    <x v="2"/>
    <x v="0"/>
  </r>
  <r>
    <x v="43"/>
    <x v="45"/>
    <x v="2"/>
  </r>
  <r>
    <x v="44"/>
    <x v="46"/>
    <x v="2"/>
  </r>
  <r>
    <x v="5"/>
    <x v="5"/>
    <x v="2"/>
  </r>
  <r>
    <x v="11"/>
    <x v="11"/>
    <x v="2"/>
  </r>
  <r>
    <x v="15"/>
    <x v="15"/>
    <x v="2"/>
  </r>
  <r>
    <x v="6"/>
    <x v="6"/>
    <x v="2"/>
  </r>
  <r>
    <x v="7"/>
    <x v="7"/>
    <x v="1"/>
  </r>
  <r>
    <x v="21"/>
    <x v="20"/>
    <x v="0"/>
  </r>
  <r>
    <x v="21"/>
    <x v="20"/>
    <x v="2"/>
  </r>
  <r>
    <x v="48"/>
    <x v="50"/>
    <x v="0"/>
  </r>
  <r>
    <x v="3"/>
    <x v="3"/>
    <x v="0"/>
  </r>
  <r>
    <x v="49"/>
    <x v="51"/>
    <x v="1"/>
  </r>
  <r>
    <x v="5"/>
    <x v="5"/>
    <x v="1"/>
  </r>
  <r>
    <x v="6"/>
    <x v="6"/>
    <x v="1"/>
  </r>
  <r>
    <x v="50"/>
    <x v="52"/>
    <x v="1"/>
  </r>
  <r>
    <x v="24"/>
    <x v="23"/>
    <x v="0"/>
  </r>
  <r>
    <x v="3"/>
    <x v="3"/>
    <x v="0"/>
  </r>
  <r>
    <x v="51"/>
    <x v="53"/>
    <x v="0"/>
  </r>
  <r>
    <x v="47"/>
    <x v="49"/>
    <x v="2"/>
  </r>
  <r>
    <x v="23"/>
    <x v="22"/>
    <x v="4"/>
  </r>
  <r>
    <x v="31"/>
    <x v="30"/>
    <x v="0"/>
  </r>
  <r>
    <x v="52"/>
    <x v="54"/>
    <x v="2"/>
  </r>
  <r>
    <x v="19"/>
    <x v="55"/>
    <x v="0"/>
  </r>
  <r>
    <x v="46"/>
    <x v="48"/>
    <x v="1"/>
  </r>
  <r>
    <x v="53"/>
    <x v="56"/>
    <x v="2"/>
  </r>
  <r>
    <x v="54"/>
    <x v="57"/>
    <x v="2"/>
  </r>
  <r>
    <x v="55"/>
    <x v="58"/>
    <x v="1"/>
  </r>
  <r>
    <x v="56"/>
    <x v="59"/>
    <x v="0"/>
  </r>
  <r>
    <x v="57"/>
    <x v="60"/>
    <x v="0"/>
  </r>
  <r>
    <x v="58"/>
    <x v="61"/>
    <x v="2"/>
  </r>
  <r>
    <x v="59"/>
    <x v="62"/>
    <x v="6"/>
  </r>
  <r>
    <x v="60"/>
    <x v="63"/>
    <x v="3"/>
  </r>
  <r>
    <x v="26"/>
    <x v="25"/>
    <x v="0"/>
  </r>
  <r>
    <x v="13"/>
    <x v="13"/>
    <x v="4"/>
  </r>
  <r>
    <x v="9"/>
    <x v="9"/>
    <x v="0"/>
  </r>
  <r>
    <x v="5"/>
    <x v="5"/>
    <x v="0"/>
  </r>
  <r>
    <x v="46"/>
    <x v="48"/>
    <x v="0"/>
  </r>
  <r>
    <x v="8"/>
    <x v="8"/>
    <x v="0"/>
  </r>
  <r>
    <x v="11"/>
    <x v="11"/>
    <x v="0"/>
  </r>
  <r>
    <x v="22"/>
    <x v="21"/>
    <x v="4"/>
  </r>
  <r>
    <x v="3"/>
    <x v="3"/>
    <x v="0"/>
  </r>
  <r>
    <x v="15"/>
    <x v="15"/>
    <x v="1"/>
  </r>
  <r>
    <x v="19"/>
    <x v="64"/>
    <x v="0"/>
  </r>
  <r>
    <x v="61"/>
    <x v="65"/>
    <x v="0"/>
  </r>
  <r>
    <x v="37"/>
    <x v="38"/>
    <x v="0"/>
  </r>
  <r>
    <x v="15"/>
    <x v="15"/>
    <x v="2"/>
  </r>
  <r>
    <x v="6"/>
    <x v="6"/>
    <x v="2"/>
  </r>
  <r>
    <x v="15"/>
    <x v="15"/>
    <x v="1"/>
  </r>
  <r>
    <x v="6"/>
    <x v="6"/>
    <x v="1"/>
  </r>
  <r>
    <x v="20"/>
    <x v="19"/>
    <x v="0"/>
  </r>
  <r>
    <x v="6"/>
    <x v="6"/>
    <x v="0"/>
  </r>
  <r>
    <x v="32"/>
    <x v="31"/>
    <x v="2"/>
  </r>
  <r>
    <x v="5"/>
    <x v="5"/>
    <x v="0"/>
  </r>
  <r>
    <x v="5"/>
    <x v="5"/>
    <x v="0"/>
  </r>
  <r>
    <x v="27"/>
    <x v="21"/>
    <x v="0"/>
  </r>
  <r>
    <x v="62"/>
    <x v="66"/>
    <x v="2"/>
  </r>
  <r>
    <x v="20"/>
    <x v="19"/>
    <x v="1"/>
  </r>
  <r>
    <x v="6"/>
    <x v="6"/>
    <x v="1"/>
  </r>
  <r>
    <x v="18"/>
    <x v="17"/>
    <x v="2"/>
  </r>
  <r>
    <x v="3"/>
    <x v="3"/>
    <x v="0"/>
  </r>
  <r>
    <x v="43"/>
    <x v="45"/>
    <x v="3"/>
  </r>
  <r>
    <x v="5"/>
    <x v="5"/>
    <x v="3"/>
  </r>
  <r>
    <x v="7"/>
    <x v="7"/>
    <x v="3"/>
  </r>
  <r>
    <x v="6"/>
    <x v="6"/>
    <x v="7"/>
  </r>
  <r>
    <x v="37"/>
    <x v="38"/>
    <x v="4"/>
  </r>
  <r>
    <x v="15"/>
    <x v="15"/>
    <x v="1"/>
  </r>
  <r>
    <x v="6"/>
    <x v="6"/>
    <x v="8"/>
  </r>
  <r>
    <x v="52"/>
    <x v="54"/>
    <x v="9"/>
  </r>
  <r>
    <x v="0"/>
    <x v="0"/>
    <x v="1"/>
  </r>
  <r>
    <x v="20"/>
    <x v="19"/>
    <x v="0"/>
  </r>
  <r>
    <x v="63"/>
    <x v="67"/>
    <x v="0"/>
  </r>
  <r>
    <x v="64"/>
    <x v="68"/>
    <x v="1"/>
  </r>
  <r>
    <x v="31"/>
    <x v="30"/>
    <x v="10"/>
  </r>
  <r>
    <x v="0"/>
    <x v="0"/>
    <x v="11"/>
  </r>
  <r>
    <x v="65"/>
    <x v="69"/>
    <x v="0"/>
  </r>
  <r>
    <x v="24"/>
    <x v="23"/>
    <x v="0"/>
  </r>
  <r>
    <x v="37"/>
    <x v="38"/>
    <x v="8"/>
  </r>
  <r>
    <x v="26"/>
    <x v="25"/>
    <x v="0"/>
  </r>
  <r>
    <x v="36"/>
    <x v="37"/>
    <x v="0"/>
  </r>
  <r>
    <x v="10"/>
    <x v="10"/>
    <x v="0"/>
  </r>
  <r>
    <x v="33"/>
    <x v="34"/>
    <x v="0"/>
  </r>
  <r>
    <x v="26"/>
    <x v="25"/>
    <x v="2"/>
  </r>
  <r>
    <x v="15"/>
    <x v="15"/>
    <x v="1"/>
  </r>
  <r>
    <x v="6"/>
    <x v="6"/>
    <x v="1"/>
  </r>
  <r>
    <x v="66"/>
    <x v="70"/>
    <x v="0"/>
  </r>
  <r>
    <x v="8"/>
    <x v="8"/>
    <x v="0"/>
  </r>
  <r>
    <x v="11"/>
    <x v="11"/>
    <x v="0"/>
  </r>
  <r>
    <x v="3"/>
    <x v="3"/>
    <x v="0"/>
  </r>
  <r>
    <x v="67"/>
    <x v="71"/>
    <x v="0"/>
  </r>
  <r>
    <x v="8"/>
    <x v="8"/>
    <x v="0"/>
  </r>
  <r>
    <x v="3"/>
    <x v="3"/>
    <x v="0"/>
  </r>
  <r>
    <x v="2"/>
    <x v="2"/>
    <x v="2"/>
  </r>
  <r>
    <x v="15"/>
    <x v="15"/>
    <x v="4"/>
  </r>
  <r>
    <x v="6"/>
    <x v="6"/>
    <x v="4"/>
  </r>
  <r>
    <x v="2"/>
    <x v="2"/>
    <x v="0"/>
  </r>
  <r>
    <x v="2"/>
    <x v="2"/>
    <x v="2"/>
  </r>
  <r>
    <x v="2"/>
    <x v="2"/>
    <x v="7"/>
  </r>
  <r>
    <x v="9"/>
    <x v="72"/>
    <x v="8"/>
  </r>
  <r>
    <x v="5"/>
    <x v="5"/>
    <x v="8"/>
  </r>
  <r>
    <x v="46"/>
    <x v="48"/>
    <x v="8"/>
  </r>
  <r>
    <x v="42"/>
    <x v="44"/>
    <x v="12"/>
  </r>
  <r>
    <x v="68"/>
    <x v="73"/>
    <x v="13"/>
  </r>
  <r>
    <x v="16"/>
    <x v="3"/>
    <x v="0"/>
  </r>
  <r>
    <x v="21"/>
    <x v="20"/>
    <x v="2"/>
  </r>
  <r>
    <x v="32"/>
    <x v="31"/>
    <x v="2"/>
  </r>
  <r>
    <x v="25"/>
    <x v="24"/>
    <x v="2"/>
  </r>
  <r>
    <x v="33"/>
    <x v="34"/>
    <x v="0"/>
  </r>
  <r>
    <x v="21"/>
    <x v="20"/>
    <x v="2"/>
  </r>
  <r>
    <x v="26"/>
    <x v="25"/>
    <x v="0"/>
  </r>
  <r>
    <x v="24"/>
    <x v="23"/>
    <x v="0"/>
  </r>
  <r>
    <x v="58"/>
    <x v="61"/>
    <x v="2"/>
  </r>
  <r>
    <x v="69"/>
    <x v="74"/>
    <x v="3"/>
  </r>
  <r>
    <x v="70"/>
    <x v="75"/>
    <x v="3"/>
  </r>
  <r>
    <x v="71"/>
    <x v="76"/>
    <x v="4"/>
  </r>
  <r>
    <x v="72"/>
    <x v="77"/>
    <x v="0"/>
  </r>
  <r>
    <x v="73"/>
    <x v="78"/>
    <x v="0"/>
  </r>
  <r>
    <x v="3"/>
    <x v="3"/>
    <x v="0"/>
  </r>
  <r>
    <x v="74"/>
    <x v="79"/>
    <x v="1"/>
  </r>
  <r>
    <x v="75"/>
    <x v="80"/>
    <x v="3"/>
  </r>
  <r>
    <x v="76"/>
    <x v="81"/>
    <x v="3"/>
  </r>
  <r>
    <x v="46"/>
    <x v="48"/>
    <x v="1"/>
  </r>
  <r>
    <x v="3"/>
    <x v="3"/>
    <x v="0"/>
  </r>
  <r>
    <x v="77"/>
    <x v="82"/>
    <x v="8"/>
  </r>
  <r>
    <x v="49"/>
    <x v="83"/>
    <x v="14"/>
  </r>
  <r>
    <x v="5"/>
    <x v="5"/>
    <x v="7"/>
  </r>
  <r>
    <x v="24"/>
    <x v="23"/>
    <x v="0"/>
  </r>
  <r>
    <x v="16"/>
    <x v="3"/>
    <x v="0"/>
  </r>
  <r>
    <x v="22"/>
    <x v="21"/>
    <x v="0"/>
  </r>
  <r>
    <x v="21"/>
    <x v="20"/>
    <x v="2"/>
  </r>
  <r>
    <x v="43"/>
    <x v="45"/>
    <x v="3"/>
  </r>
  <r>
    <x v="5"/>
    <x v="5"/>
    <x v="3"/>
  </r>
  <r>
    <x v="7"/>
    <x v="7"/>
    <x v="3"/>
  </r>
  <r>
    <x v="6"/>
    <x v="6"/>
    <x v="3"/>
  </r>
  <r>
    <x v="8"/>
    <x v="8"/>
    <x v="1"/>
  </r>
  <r>
    <x v="13"/>
    <x v="84"/>
    <x v="0"/>
  </r>
  <r>
    <x v="14"/>
    <x v="85"/>
    <x v="4"/>
  </r>
  <r>
    <x v="37"/>
    <x v="38"/>
    <x v="0"/>
  </r>
  <r>
    <x v="42"/>
    <x v="44"/>
    <x v="2"/>
  </r>
  <r>
    <x v="26"/>
    <x v="25"/>
    <x v="1"/>
  </r>
  <r>
    <x v="33"/>
    <x v="34"/>
    <x v="2"/>
  </r>
  <r>
    <x v="27"/>
    <x v="21"/>
    <x v="4"/>
  </r>
  <r>
    <x v="16"/>
    <x v="3"/>
    <x v="0"/>
  </r>
  <r>
    <x v="78"/>
    <x v="86"/>
    <x v="2"/>
  </r>
  <r>
    <x v="79"/>
    <x v="87"/>
    <x v="12"/>
  </r>
  <r>
    <x v="80"/>
    <x v="88"/>
    <x v="12"/>
  </r>
  <r>
    <x v="81"/>
    <x v="89"/>
    <x v="3"/>
  </r>
  <r>
    <x v="43"/>
    <x v="45"/>
    <x v="2"/>
  </r>
  <r>
    <x v="47"/>
    <x v="49"/>
    <x v="2"/>
  </r>
  <r>
    <x v="5"/>
    <x v="5"/>
    <x v="2"/>
  </r>
  <r>
    <x v="11"/>
    <x v="11"/>
    <x v="2"/>
  </r>
  <r>
    <x v="37"/>
    <x v="38"/>
    <x v="0"/>
  </r>
  <r>
    <x v="8"/>
    <x v="8"/>
    <x v="0"/>
  </r>
  <r>
    <x v="27"/>
    <x v="21"/>
    <x v="0"/>
  </r>
  <r>
    <x v="6"/>
    <x v="6"/>
    <x v="2"/>
  </r>
  <r>
    <x v="6"/>
    <x v="6"/>
    <x v="0"/>
  </r>
  <r>
    <x v="21"/>
    <x v="20"/>
    <x v="2"/>
  </r>
  <r>
    <x v="9"/>
    <x v="9"/>
    <x v="15"/>
  </r>
  <r>
    <x v="5"/>
    <x v="5"/>
    <x v="15"/>
  </r>
  <r>
    <x v="46"/>
    <x v="48"/>
    <x v="15"/>
  </r>
  <r>
    <x v="31"/>
    <x v="30"/>
    <x v="16"/>
  </r>
  <r>
    <x v="16"/>
    <x v="3"/>
    <x v="0"/>
  </r>
  <r>
    <x v="82"/>
    <x v="90"/>
    <x v="2"/>
  </r>
  <r>
    <x v="83"/>
    <x v="91"/>
    <x v="0"/>
  </r>
  <r>
    <x v="84"/>
    <x v="92"/>
    <x v="17"/>
  </r>
  <r>
    <x v="85"/>
    <x v="93"/>
    <x v="1"/>
  </r>
  <r>
    <x v="86"/>
    <x v="94"/>
    <x v="3"/>
  </r>
  <r>
    <x v="87"/>
    <x v="95"/>
    <x v="1"/>
  </r>
  <r>
    <x v="88"/>
    <x v="96"/>
    <x v="1"/>
  </r>
  <r>
    <x v="89"/>
    <x v="97"/>
    <x v="1"/>
  </r>
  <r>
    <x v="90"/>
    <x v="98"/>
    <x v="1"/>
  </r>
  <r>
    <x v="91"/>
    <x v="99"/>
    <x v="16"/>
  </r>
  <r>
    <x v="92"/>
    <x v="3"/>
    <x v="18"/>
  </r>
  <r>
    <x v="3"/>
    <x v="3"/>
    <x v="0"/>
  </r>
  <r>
    <x v="2"/>
    <x v="2"/>
    <x v="19"/>
  </r>
  <r>
    <x v="3"/>
    <x v="3"/>
    <x v="0"/>
  </r>
  <r>
    <x v="7"/>
    <x v="7"/>
    <x v="2"/>
  </r>
  <r>
    <x v="28"/>
    <x v="27"/>
    <x v="2"/>
  </r>
  <r>
    <x v="27"/>
    <x v="21"/>
    <x v="2"/>
  </r>
  <r>
    <x v="47"/>
    <x v="49"/>
    <x v="2"/>
  </r>
  <r>
    <x v="5"/>
    <x v="5"/>
    <x v="8"/>
  </r>
  <r>
    <x v="49"/>
    <x v="100"/>
    <x v="8"/>
  </r>
  <r>
    <x v="5"/>
    <x v="5"/>
    <x v="8"/>
  </r>
  <r>
    <x v="50"/>
    <x v="101"/>
    <x v="8"/>
  </r>
  <r>
    <x v="93"/>
    <x v="102"/>
    <x v="0"/>
  </r>
  <r>
    <x v="94"/>
    <x v="103"/>
    <x v="2"/>
  </r>
  <r>
    <x v="95"/>
    <x v="104"/>
    <x v="0"/>
  </r>
  <r>
    <x v="96"/>
    <x v="105"/>
    <x v="0"/>
  </r>
  <r>
    <x v="16"/>
    <x v="3"/>
    <x v="0"/>
  </r>
  <r>
    <x v="21"/>
    <x v="20"/>
    <x v="0"/>
  </r>
  <r>
    <x v="28"/>
    <x v="27"/>
    <x v="4"/>
  </r>
  <r>
    <x v="19"/>
    <x v="106"/>
    <x v="0"/>
  </r>
  <r>
    <x v="97"/>
    <x v="107"/>
    <x v="0"/>
  </r>
  <r>
    <x v="98"/>
    <x v="108"/>
    <x v="3"/>
  </r>
  <r>
    <x v="99"/>
    <x v="109"/>
    <x v="3"/>
  </r>
  <r>
    <x v="100"/>
    <x v="110"/>
    <x v="3"/>
  </r>
  <r>
    <x v="22"/>
    <x v="21"/>
    <x v="1"/>
  </r>
  <r>
    <x v="3"/>
    <x v="3"/>
    <x v="0"/>
  </r>
  <r>
    <x v="21"/>
    <x v="20"/>
    <x v="0"/>
  </r>
  <r>
    <x v="5"/>
    <x v="5"/>
    <x v="0"/>
  </r>
  <r>
    <x v="33"/>
    <x v="34"/>
    <x v="0"/>
  </r>
  <r>
    <x v="6"/>
    <x v="6"/>
    <x v="8"/>
  </r>
  <r>
    <x v="27"/>
    <x v="21"/>
    <x v="0"/>
  </r>
  <r>
    <x v="27"/>
    <x v="21"/>
    <x v="0"/>
  </r>
  <r>
    <x v="22"/>
    <x v="21"/>
    <x v="0"/>
  </r>
  <r>
    <x v="101"/>
    <x v="111"/>
    <x v="2"/>
  </r>
  <r>
    <x v="58"/>
    <x v="61"/>
    <x v="0"/>
  </r>
  <r>
    <x v="15"/>
    <x v="112"/>
    <x v="2"/>
  </r>
  <r>
    <x v="6"/>
    <x v="6"/>
    <x v="2"/>
  </r>
  <r>
    <x v="26"/>
    <x v="25"/>
    <x v="0"/>
  </r>
  <r>
    <x v="28"/>
    <x v="27"/>
    <x v="4"/>
  </r>
  <r>
    <x v="36"/>
    <x v="37"/>
    <x v="0"/>
  </r>
  <r>
    <x v="45"/>
    <x v="47"/>
    <x v="0"/>
  </r>
  <r>
    <x v="5"/>
    <x v="5"/>
    <x v="0"/>
  </r>
  <r>
    <x v="102"/>
    <x v="113"/>
    <x v="0"/>
  </r>
  <r>
    <x v="16"/>
    <x v="3"/>
    <x v="0"/>
  </r>
</pivotCacheRecords>
</file>

<file path=xl/pivotCache/pivotCacheRecords22.xml><?xml version="1.0" encoding="utf-8"?>
<pivotCacheRecords xmlns:r="http://schemas.openxmlformats.org/officeDocument/2006/relationships" xmlns="http://schemas.openxmlformats.org/spreadsheetml/2006/main" count="341">
  <r>
    <x v="0"/>
    <x v="0"/>
    <x v="0"/>
    <x v="0"/>
    <x v="0"/>
  </r>
  <r>
    <x v="1"/>
    <x v="1"/>
    <x v="0"/>
    <x v="1"/>
    <x v="1"/>
  </r>
  <r>
    <x v="2"/>
    <x v="2"/>
    <x v="1"/>
    <x v="2"/>
    <x v="2"/>
  </r>
  <r>
    <x v="3"/>
    <x v="3"/>
    <x v="0"/>
    <x v="3"/>
    <x v="3"/>
  </r>
  <r>
    <x v="4"/>
    <x v="4"/>
    <x v="2"/>
    <x v="4"/>
    <x v="4"/>
  </r>
  <r>
    <x v="5"/>
    <x v="5"/>
    <x v="2"/>
    <x v="5"/>
    <x v="5"/>
  </r>
  <r>
    <x v="6"/>
    <x v="6"/>
    <x v="3"/>
    <x v="5"/>
    <x v="5"/>
  </r>
  <r>
    <x v="7"/>
    <x v="7"/>
    <x v="3"/>
    <x v="5"/>
    <x v="5"/>
  </r>
  <r>
    <x v="8"/>
    <x v="8"/>
    <x v="3"/>
    <x v="5"/>
    <x v="5"/>
  </r>
  <r>
    <x v="9"/>
    <x v="9"/>
    <x v="1"/>
    <x v="6"/>
    <x v="6"/>
  </r>
  <r>
    <x v="5"/>
    <x v="5"/>
    <x v="1"/>
    <x v="5"/>
    <x v="5"/>
  </r>
  <r>
    <x v="10"/>
    <x v="10"/>
    <x v="1"/>
    <x v="1"/>
    <x v="7"/>
  </r>
  <r>
    <x v="11"/>
    <x v="11"/>
    <x v="1"/>
    <x v="5"/>
    <x v="5"/>
  </r>
  <r>
    <x v="12"/>
    <x v="12"/>
    <x v="4"/>
    <x v="5"/>
    <x v="5"/>
  </r>
  <r>
    <x v="13"/>
    <x v="13"/>
    <x v="0"/>
    <x v="5"/>
    <x v="5"/>
  </r>
  <r>
    <x v="14"/>
    <x v="14"/>
    <x v="0"/>
    <x v="7"/>
    <x v="8"/>
  </r>
  <r>
    <x v="14"/>
    <x v="14"/>
    <x v="0"/>
    <x v="7"/>
    <x v="8"/>
  </r>
  <r>
    <x v="15"/>
    <x v="15"/>
    <x v="2"/>
    <x v="8"/>
    <x v="9"/>
  </r>
  <r>
    <x v="16"/>
    <x v="3"/>
    <x v="0"/>
    <x v="9"/>
    <x v="10"/>
  </r>
  <r>
    <x v="13"/>
    <x v="13"/>
    <x v="0"/>
    <x v="10"/>
    <x v="11"/>
  </r>
  <r>
    <x v="17"/>
    <x v="16"/>
    <x v="2"/>
    <x v="11"/>
    <x v="12"/>
  </r>
  <r>
    <x v="3"/>
    <x v="3"/>
    <x v="0"/>
    <x v="12"/>
    <x v="13"/>
  </r>
  <r>
    <x v="18"/>
    <x v="17"/>
    <x v="2"/>
    <x v="5"/>
    <x v="5"/>
  </r>
  <r>
    <x v="19"/>
    <x v="18"/>
    <x v="0"/>
    <x v="5"/>
    <x v="5"/>
  </r>
  <r>
    <x v="20"/>
    <x v="19"/>
    <x v="0"/>
    <x v="13"/>
    <x v="14"/>
  </r>
  <r>
    <x v="6"/>
    <x v="6"/>
    <x v="0"/>
    <x v="5"/>
    <x v="5"/>
  </r>
  <r>
    <x v="21"/>
    <x v="20"/>
    <x v="2"/>
    <x v="13"/>
    <x v="15"/>
  </r>
  <r>
    <x v="22"/>
    <x v="21"/>
    <x v="0"/>
    <x v="14"/>
    <x v="16"/>
  </r>
  <r>
    <x v="23"/>
    <x v="22"/>
    <x v="0"/>
    <x v="15"/>
    <x v="17"/>
  </r>
  <r>
    <x v="24"/>
    <x v="23"/>
    <x v="0"/>
    <x v="16"/>
    <x v="18"/>
  </r>
  <r>
    <x v="3"/>
    <x v="3"/>
    <x v="0"/>
    <x v="17"/>
    <x v="19"/>
  </r>
  <r>
    <x v="21"/>
    <x v="20"/>
    <x v="1"/>
    <x v="13"/>
    <x v="20"/>
  </r>
  <r>
    <x v="25"/>
    <x v="24"/>
    <x v="2"/>
    <x v="18"/>
    <x v="21"/>
  </r>
  <r>
    <x v="26"/>
    <x v="25"/>
    <x v="0"/>
    <x v="19"/>
    <x v="22"/>
  </r>
  <r>
    <x v="7"/>
    <x v="7"/>
    <x v="2"/>
    <x v="20"/>
    <x v="23"/>
  </r>
  <r>
    <x v="24"/>
    <x v="23"/>
    <x v="0"/>
    <x v="16"/>
    <x v="18"/>
  </r>
  <r>
    <x v="26"/>
    <x v="25"/>
    <x v="0"/>
    <x v="19"/>
    <x v="22"/>
  </r>
  <r>
    <x v="2"/>
    <x v="2"/>
    <x v="0"/>
    <x v="21"/>
    <x v="24"/>
  </r>
  <r>
    <x v="21"/>
    <x v="20"/>
    <x v="2"/>
    <x v="22"/>
    <x v="25"/>
  </r>
  <r>
    <x v="3"/>
    <x v="3"/>
    <x v="0"/>
    <x v="23"/>
    <x v="26"/>
  </r>
  <r>
    <x v="19"/>
    <x v="26"/>
    <x v="0"/>
    <x v="5"/>
    <x v="5"/>
  </r>
  <r>
    <x v="3"/>
    <x v="3"/>
    <x v="0"/>
    <x v="24"/>
    <x v="27"/>
  </r>
  <r>
    <x v="26"/>
    <x v="25"/>
    <x v="0"/>
    <x v="19"/>
    <x v="22"/>
  </r>
  <r>
    <x v="27"/>
    <x v="21"/>
    <x v="0"/>
    <x v="19"/>
    <x v="22"/>
  </r>
  <r>
    <x v="28"/>
    <x v="27"/>
    <x v="0"/>
    <x v="25"/>
    <x v="28"/>
  </r>
  <r>
    <x v="29"/>
    <x v="28"/>
    <x v="1"/>
    <x v="26"/>
    <x v="29"/>
  </r>
  <r>
    <x v="30"/>
    <x v="29"/>
    <x v="0"/>
    <x v="27"/>
    <x v="30"/>
  </r>
  <r>
    <x v="0"/>
    <x v="0"/>
    <x v="0"/>
    <x v="0"/>
    <x v="0"/>
  </r>
  <r>
    <x v="31"/>
    <x v="30"/>
    <x v="0"/>
    <x v="1"/>
    <x v="1"/>
  </r>
  <r>
    <x v="32"/>
    <x v="31"/>
    <x v="0"/>
    <x v="28"/>
    <x v="31"/>
  </r>
  <r>
    <x v="19"/>
    <x v="32"/>
    <x v="0"/>
    <x v="5"/>
    <x v="5"/>
  </r>
  <r>
    <x v="19"/>
    <x v="33"/>
    <x v="0"/>
    <x v="5"/>
    <x v="5"/>
  </r>
  <r>
    <x v="26"/>
    <x v="25"/>
    <x v="0"/>
    <x v="19"/>
    <x v="22"/>
  </r>
  <r>
    <x v="21"/>
    <x v="20"/>
    <x v="2"/>
    <x v="13"/>
    <x v="15"/>
  </r>
  <r>
    <x v="7"/>
    <x v="7"/>
    <x v="0"/>
    <x v="20"/>
    <x v="32"/>
  </r>
  <r>
    <x v="20"/>
    <x v="19"/>
    <x v="0"/>
    <x v="13"/>
    <x v="14"/>
  </r>
  <r>
    <x v="6"/>
    <x v="6"/>
    <x v="0"/>
    <x v="5"/>
    <x v="5"/>
  </r>
  <r>
    <x v="27"/>
    <x v="21"/>
    <x v="0"/>
    <x v="19"/>
    <x v="22"/>
  </r>
  <r>
    <x v="33"/>
    <x v="34"/>
    <x v="0"/>
    <x v="29"/>
    <x v="33"/>
  </r>
  <r>
    <x v="32"/>
    <x v="31"/>
    <x v="0"/>
    <x v="28"/>
    <x v="31"/>
  </r>
  <r>
    <x v="34"/>
    <x v="35"/>
    <x v="0"/>
    <x v="7"/>
    <x v="8"/>
  </r>
  <r>
    <x v="28"/>
    <x v="27"/>
    <x v="2"/>
    <x v="25"/>
    <x v="34"/>
  </r>
  <r>
    <x v="26"/>
    <x v="25"/>
    <x v="0"/>
    <x v="30"/>
    <x v="35"/>
  </r>
  <r>
    <x v="35"/>
    <x v="36"/>
    <x v="0"/>
    <x v="31"/>
    <x v="36"/>
  </r>
  <r>
    <x v="22"/>
    <x v="21"/>
    <x v="0"/>
    <x v="14"/>
    <x v="16"/>
  </r>
  <r>
    <x v="30"/>
    <x v="29"/>
    <x v="0"/>
    <x v="27"/>
    <x v="30"/>
  </r>
  <r>
    <x v="7"/>
    <x v="7"/>
    <x v="5"/>
    <x v="20"/>
    <x v="37"/>
  </r>
  <r>
    <x v="27"/>
    <x v="21"/>
    <x v="0"/>
    <x v="19"/>
    <x v="22"/>
  </r>
  <r>
    <x v="22"/>
    <x v="21"/>
    <x v="0"/>
    <x v="32"/>
    <x v="38"/>
  </r>
  <r>
    <x v="33"/>
    <x v="34"/>
    <x v="0"/>
    <x v="29"/>
    <x v="33"/>
  </r>
  <r>
    <x v="4"/>
    <x v="4"/>
    <x v="0"/>
    <x v="33"/>
    <x v="39"/>
  </r>
  <r>
    <x v="5"/>
    <x v="5"/>
    <x v="0"/>
    <x v="5"/>
    <x v="5"/>
  </r>
  <r>
    <x v="7"/>
    <x v="7"/>
    <x v="1"/>
    <x v="5"/>
    <x v="5"/>
  </r>
  <r>
    <x v="6"/>
    <x v="6"/>
    <x v="2"/>
    <x v="5"/>
    <x v="5"/>
  </r>
  <r>
    <x v="8"/>
    <x v="8"/>
    <x v="4"/>
    <x v="5"/>
    <x v="5"/>
  </r>
  <r>
    <x v="20"/>
    <x v="19"/>
    <x v="2"/>
    <x v="13"/>
    <x v="15"/>
  </r>
  <r>
    <x v="16"/>
    <x v="3"/>
    <x v="0"/>
    <x v="34"/>
    <x v="40"/>
  </r>
  <r>
    <x v="36"/>
    <x v="37"/>
    <x v="0"/>
    <x v="35"/>
    <x v="41"/>
  </r>
  <r>
    <x v="37"/>
    <x v="38"/>
    <x v="0"/>
    <x v="36"/>
    <x v="42"/>
  </r>
  <r>
    <x v="25"/>
    <x v="24"/>
    <x v="0"/>
    <x v="36"/>
    <x v="42"/>
  </r>
  <r>
    <x v="38"/>
    <x v="39"/>
    <x v="0"/>
    <x v="37"/>
    <x v="43"/>
  </r>
  <r>
    <x v="39"/>
    <x v="40"/>
    <x v="0"/>
    <x v="5"/>
    <x v="5"/>
  </r>
  <r>
    <x v="40"/>
    <x v="41"/>
    <x v="0"/>
    <x v="2"/>
    <x v="44"/>
  </r>
  <r>
    <x v="3"/>
    <x v="3"/>
    <x v="0"/>
    <x v="38"/>
    <x v="45"/>
  </r>
  <r>
    <x v="22"/>
    <x v="21"/>
    <x v="0"/>
    <x v="5"/>
    <x v="5"/>
  </r>
  <r>
    <x v="33"/>
    <x v="34"/>
    <x v="2"/>
    <x v="29"/>
    <x v="46"/>
  </r>
  <r>
    <x v="21"/>
    <x v="20"/>
    <x v="2"/>
    <x v="13"/>
    <x v="15"/>
  </r>
  <r>
    <x v="20"/>
    <x v="19"/>
    <x v="0"/>
    <x v="13"/>
    <x v="14"/>
  </r>
  <r>
    <x v="6"/>
    <x v="6"/>
    <x v="0"/>
    <x v="5"/>
    <x v="5"/>
  </r>
  <r>
    <x v="7"/>
    <x v="7"/>
    <x v="2"/>
    <x v="20"/>
    <x v="23"/>
  </r>
  <r>
    <x v="6"/>
    <x v="6"/>
    <x v="2"/>
    <x v="20"/>
    <x v="23"/>
  </r>
  <r>
    <x v="33"/>
    <x v="34"/>
    <x v="2"/>
    <x v="29"/>
    <x v="46"/>
  </r>
  <r>
    <x v="21"/>
    <x v="20"/>
    <x v="1"/>
    <x v="13"/>
    <x v="20"/>
  </r>
  <r>
    <x v="36"/>
    <x v="37"/>
    <x v="1"/>
    <x v="39"/>
    <x v="47"/>
  </r>
  <r>
    <x v="41"/>
    <x v="42"/>
    <x v="1"/>
    <x v="5"/>
    <x v="5"/>
  </r>
  <r>
    <x v="39"/>
    <x v="40"/>
    <x v="1"/>
    <x v="0"/>
    <x v="48"/>
  </r>
  <r>
    <x v="37"/>
    <x v="38"/>
    <x v="1"/>
    <x v="18"/>
    <x v="49"/>
  </r>
  <r>
    <x v="16"/>
    <x v="3"/>
    <x v="0"/>
    <x v="40"/>
    <x v="50"/>
  </r>
  <r>
    <x v="6"/>
    <x v="6"/>
    <x v="0"/>
    <x v="5"/>
    <x v="5"/>
  </r>
  <r>
    <x v="19"/>
    <x v="43"/>
    <x v="0"/>
    <x v="5"/>
    <x v="5"/>
  </r>
  <r>
    <x v="42"/>
    <x v="44"/>
    <x v="3"/>
    <x v="41"/>
    <x v="51"/>
  </r>
  <r>
    <x v="16"/>
    <x v="3"/>
    <x v="0"/>
    <x v="42"/>
    <x v="52"/>
  </r>
  <r>
    <x v="26"/>
    <x v="25"/>
    <x v="0"/>
    <x v="19"/>
    <x v="22"/>
  </r>
  <r>
    <x v="43"/>
    <x v="45"/>
    <x v="0"/>
    <x v="43"/>
    <x v="53"/>
  </r>
  <r>
    <x v="44"/>
    <x v="46"/>
    <x v="0"/>
    <x v="44"/>
    <x v="54"/>
  </r>
  <r>
    <x v="5"/>
    <x v="5"/>
    <x v="0"/>
    <x v="5"/>
    <x v="5"/>
  </r>
  <r>
    <x v="11"/>
    <x v="11"/>
    <x v="0"/>
    <x v="5"/>
    <x v="5"/>
  </r>
  <r>
    <x v="32"/>
    <x v="31"/>
    <x v="2"/>
    <x v="28"/>
    <x v="55"/>
  </r>
  <r>
    <x v="25"/>
    <x v="24"/>
    <x v="2"/>
    <x v="18"/>
    <x v="21"/>
  </r>
  <r>
    <x v="37"/>
    <x v="38"/>
    <x v="2"/>
    <x v="18"/>
    <x v="21"/>
  </r>
  <r>
    <x v="17"/>
    <x v="16"/>
    <x v="0"/>
    <x v="11"/>
    <x v="56"/>
  </r>
  <r>
    <x v="13"/>
    <x v="13"/>
    <x v="0"/>
    <x v="10"/>
    <x v="11"/>
  </r>
  <r>
    <x v="7"/>
    <x v="7"/>
    <x v="0"/>
    <x v="20"/>
    <x v="32"/>
  </r>
  <r>
    <x v="15"/>
    <x v="15"/>
    <x v="3"/>
    <x v="45"/>
    <x v="57"/>
  </r>
  <r>
    <x v="3"/>
    <x v="3"/>
    <x v="0"/>
    <x v="46"/>
    <x v="58"/>
  </r>
  <r>
    <x v="2"/>
    <x v="2"/>
    <x v="4"/>
    <x v="2"/>
    <x v="59"/>
  </r>
  <r>
    <x v="3"/>
    <x v="3"/>
    <x v="0"/>
    <x v="47"/>
    <x v="60"/>
  </r>
  <r>
    <x v="45"/>
    <x v="47"/>
    <x v="2"/>
    <x v="1"/>
    <x v="61"/>
  </r>
  <r>
    <x v="9"/>
    <x v="9"/>
    <x v="2"/>
    <x v="6"/>
    <x v="62"/>
  </r>
  <r>
    <x v="5"/>
    <x v="5"/>
    <x v="2"/>
    <x v="5"/>
    <x v="5"/>
  </r>
  <r>
    <x v="46"/>
    <x v="48"/>
    <x v="2"/>
    <x v="5"/>
    <x v="5"/>
  </r>
  <r>
    <x v="11"/>
    <x v="11"/>
    <x v="2"/>
    <x v="5"/>
    <x v="5"/>
  </r>
  <r>
    <x v="47"/>
    <x v="49"/>
    <x v="2"/>
    <x v="48"/>
    <x v="63"/>
  </r>
  <r>
    <x v="34"/>
    <x v="35"/>
    <x v="0"/>
    <x v="7"/>
    <x v="8"/>
  </r>
  <r>
    <x v="6"/>
    <x v="6"/>
    <x v="2"/>
    <x v="20"/>
    <x v="23"/>
  </r>
  <r>
    <x v="2"/>
    <x v="2"/>
    <x v="0"/>
    <x v="21"/>
    <x v="24"/>
  </r>
  <r>
    <x v="43"/>
    <x v="45"/>
    <x v="2"/>
    <x v="43"/>
    <x v="64"/>
  </r>
  <r>
    <x v="44"/>
    <x v="46"/>
    <x v="2"/>
    <x v="44"/>
    <x v="65"/>
  </r>
  <r>
    <x v="5"/>
    <x v="5"/>
    <x v="2"/>
    <x v="5"/>
    <x v="5"/>
  </r>
  <r>
    <x v="11"/>
    <x v="11"/>
    <x v="2"/>
    <x v="5"/>
    <x v="5"/>
  </r>
  <r>
    <x v="15"/>
    <x v="15"/>
    <x v="2"/>
    <x v="8"/>
    <x v="9"/>
  </r>
  <r>
    <x v="6"/>
    <x v="6"/>
    <x v="2"/>
    <x v="20"/>
    <x v="23"/>
  </r>
  <r>
    <x v="7"/>
    <x v="7"/>
    <x v="1"/>
    <x v="20"/>
    <x v="66"/>
  </r>
  <r>
    <x v="21"/>
    <x v="20"/>
    <x v="0"/>
    <x v="13"/>
    <x v="14"/>
  </r>
  <r>
    <x v="21"/>
    <x v="20"/>
    <x v="2"/>
    <x v="13"/>
    <x v="15"/>
  </r>
  <r>
    <x v="48"/>
    <x v="50"/>
    <x v="0"/>
    <x v="49"/>
    <x v="67"/>
  </r>
  <r>
    <x v="3"/>
    <x v="3"/>
    <x v="0"/>
    <x v="50"/>
    <x v="68"/>
  </r>
  <r>
    <x v="49"/>
    <x v="51"/>
    <x v="1"/>
    <x v="51"/>
    <x v="69"/>
  </r>
  <r>
    <x v="5"/>
    <x v="5"/>
    <x v="1"/>
    <x v="5"/>
    <x v="5"/>
  </r>
  <r>
    <x v="6"/>
    <x v="6"/>
    <x v="1"/>
    <x v="5"/>
    <x v="5"/>
  </r>
  <r>
    <x v="50"/>
    <x v="52"/>
    <x v="1"/>
    <x v="52"/>
    <x v="70"/>
  </r>
  <r>
    <x v="24"/>
    <x v="23"/>
    <x v="0"/>
    <x v="53"/>
    <x v="71"/>
  </r>
  <r>
    <x v="3"/>
    <x v="3"/>
    <x v="0"/>
    <x v="54"/>
    <x v="72"/>
  </r>
  <r>
    <x v="51"/>
    <x v="53"/>
    <x v="0"/>
    <x v="26"/>
    <x v="73"/>
  </r>
  <r>
    <x v="47"/>
    <x v="49"/>
    <x v="2"/>
    <x v="55"/>
    <x v="74"/>
  </r>
  <r>
    <x v="23"/>
    <x v="22"/>
    <x v="4"/>
    <x v="15"/>
    <x v="75"/>
  </r>
  <r>
    <x v="31"/>
    <x v="30"/>
    <x v="0"/>
    <x v="1"/>
    <x v="1"/>
  </r>
  <r>
    <x v="52"/>
    <x v="54"/>
    <x v="2"/>
    <x v="15"/>
    <x v="76"/>
  </r>
  <r>
    <x v="19"/>
    <x v="55"/>
    <x v="0"/>
    <x v="5"/>
    <x v="5"/>
  </r>
  <r>
    <x v="46"/>
    <x v="48"/>
    <x v="1"/>
    <x v="5"/>
    <x v="5"/>
  </r>
  <r>
    <x v="53"/>
    <x v="56"/>
    <x v="2"/>
    <x v="5"/>
    <x v="5"/>
  </r>
  <r>
    <x v="54"/>
    <x v="57"/>
    <x v="2"/>
    <x v="5"/>
    <x v="5"/>
  </r>
  <r>
    <x v="55"/>
    <x v="58"/>
    <x v="1"/>
    <x v="5"/>
    <x v="5"/>
  </r>
  <r>
    <x v="56"/>
    <x v="59"/>
    <x v="0"/>
    <x v="5"/>
    <x v="5"/>
  </r>
  <r>
    <x v="57"/>
    <x v="60"/>
    <x v="0"/>
    <x v="5"/>
    <x v="5"/>
  </r>
  <r>
    <x v="58"/>
    <x v="61"/>
    <x v="2"/>
    <x v="56"/>
    <x v="77"/>
  </r>
  <r>
    <x v="59"/>
    <x v="62"/>
    <x v="6"/>
    <x v="57"/>
    <x v="78"/>
  </r>
  <r>
    <x v="60"/>
    <x v="63"/>
    <x v="3"/>
    <x v="58"/>
    <x v="79"/>
  </r>
  <r>
    <x v="26"/>
    <x v="25"/>
    <x v="0"/>
    <x v="59"/>
    <x v="80"/>
  </r>
  <r>
    <x v="13"/>
    <x v="13"/>
    <x v="4"/>
    <x v="60"/>
    <x v="81"/>
  </r>
  <r>
    <x v="9"/>
    <x v="9"/>
    <x v="0"/>
    <x v="51"/>
    <x v="82"/>
  </r>
  <r>
    <x v="5"/>
    <x v="5"/>
    <x v="0"/>
    <x v="5"/>
    <x v="5"/>
  </r>
  <r>
    <x v="46"/>
    <x v="48"/>
    <x v="0"/>
    <x v="5"/>
    <x v="5"/>
  </r>
  <r>
    <x v="8"/>
    <x v="8"/>
    <x v="0"/>
    <x v="5"/>
    <x v="5"/>
  </r>
  <r>
    <x v="11"/>
    <x v="11"/>
    <x v="0"/>
    <x v="5"/>
    <x v="5"/>
  </r>
  <r>
    <x v="22"/>
    <x v="21"/>
    <x v="4"/>
    <x v="61"/>
    <x v="83"/>
  </r>
  <r>
    <x v="3"/>
    <x v="3"/>
    <x v="0"/>
    <x v="62"/>
    <x v="84"/>
  </r>
  <r>
    <x v="15"/>
    <x v="15"/>
    <x v="1"/>
    <x v="8"/>
    <x v="85"/>
  </r>
  <r>
    <x v="19"/>
    <x v="64"/>
    <x v="0"/>
    <x v="5"/>
    <x v="5"/>
  </r>
  <r>
    <x v="61"/>
    <x v="65"/>
    <x v="0"/>
    <x v="55"/>
    <x v="86"/>
  </r>
  <r>
    <x v="37"/>
    <x v="38"/>
    <x v="0"/>
    <x v="18"/>
    <x v="87"/>
  </r>
  <r>
    <x v="15"/>
    <x v="15"/>
    <x v="2"/>
    <x v="8"/>
    <x v="9"/>
  </r>
  <r>
    <x v="6"/>
    <x v="6"/>
    <x v="2"/>
    <x v="20"/>
    <x v="23"/>
  </r>
  <r>
    <x v="15"/>
    <x v="15"/>
    <x v="1"/>
    <x v="8"/>
    <x v="85"/>
  </r>
  <r>
    <x v="6"/>
    <x v="6"/>
    <x v="1"/>
    <x v="20"/>
    <x v="66"/>
  </r>
  <r>
    <x v="20"/>
    <x v="19"/>
    <x v="0"/>
    <x v="13"/>
    <x v="14"/>
  </r>
  <r>
    <x v="6"/>
    <x v="6"/>
    <x v="0"/>
    <x v="20"/>
    <x v="32"/>
  </r>
  <r>
    <x v="32"/>
    <x v="31"/>
    <x v="2"/>
    <x v="28"/>
    <x v="55"/>
  </r>
  <r>
    <x v="5"/>
    <x v="5"/>
    <x v="0"/>
    <x v="1"/>
    <x v="1"/>
  </r>
  <r>
    <x v="5"/>
    <x v="5"/>
    <x v="0"/>
    <x v="1"/>
    <x v="1"/>
  </r>
  <r>
    <x v="27"/>
    <x v="21"/>
    <x v="0"/>
    <x v="19"/>
    <x v="22"/>
  </r>
  <r>
    <x v="62"/>
    <x v="66"/>
    <x v="2"/>
    <x v="63"/>
    <x v="88"/>
  </r>
  <r>
    <x v="20"/>
    <x v="19"/>
    <x v="1"/>
    <x v="22"/>
    <x v="89"/>
  </r>
  <r>
    <x v="6"/>
    <x v="6"/>
    <x v="1"/>
    <x v="5"/>
    <x v="5"/>
  </r>
  <r>
    <x v="18"/>
    <x v="17"/>
    <x v="2"/>
    <x v="5"/>
    <x v="5"/>
  </r>
  <r>
    <x v="3"/>
    <x v="3"/>
    <x v="0"/>
    <x v="64"/>
    <x v="90"/>
  </r>
  <r>
    <x v="43"/>
    <x v="45"/>
    <x v="3"/>
    <x v="43"/>
    <x v="91"/>
  </r>
  <r>
    <x v="5"/>
    <x v="5"/>
    <x v="3"/>
    <x v="5"/>
    <x v="5"/>
  </r>
  <r>
    <x v="7"/>
    <x v="7"/>
    <x v="3"/>
    <x v="5"/>
    <x v="5"/>
  </r>
  <r>
    <x v="6"/>
    <x v="6"/>
    <x v="7"/>
    <x v="5"/>
    <x v="5"/>
  </r>
  <r>
    <x v="37"/>
    <x v="38"/>
    <x v="4"/>
    <x v="65"/>
    <x v="92"/>
  </r>
  <r>
    <x v="15"/>
    <x v="15"/>
    <x v="1"/>
    <x v="8"/>
    <x v="85"/>
  </r>
  <r>
    <x v="6"/>
    <x v="6"/>
    <x v="8"/>
    <x v="66"/>
    <x v="93"/>
  </r>
  <r>
    <x v="52"/>
    <x v="54"/>
    <x v="9"/>
    <x v="15"/>
    <x v="94"/>
  </r>
  <r>
    <x v="0"/>
    <x v="0"/>
    <x v="1"/>
    <x v="0"/>
    <x v="48"/>
  </r>
  <r>
    <x v="20"/>
    <x v="19"/>
    <x v="0"/>
    <x v="13"/>
    <x v="14"/>
  </r>
  <r>
    <x v="63"/>
    <x v="67"/>
    <x v="0"/>
    <x v="5"/>
    <x v="5"/>
  </r>
  <r>
    <x v="64"/>
    <x v="68"/>
    <x v="1"/>
    <x v="5"/>
    <x v="5"/>
  </r>
  <r>
    <x v="31"/>
    <x v="30"/>
    <x v="10"/>
    <x v="1"/>
    <x v="95"/>
  </r>
  <r>
    <x v="0"/>
    <x v="0"/>
    <x v="11"/>
    <x v="0"/>
    <x v="96"/>
  </r>
  <r>
    <x v="65"/>
    <x v="69"/>
    <x v="0"/>
    <x v="67"/>
    <x v="97"/>
  </r>
  <r>
    <x v="24"/>
    <x v="23"/>
    <x v="0"/>
    <x v="16"/>
    <x v="18"/>
  </r>
  <r>
    <x v="37"/>
    <x v="38"/>
    <x v="8"/>
    <x v="65"/>
    <x v="98"/>
  </r>
  <r>
    <x v="26"/>
    <x v="25"/>
    <x v="0"/>
    <x v="19"/>
    <x v="22"/>
  </r>
  <r>
    <x v="36"/>
    <x v="37"/>
    <x v="0"/>
    <x v="39"/>
    <x v="99"/>
  </r>
  <r>
    <x v="10"/>
    <x v="10"/>
    <x v="0"/>
    <x v="5"/>
    <x v="5"/>
  </r>
  <r>
    <x v="33"/>
    <x v="34"/>
    <x v="0"/>
    <x v="29"/>
    <x v="33"/>
  </r>
  <r>
    <x v="26"/>
    <x v="25"/>
    <x v="2"/>
    <x v="19"/>
    <x v="100"/>
  </r>
  <r>
    <x v="15"/>
    <x v="15"/>
    <x v="1"/>
    <x v="8"/>
    <x v="85"/>
  </r>
  <r>
    <x v="6"/>
    <x v="6"/>
    <x v="1"/>
    <x v="20"/>
    <x v="66"/>
  </r>
  <r>
    <x v="66"/>
    <x v="70"/>
    <x v="0"/>
    <x v="68"/>
    <x v="101"/>
  </r>
  <r>
    <x v="8"/>
    <x v="8"/>
    <x v="0"/>
    <x v="10"/>
    <x v="11"/>
  </r>
  <r>
    <x v="11"/>
    <x v="11"/>
    <x v="0"/>
    <x v="5"/>
    <x v="5"/>
  </r>
  <r>
    <x v="3"/>
    <x v="3"/>
    <x v="0"/>
    <x v="69"/>
    <x v="102"/>
  </r>
  <r>
    <x v="67"/>
    <x v="71"/>
    <x v="0"/>
    <x v="70"/>
    <x v="103"/>
  </r>
  <r>
    <x v="8"/>
    <x v="8"/>
    <x v="0"/>
    <x v="10"/>
    <x v="11"/>
  </r>
  <r>
    <x v="3"/>
    <x v="3"/>
    <x v="0"/>
    <x v="71"/>
    <x v="104"/>
  </r>
  <r>
    <x v="2"/>
    <x v="2"/>
    <x v="2"/>
    <x v="21"/>
    <x v="105"/>
  </r>
  <r>
    <x v="15"/>
    <x v="15"/>
    <x v="4"/>
    <x v="8"/>
    <x v="106"/>
  </r>
  <r>
    <x v="6"/>
    <x v="6"/>
    <x v="4"/>
    <x v="20"/>
    <x v="107"/>
  </r>
  <r>
    <x v="2"/>
    <x v="2"/>
    <x v="0"/>
    <x v="21"/>
    <x v="24"/>
  </r>
  <r>
    <x v="2"/>
    <x v="2"/>
    <x v="2"/>
    <x v="21"/>
    <x v="105"/>
  </r>
  <r>
    <x v="2"/>
    <x v="2"/>
    <x v="7"/>
    <x v="25"/>
    <x v="108"/>
  </r>
  <r>
    <x v="9"/>
    <x v="72"/>
    <x v="8"/>
    <x v="72"/>
    <x v="109"/>
  </r>
  <r>
    <x v="5"/>
    <x v="5"/>
    <x v="8"/>
    <x v="5"/>
    <x v="5"/>
  </r>
  <r>
    <x v="46"/>
    <x v="48"/>
    <x v="8"/>
    <x v="5"/>
    <x v="5"/>
  </r>
  <r>
    <x v="42"/>
    <x v="44"/>
    <x v="12"/>
    <x v="41"/>
    <x v="110"/>
  </r>
  <r>
    <x v="68"/>
    <x v="73"/>
    <x v="13"/>
    <x v="73"/>
    <x v="111"/>
  </r>
  <r>
    <x v="16"/>
    <x v="3"/>
    <x v="0"/>
    <x v="74"/>
    <x v="112"/>
  </r>
  <r>
    <x v="21"/>
    <x v="20"/>
    <x v="2"/>
    <x v="13"/>
    <x v="15"/>
  </r>
  <r>
    <x v="32"/>
    <x v="31"/>
    <x v="2"/>
    <x v="28"/>
    <x v="55"/>
  </r>
  <r>
    <x v="25"/>
    <x v="24"/>
    <x v="2"/>
    <x v="18"/>
    <x v="21"/>
  </r>
  <r>
    <x v="33"/>
    <x v="34"/>
    <x v="0"/>
    <x v="75"/>
    <x v="113"/>
  </r>
  <r>
    <x v="21"/>
    <x v="20"/>
    <x v="2"/>
    <x v="76"/>
    <x v="114"/>
  </r>
  <r>
    <x v="26"/>
    <x v="25"/>
    <x v="0"/>
    <x v="19"/>
    <x v="22"/>
  </r>
  <r>
    <x v="24"/>
    <x v="23"/>
    <x v="0"/>
    <x v="16"/>
    <x v="18"/>
  </r>
  <r>
    <x v="58"/>
    <x v="61"/>
    <x v="2"/>
    <x v="77"/>
    <x v="115"/>
  </r>
  <r>
    <x v="69"/>
    <x v="74"/>
    <x v="3"/>
    <x v="78"/>
    <x v="116"/>
  </r>
  <r>
    <x v="70"/>
    <x v="75"/>
    <x v="3"/>
    <x v="0"/>
    <x v="117"/>
  </r>
  <r>
    <x v="71"/>
    <x v="76"/>
    <x v="4"/>
    <x v="28"/>
    <x v="118"/>
  </r>
  <r>
    <x v="72"/>
    <x v="77"/>
    <x v="0"/>
    <x v="79"/>
    <x v="119"/>
  </r>
  <r>
    <x v="73"/>
    <x v="78"/>
    <x v="0"/>
    <x v="80"/>
    <x v="120"/>
  </r>
  <r>
    <x v="3"/>
    <x v="3"/>
    <x v="0"/>
    <x v="81"/>
    <x v="121"/>
  </r>
  <r>
    <x v="74"/>
    <x v="79"/>
    <x v="1"/>
    <x v="82"/>
    <x v="122"/>
  </r>
  <r>
    <x v="75"/>
    <x v="80"/>
    <x v="3"/>
    <x v="5"/>
    <x v="5"/>
  </r>
  <r>
    <x v="76"/>
    <x v="81"/>
    <x v="3"/>
    <x v="5"/>
    <x v="5"/>
  </r>
  <r>
    <x v="46"/>
    <x v="48"/>
    <x v="1"/>
    <x v="5"/>
    <x v="5"/>
  </r>
  <r>
    <x v="3"/>
    <x v="3"/>
    <x v="0"/>
    <x v="83"/>
    <x v="123"/>
  </r>
  <r>
    <x v="77"/>
    <x v="82"/>
    <x v="8"/>
    <x v="84"/>
    <x v="124"/>
  </r>
  <r>
    <x v="49"/>
    <x v="83"/>
    <x v="14"/>
    <x v="72"/>
    <x v="125"/>
  </r>
  <r>
    <x v="5"/>
    <x v="5"/>
    <x v="7"/>
    <x v="5"/>
    <x v="5"/>
  </r>
  <r>
    <x v="24"/>
    <x v="23"/>
    <x v="0"/>
    <x v="53"/>
    <x v="71"/>
  </r>
  <r>
    <x v="16"/>
    <x v="3"/>
    <x v="0"/>
    <x v="85"/>
    <x v="126"/>
  </r>
  <r>
    <x v="22"/>
    <x v="21"/>
    <x v="0"/>
    <x v="86"/>
    <x v="127"/>
  </r>
  <r>
    <x v="21"/>
    <x v="20"/>
    <x v="2"/>
    <x v="13"/>
    <x v="15"/>
  </r>
  <r>
    <x v="43"/>
    <x v="45"/>
    <x v="3"/>
    <x v="87"/>
    <x v="128"/>
  </r>
  <r>
    <x v="5"/>
    <x v="5"/>
    <x v="3"/>
    <x v="5"/>
    <x v="5"/>
  </r>
  <r>
    <x v="7"/>
    <x v="7"/>
    <x v="3"/>
    <x v="5"/>
    <x v="5"/>
  </r>
  <r>
    <x v="6"/>
    <x v="6"/>
    <x v="3"/>
    <x v="5"/>
    <x v="5"/>
  </r>
  <r>
    <x v="8"/>
    <x v="8"/>
    <x v="1"/>
    <x v="5"/>
    <x v="5"/>
  </r>
  <r>
    <x v="13"/>
    <x v="84"/>
    <x v="0"/>
    <x v="5"/>
    <x v="5"/>
  </r>
  <r>
    <x v="14"/>
    <x v="85"/>
    <x v="4"/>
    <x v="88"/>
    <x v="129"/>
  </r>
  <r>
    <x v="37"/>
    <x v="38"/>
    <x v="0"/>
    <x v="36"/>
    <x v="42"/>
  </r>
  <r>
    <x v="42"/>
    <x v="44"/>
    <x v="2"/>
    <x v="41"/>
    <x v="130"/>
  </r>
  <r>
    <x v="26"/>
    <x v="25"/>
    <x v="1"/>
    <x v="59"/>
    <x v="131"/>
  </r>
  <r>
    <x v="33"/>
    <x v="34"/>
    <x v="2"/>
    <x v="89"/>
    <x v="132"/>
  </r>
  <r>
    <x v="27"/>
    <x v="21"/>
    <x v="4"/>
    <x v="59"/>
    <x v="133"/>
  </r>
  <r>
    <x v="16"/>
    <x v="3"/>
    <x v="0"/>
    <x v="90"/>
    <x v="134"/>
  </r>
  <r>
    <x v="78"/>
    <x v="86"/>
    <x v="2"/>
    <x v="5"/>
    <x v="5"/>
  </r>
  <r>
    <x v="79"/>
    <x v="87"/>
    <x v="12"/>
    <x v="5"/>
    <x v="5"/>
  </r>
  <r>
    <x v="80"/>
    <x v="88"/>
    <x v="12"/>
    <x v="5"/>
    <x v="5"/>
  </r>
  <r>
    <x v="81"/>
    <x v="89"/>
    <x v="3"/>
    <x v="5"/>
    <x v="5"/>
  </r>
  <r>
    <x v="43"/>
    <x v="45"/>
    <x v="2"/>
    <x v="43"/>
    <x v="64"/>
  </r>
  <r>
    <x v="47"/>
    <x v="49"/>
    <x v="2"/>
    <x v="48"/>
    <x v="63"/>
  </r>
  <r>
    <x v="5"/>
    <x v="5"/>
    <x v="2"/>
    <x v="5"/>
    <x v="5"/>
  </r>
  <r>
    <x v="11"/>
    <x v="11"/>
    <x v="2"/>
    <x v="5"/>
    <x v="5"/>
  </r>
  <r>
    <x v="37"/>
    <x v="38"/>
    <x v="0"/>
    <x v="18"/>
    <x v="87"/>
  </r>
  <r>
    <x v="8"/>
    <x v="8"/>
    <x v="0"/>
    <x v="10"/>
    <x v="11"/>
  </r>
  <r>
    <x v="27"/>
    <x v="21"/>
    <x v="0"/>
    <x v="19"/>
    <x v="22"/>
  </r>
  <r>
    <x v="6"/>
    <x v="6"/>
    <x v="2"/>
    <x v="20"/>
    <x v="23"/>
  </r>
  <r>
    <x v="6"/>
    <x v="6"/>
    <x v="0"/>
    <x v="20"/>
    <x v="32"/>
  </r>
  <r>
    <x v="21"/>
    <x v="20"/>
    <x v="2"/>
    <x v="13"/>
    <x v="15"/>
  </r>
  <r>
    <x v="9"/>
    <x v="9"/>
    <x v="15"/>
    <x v="72"/>
    <x v="135"/>
  </r>
  <r>
    <x v="5"/>
    <x v="5"/>
    <x v="15"/>
    <x v="5"/>
    <x v="5"/>
  </r>
  <r>
    <x v="46"/>
    <x v="48"/>
    <x v="15"/>
    <x v="5"/>
    <x v="5"/>
  </r>
  <r>
    <x v="31"/>
    <x v="30"/>
    <x v="16"/>
    <x v="91"/>
    <x v="136"/>
  </r>
  <r>
    <x v="16"/>
    <x v="3"/>
    <x v="0"/>
    <x v="92"/>
    <x v="137"/>
  </r>
  <r>
    <x v="82"/>
    <x v="90"/>
    <x v="2"/>
    <x v="5"/>
    <x v="5"/>
  </r>
  <r>
    <x v="83"/>
    <x v="91"/>
    <x v="0"/>
    <x v="5"/>
    <x v="5"/>
  </r>
  <r>
    <x v="84"/>
    <x v="92"/>
    <x v="17"/>
    <x v="50"/>
    <x v="138"/>
  </r>
  <r>
    <x v="85"/>
    <x v="93"/>
    <x v="1"/>
    <x v="93"/>
    <x v="139"/>
  </r>
  <r>
    <x v="86"/>
    <x v="94"/>
    <x v="3"/>
    <x v="36"/>
    <x v="140"/>
  </r>
  <r>
    <x v="87"/>
    <x v="95"/>
    <x v="1"/>
    <x v="41"/>
    <x v="141"/>
  </r>
  <r>
    <x v="88"/>
    <x v="96"/>
    <x v="1"/>
    <x v="94"/>
    <x v="142"/>
  </r>
  <r>
    <x v="89"/>
    <x v="97"/>
    <x v="1"/>
    <x v="60"/>
    <x v="143"/>
  </r>
  <r>
    <x v="90"/>
    <x v="98"/>
    <x v="1"/>
    <x v="95"/>
    <x v="144"/>
  </r>
  <r>
    <x v="91"/>
    <x v="99"/>
    <x v="16"/>
    <x v="96"/>
    <x v="145"/>
  </r>
  <r>
    <x v="92"/>
    <x v="3"/>
    <x v="18"/>
    <x v="97"/>
    <x v="146"/>
  </r>
  <r>
    <x v="3"/>
    <x v="3"/>
    <x v="0"/>
    <x v="98"/>
    <x v="147"/>
  </r>
  <r>
    <x v="2"/>
    <x v="2"/>
    <x v="19"/>
    <x v="44"/>
    <x v="148"/>
  </r>
  <r>
    <x v="3"/>
    <x v="3"/>
    <x v="0"/>
    <x v="99"/>
    <x v="149"/>
  </r>
  <r>
    <x v="7"/>
    <x v="7"/>
    <x v="2"/>
    <x v="20"/>
    <x v="23"/>
  </r>
  <r>
    <x v="28"/>
    <x v="27"/>
    <x v="2"/>
    <x v="25"/>
    <x v="34"/>
  </r>
  <r>
    <x v="27"/>
    <x v="21"/>
    <x v="2"/>
    <x v="19"/>
    <x v="100"/>
  </r>
  <r>
    <x v="47"/>
    <x v="49"/>
    <x v="2"/>
    <x v="55"/>
    <x v="74"/>
  </r>
  <r>
    <x v="5"/>
    <x v="5"/>
    <x v="8"/>
    <x v="1"/>
    <x v="150"/>
  </r>
  <r>
    <x v="49"/>
    <x v="100"/>
    <x v="8"/>
    <x v="100"/>
    <x v="151"/>
  </r>
  <r>
    <x v="5"/>
    <x v="5"/>
    <x v="8"/>
    <x v="5"/>
    <x v="5"/>
  </r>
  <r>
    <x v="50"/>
    <x v="101"/>
    <x v="8"/>
    <x v="87"/>
    <x v="152"/>
  </r>
  <r>
    <x v="93"/>
    <x v="102"/>
    <x v="0"/>
    <x v="101"/>
    <x v="153"/>
  </r>
  <r>
    <x v="94"/>
    <x v="103"/>
    <x v="2"/>
    <x v="5"/>
    <x v="5"/>
  </r>
  <r>
    <x v="95"/>
    <x v="104"/>
    <x v="0"/>
    <x v="5"/>
    <x v="5"/>
  </r>
  <r>
    <x v="96"/>
    <x v="105"/>
    <x v="0"/>
    <x v="5"/>
    <x v="5"/>
  </r>
  <r>
    <x v="16"/>
    <x v="3"/>
    <x v="0"/>
    <x v="102"/>
    <x v="154"/>
  </r>
  <r>
    <x v="21"/>
    <x v="20"/>
    <x v="0"/>
    <x v="13"/>
    <x v="14"/>
  </r>
  <r>
    <x v="28"/>
    <x v="27"/>
    <x v="4"/>
    <x v="25"/>
    <x v="155"/>
  </r>
  <r>
    <x v="19"/>
    <x v="106"/>
    <x v="0"/>
    <x v="103"/>
    <x v="156"/>
  </r>
  <r>
    <x v="97"/>
    <x v="107"/>
    <x v="0"/>
    <x v="5"/>
    <x v="5"/>
  </r>
  <r>
    <x v="98"/>
    <x v="108"/>
    <x v="3"/>
    <x v="5"/>
    <x v="5"/>
  </r>
  <r>
    <x v="99"/>
    <x v="109"/>
    <x v="3"/>
    <x v="5"/>
    <x v="5"/>
  </r>
  <r>
    <x v="100"/>
    <x v="110"/>
    <x v="3"/>
    <x v="5"/>
    <x v="5"/>
  </r>
  <r>
    <x v="22"/>
    <x v="21"/>
    <x v="1"/>
    <x v="61"/>
    <x v="157"/>
  </r>
  <r>
    <x v="3"/>
    <x v="3"/>
    <x v="0"/>
    <x v="104"/>
    <x v="158"/>
  </r>
  <r>
    <x v="21"/>
    <x v="20"/>
    <x v="0"/>
    <x v="13"/>
    <x v="14"/>
  </r>
  <r>
    <x v="5"/>
    <x v="5"/>
    <x v="0"/>
    <x v="1"/>
    <x v="1"/>
  </r>
  <r>
    <x v="33"/>
    <x v="34"/>
    <x v="0"/>
    <x v="29"/>
    <x v="33"/>
  </r>
  <r>
    <x v="6"/>
    <x v="6"/>
    <x v="8"/>
    <x v="66"/>
    <x v="93"/>
  </r>
  <r>
    <x v="27"/>
    <x v="21"/>
    <x v="0"/>
    <x v="19"/>
    <x v="22"/>
  </r>
  <r>
    <x v="27"/>
    <x v="21"/>
    <x v="0"/>
    <x v="19"/>
    <x v="22"/>
  </r>
  <r>
    <x v="22"/>
    <x v="21"/>
    <x v="0"/>
    <x v="14"/>
    <x v="16"/>
  </r>
  <r>
    <x v="101"/>
    <x v="111"/>
    <x v="2"/>
    <x v="1"/>
    <x v="61"/>
  </r>
  <r>
    <x v="58"/>
    <x v="61"/>
    <x v="0"/>
    <x v="77"/>
    <x v="159"/>
  </r>
  <r>
    <x v="15"/>
    <x v="112"/>
    <x v="2"/>
    <x v="8"/>
    <x v="9"/>
  </r>
  <r>
    <x v="6"/>
    <x v="6"/>
    <x v="2"/>
    <x v="20"/>
    <x v="23"/>
  </r>
  <r>
    <x v="26"/>
    <x v="25"/>
    <x v="0"/>
    <x v="19"/>
    <x v="22"/>
  </r>
  <r>
    <x v="28"/>
    <x v="27"/>
    <x v="4"/>
    <x v="25"/>
    <x v="155"/>
  </r>
  <r>
    <x v="36"/>
    <x v="37"/>
    <x v="0"/>
    <x v="39"/>
    <x v="99"/>
  </r>
  <r>
    <x v="45"/>
    <x v="47"/>
    <x v="0"/>
    <x v="5"/>
    <x v="5"/>
  </r>
  <r>
    <x v="5"/>
    <x v="5"/>
    <x v="0"/>
    <x v="1"/>
    <x v="1"/>
  </r>
  <r>
    <x v="102"/>
    <x v="113"/>
    <x v="0"/>
    <x v="5"/>
    <x v="5"/>
  </r>
  <r>
    <x v="16"/>
    <x v="3"/>
    <x v="0"/>
    <x v="105"/>
    <x v="160"/>
  </r>
</pivotCacheRecords>
</file>

<file path=xl/pivotCache/pivotCacheRecords23.xml><?xml version="1.0" encoding="utf-8"?>
<pivotCacheRecords xmlns:r="http://schemas.openxmlformats.org/officeDocument/2006/relationships" xmlns="http://schemas.openxmlformats.org/spreadsheetml/2006/main" count="260">
  <r>
    <x v="0"/>
    <x v="0"/>
    <x v="0"/>
    <x v="0"/>
    <x v="0"/>
    <x v="0"/>
    <x v="0"/>
    <x v="0"/>
  </r>
  <r>
    <x v="1"/>
    <x v="1"/>
    <x v="1"/>
    <x v="1"/>
    <x v="1"/>
    <x v="0"/>
    <x v="1"/>
    <x v="1"/>
  </r>
  <r>
    <x v="2"/>
    <x v="2"/>
    <x v="2"/>
    <x v="2"/>
    <x v="2"/>
    <x v="0"/>
    <x v="2"/>
    <x v="2"/>
  </r>
  <r>
    <x v="3"/>
    <x v="3"/>
    <x v="3"/>
    <x v="3"/>
    <x v="3"/>
    <x v="1"/>
    <x v="3"/>
    <x v="3"/>
  </r>
  <r>
    <x v="3"/>
    <x v="3"/>
    <x v="3"/>
    <x v="0"/>
    <x v="0"/>
    <x v="1"/>
    <x v="0"/>
    <x v="4"/>
  </r>
  <r>
    <x v="3"/>
    <x v="3"/>
    <x v="3"/>
    <x v="4"/>
    <x v="4"/>
    <x v="1"/>
    <x v="0"/>
    <x v="4"/>
  </r>
  <r>
    <x v="4"/>
    <x v="4"/>
    <x v="4"/>
    <x v="5"/>
    <x v="5"/>
    <x v="0"/>
    <x v="4"/>
    <x v="5"/>
  </r>
  <r>
    <x v="5"/>
    <x v="5"/>
    <x v="5"/>
    <x v="6"/>
    <x v="6"/>
    <x v="0"/>
    <x v="5"/>
    <x v="6"/>
  </r>
  <r>
    <x v="6"/>
    <x v="6"/>
    <x v="5"/>
    <x v="6"/>
    <x v="7"/>
    <x v="0"/>
    <x v="5"/>
    <x v="6"/>
  </r>
  <r>
    <x v="7"/>
    <x v="7"/>
    <x v="6"/>
    <x v="7"/>
    <x v="8"/>
    <x v="1"/>
    <x v="6"/>
    <x v="7"/>
  </r>
  <r>
    <x v="8"/>
    <x v="8"/>
    <x v="7"/>
    <x v="8"/>
    <x v="9"/>
    <x v="2"/>
    <x v="7"/>
    <x v="8"/>
  </r>
  <r>
    <x v="9"/>
    <x v="9"/>
    <x v="8"/>
    <x v="9"/>
    <x v="10"/>
    <x v="2"/>
    <x v="8"/>
    <x v="9"/>
  </r>
  <r>
    <x v="10"/>
    <x v="10"/>
    <x v="9"/>
    <x v="10"/>
    <x v="11"/>
    <x v="0"/>
    <x v="9"/>
    <x v="10"/>
  </r>
  <r>
    <x v="10"/>
    <x v="10"/>
    <x v="9"/>
    <x v="0"/>
    <x v="0"/>
    <x v="0"/>
    <x v="0"/>
    <x v="0"/>
  </r>
  <r>
    <x v="10"/>
    <x v="10"/>
    <x v="9"/>
    <x v="11"/>
    <x v="12"/>
    <x v="0"/>
    <x v="10"/>
    <x v="11"/>
  </r>
  <r>
    <x v="10"/>
    <x v="10"/>
    <x v="9"/>
    <x v="0"/>
    <x v="0"/>
    <x v="0"/>
    <x v="0"/>
    <x v="0"/>
  </r>
  <r>
    <x v="11"/>
    <x v="11"/>
    <x v="10"/>
    <x v="12"/>
    <x v="13"/>
    <x v="3"/>
    <x v="11"/>
    <x v="12"/>
  </r>
  <r>
    <x v="11"/>
    <x v="11"/>
    <x v="10"/>
    <x v="13"/>
    <x v="14"/>
    <x v="3"/>
    <x v="8"/>
    <x v="13"/>
  </r>
  <r>
    <x v="11"/>
    <x v="11"/>
    <x v="10"/>
    <x v="13"/>
    <x v="14"/>
    <x v="3"/>
    <x v="5"/>
    <x v="6"/>
  </r>
  <r>
    <x v="12"/>
    <x v="12"/>
    <x v="11"/>
    <x v="1"/>
    <x v="1"/>
    <x v="2"/>
    <x v="1"/>
    <x v="14"/>
  </r>
  <r>
    <x v="13"/>
    <x v="13"/>
    <x v="12"/>
    <x v="14"/>
    <x v="15"/>
    <x v="0"/>
    <x v="5"/>
    <x v="6"/>
  </r>
  <r>
    <x v="14"/>
    <x v="14"/>
    <x v="12"/>
    <x v="15"/>
    <x v="16"/>
    <x v="0"/>
    <x v="12"/>
    <x v="15"/>
  </r>
  <r>
    <x v="14"/>
    <x v="14"/>
    <x v="12"/>
    <x v="16"/>
    <x v="17"/>
    <x v="0"/>
    <x v="13"/>
    <x v="16"/>
  </r>
  <r>
    <x v="15"/>
    <x v="15"/>
    <x v="13"/>
    <x v="12"/>
    <x v="13"/>
    <x v="0"/>
    <x v="11"/>
    <x v="17"/>
  </r>
  <r>
    <x v="15"/>
    <x v="15"/>
    <x v="13"/>
    <x v="17"/>
    <x v="18"/>
    <x v="0"/>
    <x v="5"/>
    <x v="6"/>
  </r>
  <r>
    <x v="15"/>
    <x v="15"/>
    <x v="13"/>
    <x v="18"/>
    <x v="19"/>
    <x v="0"/>
    <x v="14"/>
    <x v="18"/>
  </r>
  <r>
    <x v="15"/>
    <x v="15"/>
    <x v="13"/>
    <x v="19"/>
    <x v="20"/>
    <x v="0"/>
    <x v="15"/>
    <x v="19"/>
  </r>
  <r>
    <x v="16"/>
    <x v="16"/>
    <x v="14"/>
    <x v="8"/>
    <x v="21"/>
    <x v="4"/>
    <x v="16"/>
    <x v="20"/>
  </r>
  <r>
    <x v="17"/>
    <x v="17"/>
    <x v="15"/>
    <x v="2"/>
    <x v="2"/>
    <x v="0"/>
    <x v="2"/>
    <x v="2"/>
  </r>
  <r>
    <x v="18"/>
    <x v="18"/>
    <x v="16"/>
    <x v="20"/>
    <x v="22"/>
    <x v="0"/>
    <x v="17"/>
    <x v="21"/>
  </r>
  <r>
    <x v="19"/>
    <x v="19"/>
    <x v="17"/>
    <x v="21"/>
    <x v="17"/>
    <x v="0"/>
    <x v="18"/>
    <x v="22"/>
  </r>
  <r>
    <x v="20"/>
    <x v="20"/>
    <x v="17"/>
    <x v="22"/>
    <x v="23"/>
    <x v="1"/>
    <x v="5"/>
    <x v="6"/>
  </r>
  <r>
    <x v="20"/>
    <x v="20"/>
    <x v="17"/>
    <x v="23"/>
    <x v="24"/>
    <x v="1"/>
    <x v="19"/>
    <x v="23"/>
  </r>
  <r>
    <x v="20"/>
    <x v="20"/>
    <x v="17"/>
    <x v="24"/>
    <x v="17"/>
    <x v="0"/>
    <x v="20"/>
    <x v="24"/>
  </r>
  <r>
    <x v="21"/>
    <x v="21"/>
    <x v="18"/>
    <x v="8"/>
    <x v="9"/>
    <x v="2"/>
    <x v="21"/>
    <x v="25"/>
  </r>
  <r>
    <x v="21"/>
    <x v="21"/>
    <x v="18"/>
    <x v="25"/>
    <x v="25"/>
    <x v="2"/>
    <x v="22"/>
    <x v="26"/>
  </r>
  <r>
    <x v="22"/>
    <x v="22"/>
    <x v="19"/>
    <x v="26"/>
    <x v="26"/>
    <x v="0"/>
    <x v="23"/>
    <x v="27"/>
  </r>
  <r>
    <x v="23"/>
    <x v="23"/>
    <x v="20"/>
    <x v="8"/>
    <x v="9"/>
    <x v="0"/>
    <x v="7"/>
    <x v="28"/>
  </r>
  <r>
    <x v="24"/>
    <x v="24"/>
    <x v="21"/>
    <x v="27"/>
    <x v="27"/>
    <x v="4"/>
    <x v="24"/>
    <x v="29"/>
  </r>
  <r>
    <x v="24"/>
    <x v="24"/>
    <x v="21"/>
    <x v="22"/>
    <x v="23"/>
    <x v="4"/>
    <x v="5"/>
    <x v="6"/>
  </r>
  <r>
    <x v="24"/>
    <x v="24"/>
    <x v="21"/>
    <x v="28"/>
    <x v="28"/>
    <x v="4"/>
    <x v="5"/>
    <x v="6"/>
  </r>
  <r>
    <x v="24"/>
    <x v="24"/>
    <x v="21"/>
    <x v="29"/>
    <x v="29"/>
    <x v="5"/>
    <x v="25"/>
    <x v="30"/>
  </r>
  <r>
    <x v="24"/>
    <x v="24"/>
    <x v="21"/>
    <x v="30"/>
    <x v="30"/>
    <x v="2"/>
    <x v="26"/>
    <x v="31"/>
  </r>
  <r>
    <x v="24"/>
    <x v="24"/>
    <x v="21"/>
    <x v="31"/>
    <x v="31"/>
    <x v="6"/>
    <x v="5"/>
    <x v="6"/>
  </r>
  <r>
    <x v="24"/>
    <x v="24"/>
    <x v="21"/>
    <x v="32"/>
    <x v="32"/>
    <x v="2"/>
    <x v="5"/>
    <x v="6"/>
  </r>
  <r>
    <x v="24"/>
    <x v="24"/>
    <x v="21"/>
    <x v="33"/>
    <x v="33"/>
    <x v="7"/>
    <x v="5"/>
    <x v="6"/>
  </r>
  <r>
    <x v="24"/>
    <x v="24"/>
    <x v="21"/>
    <x v="24"/>
    <x v="17"/>
    <x v="0"/>
    <x v="27"/>
    <x v="32"/>
  </r>
  <r>
    <x v="25"/>
    <x v="25"/>
    <x v="21"/>
    <x v="34"/>
    <x v="34"/>
    <x v="8"/>
    <x v="5"/>
    <x v="6"/>
  </r>
  <r>
    <x v="25"/>
    <x v="25"/>
    <x v="21"/>
    <x v="35"/>
    <x v="35"/>
    <x v="9"/>
    <x v="5"/>
    <x v="6"/>
  </r>
  <r>
    <x v="25"/>
    <x v="25"/>
    <x v="21"/>
    <x v="36"/>
    <x v="36"/>
    <x v="9"/>
    <x v="5"/>
    <x v="6"/>
  </r>
  <r>
    <x v="26"/>
    <x v="26"/>
    <x v="22"/>
    <x v="37"/>
    <x v="37"/>
    <x v="0"/>
    <x v="28"/>
    <x v="33"/>
  </r>
  <r>
    <x v="26"/>
    <x v="26"/>
    <x v="22"/>
    <x v="38"/>
    <x v="38"/>
    <x v="0"/>
    <x v="29"/>
    <x v="34"/>
  </r>
  <r>
    <x v="27"/>
    <x v="27"/>
    <x v="23"/>
    <x v="39"/>
    <x v="39"/>
    <x v="1"/>
    <x v="30"/>
    <x v="35"/>
  </r>
  <r>
    <x v="27"/>
    <x v="27"/>
    <x v="23"/>
    <x v="3"/>
    <x v="3"/>
    <x v="1"/>
    <x v="3"/>
    <x v="3"/>
  </r>
  <r>
    <x v="27"/>
    <x v="27"/>
    <x v="23"/>
    <x v="0"/>
    <x v="0"/>
    <x v="1"/>
    <x v="0"/>
    <x v="4"/>
  </r>
  <r>
    <x v="28"/>
    <x v="28"/>
    <x v="24"/>
    <x v="25"/>
    <x v="25"/>
    <x v="2"/>
    <x v="9"/>
    <x v="36"/>
  </r>
  <r>
    <x v="29"/>
    <x v="29"/>
    <x v="25"/>
    <x v="40"/>
    <x v="40"/>
    <x v="1"/>
    <x v="31"/>
    <x v="37"/>
  </r>
  <r>
    <x v="29"/>
    <x v="29"/>
    <x v="25"/>
    <x v="1"/>
    <x v="1"/>
    <x v="2"/>
    <x v="1"/>
    <x v="14"/>
  </r>
  <r>
    <x v="30"/>
    <x v="30"/>
    <x v="26"/>
    <x v="8"/>
    <x v="9"/>
    <x v="0"/>
    <x v="7"/>
    <x v="28"/>
  </r>
  <r>
    <x v="31"/>
    <x v="31"/>
    <x v="27"/>
    <x v="6"/>
    <x v="41"/>
    <x v="0"/>
    <x v="5"/>
    <x v="6"/>
  </r>
  <r>
    <x v="31"/>
    <x v="31"/>
    <x v="27"/>
    <x v="41"/>
    <x v="42"/>
    <x v="0"/>
    <x v="5"/>
    <x v="6"/>
  </r>
  <r>
    <x v="32"/>
    <x v="32"/>
    <x v="27"/>
    <x v="42"/>
    <x v="43"/>
    <x v="0"/>
    <x v="32"/>
    <x v="38"/>
  </r>
  <r>
    <x v="33"/>
    <x v="33"/>
    <x v="27"/>
    <x v="2"/>
    <x v="2"/>
    <x v="2"/>
    <x v="33"/>
    <x v="39"/>
  </r>
  <r>
    <x v="33"/>
    <x v="33"/>
    <x v="27"/>
    <x v="24"/>
    <x v="17"/>
    <x v="0"/>
    <x v="34"/>
    <x v="40"/>
  </r>
  <r>
    <x v="34"/>
    <x v="34"/>
    <x v="27"/>
    <x v="6"/>
    <x v="44"/>
    <x v="0"/>
    <x v="5"/>
    <x v="6"/>
  </r>
  <r>
    <x v="35"/>
    <x v="34"/>
    <x v="27"/>
    <x v="6"/>
    <x v="45"/>
    <x v="0"/>
    <x v="5"/>
    <x v="6"/>
  </r>
  <r>
    <x v="35"/>
    <x v="34"/>
    <x v="27"/>
    <x v="16"/>
    <x v="17"/>
    <x v="0"/>
    <x v="35"/>
    <x v="41"/>
  </r>
  <r>
    <x v="36"/>
    <x v="3"/>
    <x v="28"/>
    <x v="10"/>
    <x v="11"/>
    <x v="0"/>
    <x v="9"/>
    <x v="10"/>
  </r>
  <r>
    <x v="36"/>
    <x v="3"/>
    <x v="28"/>
    <x v="0"/>
    <x v="0"/>
    <x v="0"/>
    <x v="0"/>
    <x v="0"/>
  </r>
  <r>
    <x v="36"/>
    <x v="3"/>
    <x v="28"/>
    <x v="38"/>
    <x v="38"/>
    <x v="0"/>
    <x v="29"/>
    <x v="34"/>
  </r>
  <r>
    <x v="37"/>
    <x v="35"/>
    <x v="29"/>
    <x v="0"/>
    <x v="0"/>
    <x v="0"/>
    <x v="0"/>
    <x v="0"/>
  </r>
  <r>
    <x v="37"/>
    <x v="35"/>
    <x v="29"/>
    <x v="8"/>
    <x v="9"/>
    <x v="0"/>
    <x v="7"/>
    <x v="28"/>
  </r>
  <r>
    <x v="38"/>
    <x v="36"/>
    <x v="30"/>
    <x v="2"/>
    <x v="2"/>
    <x v="0"/>
    <x v="2"/>
    <x v="2"/>
  </r>
  <r>
    <x v="39"/>
    <x v="37"/>
    <x v="31"/>
    <x v="43"/>
    <x v="46"/>
    <x v="6"/>
    <x v="36"/>
    <x v="42"/>
  </r>
  <r>
    <x v="39"/>
    <x v="37"/>
    <x v="31"/>
    <x v="22"/>
    <x v="23"/>
    <x v="6"/>
    <x v="5"/>
    <x v="6"/>
  </r>
  <r>
    <x v="39"/>
    <x v="37"/>
    <x v="31"/>
    <x v="39"/>
    <x v="39"/>
    <x v="6"/>
    <x v="5"/>
    <x v="6"/>
  </r>
  <r>
    <x v="39"/>
    <x v="37"/>
    <x v="31"/>
    <x v="0"/>
    <x v="0"/>
    <x v="6"/>
    <x v="5"/>
    <x v="6"/>
  </r>
  <r>
    <x v="39"/>
    <x v="37"/>
    <x v="31"/>
    <x v="4"/>
    <x v="4"/>
    <x v="6"/>
    <x v="5"/>
    <x v="6"/>
  </r>
  <r>
    <x v="39"/>
    <x v="37"/>
    <x v="31"/>
    <x v="44"/>
    <x v="47"/>
    <x v="1"/>
    <x v="37"/>
    <x v="43"/>
  </r>
  <r>
    <x v="39"/>
    <x v="37"/>
    <x v="31"/>
    <x v="45"/>
    <x v="48"/>
    <x v="2"/>
    <x v="38"/>
    <x v="44"/>
  </r>
  <r>
    <x v="39"/>
    <x v="37"/>
    <x v="31"/>
    <x v="3"/>
    <x v="3"/>
    <x v="10"/>
    <x v="39"/>
    <x v="45"/>
  </r>
  <r>
    <x v="39"/>
    <x v="37"/>
    <x v="31"/>
    <x v="11"/>
    <x v="12"/>
    <x v="10"/>
    <x v="5"/>
    <x v="6"/>
  </r>
  <r>
    <x v="39"/>
    <x v="37"/>
    <x v="31"/>
    <x v="46"/>
    <x v="49"/>
    <x v="10"/>
    <x v="5"/>
    <x v="6"/>
  </r>
  <r>
    <x v="39"/>
    <x v="37"/>
    <x v="31"/>
    <x v="24"/>
    <x v="17"/>
    <x v="0"/>
    <x v="40"/>
    <x v="46"/>
  </r>
  <r>
    <x v="40"/>
    <x v="19"/>
    <x v="31"/>
    <x v="47"/>
    <x v="50"/>
    <x v="11"/>
    <x v="41"/>
    <x v="47"/>
  </r>
  <r>
    <x v="40"/>
    <x v="19"/>
    <x v="31"/>
    <x v="47"/>
    <x v="51"/>
    <x v="0"/>
    <x v="42"/>
    <x v="48"/>
  </r>
  <r>
    <x v="40"/>
    <x v="19"/>
    <x v="31"/>
    <x v="48"/>
    <x v="52"/>
    <x v="12"/>
    <x v="43"/>
    <x v="49"/>
  </r>
  <r>
    <x v="40"/>
    <x v="19"/>
    <x v="31"/>
    <x v="16"/>
    <x v="17"/>
    <x v="0"/>
    <x v="44"/>
    <x v="50"/>
  </r>
  <r>
    <x v="41"/>
    <x v="38"/>
    <x v="31"/>
    <x v="49"/>
    <x v="53"/>
    <x v="13"/>
    <x v="45"/>
    <x v="51"/>
  </r>
  <r>
    <x v="41"/>
    <x v="38"/>
    <x v="31"/>
    <x v="16"/>
    <x v="17"/>
    <x v="0"/>
    <x v="46"/>
    <x v="52"/>
  </r>
  <r>
    <x v="42"/>
    <x v="39"/>
    <x v="32"/>
    <x v="25"/>
    <x v="25"/>
    <x v="0"/>
    <x v="9"/>
    <x v="10"/>
  </r>
  <r>
    <x v="42"/>
    <x v="39"/>
    <x v="32"/>
    <x v="38"/>
    <x v="38"/>
    <x v="12"/>
    <x v="29"/>
    <x v="53"/>
  </r>
  <r>
    <x v="43"/>
    <x v="40"/>
    <x v="33"/>
    <x v="50"/>
    <x v="54"/>
    <x v="2"/>
    <x v="8"/>
    <x v="9"/>
  </r>
  <r>
    <x v="43"/>
    <x v="40"/>
    <x v="33"/>
    <x v="40"/>
    <x v="40"/>
    <x v="2"/>
    <x v="31"/>
    <x v="54"/>
  </r>
  <r>
    <x v="44"/>
    <x v="41"/>
    <x v="34"/>
    <x v="50"/>
    <x v="54"/>
    <x v="2"/>
    <x v="8"/>
    <x v="9"/>
  </r>
  <r>
    <x v="44"/>
    <x v="41"/>
    <x v="34"/>
    <x v="12"/>
    <x v="13"/>
    <x v="2"/>
    <x v="11"/>
    <x v="55"/>
  </r>
  <r>
    <x v="44"/>
    <x v="41"/>
    <x v="34"/>
    <x v="51"/>
    <x v="55"/>
    <x v="2"/>
    <x v="5"/>
    <x v="6"/>
  </r>
  <r>
    <x v="45"/>
    <x v="42"/>
    <x v="35"/>
    <x v="52"/>
    <x v="17"/>
    <x v="0"/>
    <x v="47"/>
    <x v="56"/>
  </r>
  <r>
    <x v="45"/>
    <x v="42"/>
    <x v="35"/>
    <x v="53"/>
    <x v="17"/>
    <x v="0"/>
    <x v="48"/>
    <x v="57"/>
  </r>
  <r>
    <x v="45"/>
    <x v="42"/>
    <x v="35"/>
    <x v="16"/>
    <x v="17"/>
    <x v="0"/>
    <x v="49"/>
    <x v="58"/>
  </r>
  <r>
    <x v="46"/>
    <x v="43"/>
    <x v="36"/>
    <x v="10"/>
    <x v="11"/>
    <x v="0"/>
    <x v="9"/>
    <x v="10"/>
  </r>
  <r>
    <x v="46"/>
    <x v="43"/>
    <x v="36"/>
    <x v="0"/>
    <x v="0"/>
    <x v="0"/>
    <x v="0"/>
    <x v="0"/>
  </r>
  <r>
    <x v="47"/>
    <x v="44"/>
    <x v="37"/>
    <x v="23"/>
    <x v="46"/>
    <x v="2"/>
    <x v="50"/>
    <x v="59"/>
  </r>
  <r>
    <x v="47"/>
    <x v="44"/>
    <x v="37"/>
    <x v="18"/>
    <x v="19"/>
    <x v="2"/>
    <x v="51"/>
    <x v="60"/>
  </r>
  <r>
    <x v="47"/>
    <x v="44"/>
    <x v="37"/>
    <x v="22"/>
    <x v="23"/>
    <x v="2"/>
    <x v="5"/>
    <x v="6"/>
  </r>
  <r>
    <x v="47"/>
    <x v="44"/>
    <x v="37"/>
    <x v="19"/>
    <x v="20"/>
    <x v="2"/>
    <x v="5"/>
    <x v="6"/>
  </r>
  <r>
    <x v="47"/>
    <x v="44"/>
    <x v="37"/>
    <x v="54"/>
    <x v="56"/>
    <x v="0"/>
    <x v="9"/>
    <x v="10"/>
  </r>
  <r>
    <x v="48"/>
    <x v="45"/>
    <x v="38"/>
    <x v="23"/>
    <x v="46"/>
    <x v="2"/>
    <x v="50"/>
    <x v="59"/>
  </r>
  <r>
    <x v="48"/>
    <x v="45"/>
    <x v="38"/>
    <x v="18"/>
    <x v="19"/>
    <x v="2"/>
    <x v="51"/>
    <x v="60"/>
  </r>
  <r>
    <x v="48"/>
    <x v="45"/>
    <x v="38"/>
    <x v="22"/>
    <x v="23"/>
    <x v="2"/>
    <x v="5"/>
    <x v="6"/>
  </r>
  <r>
    <x v="48"/>
    <x v="45"/>
    <x v="38"/>
    <x v="19"/>
    <x v="20"/>
    <x v="2"/>
    <x v="5"/>
    <x v="6"/>
  </r>
  <r>
    <x v="48"/>
    <x v="45"/>
    <x v="38"/>
    <x v="54"/>
    <x v="56"/>
    <x v="2"/>
    <x v="9"/>
    <x v="36"/>
  </r>
  <r>
    <x v="49"/>
    <x v="46"/>
    <x v="39"/>
    <x v="23"/>
    <x v="46"/>
    <x v="2"/>
    <x v="50"/>
    <x v="59"/>
  </r>
  <r>
    <x v="49"/>
    <x v="46"/>
    <x v="39"/>
    <x v="18"/>
    <x v="19"/>
    <x v="2"/>
    <x v="51"/>
    <x v="60"/>
  </r>
  <r>
    <x v="49"/>
    <x v="46"/>
    <x v="39"/>
    <x v="22"/>
    <x v="23"/>
    <x v="2"/>
    <x v="5"/>
    <x v="6"/>
  </r>
  <r>
    <x v="49"/>
    <x v="46"/>
    <x v="39"/>
    <x v="19"/>
    <x v="20"/>
    <x v="2"/>
    <x v="5"/>
    <x v="6"/>
  </r>
  <r>
    <x v="49"/>
    <x v="46"/>
    <x v="39"/>
    <x v="54"/>
    <x v="56"/>
    <x v="2"/>
    <x v="9"/>
    <x v="36"/>
  </r>
  <r>
    <x v="50"/>
    <x v="47"/>
    <x v="40"/>
    <x v="3"/>
    <x v="3"/>
    <x v="2"/>
    <x v="3"/>
    <x v="61"/>
  </r>
  <r>
    <x v="50"/>
    <x v="47"/>
    <x v="40"/>
    <x v="0"/>
    <x v="0"/>
    <x v="2"/>
    <x v="0"/>
    <x v="62"/>
  </r>
  <r>
    <x v="50"/>
    <x v="47"/>
    <x v="40"/>
    <x v="38"/>
    <x v="38"/>
    <x v="1"/>
    <x v="29"/>
    <x v="63"/>
  </r>
  <r>
    <x v="51"/>
    <x v="48"/>
    <x v="41"/>
    <x v="38"/>
    <x v="38"/>
    <x v="2"/>
    <x v="29"/>
    <x v="64"/>
  </r>
  <r>
    <x v="52"/>
    <x v="49"/>
    <x v="42"/>
    <x v="55"/>
    <x v="57"/>
    <x v="2"/>
    <x v="5"/>
    <x v="6"/>
  </r>
  <r>
    <x v="53"/>
    <x v="50"/>
    <x v="42"/>
    <x v="56"/>
    <x v="58"/>
    <x v="6"/>
    <x v="52"/>
    <x v="65"/>
  </r>
  <r>
    <x v="53"/>
    <x v="50"/>
    <x v="42"/>
    <x v="16"/>
    <x v="17"/>
    <x v="0"/>
    <x v="53"/>
    <x v="66"/>
  </r>
  <r>
    <x v="54"/>
    <x v="51"/>
    <x v="43"/>
    <x v="25"/>
    <x v="25"/>
    <x v="2"/>
    <x v="9"/>
    <x v="36"/>
  </r>
  <r>
    <x v="55"/>
    <x v="52"/>
    <x v="44"/>
    <x v="37"/>
    <x v="37"/>
    <x v="0"/>
    <x v="54"/>
    <x v="67"/>
  </r>
  <r>
    <x v="56"/>
    <x v="53"/>
    <x v="45"/>
    <x v="38"/>
    <x v="38"/>
    <x v="2"/>
    <x v="29"/>
    <x v="64"/>
  </r>
  <r>
    <x v="57"/>
    <x v="54"/>
    <x v="46"/>
    <x v="12"/>
    <x v="13"/>
    <x v="1"/>
    <x v="11"/>
    <x v="68"/>
  </r>
  <r>
    <x v="57"/>
    <x v="54"/>
    <x v="46"/>
    <x v="17"/>
    <x v="18"/>
    <x v="1"/>
    <x v="5"/>
    <x v="6"/>
  </r>
  <r>
    <x v="57"/>
    <x v="54"/>
    <x v="46"/>
    <x v="57"/>
    <x v="59"/>
    <x v="1"/>
    <x v="55"/>
    <x v="69"/>
  </r>
  <r>
    <x v="57"/>
    <x v="54"/>
    <x v="46"/>
    <x v="19"/>
    <x v="20"/>
    <x v="1"/>
    <x v="15"/>
    <x v="70"/>
  </r>
  <r>
    <x v="57"/>
    <x v="54"/>
    <x v="46"/>
    <x v="58"/>
    <x v="60"/>
    <x v="2"/>
    <x v="56"/>
    <x v="71"/>
  </r>
  <r>
    <x v="58"/>
    <x v="55"/>
    <x v="47"/>
    <x v="59"/>
    <x v="61"/>
    <x v="0"/>
    <x v="31"/>
    <x v="72"/>
  </r>
  <r>
    <x v="58"/>
    <x v="55"/>
    <x v="47"/>
    <x v="10"/>
    <x v="11"/>
    <x v="12"/>
    <x v="9"/>
    <x v="73"/>
  </r>
  <r>
    <x v="58"/>
    <x v="55"/>
    <x v="47"/>
    <x v="0"/>
    <x v="0"/>
    <x v="12"/>
    <x v="0"/>
    <x v="74"/>
  </r>
  <r>
    <x v="59"/>
    <x v="56"/>
    <x v="48"/>
    <x v="6"/>
    <x v="62"/>
    <x v="0"/>
    <x v="46"/>
    <x v="52"/>
  </r>
  <r>
    <x v="59"/>
    <x v="56"/>
    <x v="48"/>
    <x v="60"/>
    <x v="63"/>
    <x v="0"/>
    <x v="51"/>
    <x v="75"/>
  </r>
  <r>
    <x v="59"/>
    <x v="56"/>
    <x v="48"/>
    <x v="61"/>
    <x v="64"/>
    <x v="0"/>
    <x v="5"/>
    <x v="6"/>
  </r>
  <r>
    <x v="59"/>
    <x v="56"/>
    <x v="48"/>
    <x v="6"/>
    <x v="65"/>
    <x v="0"/>
    <x v="5"/>
    <x v="6"/>
  </r>
  <r>
    <x v="59"/>
    <x v="56"/>
    <x v="48"/>
    <x v="61"/>
    <x v="64"/>
    <x v="2"/>
    <x v="5"/>
    <x v="6"/>
  </r>
  <r>
    <x v="59"/>
    <x v="56"/>
    <x v="48"/>
    <x v="62"/>
    <x v="66"/>
    <x v="2"/>
    <x v="5"/>
    <x v="6"/>
  </r>
  <r>
    <x v="59"/>
    <x v="56"/>
    <x v="48"/>
    <x v="16"/>
    <x v="17"/>
    <x v="0"/>
    <x v="57"/>
    <x v="76"/>
  </r>
  <r>
    <x v="60"/>
    <x v="57"/>
    <x v="48"/>
    <x v="63"/>
    <x v="67"/>
    <x v="0"/>
    <x v="14"/>
    <x v="18"/>
  </r>
  <r>
    <x v="61"/>
    <x v="58"/>
    <x v="49"/>
    <x v="43"/>
    <x v="46"/>
    <x v="1"/>
    <x v="58"/>
    <x v="77"/>
  </r>
  <r>
    <x v="61"/>
    <x v="58"/>
    <x v="49"/>
    <x v="39"/>
    <x v="39"/>
    <x v="1"/>
    <x v="5"/>
    <x v="6"/>
  </r>
  <r>
    <x v="61"/>
    <x v="58"/>
    <x v="49"/>
    <x v="22"/>
    <x v="23"/>
    <x v="1"/>
    <x v="5"/>
    <x v="6"/>
  </r>
  <r>
    <x v="61"/>
    <x v="58"/>
    <x v="49"/>
    <x v="19"/>
    <x v="20"/>
    <x v="1"/>
    <x v="5"/>
    <x v="6"/>
  </r>
  <r>
    <x v="61"/>
    <x v="58"/>
    <x v="49"/>
    <x v="2"/>
    <x v="2"/>
    <x v="0"/>
    <x v="2"/>
    <x v="2"/>
  </r>
  <r>
    <x v="61"/>
    <x v="58"/>
    <x v="49"/>
    <x v="10"/>
    <x v="11"/>
    <x v="1"/>
    <x v="9"/>
    <x v="78"/>
  </r>
  <r>
    <x v="61"/>
    <x v="58"/>
    <x v="49"/>
    <x v="0"/>
    <x v="0"/>
    <x v="1"/>
    <x v="0"/>
    <x v="4"/>
  </r>
  <r>
    <x v="62"/>
    <x v="59"/>
    <x v="50"/>
    <x v="64"/>
    <x v="68"/>
    <x v="9"/>
    <x v="9"/>
    <x v="79"/>
  </r>
  <r>
    <x v="63"/>
    <x v="60"/>
    <x v="50"/>
    <x v="19"/>
    <x v="20"/>
    <x v="0"/>
    <x v="5"/>
    <x v="6"/>
  </r>
  <r>
    <x v="64"/>
    <x v="61"/>
    <x v="51"/>
    <x v="38"/>
    <x v="38"/>
    <x v="0"/>
    <x v="29"/>
    <x v="34"/>
  </r>
  <r>
    <x v="65"/>
    <x v="62"/>
    <x v="52"/>
    <x v="54"/>
    <x v="56"/>
    <x v="2"/>
    <x v="9"/>
    <x v="36"/>
  </r>
  <r>
    <x v="66"/>
    <x v="63"/>
    <x v="53"/>
    <x v="4"/>
    <x v="4"/>
    <x v="0"/>
    <x v="0"/>
    <x v="0"/>
  </r>
  <r>
    <x v="67"/>
    <x v="63"/>
    <x v="54"/>
    <x v="3"/>
    <x v="3"/>
    <x v="2"/>
    <x v="3"/>
    <x v="61"/>
  </r>
  <r>
    <x v="67"/>
    <x v="63"/>
    <x v="54"/>
    <x v="0"/>
    <x v="0"/>
    <x v="2"/>
    <x v="0"/>
    <x v="62"/>
  </r>
  <r>
    <x v="68"/>
    <x v="64"/>
    <x v="55"/>
    <x v="10"/>
    <x v="11"/>
    <x v="0"/>
    <x v="9"/>
    <x v="10"/>
  </r>
  <r>
    <x v="68"/>
    <x v="64"/>
    <x v="55"/>
    <x v="0"/>
    <x v="0"/>
    <x v="0"/>
    <x v="0"/>
    <x v="0"/>
  </r>
  <r>
    <x v="69"/>
    <x v="65"/>
    <x v="56"/>
    <x v="65"/>
    <x v="69"/>
    <x v="0"/>
    <x v="59"/>
    <x v="80"/>
  </r>
  <r>
    <x v="70"/>
    <x v="66"/>
    <x v="57"/>
    <x v="25"/>
    <x v="25"/>
    <x v="1"/>
    <x v="9"/>
    <x v="78"/>
  </r>
  <r>
    <x v="71"/>
    <x v="67"/>
    <x v="58"/>
    <x v="3"/>
    <x v="3"/>
    <x v="0"/>
    <x v="3"/>
    <x v="81"/>
  </r>
  <r>
    <x v="71"/>
    <x v="67"/>
    <x v="58"/>
    <x v="0"/>
    <x v="0"/>
    <x v="0"/>
    <x v="0"/>
    <x v="0"/>
  </r>
  <r>
    <x v="72"/>
    <x v="68"/>
    <x v="59"/>
    <x v="10"/>
    <x v="11"/>
    <x v="2"/>
    <x v="9"/>
    <x v="36"/>
  </r>
  <r>
    <x v="72"/>
    <x v="68"/>
    <x v="59"/>
    <x v="0"/>
    <x v="0"/>
    <x v="2"/>
    <x v="0"/>
    <x v="62"/>
  </r>
  <r>
    <x v="73"/>
    <x v="51"/>
    <x v="60"/>
    <x v="37"/>
    <x v="37"/>
    <x v="0"/>
    <x v="28"/>
    <x v="33"/>
  </r>
  <r>
    <x v="74"/>
    <x v="69"/>
    <x v="61"/>
    <x v="38"/>
    <x v="38"/>
    <x v="0"/>
    <x v="29"/>
    <x v="34"/>
  </r>
  <r>
    <x v="75"/>
    <x v="70"/>
    <x v="62"/>
    <x v="6"/>
    <x v="70"/>
    <x v="0"/>
    <x v="5"/>
    <x v="6"/>
  </r>
  <r>
    <x v="76"/>
    <x v="24"/>
    <x v="62"/>
    <x v="6"/>
    <x v="71"/>
    <x v="0"/>
    <x v="5"/>
    <x v="6"/>
  </r>
  <r>
    <x v="77"/>
    <x v="71"/>
    <x v="62"/>
    <x v="6"/>
    <x v="72"/>
    <x v="0"/>
    <x v="5"/>
    <x v="6"/>
  </r>
  <r>
    <x v="78"/>
    <x v="27"/>
    <x v="63"/>
    <x v="6"/>
    <x v="73"/>
    <x v="0"/>
    <x v="5"/>
    <x v="6"/>
  </r>
  <r>
    <x v="78"/>
    <x v="27"/>
    <x v="63"/>
    <x v="66"/>
    <x v="74"/>
    <x v="0"/>
    <x v="5"/>
    <x v="6"/>
  </r>
  <r>
    <x v="78"/>
    <x v="27"/>
    <x v="63"/>
    <x v="67"/>
    <x v="75"/>
    <x v="0"/>
    <x v="5"/>
    <x v="6"/>
  </r>
  <r>
    <x v="78"/>
    <x v="27"/>
    <x v="63"/>
    <x v="68"/>
    <x v="76"/>
    <x v="0"/>
    <x v="5"/>
    <x v="6"/>
  </r>
  <r>
    <x v="79"/>
    <x v="72"/>
    <x v="63"/>
    <x v="69"/>
    <x v="77"/>
    <x v="1"/>
    <x v="11"/>
    <x v="68"/>
  </r>
  <r>
    <x v="80"/>
    <x v="33"/>
    <x v="63"/>
    <x v="6"/>
    <x v="78"/>
    <x v="0"/>
    <x v="60"/>
    <x v="82"/>
  </r>
  <r>
    <x v="80"/>
    <x v="33"/>
    <x v="63"/>
    <x v="16"/>
    <x v="17"/>
    <x v="0"/>
    <x v="61"/>
    <x v="83"/>
  </r>
  <r>
    <x v="81"/>
    <x v="73"/>
    <x v="64"/>
    <x v="70"/>
    <x v="9"/>
    <x v="2"/>
    <x v="2"/>
    <x v="84"/>
  </r>
  <r>
    <x v="82"/>
    <x v="74"/>
    <x v="65"/>
    <x v="4"/>
    <x v="4"/>
    <x v="2"/>
    <x v="0"/>
    <x v="62"/>
  </r>
  <r>
    <x v="82"/>
    <x v="74"/>
    <x v="65"/>
    <x v="46"/>
    <x v="49"/>
    <x v="2"/>
    <x v="10"/>
    <x v="85"/>
  </r>
  <r>
    <x v="82"/>
    <x v="74"/>
    <x v="65"/>
    <x v="0"/>
    <x v="0"/>
    <x v="2"/>
    <x v="0"/>
    <x v="62"/>
  </r>
  <r>
    <x v="83"/>
    <x v="75"/>
    <x v="66"/>
    <x v="71"/>
    <x v="79"/>
    <x v="1"/>
    <x v="62"/>
    <x v="86"/>
  </r>
  <r>
    <x v="83"/>
    <x v="75"/>
    <x v="66"/>
    <x v="22"/>
    <x v="23"/>
    <x v="1"/>
    <x v="5"/>
    <x v="6"/>
  </r>
  <r>
    <x v="83"/>
    <x v="75"/>
    <x v="66"/>
    <x v="39"/>
    <x v="80"/>
    <x v="1"/>
    <x v="5"/>
    <x v="6"/>
  </r>
  <r>
    <x v="83"/>
    <x v="75"/>
    <x v="66"/>
    <x v="0"/>
    <x v="0"/>
    <x v="1"/>
    <x v="5"/>
    <x v="6"/>
  </r>
  <r>
    <x v="83"/>
    <x v="75"/>
    <x v="66"/>
    <x v="4"/>
    <x v="4"/>
    <x v="1"/>
    <x v="5"/>
    <x v="6"/>
  </r>
  <r>
    <x v="83"/>
    <x v="75"/>
    <x v="66"/>
    <x v="50"/>
    <x v="54"/>
    <x v="10"/>
    <x v="25"/>
    <x v="87"/>
  </r>
  <r>
    <x v="83"/>
    <x v="75"/>
    <x v="66"/>
    <x v="16"/>
    <x v="17"/>
    <x v="0"/>
    <x v="63"/>
    <x v="88"/>
  </r>
  <r>
    <x v="84"/>
    <x v="76"/>
    <x v="67"/>
    <x v="8"/>
    <x v="9"/>
    <x v="0"/>
    <x v="7"/>
    <x v="28"/>
  </r>
  <r>
    <x v="85"/>
    <x v="77"/>
    <x v="68"/>
    <x v="8"/>
    <x v="9"/>
    <x v="0"/>
    <x v="7"/>
    <x v="28"/>
  </r>
  <r>
    <x v="86"/>
    <x v="78"/>
    <x v="69"/>
    <x v="3"/>
    <x v="3"/>
    <x v="0"/>
    <x v="3"/>
    <x v="81"/>
  </r>
  <r>
    <x v="86"/>
    <x v="78"/>
    <x v="69"/>
    <x v="0"/>
    <x v="0"/>
    <x v="0"/>
    <x v="0"/>
    <x v="0"/>
  </r>
  <r>
    <x v="86"/>
    <x v="78"/>
    <x v="69"/>
    <x v="26"/>
    <x v="26"/>
    <x v="0"/>
    <x v="23"/>
    <x v="27"/>
  </r>
  <r>
    <x v="87"/>
    <x v="79"/>
    <x v="70"/>
    <x v="72"/>
    <x v="81"/>
    <x v="2"/>
    <x v="64"/>
    <x v="89"/>
  </r>
  <r>
    <x v="87"/>
    <x v="79"/>
    <x v="70"/>
    <x v="73"/>
    <x v="82"/>
    <x v="0"/>
    <x v="1"/>
    <x v="1"/>
  </r>
  <r>
    <x v="87"/>
    <x v="79"/>
    <x v="70"/>
    <x v="45"/>
    <x v="48"/>
    <x v="0"/>
    <x v="14"/>
    <x v="18"/>
  </r>
  <r>
    <x v="88"/>
    <x v="80"/>
    <x v="71"/>
    <x v="74"/>
    <x v="83"/>
    <x v="0"/>
    <x v="64"/>
    <x v="90"/>
  </r>
  <r>
    <x v="88"/>
    <x v="80"/>
    <x v="71"/>
    <x v="19"/>
    <x v="20"/>
    <x v="0"/>
    <x v="15"/>
    <x v="19"/>
  </r>
  <r>
    <x v="89"/>
    <x v="81"/>
    <x v="72"/>
    <x v="2"/>
    <x v="2"/>
    <x v="0"/>
    <x v="2"/>
    <x v="2"/>
  </r>
  <r>
    <x v="90"/>
    <x v="82"/>
    <x v="73"/>
    <x v="37"/>
    <x v="37"/>
    <x v="2"/>
    <x v="65"/>
    <x v="91"/>
  </r>
  <r>
    <x v="91"/>
    <x v="83"/>
    <x v="74"/>
    <x v="75"/>
    <x v="84"/>
    <x v="1"/>
    <x v="66"/>
    <x v="92"/>
  </r>
  <r>
    <x v="91"/>
    <x v="83"/>
    <x v="74"/>
    <x v="76"/>
    <x v="85"/>
    <x v="10"/>
    <x v="67"/>
    <x v="93"/>
  </r>
  <r>
    <x v="91"/>
    <x v="83"/>
    <x v="74"/>
    <x v="16"/>
    <x v="17"/>
    <x v="0"/>
    <x v="68"/>
    <x v="94"/>
  </r>
  <r>
    <x v="92"/>
    <x v="84"/>
    <x v="75"/>
    <x v="22"/>
    <x v="23"/>
    <x v="10"/>
    <x v="8"/>
    <x v="95"/>
  </r>
  <r>
    <x v="93"/>
    <x v="85"/>
    <x v="76"/>
    <x v="2"/>
    <x v="2"/>
    <x v="0"/>
    <x v="2"/>
    <x v="2"/>
  </r>
  <r>
    <x v="94"/>
    <x v="86"/>
    <x v="77"/>
    <x v="26"/>
    <x v="26"/>
    <x v="0"/>
    <x v="23"/>
    <x v="27"/>
  </r>
  <r>
    <x v="95"/>
    <x v="87"/>
    <x v="78"/>
    <x v="25"/>
    <x v="25"/>
    <x v="2"/>
    <x v="9"/>
    <x v="36"/>
  </r>
  <r>
    <x v="96"/>
    <x v="88"/>
    <x v="79"/>
    <x v="8"/>
    <x v="9"/>
    <x v="0"/>
    <x v="7"/>
    <x v="28"/>
  </r>
  <r>
    <x v="97"/>
    <x v="89"/>
    <x v="80"/>
    <x v="37"/>
    <x v="37"/>
    <x v="0"/>
    <x v="28"/>
    <x v="33"/>
  </r>
  <r>
    <x v="98"/>
    <x v="90"/>
    <x v="81"/>
    <x v="77"/>
    <x v="86"/>
    <x v="1"/>
    <x v="69"/>
    <x v="96"/>
  </r>
  <r>
    <x v="98"/>
    <x v="90"/>
    <x v="81"/>
    <x v="78"/>
    <x v="87"/>
    <x v="1"/>
    <x v="70"/>
    <x v="97"/>
  </r>
  <r>
    <x v="98"/>
    <x v="90"/>
    <x v="81"/>
    <x v="16"/>
    <x v="17"/>
    <x v="0"/>
    <x v="71"/>
    <x v="98"/>
  </r>
  <r>
    <x v="99"/>
    <x v="91"/>
    <x v="82"/>
    <x v="26"/>
    <x v="26"/>
    <x v="0"/>
    <x v="23"/>
    <x v="27"/>
  </r>
  <r>
    <x v="100"/>
    <x v="92"/>
    <x v="83"/>
    <x v="46"/>
    <x v="49"/>
    <x v="1"/>
    <x v="10"/>
    <x v="99"/>
  </r>
  <r>
    <x v="100"/>
    <x v="92"/>
    <x v="83"/>
    <x v="11"/>
    <x v="12"/>
    <x v="2"/>
    <x v="10"/>
    <x v="85"/>
  </r>
  <r>
    <x v="101"/>
    <x v="93"/>
    <x v="84"/>
    <x v="3"/>
    <x v="3"/>
    <x v="0"/>
    <x v="3"/>
    <x v="81"/>
  </r>
  <r>
    <x v="101"/>
    <x v="93"/>
    <x v="84"/>
    <x v="0"/>
    <x v="0"/>
    <x v="0"/>
    <x v="0"/>
    <x v="0"/>
  </r>
  <r>
    <x v="102"/>
    <x v="94"/>
    <x v="85"/>
    <x v="25"/>
    <x v="25"/>
    <x v="2"/>
    <x v="9"/>
    <x v="36"/>
  </r>
  <r>
    <x v="103"/>
    <x v="95"/>
    <x v="86"/>
    <x v="10"/>
    <x v="11"/>
    <x v="0"/>
    <x v="9"/>
    <x v="10"/>
  </r>
  <r>
    <x v="103"/>
    <x v="95"/>
    <x v="86"/>
    <x v="0"/>
    <x v="0"/>
    <x v="0"/>
    <x v="0"/>
    <x v="0"/>
  </r>
  <r>
    <x v="104"/>
    <x v="96"/>
    <x v="87"/>
    <x v="12"/>
    <x v="13"/>
    <x v="1"/>
    <x v="72"/>
    <x v="100"/>
  </r>
  <r>
    <x v="104"/>
    <x v="96"/>
    <x v="87"/>
    <x v="51"/>
    <x v="55"/>
    <x v="1"/>
    <x v="5"/>
    <x v="6"/>
  </r>
  <r>
    <x v="104"/>
    <x v="96"/>
    <x v="87"/>
    <x v="17"/>
    <x v="18"/>
    <x v="1"/>
    <x v="25"/>
    <x v="101"/>
  </r>
  <r>
    <x v="104"/>
    <x v="96"/>
    <x v="87"/>
    <x v="79"/>
    <x v="88"/>
    <x v="1"/>
    <x v="73"/>
    <x v="102"/>
  </r>
  <r>
    <x v="104"/>
    <x v="96"/>
    <x v="87"/>
    <x v="80"/>
    <x v="89"/>
    <x v="1"/>
    <x v="66"/>
    <x v="92"/>
  </r>
  <r>
    <x v="104"/>
    <x v="96"/>
    <x v="87"/>
    <x v="16"/>
    <x v="17"/>
    <x v="0"/>
    <x v="74"/>
    <x v="103"/>
  </r>
  <r>
    <x v="105"/>
    <x v="97"/>
    <x v="87"/>
    <x v="2"/>
    <x v="2"/>
    <x v="0"/>
    <x v="5"/>
    <x v="6"/>
  </r>
  <r>
    <x v="105"/>
    <x v="97"/>
    <x v="87"/>
    <x v="81"/>
    <x v="90"/>
    <x v="0"/>
    <x v="5"/>
    <x v="6"/>
  </r>
  <r>
    <x v="105"/>
    <x v="97"/>
    <x v="87"/>
    <x v="82"/>
    <x v="91"/>
    <x v="0"/>
    <x v="5"/>
    <x v="6"/>
  </r>
  <r>
    <x v="105"/>
    <x v="97"/>
    <x v="87"/>
    <x v="55"/>
    <x v="92"/>
    <x v="0"/>
    <x v="5"/>
    <x v="6"/>
  </r>
  <r>
    <x v="105"/>
    <x v="97"/>
    <x v="87"/>
    <x v="22"/>
    <x v="23"/>
    <x v="0"/>
    <x v="5"/>
    <x v="6"/>
  </r>
  <r>
    <x v="105"/>
    <x v="97"/>
    <x v="87"/>
    <x v="39"/>
    <x v="39"/>
    <x v="1"/>
    <x v="5"/>
    <x v="6"/>
  </r>
  <r>
    <x v="105"/>
    <x v="97"/>
    <x v="87"/>
    <x v="4"/>
    <x v="4"/>
    <x v="1"/>
    <x v="5"/>
    <x v="6"/>
  </r>
  <r>
    <x v="105"/>
    <x v="97"/>
    <x v="87"/>
    <x v="0"/>
    <x v="0"/>
    <x v="1"/>
    <x v="5"/>
    <x v="6"/>
  </r>
  <r>
    <x v="106"/>
    <x v="98"/>
    <x v="88"/>
    <x v="38"/>
    <x v="38"/>
    <x v="0"/>
    <x v="29"/>
    <x v="34"/>
  </r>
  <r>
    <x v="107"/>
    <x v="99"/>
    <x v="89"/>
    <x v="2"/>
    <x v="2"/>
    <x v="0"/>
    <x v="2"/>
    <x v="2"/>
  </r>
  <r>
    <x v="108"/>
    <x v="100"/>
    <x v="90"/>
    <x v="8"/>
    <x v="9"/>
    <x v="0"/>
    <x v="7"/>
    <x v="28"/>
  </r>
  <r>
    <x v="109"/>
    <x v="79"/>
    <x v="91"/>
    <x v="40"/>
    <x v="40"/>
    <x v="3"/>
    <x v="31"/>
    <x v="104"/>
  </r>
  <r>
    <x v="109"/>
    <x v="79"/>
    <x v="91"/>
    <x v="83"/>
    <x v="93"/>
    <x v="0"/>
    <x v="75"/>
    <x v="105"/>
  </r>
  <r>
    <x v="109"/>
    <x v="79"/>
    <x v="91"/>
    <x v="84"/>
    <x v="94"/>
    <x v="1"/>
    <x v="76"/>
    <x v="106"/>
  </r>
  <r>
    <x v="109"/>
    <x v="79"/>
    <x v="91"/>
    <x v="72"/>
    <x v="81"/>
    <x v="2"/>
    <x v="64"/>
    <x v="89"/>
  </r>
  <r>
    <x v="109"/>
    <x v="79"/>
    <x v="91"/>
    <x v="85"/>
    <x v="95"/>
    <x v="0"/>
    <x v="77"/>
    <x v="107"/>
  </r>
  <r>
    <x v="109"/>
    <x v="79"/>
    <x v="91"/>
    <x v="83"/>
    <x v="93"/>
    <x v="0"/>
    <x v="75"/>
    <x v="105"/>
  </r>
  <r>
    <x v="110"/>
    <x v="101"/>
    <x v="92"/>
    <x v="25"/>
    <x v="25"/>
    <x v="0"/>
    <x v="9"/>
    <x v="10"/>
  </r>
  <r>
    <x v="110"/>
    <x v="101"/>
    <x v="92"/>
    <x v="10"/>
    <x v="11"/>
    <x v="0"/>
    <x v="9"/>
    <x v="10"/>
  </r>
  <r>
    <x v="110"/>
    <x v="101"/>
    <x v="92"/>
    <x v="0"/>
    <x v="0"/>
    <x v="0"/>
    <x v="0"/>
    <x v="0"/>
  </r>
  <r>
    <x v="110"/>
    <x v="101"/>
    <x v="92"/>
    <x v="0"/>
    <x v="0"/>
    <x v="0"/>
    <x v="0"/>
    <x v="0"/>
  </r>
  <r>
    <x v="111"/>
    <x v="42"/>
    <x v="93"/>
    <x v="23"/>
    <x v="46"/>
    <x v="10"/>
    <x v="50"/>
    <x v="108"/>
  </r>
  <r>
    <x v="111"/>
    <x v="42"/>
    <x v="93"/>
    <x v="1"/>
    <x v="1"/>
    <x v="10"/>
    <x v="78"/>
    <x v="51"/>
  </r>
  <r>
    <x v="111"/>
    <x v="42"/>
    <x v="93"/>
    <x v="22"/>
    <x v="23"/>
    <x v="10"/>
    <x v="5"/>
    <x v="6"/>
  </r>
  <r>
    <x v="111"/>
    <x v="42"/>
    <x v="93"/>
    <x v="19"/>
    <x v="20"/>
    <x v="10"/>
    <x v="5"/>
    <x v="6"/>
  </r>
  <r>
    <x v="111"/>
    <x v="42"/>
    <x v="93"/>
    <x v="8"/>
    <x v="9"/>
    <x v="2"/>
    <x v="7"/>
    <x v="8"/>
  </r>
  <r>
    <x v="111"/>
    <x v="42"/>
    <x v="93"/>
    <x v="15"/>
    <x v="16"/>
    <x v="0"/>
    <x v="79"/>
    <x v="109"/>
  </r>
  <r>
    <x v="112"/>
    <x v="102"/>
    <x v="94"/>
    <x v="70"/>
    <x v="9"/>
    <x v="0"/>
    <x v="2"/>
    <x v="2"/>
  </r>
  <r>
    <x v="113"/>
    <x v="103"/>
    <x v="95"/>
    <x v="40"/>
    <x v="40"/>
    <x v="1"/>
    <x v="31"/>
    <x v="37"/>
  </r>
  <r>
    <x v="113"/>
    <x v="103"/>
    <x v="95"/>
    <x v="54"/>
    <x v="56"/>
    <x v="1"/>
    <x v="9"/>
    <x v="78"/>
  </r>
  <r>
    <x v="113"/>
    <x v="103"/>
    <x v="95"/>
    <x v="83"/>
    <x v="93"/>
    <x v="2"/>
    <x v="75"/>
    <x v="110"/>
  </r>
  <r>
    <x v="113"/>
    <x v="103"/>
    <x v="95"/>
    <x v="86"/>
    <x v="96"/>
    <x v="10"/>
    <x v="80"/>
    <x v="111"/>
  </r>
  <r>
    <x v="113"/>
    <x v="103"/>
    <x v="95"/>
    <x v="86"/>
    <x v="96"/>
    <x v="0"/>
    <x v="80"/>
    <x v="112"/>
  </r>
  <r>
    <x v="113"/>
    <x v="103"/>
    <x v="95"/>
    <x v="4"/>
    <x v="4"/>
    <x v="14"/>
    <x v="0"/>
    <x v="113"/>
  </r>
</pivotCacheRecords>
</file>

<file path=xl/pivotCache/pivotCacheRecords24.xml><?xml version="1.0" encoding="utf-8"?>
<pivotCacheRecords xmlns:r="http://schemas.openxmlformats.org/officeDocument/2006/relationships" xmlns="http://schemas.openxmlformats.org/spreadsheetml/2006/main" count="260">
  <r>
    <x v="0"/>
    <x v="0"/>
    <x v="0"/>
  </r>
  <r>
    <x v="1"/>
    <x v="1"/>
    <x v="0"/>
  </r>
  <r>
    <x v="2"/>
    <x v="2"/>
    <x v="0"/>
  </r>
  <r>
    <x v="3"/>
    <x v="3"/>
    <x v="1"/>
  </r>
  <r>
    <x v="0"/>
    <x v="0"/>
    <x v="1"/>
  </r>
  <r>
    <x v="4"/>
    <x v="4"/>
    <x v="1"/>
  </r>
  <r>
    <x v="5"/>
    <x v="5"/>
    <x v="0"/>
  </r>
  <r>
    <x v="6"/>
    <x v="6"/>
    <x v="0"/>
  </r>
  <r>
    <x v="6"/>
    <x v="7"/>
    <x v="0"/>
  </r>
  <r>
    <x v="7"/>
    <x v="8"/>
    <x v="1"/>
  </r>
  <r>
    <x v="8"/>
    <x v="9"/>
    <x v="2"/>
  </r>
  <r>
    <x v="9"/>
    <x v="10"/>
    <x v="2"/>
  </r>
  <r>
    <x v="10"/>
    <x v="11"/>
    <x v="0"/>
  </r>
  <r>
    <x v="0"/>
    <x v="0"/>
    <x v="0"/>
  </r>
  <r>
    <x v="11"/>
    <x v="12"/>
    <x v="0"/>
  </r>
  <r>
    <x v="0"/>
    <x v="0"/>
    <x v="0"/>
  </r>
  <r>
    <x v="12"/>
    <x v="13"/>
    <x v="3"/>
  </r>
  <r>
    <x v="13"/>
    <x v="14"/>
    <x v="3"/>
  </r>
  <r>
    <x v="13"/>
    <x v="14"/>
    <x v="3"/>
  </r>
  <r>
    <x v="1"/>
    <x v="1"/>
    <x v="2"/>
  </r>
  <r>
    <x v="14"/>
    <x v="15"/>
    <x v="0"/>
  </r>
  <r>
    <x v="15"/>
    <x v="16"/>
    <x v="0"/>
  </r>
  <r>
    <x v="16"/>
    <x v="17"/>
    <x v="0"/>
  </r>
  <r>
    <x v="12"/>
    <x v="13"/>
    <x v="0"/>
  </r>
  <r>
    <x v="17"/>
    <x v="18"/>
    <x v="0"/>
  </r>
  <r>
    <x v="18"/>
    <x v="19"/>
    <x v="0"/>
  </r>
  <r>
    <x v="19"/>
    <x v="20"/>
    <x v="0"/>
  </r>
  <r>
    <x v="8"/>
    <x v="21"/>
    <x v="4"/>
  </r>
  <r>
    <x v="2"/>
    <x v="2"/>
    <x v="0"/>
  </r>
  <r>
    <x v="20"/>
    <x v="22"/>
    <x v="0"/>
  </r>
  <r>
    <x v="21"/>
    <x v="17"/>
    <x v="0"/>
  </r>
  <r>
    <x v="22"/>
    <x v="23"/>
    <x v="1"/>
  </r>
  <r>
    <x v="23"/>
    <x v="24"/>
    <x v="1"/>
  </r>
  <r>
    <x v="24"/>
    <x v="17"/>
    <x v="0"/>
  </r>
  <r>
    <x v="8"/>
    <x v="9"/>
    <x v="2"/>
  </r>
  <r>
    <x v="25"/>
    <x v="25"/>
    <x v="2"/>
  </r>
  <r>
    <x v="26"/>
    <x v="26"/>
    <x v="0"/>
  </r>
  <r>
    <x v="8"/>
    <x v="9"/>
    <x v="0"/>
  </r>
  <r>
    <x v="27"/>
    <x v="27"/>
    <x v="4"/>
  </r>
  <r>
    <x v="22"/>
    <x v="23"/>
    <x v="4"/>
  </r>
  <r>
    <x v="28"/>
    <x v="28"/>
    <x v="4"/>
  </r>
  <r>
    <x v="29"/>
    <x v="29"/>
    <x v="5"/>
  </r>
  <r>
    <x v="30"/>
    <x v="30"/>
    <x v="2"/>
  </r>
  <r>
    <x v="31"/>
    <x v="31"/>
    <x v="6"/>
  </r>
  <r>
    <x v="32"/>
    <x v="32"/>
    <x v="2"/>
  </r>
  <r>
    <x v="33"/>
    <x v="33"/>
    <x v="7"/>
  </r>
  <r>
    <x v="24"/>
    <x v="17"/>
    <x v="0"/>
  </r>
  <r>
    <x v="34"/>
    <x v="34"/>
    <x v="8"/>
  </r>
  <r>
    <x v="35"/>
    <x v="35"/>
    <x v="9"/>
  </r>
  <r>
    <x v="36"/>
    <x v="36"/>
    <x v="9"/>
  </r>
  <r>
    <x v="37"/>
    <x v="37"/>
    <x v="0"/>
  </r>
  <r>
    <x v="38"/>
    <x v="38"/>
    <x v="0"/>
  </r>
  <r>
    <x v="39"/>
    <x v="39"/>
    <x v="1"/>
  </r>
  <r>
    <x v="3"/>
    <x v="3"/>
    <x v="1"/>
  </r>
  <r>
    <x v="0"/>
    <x v="0"/>
    <x v="1"/>
  </r>
  <r>
    <x v="25"/>
    <x v="25"/>
    <x v="2"/>
  </r>
  <r>
    <x v="40"/>
    <x v="40"/>
    <x v="1"/>
  </r>
  <r>
    <x v="1"/>
    <x v="1"/>
    <x v="2"/>
  </r>
  <r>
    <x v="8"/>
    <x v="9"/>
    <x v="0"/>
  </r>
  <r>
    <x v="6"/>
    <x v="41"/>
    <x v="0"/>
  </r>
  <r>
    <x v="41"/>
    <x v="42"/>
    <x v="0"/>
  </r>
  <r>
    <x v="42"/>
    <x v="43"/>
    <x v="0"/>
  </r>
  <r>
    <x v="2"/>
    <x v="2"/>
    <x v="2"/>
  </r>
  <r>
    <x v="24"/>
    <x v="17"/>
    <x v="0"/>
  </r>
  <r>
    <x v="6"/>
    <x v="44"/>
    <x v="0"/>
  </r>
  <r>
    <x v="6"/>
    <x v="45"/>
    <x v="0"/>
  </r>
  <r>
    <x v="16"/>
    <x v="17"/>
    <x v="0"/>
  </r>
  <r>
    <x v="10"/>
    <x v="11"/>
    <x v="0"/>
  </r>
  <r>
    <x v="0"/>
    <x v="0"/>
    <x v="0"/>
  </r>
  <r>
    <x v="38"/>
    <x v="38"/>
    <x v="0"/>
  </r>
  <r>
    <x v="0"/>
    <x v="0"/>
    <x v="0"/>
  </r>
  <r>
    <x v="8"/>
    <x v="9"/>
    <x v="0"/>
  </r>
  <r>
    <x v="2"/>
    <x v="2"/>
    <x v="0"/>
  </r>
  <r>
    <x v="43"/>
    <x v="46"/>
    <x v="6"/>
  </r>
  <r>
    <x v="22"/>
    <x v="23"/>
    <x v="6"/>
  </r>
  <r>
    <x v="39"/>
    <x v="39"/>
    <x v="6"/>
  </r>
  <r>
    <x v="0"/>
    <x v="0"/>
    <x v="6"/>
  </r>
  <r>
    <x v="4"/>
    <x v="4"/>
    <x v="6"/>
  </r>
  <r>
    <x v="44"/>
    <x v="47"/>
    <x v="1"/>
  </r>
  <r>
    <x v="45"/>
    <x v="48"/>
    <x v="2"/>
  </r>
  <r>
    <x v="3"/>
    <x v="3"/>
    <x v="10"/>
  </r>
  <r>
    <x v="11"/>
    <x v="12"/>
    <x v="10"/>
  </r>
  <r>
    <x v="46"/>
    <x v="49"/>
    <x v="10"/>
  </r>
  <r>
    <x v="24"/>
    <x v="17"/>
    <x v="0"/>
  </r>
  <r>
    <x v="47"/>
    <x v="50"/>
    <x v="11"/>
  </r>
  <r>
    <x v="47"/>
    <x v="51"/>
    <x v="0"/>
  </r>
  <r>
    <x v="48"/>
    <x v="52"/>
    <x v="12"/>
  </r>
  <r>
    <x v="16"/>
    <x v="17"/>
    <x v="0"/>
  </r>
  <r>
    <x v="49"/>
    <x v="53"/>
    <x v="13"/>
  </r>
  <r>
    <x v="16"/>
    <x v="17"/>
    <x v="0"/>
  </r>
  <r>
    <x v="25"/>
    <x v="25"/>
    <x v="0"/>
  </r>
  <r>
    <x v="38"/>
    <x v="38"/>
    <x v="12"/>
  </r>
  <r>
    <x v="50"/>
    <x v="54"/>
    <x v="2"/>
  </r>
  <r>
    <x v="40"/>
    <x v="40"/>
    <x v="2"/>
  </r>
  <r>
    <x v="50"/>
    <x v="54"/>
    <x v="2"/>
  </r>
  <r>
    <x v="12"/>
    <x v="13"/>
    <x v="2"/>
  </r>
  <r>
    <x v="51"/>
    <x v="55"/>
    <x v="2"/>
  </r>
  <r>
    <x v="52"/>
    <x v="17"/>
    <x v="0"/>
  </r>
  <r>
    <x v="53"/>
    <x v="17"/>
    <x v="0"/>
  </r>
  <r>
    <x v="16"/>
    <x v="17"/>
    <x v="0"/>
  </r>
  <r>
    <x v="10"/>
    <x v="11"/>
    <x v="0"/>
  </r>
  <r>
    <x v="0"/>
    <x v="0"/>
    <x v="0"/>
  </r>
  <r>
    <x v="23"/>
    <x v="46"/>
    <x v="2"/>
  </r>
  <r>
    <x v="18"/>
    <x v="19"/>
    <x v="2"/>
  </r>
  <r>
    <x v="22"/>
    <x v="23"/>
    <x v="2"/>
  </r>
  <r>
    <x v="19"/>
    <x v="20"/>
    <x v="2"/>
  </r>
  <r>
    <x v="54"/>
    <x v="56"/>
    <x v="0"/>
  </r>
  <r>
    <x v="23"/>
    <x v="46"/>
    <x v="2"/>
  </r>
  <r>
    <x v="18"/>
    <x v="19"/>
    <x v="2"/>
  </r>
  <r>
    <x v="22"/>
    <x v="23"/>
    <x v="2"/>
  </r>
  <r>
    <x v="19"/>
    <x v="20"/>
    <x v="2"/>
  </r>
  <r>
    <x v="54"/>
    <x v="56"/>
    <x v="2"/>
  </r>
  <r>
    <x v="23"/>
    <x v="46"/>
    <x v="2"/>
  </r>
  <r>
    <x v="18"/>
    <x v="19"/>
    <x v="2"/>
  </r>
  <r>
    <x v="22"/>
    <x v="23"/>
    <x v="2"/>
  </r>
  <r>
    <x v="19"/>
    <x v="20"/>
    <x v="2"/>
  </r>
  <r>
    <x v="54"/>
    <x v="56"/>
    <x v="2"/>
  </r>
  <r>
    <x v="3"/>
    <x v="3"/>
    <x v="2"/>
  </r>
  <r>
    <x v="0"/>
    <x v="0"/>
    <x v="2"/>
  </r>
  <r>
    <x v="38"/>
    <x v="38"/>
    <x v="1"/>
  </r>
  <r>
    <x v="38"/>
    <x v="38"/>
    <x v="2"/>
  </r>
  <r>
    <x v="55"/>
    <x v="57"/>
    <x v="2"/>
  </r>
  <r>
    <x v="56"/>
    <x v="58"/>
    <x v="6"/>
  </r>
  <r>
    <x v="16"/>
    <x v="17"/>
    <x v="0"/>
  </r>
  <r>
    <x v="25"/>
    <x v="25"/>
    <x v="2"/>
  </r>
  <r>
    <x v="37"/>
    <x v="37"/>
    <x v="0"/>
  </r>
  <r>
    <x v="38"/>
    <x v="38"/>
    <x v="2"/>
  </r>
  <r>
    <x v="12"/>
    <x v="13"/>
    <x v="1"/>
  </r>
  <r>
    <x v="17"/>
    <x v="18"/>
    <x v="1"/>
  </r>
  <r>
    <x v="57"/>
    <x v="59"/>
    <x v="1"/>
  </r>
  <r>
    <x v="19"/>
    <x v="20"/>
    <x v="1"/>
  </r>
  <r>
    <x v="58"/>
    <x v="60"/>
    <x v="2"/>
  </r>
  <r>
    <x v="59"/>
    <x v="61"/>
    <x v="0"/>
  </r>
  <r>
    <x v="10"/>
    <x v="11"/>
    <x v="12"/>
  </r>
  <r>
    <x v="0"/>
    <x v="0"/>
    <x v="12"/>
  </r>
  <r>
    <x v="6"/>
    <x v="62"/>
    <x v="0"/>
  </r>
  <r>
    <x v="60"/>
    <x v="63"/>
    <x v="0"/>
  </r>
  <r>
    <x v="61"/>
    <x v="64"/>
    <x v="0"/>
  </r>
  <r>
    <x v="6"/>
    <x v="65"/>
    <x v="0"/>
  </r>
  <r>
    <x v="61"/>
    <x v="64"/>
    <x v="2"/>
  </r>
  <r>
    <x v="62"/>
    <x v="66"/>
    <x v="2"/>
  </r>
  <r>
    <x v="16"/>
    <x v="17"/>
    <x v="0"/>
  </r>
  <r>
    <x v="63"/>
    <x v="67"/>
    <x v="0"/>
  </r>
  <r>
    <x v="43"/>
    <x v="46"/>
    <x v="1"/>
  </r>
  <r>
    <x v="39"/>
    <x v="39"/>
    <x v="1"/>
  </r>
  <r>
    <x v="22"/>
    <x v="23"/>
    <x v="1"/>
  </r>
  <r>
    <x v="19"/>
    <x v="20"/>
    <x v="1"/>
  </r>
  <r>
    <x v="2"/>
    <x v="2"/>
    <x v="0"/>
  </r>
  <r>
    <x v="10"/>
    <x v="11"/>
    <x v="1"/>
  </r>
  <r>
    <x v="0"/>
    <x v="0"/>
    <x v="1"/>
  </r>
  <r>
    <x v="64"/>
    <x v="68"/>
    <x v="9"/>
  </r>
  <r>
    <x v="19"/>
    <x v="20"/>
    <x v="0"/>
  </r>
  <r>
    <x v="38"/>
    <x v="38"/>
    <x v="0"/>
  </r>
  <r>
    <x v="54"/>
    <x v="56"/>
    <x v="2"/>
  </r>
  <r>
    <x v="4"/>
    <x v="4"/>
    <x v="0"/>
  </r>
  <r>
    <x v="3"/>
    <x v="3"/>
    <x v="2"/>
  </r>
  <r>
    <x v="0"/>
    <x v="0"/>
    <x v="2"/>
  </r>
  <r>
    <x v="10"/>
    <x v="11"/>
    <x v="0"/>
  </r>
  <r>
    <x v="0"/>
    <x v="0"/>
    <x v="0"/>
  </r>
  <r>
    <x v="65"/>
    <x v="69"/>
    <x v="0"/>
  </r>
  <r>
    <x v="25"/>
    <x v="25"/>
    <x v="1"/>
  </r>
  <r>
    <x v="3"/>
    <x v="3"/>
    <x v="0"/>
  </r>
  <r>
    <x v="0"/>
    <x v="0"/>
    <x v="0"/>
  </r>
  <r>
    <x v="10"/>
    <x v="11"/>
    <x v="2"/>
  </r>
  <r>
    <x v="0"/>
    <x v="0"/>
    <x v="2"/>
  </r>
  <r>
    <x v="37"/>
    <x v="37"/>
    <x v="0"/>
  </r>
  <r>
    <x v="38"/>
    <x v="38"/>
    <x v="0"/>
  </r>
  <r>
    <x v="6"/>
    <x v="70"/>
    <x v="0"/>
  </r>
  <r>
    <x v="6"/>
    <x v="71"/>
    <x v="0"/>
  </r>
  <r>
    <x v="6"/>
    <x v="72"/>
    <x v="0"/>
  </r>
  <r>
    <x v="6"/>
    <x v="73"/>
    <x v="0"/>
  </r>
  <r>
    <x v="66"/>
    <x v="74"/>
    <x v="0"/>
  </r>
  <r>
    <x v="67"/>
    <x v="75"/>
    <x v="0"/>
  </r>
  <r>
    <x v="68"/>
    <x v="76"/>
    <x v="0"/>
  </r>
  <r>
    <x v="69"/>
    <x v="77"/>
    <x v="1"/>
  </r>
  <r>
    <x v="6"/>
    <x v="78"/>
    <x v="0"/>
  </r>
  <r>
    <x v="16"/>
    <x v="17"/>
    <x v="0"/>
  </r>
  <r>
    <x v="70"/>
    <x v="9"/>
    <x v="2"/>
  </r>
  <r>
    <x v="4"/>
    <x v="4"/>
    <x v="2"/>
  </r>
  <r>
    <x v="46"/>
    <x v="49"/>
    <x v="2"/>
  </r>
  <r>
    <x v="0"/>
    <x v="0"/>
    <x v="2"/>
  </r>
  <r>
    <x v="71"/>
    <x v="79"/>
    <x v="1"/>
  </r>
  <r>
    <x v="22"/>
    <x v="23"/>
    <x v="1"/>
  </r>
  <r>
    <x v="39"/>
    <x v="80"/>
    <x v="1"/>
  </r>
  <r>
    <x v="0"/>
    <x v="0"/>
    <x v="1"/>
  </r>
  <r>
    <x v="4"/>
    <x v="4"/>
    <x v="1"/>
  </r>
  <r>
    <x v="50"/>
    <x v="54"/>
    <x v="10"/>
  </r>
  <r>
    <x v="16"/>
    <x v="17"/>
    <x v="0"/>
  </r>
  <r>
    <x v="8"/>
    <x v="9"/>
    <x v="0"/>
  </r>
  <r>
    <x v="8"/>
    <x v="9"/>
    <x v="0"/>
  </r>
  <r>
    <x v="3"/>
    <x v="3"/>
    <x v="0"/>
  </r>
  <r>
    <x v="0"/>
    <x v="0"/>
    <x v="0"/>
  </r>
  <r>
    <x v="26"/>
    <x v="26"/>
    <x v="0"/>
  </r>
  <r>
    <x v="72"/>
    <x v="81"/>
    <x v="2"/>
  </r>
  <r>
    <x v="73"/>
    <x v="82"/>
    <x v="0"/>
  </r>
  <r>
    <x v="45"/>
    <x v="48"/>
    <x v="0"/>
  </r>
  <r>
    <x v="74"/>
    <x v="83"/>
    <x v="0"/>
  </r>
  <r>
    <x v="19"/>
    <x v="20"/>
    <x v="0"/>
  </r>
  <r>
    <x v="2"/>
    <x v="2"/>
    <x v="0"/>
  </r>
  <r>
    <x v="37"/>
    <x v="37"/>
    <x v="2"/>
  </r>
  <r>
    <x v="75"/>
    <x v="84"/>
    <x v="1"/>
  </r>
  <r>
    <x v="76"/>
    <x v="85"/>
    <x v="10"/>
  </r>
  <r>
    <x v="16"/>
    <x v="17"/>
    <x v="0"/>
  </r>
  <r>
    <x v="22"/>
    <x v="23"/>
    <x v="10"/>
  </r>
  <r>
    <x v="2"/>
    <x v="2"/>
    <x v="0"/>
  </r>
  <r>
    <x v="26"/>
    <x v="26"/>
    <x v="0"/>
  </r>
  <r>
    <x v="25"/>
    <x v="25"/>
    <x v="2"/>
  </r>
  <r>
    <x v="8"/>
    <x v="9"/>
    <x v="0"/>
  </r>
  <r>
    <x v="37"/>
    <x v="37"/>
    <x v="0"/>
  </r>
  <r>
    <x v="77"/>
    <x v="86"/>
    <x v="1"/>
  </r>
  <r>
    <x v="78"/>
    <x v="87"/>
    <x v="1"/>
  </r>
  <r>
    <x v="16"/>
    <x v="17"/>
    <x v="0"/>
  </r>
  <r>
    <x v="26"/>
    <x v="26"/>
    <x v="0"/>
  </r>
  <r>
    <x v="46"/>
    <x v="49"/>
    <x v="1"/>
  </r>
  <r>
    <x v="11"/>
    <x v="12"/>
    <x v="2"/>
  </r>
  <r>
    <x v="3"/>
    <x v="3"/>
    <x v="0"/>
  </r>
  <r>
    <x v="0"/>
    <x v="0"/>
    <x v="0"/>
  </r>
  <r>
    <x v="25"/>
    <x v="25"/>
    <x v="2"/>
  </r>
  <r>
    <x v="10"/>
    <x v="11"/>
    <x v="0"/>
  </r>
  <r>
    <x v="0"/>
    <x v="0"/>
    <x v="0"/>
  </r>
  <r>
    <x v="12"/>
    <x v="13"/>
    <x v="1"/>
  </r>
  <r>
    <x v="51"/>
    <x v="55"/>
    <x v="1"/>
  </r>
  <r>
    <x v="17"/>
    <x v="18"/>
    <x v="1"/>
  </r>
  <r>
    <x v="79"/>
    <x v="88"/>
    <x v="1"/>
  </r>
  <r>
    <x v="80"/>
    <x v="89"/>
    <x v="1"/>
  </r>
  <r>
    <x v="16"/>
    <x v="17"/>
    <x v="0"/>
  </r>
  <r>
    <x v="2"/>
    <x v="2"/>
    <x v="0"/>
  </r>
  <r>
    <x v="81"/>
    <x v="90"/>
    <x v="0"/>
  </r>
  <r>
    <x v="82"/>
    <x v="91"/>
    <x v="0"/>
  </r>
  <r>
    <x v="55"/>
    <x v="92"/>
    <x v="0"/>
  </r>
  <r>
    <x v="22"/>
    <x v="23"/>
    <x v="0"/>
  </r>
  <r>
    <x v="39"/>
    <x v="39"/>
    <x v="1"/>
  </r>
  <r>
    <x v="4"/>
    <x v="4"/>
    <x v="1"/>
  </r>
  <r>
    <x v="0"/>
    <x v="0"/>
    <x v="1"/>
  </r>
  <r>
    <x v="38"/>
    <x v="38"/>
    <x v="0"/>
  </r>
  <r>
    <x v="2"/>
    <x v="2"/>
    <x v="0"/>
  </r>
  <r>
    <x v="8"/>
    <x v="9"/>
    <x v="0"/>
  </r>
  <r>
    <x v="40"/>
    <x v="40"/>
    <x v="3"/>
  </r>
  <r>
    <x v="83"/>
    <x v="93"/>
    <x v="0"/>
  </r>
  <r>
    <x v="84"/>
    <x v="94"/>
    <x v="1"/>
  </r>
  <r>
    <x v="72"/>
    <x v="81"/>
    <x v="2"/>
  </r>
  <r>
    <x v="85"/>
    <x v="95"/>
    <x v="0"/>
  </r>
  <r>
    <x v="83"/>
    <x v="93"/>
    <x v="0"/>
  </r>
  <r>
    <x v="25"/>
    <x v="25"/>
    <x v="0"/>
  </r>
  <r>
    <x v="10"/>
    <x v="11"/>
    <x v="0"/>
  </r>
  <r>
    <x v="0"/>
    <x v="0"/>
    <x v="0"/>
  </r>
  <r>
    <x v="0"/>
    <x v="0"/>
    <x v="0"/>
  </r>
  <r>
    <x v="23"/>
    <x v="46"/>
    <x v="10"/>
  </r>
  <r>
    <x v="1"/>
    <x v="1"/>
    <x v="10"/>
  </r>
  <r>
    <x v="22"/>
    <x v="23"/>
    <x v="10"/>
  </r>
  <r>
    <x v="19"/>
    <x v="20"/>
    <x v="10"/>
  </r>
  <r>
    <x v="8"/>
    <x v="9"/>
    <x v="2"/>
  </r>
  <r>
    <x v="15"/>
    <x v="16"/>
    <x v="0"/>
  </r>
  <r>
    <x v="70"/>
    <x v="9"/>
    <x v="0"/>
  </r>
  <r>
    <x v="40"/>
    <x v="40"/>
    <x v="1"/>
  </r>
  <r>
    <x v="54"/>
    <x v="56"/>
    <x v="1"/>
  </r>
  <r>
    <x v="83"/>
    <x v="93"/>
    <x v="2"/>
  </r>
  <r>
    <x v="86"/>
    <x v="96"/>
    <x v="10"/>
  </r>
  <r>
    <x v="86"/>
    <x v="96"/>
    <x v="0"/>
  </r>
  <r>
    <x v="4"/>
    <x v="4"/>
    <x v="14"/>
  </r>
</pivotCacheRecords>
</file>

<file path=xl/pivotCache/pivotCacheRecords25.xml><?xml version="1.0" encoding="utf-8"?>
<pivotCacheRecords xmlns:r="http://schemas.openxmlformats.org/officeDocument/2006/relationships" xmlns="http://schemas.openxmlformats.org/spreadsheetml/2006/main" count="260">
  <r>
    <x v="0"/>
    <x v="0"/>
    <x v="0"/>
    <x v="0"/>
    <x v="0"/>
  </r>
  <r>
    <x v="1"/>
    <x v="1"/>
    <x v="0"/>
    <x v="1"/>
    <x v="1"/>
  </r>
  <r>
    <x v="2"/>
    <x v="2"/>
    <x v="0"/>
    <x v="2"/>
    <x v="2"/>
  </r>
  <r>
    <x v="3"/>
    <x v="3"/>
    <x v="1"/>
    <x v="3"/>
    <x v="3"/>
  </r>
  <r>
    <x v="0"/>
    <x v="0"/>
    <x v="1"/>
    <x v="0"/>
    <x v="4"/>
  </r>
  <r>
    <x v="4"/>
    <x v="4"/>
    <x v="1"/>
    <x v="0"/>
    <x v="4"/>
  </r>
  <r>
    <x v="5"/>
    <x v="5"/>
    <x v="0"/>
    <x v="4"/>
    <x v="5"/>
  </r>
  <r>
    <x v="6"/>
    <x v="6"/>
    <x v="0"/>
    <x v="5"/>
    <x v="6"/>
  </r>
  <r>
    <x v="6"/>
    <x v="7"/>
    <x v="0"/>
    <x v="5"/>
    <x v="6"/>
  </r>
  <r>
    <x v="7"/>
    <x v="8"/>
    <x v="1"/>
    <x v="6"/>
    <x v="7"/>
  </r>
  <r>
    <x v="8"/>
    <x v="9"/>
    <x v="2"/>
    <x v="7"/>
    <x v="8"/>
  </r>
  <r>
    <x v="9"/>
    <x v="10"/>
    <x v="2"/>
    <x v="8"/>
    <x v="9"/>
  </r>
  <r>
    <x v="10"/>
    <x v="11"/>
    <x v="0"/>
    <x v="9"/>
    <x v="10"/>
  </r>
  <r>
    <x v="0"/>
    <x v="0"/>
    <x v="0"/>
    <x v="0"/>
    <x v="0"/>
  </r>
  <r>
    <x v="11"/>
    <x v="12"/>
    <x v="0"/>
    <x v="10"/>
    <x v="11"/>
  </r>
  <r>
    <x v="0"/>
    <x v="0"/>
    <x v="0"/>
    <x v="0"/>
    <x v="0"/>
  </r>
  <r>
    <x v="12"/>
    <x v="13"/>
    <x v="3"/>
    <x v="11"/>
    <x v="12"/>
  </r>
  <r>
    <x v="13"/>
    <x v="14"/>
    <x v="3"/>
    <x v="8"/>
    <x v="13"/>
  </r>
  <r>
    <x v="13"/>
    <x v="14"/>
    <x v="3"/>
    <x v="5"/>
    <x v="6"/>
  </r>
  <r>
    <x v="1"/>
    <x v="1"/>
    <x v="2"/>
    <x v="1"/>
    <x v="14"/>
  </r>
  <r>
    <x v="14"/>
    <x v="15"/>
    <x v="0"/>
    <x v="5"/>
    <x v="6"/>
  </r>
  <r>
    <x v="15"/>
    <x v="16"/>
    <x v="0"/>
    <x v="12"/>
    <x v="15"/>
  </r>
  <r>
    <x v="16"/>
    <x v="17"/>
    <x v="0"/>
    <x v="13"/>
    <x v="16"/>
  </r>
  <r>
    <x v="12"/>
    <x v="13"/>
    <x v="0"/>
    <x v="11"/>
    <x v="17"/>
  </r>
  <r>
    <x v="17"/>
    <x v="18"/>
    <x v="0"/>
    <x v="5"/>
    <x v="6"/>
  </r>
  <r>
    <x v="18"/>
    <x v="19"/>
    <x v="0"/>
    <x v="14"/>
    <x v="18"/>
  </r>
  <r>
    <x v="19"/>
    <x v="20"/>
    <x v="0"/>
    <x v="15"/>
    <x v="19"/>
  </r>
  <r>
    <x v="8"/>
    <x v="21"/>
    <x v="4"/>
    <x v="16"/>
    <x v="20"/>
  </r>
  <r>
    <x v="2"/>
    <x v="2"/>
    <x v="0"/>
    <x v="2"/>
    <x v="2"/>
  </r>
  <r>
    <x v="20"/>
    <x v="22"/>
    <x v="0"/>
    <x v="17"/>
    <x v="21"/>
  </r>
  <r>
    <x v="21"/>
    <x v="17"/>
    <x v="0"/>
    <x v="18"/>
    <x v="22"/>
  </r>
  <r>
    <x v="22"/>
    <x v="23"/>
    <x v="1"/>
    <x v="5"/>
    <x v="6"/>
  </r>
  <r>
    <x v="23"/>
    <x v="24"/>
    <x v="1"/>
    <x v="19"/>
    <x v="23"/>
  </r>
  <r>
    <x v="24"/>
    <x v="17"/>
    <x v="0"/>
    <x v="20"/>
    <x v="24"/>
  </r>
  <r>
    <x v="8"/>
    <x v="9"/>
    <x v="2"/>
    <x v="21"/>
    <x v="25"/>
  </r>
  <r>
    <x v="25"/>
    <x v="25"/>
    <x v="2"/>
    <x v="22"/>
    <x v="26"/>
  </r>
  <r>
    <x v="26"/>
    <x v="26"/>
    <x v="0"/>
    <x v="23"/>
    <x v="27"/>
  </r>
  <r>
    <x v="8"/>
    <x v="9"/>
    <x v="0"/>
    <x v="7"/>
    <x v="28"/>
  </r>
  <r>
    <x v="27"/>
    <x v="27"/>
    <x v="4"/>
    <x v="24"/>
    <x v="29"/>
  </r>
  <r>
    <x v="22"/>
    <x v="23"/>
    <x v="4"/>
    <x v="5"/>
    <x v="6"/>
  </r>
  <r>
    <x v="28"/>
    <x v="28"/>
    <x v="4"/>
    <x v="5"/>
    <x v="6"/>
  </r>
  <r>
    <x v="29"/>
    <x v="29"/>
    <x v="5"/>
    <x v="25"/>
    <x v="30"/>
  </r>
  <r>
    <x v="30"/>
    <x v="30"/>
    <x v="2"/>
    <x v="26"/>
    <x v="31"/>
  </r>
  <r>
    <x v="31"/>
    <x v="31"/>
    <x v="6"/>
    <x v="5"/>
    <x v="6"/>
  </r>
  <r>
    <x v="32"/>
    <x v="32"/>
    <x v="2"/>
    <x v="5"/>
    <x v="6"/>
  </r>
  <r>
    <x v="33"/>
    <x v="33"/>
    <x v="7"/>
    <x v="5"/>
    <x v="6"/>
  </r>
  <r>
    <x v="24"/>
    <x v="17"/>
    <x v="0"/>
    <x v="27"/>
    <x v="32"/>
  </r>
  <r>
    <x v="34"/>
    <x v="34"/>
    <x v="8"/>
    <x v="5"/>
    <x v="6"/>
  </r>
  <r>
    <x v="35"/>
    <x v="35"/>
    <x v="9"/>
    <x v="5"/>
    <x v="6"/>
  </r>
  <r>
    <x v="36"/>
    <x v="36"/>
    <x v="9"/>
    <x v="5"/>
    <x v="6"/>
  </r>
  <r>
    <x v="37"/>
    <x v="37"/>
    <x v="0"/>
    <x v="28"/>
    <x v="33"/>
  </r>
  <r>
    <x v="38"/>
    <x v="38"/>
    <x v="0"/>
    <x v="29"/>
    <x v="34"/>
  </r>
  <r>
    <x v="39"/>
    <x v="39"/>
    <x v="1"/>
    <x v="30"/>
    <x v="35"/>
  </r>
  <r>
    <x v="3"/>
    <x v="3"/>
    <x v="1"/>
    <x v="3"/>
    <x v="3"/>
  </r>
  <r>
    <x v="0"/>
    <x v="0"/>
    <x v="1"/>
    <x v="0"/>
    <x v="4"/>
  </r>
  <r>
    <x v="25"/>
    <x v="25"/>
    <x v="2"/>
    <x v="9"/>
    <x v="36"/>
  </r>
  <r>
    <x v="40"/>
    <x v="40"/>
    <x v="1"/>
    <x v="31"/>
    <x v="37"/>
  </r>
  <r>
    <x v="1"/>
    <x v="1"/>
    <x v="2"/>
    <x v="1"/>
    <x v="14"/>
  </r>
  <r>
    <x v="8"/>
    <x v="9"/>
    <x v="0"/>
    <x v="7"/>
    <x v="28"/>
  </r>
  <r>
    <x v="6"/>
    <x v="41"/>
    <x v="0"/>
    <x v="5"/>
    <x v="6"/>
  </r>
  <r>
    <x v="41"/>
    <x v="42"/>
    <x v="0"/>
    <x v="5"/>
    <x v="6"/>
  </r>
  <r>
    <x v="42"/>
    <x v="43"/>
    <x v="0"/>
    <x v="32"/>
    <x v="38"/>
  </r>
  <r>
    <x v="2"/>
    <x v="2"/>
    <x v="2"/>
    <x v="33"/>
    <x v="39"/>
  </r>
  <r>
    <x v="24"/>
    <x v="17"/>
    <x v="0"/>
    <x v="34"/>
    <x v="40"/>
  </r>
  <r>
    <x v="6"/>
    <x v="44"/>
    <x v="0"/>
    <x v="5"/>
    <x v="6"/>
  </r>
  <r>
    <x v="6"/>
    <x v="45"/>
    <x v="0"/>
    <x v="5"/>
    <x v="6"/>
  </r>
  <r>
    <x v="16"/>
    <x v="17"/>
    <x v="0"/>
    <x v="35"/>
    <x v="41"/>
  </r>
  <r>
    <x v="10"/>
    <x v="11"/>
    <x v="0"/>
    <x v="9"/>
    <x v="10"/>
  </r>
  <r>
    <x v="0"/>
    <x v="0"/>
    <x v="0"/>
    <x v="0"/>
    <x v="0"/>
  </r>
  <r>
    <x v="38"/>
    <x v="38"/>
    <x v="0"/>
    <x v="29"/>
    <x v="34"/>
  </r>
  <r>
    <x v="0"/>
    <x v="0"/>
    <x v="0"/>
    <x v="0"/>
    <x v="0"/>
  </r>
  <r>
    <x v="8"/>
    <x v="9"/>
    <x v="0"/>
    <x v="7"/>
    <x v="28"/>
  </r>
  <r>
    <x v="2"/>
    <x v="2"/>
    <x v="0"/>
    <x v="2"/>
    <x v="2"/>
  </r>
  <r>
    <x v="43"/>
    <x v="46"/>
    <x v="6"/>
    <x v="36"/>
    <x v="42"/>
  </r>
  <r>
    <x v="22"/>
    <x v="23"/>
    <x v="6"/>
    <x v="5"/>
    <x v="6"/>
  </r>
  <r>
    <x v="39"/>
    <x v="39"/>
    <x v="6"/>
    <x v="5"/>
    <x v="6"/>
  </r>
  <r>
    <x v="0"/>
    <x v="0"/>
    <x v="6"/>
    <x v="5"/>
    <x v="6"/>
  </r>
  <r>
    <x v="4"/>
    <x v="4"/>
    <x v="6"/>
    <x v="5"/>
    <x v="6"/>
  </r>
  <r>
    <x v="44"/>
    <x v="47"/>
    <x v="1"/>
    <x v="37"/>
    <x v="43"/>
  </r>
  <r>
    <x v="45"/>
    <x v="48"/>
    <x v="2"/>
    <x v="38"/>
    <x v="44"/>
  </r>
  <r>
    <x v="3"/>
    <x v="3"/>
    <x v="10"/>
    <x v="39"/>
    <x v="45"/>
  </r>
  <r>
    <x v="11"/>
    <x v="12"/>
    <x v="10"/>
    <x v="5"/>
    <x v="6"/>
  </r>
  <r>
    <x v="46"/>
    <x v="49"/>
    <x v="10"/>
    <x v="5"/>
    <x v="6"/>
  </r>
  <r>
    <x v="24"/>
    <x v="17"/>
    <x v="0"/>
    <x v="40"/>
    <x v="46"/>
  </r>
  <r>
    <x v="47"/>
    <x v="50"/>
    <x v="11"/>
    <x v="41"/>
    <x v="47"/>
  </r>
  <r>
    <x v="47"/>
    <x v="51"/>
    <x v="0"/>
    <x v="42"/>
    <x v="48"/>
  </r>
  <r>
    <x v="48"/>
    <x v="52"/>
    <x v="12"/>
    <x v="43"/>
    <x v="49"/>
  </r>
  <r>
    <x v="16"/>
    <x v="17"/>
    <x v="0"/>
    <x v="44"/>
    <x v="50"/>
  </r>
  <r>
    <x v="49"/>
    <x v="53"/>
    <x v="13"/>
    <x v="45"/>
    <x v="51"/>
  </r>
  <r>
    <x v="16"/>
    <x v="17"/>
    <x v="0"/>
    <x v="46"/>
    <x v="52"/>
  </r>
  <r>
    <x v="25"/>
    <x v="25"/>
    <x v="0"/>
    <x v="9"/>
    <x v="10"/>
  </r>
  <r>
    <x v="38"/>
    <x v="38"/>
    <x v="12"/>
    <x v="29"/>
    <x v="53"/>
  </r>
  <r>
    <x v="50"/>
    <x v="54"/>
    <x v="2"/>
    <x v="8"/>
    <x v="9"/>
  </r>
  <r>
    <x v="40"/>
    <x v="40"/>
    <x v="2"/>
    <x v="31"/>
    <x v="54"/>
  </r>
  <r>
    <x v="50"/>
    <x v="54"/>
    <x v="2"/>
    <x v="8"/>
    <x v="9"/>
  </r>
  <r>
    <x v="12"/>
    <x v="13"/>
    <x v="2"/>
    <x v="11"/>
    <x v="55"/>
  </r>
  <r>
    <x v="51"/>
    <x v="55"/>
    <x v="2"/>
    <x v="5"/>
    <x v="6"/>
  </r>
  <r>
    <x v="52"/>
    <x v="17"/>
    <x v="0"/>
    <x v="47"/>
    <x v="56"/>
  </r>
  <r>
    <x v="53"/>
    <x v="17"/>
    <x v="0"/>
    <x v="48"/>
    <x v="57"/>
  </r>
  <r>
    <x v="16"/>
    <x v="17"/>
    <x v="0"/>
    <x v="49"/>
    <x v="58"/>
  </r>
  <r>
    <x v="10"/>
    <x v="11"/>
    <x v="0"/>
    <x v="9"/>
    <x v="10"/>
  </r>
  <r>
    <x v="0"/>
    <x v="0"/>
    <x v="0"/>
    <x v="0"/>
    <x v="0"/>
  </r>
  <r>
    <x v="23"/>
    <x v="46"/>
    <x v="2"/>
    <x v="50"/>
    <x v="59"/>
  </r>
  <r>
    <x v="18"/>
    <x v="19"/>
    <x v="2"/>
    <x v="51"/>
    <x v="60"/>
  </r>
  <r>
    <x v="22"/>
    <x v="23"/>
    <x v="2"/>
    <x v="5"/>
    <x v="6"/>
  </r>
  <r>
    <x v="19"/>
    <x v="20"/>
    <x v="2"/>
    <x v="5"/>
    <x v="6"/>
  </r>
  <r>
    <x v="54"/>
    <x v="56"/>
    <x v="0"/>
    <x v="9"/>
    <x v="10"/>
  </r>
  <r>
    <x v="23"/>
    <x v="46"/>
    <x v="2"/>
    <x v="50"/>
    <x v="59"/>
  </r>
  <r>
    <x v="18"/>
    <x v="19"/>
    <x v="2"/>
    <x v="51"/>
    <x v="60"/>
  </r>
  <r>
    <x v="22"/>
    <x v="23"/>
    <x v="2"/>
    <x v="5"/>
    <x v="6"/>
  </r>
  <r>
    <x v="19"/>
    <x v="20"/>
    <x v="2"/>
    <x v="5"/>
    <x v="6"/>
  </r>
  <r>
    <x v="54"/>
    <x v="56"/>
    <x v="2"/>
    <x v="9"/>
    <x v="36"/>
  </r>
  <r>
    <x v="23"/>
    <x v="46"/>
    <x v="2"/>
    <x v="50"/>
    <x v="59"/>
  </r>
  <r>
    <x v="18"/>
    <x v="19"/>
    <x v="2"/>
    <x v="51"/>
    <x v="60"/>
  </r>
  <r>
    <x v="22"/>
    <x v="23"/>
    <x v="2"/>
    <x v="5"/>
    <x v="6"/>
  </r>
  <r>
    <x v="19"/>
    <x v="20"/>
    <x v="2"/>
    <x v="5"/>
    <x v="6"/>
  </r>
  <r>
    <x v="54"/>
    <x v="56"/>
    <x v="2"/>
    <x v="9"/>
    <x v="36"/>
  </r>
  <r>
    <x v="3"/>
    <x v="3"/>
    <x v="2"/>
    <x v="3"/>
    <x v="61"/>
  </r>
  <r>
    <x v="0"/>
    <x v="0"/>
    <x v="2"/>
    <x v="0"/>
    <x v="62"/>
  </r>
  <r>
    <x v="38"/>
    <x v="38"/>
    <x v="1"/>
    <x v="29"/>
    <x v="63"/>
  </r>
  <r>
    <x v="38"/>
    <x v="38"/>
    <x v="2"/>
    <x v="29"/>
    <x v="64"/>
  </r>
  <r>
    <x v="55"/>
    <x v="57"/>
    <x v="2"/>
    <x v="5"/>
    <x v="6"/>
  </r>
  <r>
    <x v="56"/>
    <x v="58"/>
    <x v="6"/>
    <x v="52"/>
    <x v="65"/>
  </r>
  <r>
    <x v="16"/>
    <x v="17"/>
    <x v="0"/>
    <x v="53"/>
    <x v="66"/>
  </r>
  <r>
    <x v="25"/>
    <x v="25"/>
    <x v="2"/>
    <x v="9"/>
    <x v="36"/>
  </r>
  <r>
    <x v="37"/>
    <x v="37"/>
    <x v="0"/>
    <x v="54"/>
    <x v="67"/>
  </r>
  <r>
    <x v="38"/>
    <x v="38"/>
    <x v="2"/>
    <x v="29"/>
    <x v="64"/>
  </r>
  <r>
    <x v="12"/>
    <x v="13"/>
    <x v="1"/>
    <x v="11"/>
    <x v="68"/>
  </r>
  <r>
    <x v="17"/>
    <x v="18"/>
    <x v="1"/>
    <x v="5"/>
    <x v="6"/>
  </r>
  <r>
    <x v="57"/>
    <x v="59"/>
    <x v="1"/>
    <x v="55"/>
    <x v="69"/>
  </r>
  <r>
    <x v="19"/>
    <x v="20"/>
    <x v="1"/>
    <x v="15"/>
    <x v="70"/>
  </r>
  <r>
    <x v="58"/>
    <x v="60"/>
    <x v="2"/>
    <x v="56"/>
    <x v="71"/>
  </r>
  <r>
    <x v="59"/>
    <x v="61"/>
    <x v="0"/>
    <x v="31"/>
    <x v="72"/>
  </r>
  <r>
    <x v="10"/>
    <x v="11"/>
    <x v="12"/>
    <x v="9"/>
    <x v="73"/>
  </r>
  <r>
    <x v="0"/>
    <x v="0"/>
    <x v="12"/>
    <x v="0"/>
    <x v="74"/>
  </r>
  <r>
    <x v="6"/>
    <x v="62"/>
    <x v="0"/>
    <x v="46"/>
    <x v="52"/>
  </r>
  <r>
    <x v="60"/>
    <x v="63"/>
    <x v="0"/>
    <x v="51"/>
    <x v="75"/>
  </r>
  <r>
    <x v="61"/>
    <x v="64"/>
    <x v="0"/>
    <x v="5"/>
    <x v="6"/>
  </r>
  <r>
    <x v="6"/>
    <x v="65"/>
    <x v="0"/>
    <x v="5"/>
    <x v="6"/>
  </r>
  <r>
    <x v="61"/>
    <x v="64"/>
    <x v="2"/>
    <x v="5"/>
    <x v="6"/>
  </r>
  <r>
    <x v="62"/>
    <x v="66"/>
    <x v="2"/>
    <x v="5"/>
    <x v="6"/>
  </r>
  <r>
    <x v="16"/>
    <x v="17"/>
    <x v="0"/>
    <x v="57"/>
    <x v="76"/>
  </r>
  <r>
    <x v="63"/>
    <x v="67"/>
    <x v="0"/>
    <x v="14"/>
    <x v="18"/>
  </r>
  <r>
    <x v="43"/>
    <x v="46"/>
    <x v="1"/>
    <x v="58"/>
    <x v="77"/>
  </r>
  <r>
    <x v="39"/>
    <x v="39"/>
    <x v="1"/>
    <x v="5"/>
    <x v="6"/>
  </r>
  <r>
    <x v="22"/>
    <x v="23"/>
    <x v="1"/>
    <x v="5"/>
    <x v="6"/>
  </r>
  <r>
    <x v="19"/>
    <x v="20"/>
    <x v="1"/>
    <x v="5"/>
    <x v="6"/>
  </r>
  <r>
    <x v="2"/>
    <x v="2"/>
    <x v="0"/>
    <x v="2"/>
    <x v="2"/>
  </r>
  <r>
    <x v="10"/>
    <x v="11"/>
    <x v="1"/>
    <x v="9"/>
    <x v="78"/>
  </r>
  <r>
    <x v="0"/>
    <x v="0"/>
    <x v="1"/>
    <x v="0"/>
    <x v="4"/>
  </r>
  <r>
    <x v="64"/>
    <x v="68"/>
    <x v="9"/>
    <x v="9"/>
    <x v="79"/>
  </r>
  <r>
    <x v="19"/>
    <x v="20"/>
    <x v="0"/>
    <x v="5"/>
    <x v="6"/>
  </r>
  <r>
    <x v="38"/>
    <x v="38"/>
    <x v="0"/>
    <x v="29"/>
    <x v="34"/>
  </r>
  <r>
    <x v="54"/>
    <x v="56"/>
    <x v="2"/>
    <x v="9"/>
    <x v="36"/>
  </r>
  <r>
    <x v="4"/>
    <x v="4"/>
    <x v="0"/>
    <x v="0"/>
    <x v="0"/>
  </r>
  <r>
    <x v="3"/>
    <x v="3"/>
    <x v="2"/>
    <x v="3"/>
    <x v="61"/>
  </r>
  <r>
    <x v="0"/>
    <x v="0"/>
    <x v="2"/>
    <x v="0"/>
    <x v="62"/>
  </r>
  <r>
    <x v="10"/>
    <x v="11"/>
    <x v="0"/>
    <x v="9"/>
    <x v="10"/>
  </r>
  <r>
    <x v="0"/>
    <x v="0"/>
    <x v="0"/>
    <x v="0"/>
    <x v="0"/>
  </r>
  <r>
    <x v="65"/>
    <x v="69"/>
    <x v="0"/>
    <x v="59"/>
    <x v="80"/>
  </r>
  <r>
    <x v="25"/>
    <x v="25"/>
    <x v="1"/>
    <x v="9"/>
    <x v="78"/>
  </r>
  <r>
    <x v="3"/>
    <x v="3"/>
    <x v="0"/>
    <x v="3"/>
    <x v="81"/>
  </r>
  <r>
    <x v="0"/>
    <x v="0"/>
    <x v="0"/>
    <x v="0"/>
    <x v="0"/>
  </r>
  <r>
    <x v="10"/>
    <x v="11"/>
    <x v="2"/>
    <x v="9"/>
    <x v="36"/>
  </r>
  <r>
    <x v="0"/>
    <x v="0"/>
    <x v="2"/>
    <x v="0"/>
    <x v="62"/>
  </r>
  <r>
    <x v="37"/>
    <x v="37"/>
    <x v="0"/>
    <x v="28"/>
    <x v="33"/>
  </r>
  <r>
    <x v="38"/>
    <x v="38"/>
    <x v="0"/>
    <x v="29"/>
    <x v="34"/>
  </r>
  <r>
    <x v="6"/>
    <x v="70"/>
    <x v="0"/>
    <x v="5"/>
    <x v="6"/>
  </r>
  <r>
    <x v="6"/>
    <x v="71"/>
    <x v="0"/>
    <x v="5"/>
    <x v="6"/>
  </r>
  <r>
    <x v="6"/>
    <x v="72"/>
    <x v="0"/>
    <x v="5"/>
    <x v="6"/>
  </r>
  <r>
    <x v="6"/>
    <x v="73"/>
    <x v="0"/>
    <x v="5"/>
    <x v="6"/>
  </r>
  <r>
    <x v="66"/>
    <x v="74"/>
    <x v="0"/>
    <x v="5"/>
    <x v="6"/>
  </r>
  <r>
    <x v="67"/>
    <x v="75"/>
    <x v="0"/>
    <x v="5"/>
    <x v="6"/>
  </r>
  <r>
    <x v="68"/>
    <x v="76"/>
    <x v="0"/>
    <x v="5"/>
    <x v="6"/>
  </r>
  <r>
    <x v="69"/>
    <x v="77"/>
    <x v="1"/>
    <x v="11"/>
    <x v="68"/>
  </r>
  <r>
    <x v="6"/>
    <x v="78"/>
    <x v="0"/>
    <x v="60"/>
    <x v="82"/>
  </r>
  <r>
    <x v="16"/>
    <x v="17"/>
    <x v="0"/>
    <x v="61"/>
    <x v="83"/>
  </r>
  <r>
    <x v="70"/>
    <x v="9"/>
    <x v="2"/>
    <x v="2"/>
    <x v="84"/>
  </r>
  <r>
    <x v="4"/>
    <x v="4"/>
    <x v="2"/>
    <x v="0"/>
    <x v="62"/>
  </r>
  <r>
    <x v="46"/>
    <x v="49"/>
    <x v="2"/>
    <x v="10"/>
    <x v="85"/>
  </r>
  <r>
    <x v="0"/>
    <x v="0"/>
    <x v="2"/>
    <x v="0"/>
    <x v="62"/>
  </r>
  <r>
    <x v="71"/>
    <x v="79"/>
    <x v="1"/>
    <x v="62"/>
    <x v="86"/>
  </r>
  <r>
    <x v="22"/>
    <x v="23"/>
    <x v="1"/>
    <x v="5"/>
    <x v="6"/>
  </r>
  <r>
    <x v="39"/>
    <x v="80"/>
    <x v="1"/>
    <x v="5"/>
    <x v="6"/>
  </r>
  <r>
    <x v="0"/>
    <x v="0"/>
    <x v="1"/>
    <x v="5"/>
    <x v="6"/>
  </r>
  <r>
    <x v="4"/>
    <x v="4"/>
    <x v="1"/>
    <x v="5"/>
    <x v="6"/>
  </r>
  <r>
    <x v="50"/>
    <x v="54"/>
    <x v="10"/>
    <x v="25"/>
    <x v="87"/>
  </r>
  <r>
    <x v="16"/>
    <x v="17"/>
    <x v="0"/>
    <x v="63"/>
    <x v="88"/>
  </r>
  <r>
    <x v="8"/>
    <x v="9"/>
    <x v="0"/>
    <x v="7"/>
    <x v="28"/>
  </r>
  <r>
    <x v="8"/>
    <x v="9"/>
    <x v="0"/>
    <x v="7"/>
    <x v="28"/>
  </r>
  <r>
    <x v="3"/>
    <x v="3"/>
    <x v="0"/>
    <x v="3"/>
    <x v="81"/>
  </r>
  <r>
    <x v="0"/>
    <x v="0"/>
    <x v="0"/>
    <x v="0"/>
    <x v="0"/>
  </r>
  <r>
    <x v="26"/>
    <x v="26"/>
    <x v="0"/>
    <x v="23"/>
    <x v="27"/>
  </r>
  <r>
    <x v="72"/>
    <x v="81"/>
    <x v="2"/>
    <x v="64"/>
    <x v="89"/>
  </r>
  <r>
    <x v="73"/>
    <x v="82"/>
    <x v="0"/>
    <x v="1"/>
    <x v="1"/>
  </r>
  <r>
    <x v="45"/>
    <x v="48"/>
    <x v="0"/>
    <x v="14"/>
    <x v="18"/>
  </r>
  <r>
    <x v="74"/>
    <x v="83"/>
    <x v="0"/>
    <x v="64"/>
    <x v="90"/>
  </r>
  <r>
    <x v="19"/>
    <x v="20"/>
    <x v="0"/>
    <x v="15"/>
    <x v="19"/>
  </r>
  <r>
    <x v="2"/>
    <x v="2"/>
    <x v="0"/>
    <x v="2"/>
    <x v="2"/>
  </r>
  <r>
    <x v="37"/>
    <x v="37"/>
    <x v="2"/>
    <x v="65"/>
    <x v="91"/>
  </r>
  <r>
    <x v="75"/>
    <x v="84"/>
    <x v="1"/>
    <x v="66"/>
    <x v="92"/>
  </r>
  <r>
    <x v="76"/>
    <x v="85"/>
    <x v="10"/>
    <x v="67"/>
    <x v="93"/>
  </r>
  <r>
    <x v="16"/>
    <x v="17"/>
    <x v="0"/>
    <x v="68"/>
    <x v="94"/>
  </r>
  <r>
    <x v="22"/>
    <x v="23"/>
    <x v="10"/>
    <x v="8"/>
    <x v="95"/>
  </r>
  <r>
    <x v="2"/>
    <x v="2"/>
    <x v="0"/>
    <x v="2"/>
    <x v="2"/>
  </r>
  <r>
    <x v="26"/>
    <x v="26"/>
    <x v="0"/>
    <x v="23"/>
    <x v="27"/>
  </r>
  <r>
    <x v="25"/>
    <x v="25"/>
    <x v="2"/>
    <x v="9"/>
    <x v="36"/>
  </r>
  <r>
    <x v="8"/>
    <x v="9"/>
    <x v="0"/>
    <x v="7"/>
    <x v="28"/>
  </r>
  <r>
    <x v="37"/>
    <x v="37"/>
    <x v="0"/>
    <x v="28"/>
    <x v="33"/>
  </r>
  <r>
    <x v="77"/>
    <x v="86"/>
    <x v="1"/>
    <x v="69"/>
    <x v="96"/>
  </r>
  <r>
    <x v="78"/>
    <x v="87"/>
    <x v="1"/>
    <x v="70"/>
    <x v="97"/>
  </r>
  <r>
    <x v="16"/>
    <x v="17"/>
    <x v="0"/>
    <x v="71"/>
    <x v="98"/>
  </r>
  <r>
    <x v="26"/>
    <x v="26"/>
    <x v="0"/>
    <x v="23"/>
    <x v="27"/>
  </r>
  <r>
    <x v="46"/>
    <x v="49"/>
    <x v="1"/>
    <x v="10"/>
    <x v="99"/>
  </r>
  <r>
    <x v="11"/>
    <x v="12"/>
    <x v="2"/>
    <x v="10"/>
    <x v="85"/>
  </r>
  <r>
    <x v="3"/>
    <x v="3"/>
    <x v="0"/>
    <x v="3"/>
    <x v="81"/>
  </r>
  <r>
    <x v="0"/>
    <x v="0"/>
    <x v="0"/>
    <x v="0"/>
    <x v="0"/>
  </r>
  <r>
    <x v="25"/>
    <x v="25"/>
    <x v="2"/>
    <x v="9"/>
    <x v="36"/>
  </r>
  <r>
    <x v="10"/>
    <x v="11"/>
    <x v="0"/>
    <x v="9"/>
    <x v="10"/>
  </r>
  <r>
    <x v="0"/>
    <x v="0"/>
    <x v="0"/>
    <x v="0"/>
    <x v="0"/>
  </r>
  <r>
    <x v="12"/>
    <x v="13"/>
    <x v="1"/>
    <x v="72"/>
    <x v="100"/>
  </r>
  <r>
    <x v="51"/>
    <x v="55"/>
    <x v="1"/>
    <x v="5"/>
    <x v="6"/>
  </r>
  <r>
    <x v="17"/>
    <x v="18"/>
    <x v="1"/>
    <x v="25"/>
    <x v="101"/>
  </r>
  <r>
    <x v="79"/>
    <x v="88"/>
    <x v="1"/>
    <x v="73"/>
    <x v="102"/>
  </r>
  <r>
    <x v="80"/>
    <x v="89"/>
    <x v="1"/>
    <x v="66"/>
    <x v="92"/>
  </r>
  <r>
    <x v="16"/>
    <x v="17"/>
    <x v="0"/>
    <x v="74"/>
    <x v="103"/>
  </r>
  <r>
    <x v="2"/>
    <x v="2"/>
    <x v="0"/>
    <x v="5"/>
    <x v="6"/>
  </r>
  <r>
    <x v="81"/>
    <x v="90"/>
    <x v="0"/>
    <x v="5"/>
    <x v="6"/>
  </r>
  <r>
    <x v="82"/>
    <x v="91"/>
    <x v="0"/>
    <x v="5"/>
    <x v="6"/>
  </r>
  <r>
    <x v="55"/>
    <x v="92"/>
    <x v="0"/>
    <x v="5"/>
    <x v="6"/>
  </r>
  <r>
    <x v="22"/>
    <x v="23"/>
    <x v="0"/>
    <x v="5"/>
    <x v="6"/>
  </r>
  <r>
    <x v="39"/>
    <x v="39"/>
    <x v="1"/>
    <x v="5"/>
    <x v="6"/>
  </r>
  <r>
    <x v="4"/>
    <x v="4"/>
    <x v="1"/>
    <x v="5"/>
    <x v="6"/>
  </r>
  <r>
    <x v="0"/>
    <x v="0"/>
    <x v="1"/>
    <x v="5"/>
    <x v="6"/>
  </r>
  <r>
    <x v="38"/>
    <x v="38"/>
    <x v="0"/>
    <x v="29"/>
    <x v="34"/>
  </r>
  <r>
    <x v="2"/>
    <x v="2"/>
    <x v="0"/>
    <x v="2"/>
    <x v="2"/>
  </r>
  <r>
    <x v="8"/>
    <x v="9"/>
    <x v="0"/>
    <x v="7"/>
    <x v="28"/>
  </r>
  <r>
    <x v="40"/>
    <x v="40"/>
    <x v="3"/>
    <x v="31"/>
    <x v="104"/>
  </r>
  <r>
    <x v="83"/>
    <x v="93"/>
    <x v="0"/>
    <x v="75"/>
    <x v="105"/>
  </r>
  <r>
    <x v="84"/>
    <x v="94"/>
    <x v="1"/>
    <x v="76"/>
    <x v="106"/>
  </r>
  <r>
    <x v="72"/>
    <x v="81"/>
    <x v="2"/>
    <x v="64"/>
    <x v="89"/>
  </r>
  <r>
    <x v="85"/>
    <x v="95"/>
    <x v="0"/>
    <x v="77"/>
    <x v="107"/>
  </r>
  <r>
    <x v="83"/>
    <x v="93"/>
    <x v="0"/>
    <x v="75"/>
    <x v="105"/>
  </r>
  <r>
    <x v="25"/>
    <x v="25"/>
    <x v="0"/>
    <x v="9"/>
    <x v="10"/>
  </r>
  <r>
    <x v="10"/>
    <x v="11"/>
    <x v="0"/>
    <x v="9"/>
    <x v="10"/>
  </r>
  <r>
    <x v="0"/>
    <x v="0"/>
    <x v="0"/>
    <x v="0"/>
    <x v="0"/>
  </r>
  <r>
    <x v="0"/>
    <x v="0"/>
    <x v="0"/>
    <x v="0"/>
    <x v="0"/>
  </r>
  <r>
    <x v="23"/>
    <x v="46"/>
    <x v="10"/>
    <x v="50"/>
    <x v="108"/>
  </r>
  <r>
    <x v="1"/>
    <x v="1"/>
    <x v="10"/>
    <x v="78"/>
    <x v="51"/>
  </r>
  <r>
    <x v="22"/>
    <x v="23"/>
    <x v="10"/>
    <x v="5"/>
    <x v="6"/>
  </r>
  <r>
    <x v="19"/>
    <x v="20"/>
    <x v="10"/>
    <x v="5"/>
    <x v="6"/>
  </r>
  <r>
    <x v="8"/>
    <x v="9"/>
    <x v="2"/>
    <x v="7"/>
    <x v="8"/>
  </r>
  <r>
    <x v="15"/>
    <x v="16"/>
    <x v="0"/>
    <x v="79"/>
    <x v="109"/>
  </r>
  <r>
    <x v="70"/>
    <x v="9"/>
    <x v="0"/>
    <x v="2"/>
    <x v="2"/>
  </r>
  <r>
    <x v="40"/>
    <x v="40"/>
    <x v="1"/>
    <x v="31"/>
    <x v="37"/>
  </r>
  <r>
    <x v="54"/>
    <x v="56"/>
    <x v="1"/>
    <x v="9"/>
    <x v="78"/>
  </r>
  <r>
    <x v="83"/>
    <x v="93"/>
    <x v="2"/>
    <x v="75"/>
    <x v="110"/>
  </r>
  <r>
    <x v="86"/>
    <x v="96"/>
    <x v="10"/>
    <x v="80"/>
    <x v="111"/>
  </r>
  <r>
    <x v="86"/>
    <x v="96"/>
    <x v="0"/>
    <x v="80"/>
    <x v="112"/>
  </r>
  <r>
    <x v="4"/>
    <x v="4"/>
    <x v="14"/>
    <x v="0"/>
    <x v="113"/>
  </r>
</pivotCacheRecords>
</file>

<file path=xl/pivotCache/pivotCacheRecords26.xml><?xml version="1.0" encoding="utf-8"?>
<pivotCacheRecords xmlns:r="http://schemas.openxmlformats.org/officeDocument/2006/relationships" xmlns="http://schemas.openxmlformats.org/spreadsheetml/2006/main" count="303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0"/>
    <x v="0"/>
    <x v="0"/>
    <x v="2"/>
    <x v="2"/>
    <x v="1"/>
    <x v="1"/>
    <x v="2"/>
  </r>
  <r>
    <x v="1"/>
    <x v="1"/>
    <x v="1"/>
    <x v="3"/>
    <x v="3"/>
    <x v="1"/>
    <x v="0"/>
    <x v="3"/>
  </r>
  <r>
    <x v="2"/>
    <x v="2"/>
    <x v="2"/>
    <x v="4"/>
    <x v="4"/>
    <x v="1"/>
    <x v="2"/>
    <x v="4"/>
  </r>
  <r>
    <x v="2"/>
    <x v="2"/>
    <x v="2"/>
    <x v="1"/>
    <x v="1"/>
    <x v="1"/>
    <x v="1"/>
    <x v="2"/>
  </r>
  <r>
    <x v="3"/>
    <x v="3"/>
    <x v="3"/>
    <x v="5"/>
    <x v="5"/>
    <x v="0"/>
    <x v="3"/>
    <x v="5"/>
  </r>
  <r>
    <x v="3"/>
    <x v="3"/>
    <x v="3"/>
    <x v="4"/>
    <x v="4"/>
    <x v="1"/>
    <x v="2"/>
    <x v="4"/>
  </r>
  <r>
    <x v="3"/>
    <x v="3"/>
    <x v="3"/>
    <x v="1"/>
    <x v="1"/>
    <x v="1"/>
    <x v="1"/>
    <x v="2"/>
  </r>
  <r>
    <x v="4"/>
    <x v="4"/>
    <x v="4"/>
    <x v="6"/>
    <x v="6"/>
    <x v="1"/>
    <x v="4"/>
    <x v="6"/>
  </r>
  <r>
    <x v="5"/>
    <x v="5"/>
    <x v="5"/>
    <x v="7"/>
    <x v="7"/>
    <x v="1"/>
    <x v="5"/>
    <x v="7"/>
  </r>
  <r>
    <x v="6"/>
    <x v="6"/>
    <x v="6"/>
    <x v="6"/>
    <x v="6"/>
    <x v="1"/>
    <x v="4"/>
    <x v="6"/>
  </r>
  <r>
    <x v="7"/>
    <x v="7"/>
    <x v="7"/>
    <x v="6"/>
    <x v="6"/>
    <x v="1"/>
    <x v="4"/>
    <x v="6"/>
  </r>
  <r>
    <x v="8"/>
    <x v="8"/>
    <x v="8"/>
    <x v="8"/>
    <x v="8"/>
    <x v="2"/>
    <x v="6"/>
    <x v="8"/>
  </r>
  <r>
    <x v="9"/>
    <x v="9"/>
    <x v="9"/>
    <x v="9"/>
    <x v="9"/>
    <x v="0"/>
    <x v="7"/>
    <x v="9"/>
  </r>
  <r>
    <x v="10"/>
    <x v="10"/>
    <x v="9"/>
    <x v="10"/>
    <x v="10"/>
    <x v="1"/>
    <x v="8"/>
    <x v="10"/>
  </r>
  <r>
    <x v="11"/>
    <x v="11"/>
    <x v="9"/>
    <x v="10"/>
    <x v="11"/>
    <x v="1"/>
    <x v="8"/>
    <x v="10"/>
  </r>
  <r>
    <x v="12"/>
    <x v="12"/>
    <x v="10"/>
    <x v="11"/>
    <x v="12"/>
    <x v="0"/>
    <x v="9"/>
    <x v="11"/>
  </r>
  <r>
    <x v="13"/>
    <x v="13"/>
    <x v="11"/>
    <x v="3"/>
    <x v="3"/>
    <x v="0"/>
    <x v="0"/>
    <x v="0"/>
  </r>
  <r>
    <x v="14"/>
    <x v="14"/>
    <x v="12"/>
    <x v="1"/>
    <x v="1"/>
    <x v="0"/>
    <x v="1"/>
    <x v="1"/>
  </r>
  <r>
    <x v="14"/>
    <x v="14"/>
    <x v="12"/>
    <x v="2"/>
    <x v="2"/>
    <x v="1"/>
    <x v="1"/>
    <x v="2"/>
  </r>
  <r>
    <x v="14"/>
    <x v="14"/>
    <x v="12"/>
    <x v="0"/>
    <x v="0"/>
    <x v="1"/>
    <x v="0"/>
    <x v="3"/>
  </r>
  <r>
    <x v="14"/>
    <x v="14"/>
    <x v="12"/>
    <x v="1"/>
    <x v="1"/>
    <x v="1"/>
    <x v="1"/>
    <x v="2"/>
  </r>
  <r>
    <x v="14"/>
    <x v="14"/>
    <x v="12"/>
    <x v="12"/>
    <x v="13"/>
    <x v="1"/>
    <x v="10"/>
    <x v="12"/>
  </r>
  <r>
    <x v="15"/>
    <x v="15"/>
    <x v="13"/>
    <x v="13"/>
    <x v="14"/>
    <x v="1"/>
    <x v="11"/>
    <x v="13"/>
  </r>
  <r>
    <x v="16"/>
    <x v="16"/>
    <x v="14"/>
    <x v="12"/>
    <x v="13"/>
    <x v="3"/>
    <x v="10"/>
    <x v="14"/>
  </r>
  <r>
    <x v="17"/>
    <x v="17"/>
    <x v="15"/>
    <x v="7"/>
    <x v="7"/>
    <x v="1"/>
    <x v="5"/>
    <x v="7"/>
  </r>
  <r>
    <x v="18"/>
    <x v="18"/>
    <x v="16"/>
    <x v="7"/>
    <x v="7"/>
    <x v="1"/>
    <x v="5"/>
    <x v="7"/>
  </r>
  <r>
    <x v="19"/>
    <x v="19"/>
    <x v="17"/>
    <x v="14"/>
    <x v="15"/>
    <x v="1"/>
    <x v="12"/>
    <x v="15"/>
  </r>
  <r>
    <x v="19"/>
    <x v="19"/>
    <x v="17"/>
    <x v="5"/>
    <x v="5"/>
    <x v="1"/>
    <x v="8"/>
    <x v="10"/>
  </r>
  <r>
    <x v="19"/>
    <x v="19"/>
    <x v="17"/>
    <x v="15"/>
    <x v="16"/>
    <x v="1"/>
    <x v="8"/>
    <x v="10"/>
  </r>
  <r>
    <x v="20"/>
    <x v="20"/>
    <x v="18"/>
    <x v="16"/>
    <x v="17"/>
    <x v="1"/>
    <x v="10"/>
    <x v="12"/>
  </r>
  <r>
    <x v="20"/>
    <x v="20"/>
    <x v="18"/>
    <x v="17"/>
    <x v="18"/>
    <x v="1"/>
    <x v="13"/>
    <x v="16"/>
  </r>
  <r>
    <x v="21"/>
    <x v="21"/>
    <x v="19"/>
    <x v="18"/>
    <x v="19"/>
    <x v="1"/>
    <x v="3"/>
    <x v="17"/>
  </r>
  <r>
    <x v="22"/>
    <x v="22"/>
    <x v="20"/>
    <x v="14"/>
    <x v="15"/>
    <x v="0"/>
    <x v="12"/>
    <x v="18"/>
  </r>
  <r>
    <x v="22"/>
    <x v="22"/>
    <x v="20"/>
    <x v="15"/>
    <x v="16"/>
    <x v="0"/>
    <x v="13"/>
    <x v="19"/>
  </r>
  <r>
    <x v="22"/>
    <x v="22"/>
    <x v="20"/>
    <x v="19"/>
    <x v="20"/>
    <x v="0"/>
    <x v="14"/>
    <x v="20"/>
  </r>
  <r>
    <x v="22"/>
    <x v="22"/>
    <x v="20"/>
    <x v="20"/>
    <x v="21"/>
    <x v="0"/>
    <x v="15"/>
    <x v="21"/>
  </r>
  <r>
    <x v="23"/>
    <x v="23"/>
    <x v="21"/>
    <x v="7"/>
    <x v="7"/>
    <x v="1"/>
    <x v="5"/>
    <x v="7"/>
  </r>
  <r>
    <x v="24"/>
    <x v="24"/>
    <x v="22"/>
    <x v="21"/>
    <x v="22"/>
    <x v="3"/>
    <x v="16"/>
    <x v="22"/>
  </r>
  <r>
    <x v="24"/>
    <x v="24"/>
    <x v="22"/>
    <x v="16"/>
    <x v="17"/>
    <x v="0"/>
    <x v="10"/>
    <x v="23"/>
  </r>
  <r>
    <x v="25"/>
    <x v="25"/>
    <x v="23"/>
    <x v="22"/>
    <x v="23"/>
    <x v="4"/>
    <x v="17"/>
    <x v="24"/>
  </r>
  <r>
    <x v="25"/>
    <x v="25"/>
    <x v="23"/>
    <x v="23"/>
    <x v="24"/>
    <x v="5"/>
    <x v="18"/>
    <x v="21"/>
  </r>
  <r>
    <x v="25"/>
    <x v="25"/>
    <x v="23"/>
    <x v="24"/>
    <x v="25"/>
    <x v="5"/>
    <x v="18"/>
    <x v="21"/>
  </r>
  <r>
    <x v="25"/>
    <x v="25"/>
    <x v="23"/>
    <x v="25"/>
    <x v="26"/>
    <x v="1"/>
    <x v="19"/>
    <x v="25"/>
  </r>
  <r>
    <x v="26"/>
    <x v="26"/>
    <x v="24"/>
    <x v="4"/>
    <x v="4"/>
    <x v="6"/>
    <x v="2"/>
    <x v="26"/>
  </r>
  <r>
    <x v="26"/>
    <x v="26"/>
    <x v="24"/>
    <x v="1"/>
    <x v="1"/>
    <x v="6"/>
    <x v="1"/>
    <x v="27"/>
  </r>
  <r>
    <x v="27"/>
    <x v="27"/>
    <x v="25"/>
    <x v="26"/>
    <x v="27"/>
    <x v="3"/>
    <x v="20"/>
    <x v="28"/>
  </r>
  <r>
    <x v="27"/>
    <x v="27"/>
    <x v="25"/>
    <x v="27"/>
    <x v="27"/>
    <x v="3"/>
    <x v="20"/>
    <x v="28"/>
  </r>
  <r>
    <x v="27"/>
    <x v="27"/>
    <x v="25"/>
    <x v="15"/>
    <x v="16"/>
    <x v="1"/>
    <x v="8"/>
    <x v="10"/>
  </r>
  <r>
    <x v="27"/>
    <x v="27"/>
    <x v="25"/>
    <x v="25"/>
    <x v="26"/>
    <x v="1"/>
    <x v="19"/>
    <x v="25"/>
  </r>
  <r>
    <x v="28"/>
    <x v="28"/>
    <x v="26"/>
    <x v="28"/>
    <x v="28"/>
    <x v="7"/>
    <x v="21"/>
    <x v="29"/>
  </r>
  <r>
    <x v="29"/>
    <x v="29"/>
    <x v="27"/>
    <x v="29"/>
    <x v="29"/>
    <x v="0"/>
    <x v="22"/>
    <x v="30"/>
  </r>
  <r>
    <x v="30"/>
    <x v="30"/>
    <x v="28"/>
    <x v="3"/>
    <x v="3"/>
    <x v="1"/>
    <x v="0"/>
    <x v="3"/>
  </r>
  <r>
    <x v="31"/>
    <x v="30"/>
    <x v="29"/>
    <x v="4"/>
    <x v="4"/>
    <x v="1"/>
    <x v="2"/>
    <x v="4"/>
  </r>
  <r>
    <x v="31"/>
    <x v="30"/>
    <x v="29"/>
    <x v="1"/>
    <x v="1"/>
    <x v="1"/>
    <x v="1"/>
    <x v="2"/>
  </r>
  <r>
    <x v="32"/>
    <x v="31"/>
    <x v="30"/>
    <x v="30"/>
    <x v="30"/>
    <x v="0"/>
    <x v="23"/>
    <x v="31"/>
  </r>
  <r>
    <x v="32"/>
    <x v="31"/>
    <x v="30"/>
    <x v="15"/>
    <x v="16"/>
    <x v="0"/>
    <x v="8"/>
    <x v="10"/>
  </r>
  <r>
    <x v="32"/>
    <x v="31"/>
    <x v="30"/>
    <x v="31"/>
    <x v="31"/>
    <x v="0"/>
    <x v="8"/>
    <x v="10"/>
  </r>
  <r>
    <x v="32"/>
    <x v="31"/>
    <x v="30"/>
    <x v="19"/>
    <x v="20"/>
    <x v="0"/>
    <x v="8"/>
    <x v="10"/>
  </r>
  <r>
    <x v="32"/>
    <x v="31"/>
    <x v="30"/>
    <x v="5"/>
    <x v="5"/>
    <x v="0"/>
    <x v="8"/>
    <x v="10"/>
  </r>
  <r>
    <x v="32"/>
    <x v="31"/>
    <x v="30"/>
    <x v="32"/>
    <x v="32"/>
    <x v="0"/>
    <x v="3"/>
    <x v="5"/>
  </r>
  <r>
    <x v="33"/>
    <x v="32"/>
    <x v="31"/>
    <x v="8"/>
    <x v="8"/>
    <x v="8"/>
    <x v="24"/>
    <x v="32"/>
  </r>
  <r>
    <x v="33"/>
    <x v="32"/>
    <x v="31"/>
    <x v="33"/>
    <x v="33"/>
    <x v="9"/>
    <x v="25"/>
    <x v="33"/>
  </r>
  <r>
    <x v="33"/>
    <x v="32"/>
    <x v="31"/>
    <x v="34"/>
    <x v="34"/>
    <x v="9"/>
    <x v="26"/>
    <x v="34"/>
  </r>
  <r>
    <x v="33"/>
    <x v="32"/>
    <x v="31"/>
    <x v="12"/>
    <x v="13"/>
    <x v="8"/>
    <x v="27"/>
    <x v="35"/>
  </r>
  <r>
    <x v="33"/>
    <x v="32"/>
    <x v="31"/>
    <x v="35"/>
    <x v="35"/>
    <x v="10"/>
    <x v="8"/>
    <x v="10"/>
  </r>
  <r>
    <x v="33"/>
    <x v="32"/>
    <x v="31"/>
    <x v="25"/>
    <x v="26"/>
    <x v="1"/>
    <x v="28"/>
    <x v="36"/>
  </r>
  <r>
    <x v="34"/>
    <x v="33"/>
    <x v="31"/>
    <x v="36"/>
    <x v="36"/>
    <x v="6"/>
    <x v="29"/>
    <x v="37"/>
  </r>
  <r>
    <x v="34"/>
    <x v="33"/>
    <x v="31"/>
    <x v="37"/>
    <x v="37"/>
    <x v="11"/>
    <x v="8"/>
    <x v="10"/>
  </r>
  <r>
    <x v="34"/>
    <x v="33"/>
    <x v="31"/>
    <x v="38"/>
    <x v="38"/>
    <x v="6"/>
    <x v="8"/>
    <x v="10"/>
  </r>
  <r>
    <x v="34"/>
    <x v="33"/>
    <x v="31"/>
    <x v="9"/>
    <x v="9"/>
    <x v="6"/>
    <x v="7"/>
    <x v="38"/>
  </r>
  <r>
    <x v="34"/>
    <x v="33"/>
    <x v="31"/>
    <x v="25"/>
    <x v="26"/>
    <x v="1"/>
    <x v="30"/>
    <x v="39"/>
  </r>
  <r>
    <x v="35"/>
    <x v="34"/>
    <x v="31"/>
    <x v="39"/>
    <x v="39"/>
    <x v="0"/>
    <x v="31"/>
    <x v="40"/>
  </r>
  <r>
    <x v="35"/>
    <x v="34"/>
    <x v="31"/>
    <x v="40"/>
    <x v="40"/>
    <x v="0"/>
    <x v="8"/>
    <x v="10"/>
  </r>
  <r>
    <x v="35"/>
    <x v="34"/>
    <x v="31"/>
    <x v="41"/>
    <x v="41"/>
    <x v="4"/>
    <x v="8"/>
    <x v="10"/>
  </r>
  <r>
    <x v="35"/>
    <x v="34"/>
    <x v="31"/>
    <x v="25"/>
    <x v="26"/>
    <x v="1"/>
    <x v="32"/>
    <x v="41"/>
  </r>
  <r>
    <x v="36"/>
    <x v="35"/>
    <x v="31"/>
    <x v="1"/>
    <x v="1"/>
    <x v="2"/>
    <x v="33"/>
    <x v="42"/>
  </r>
  <r>
    <x v="37"/>
    <x v="10"/>
    <x v="31"/>
    <x v="4"/>
    <x v="4"/>
    <x v="12"/>
    <x v="34"/>
    <x v="43"/>
  </r>
  <r>
    <x v="37"/>
    <x v="10"/>
    <x v="31"/>
    <x v="35"/>
    <x v="35"/>
    <x v="13"/>
    <x v="8"/>
    <x v="10"/>
  </r>
  <r>
    <x v="37"/>
    <x v="10"/>
    <x v="31"/>
    <x v="25"/>
    <x v="26"/>
    <x v="1"/>
    <x v="35"/>
    <x v="44"/>
  </r>
  <r>
    <x v="38"/>
    <x v="36"/>
    <x v="31"/>
    <x v="42"/>
    <x v="42"/>
    <x v="1"/>
    <x v="8"/>
    <x v="10"/>
  </r>
  <r>
    <x v="39"/>
    <x v="37"/>
    <x v="31"/>
    <x v="43"/>
    <x v="43"/>
    <x v="1"/>
    <x v="8"/>
    <x v="10"/>
  </r>
  <r>
    <x v="40"/>
    <x v="38"/>
    <x v="32"/>
    <x v="8"/>
    <x v="8"/>
    <x v="1"/>
    <x v="36"/>
    <x v="45"/>
  </r>
  <r>
    <x v="40"/>
    <x v="38"/>
    <x v="32"/>
    <x v="33"/>
    <x v="33"/>
    <x v="0"/>
    <x v="37"/>
    <x v="46"/>
  </r>
  <r>
    <x v="40"/>
    <x v="38"/>
    <x v="32"/>
    <x v="34"/>
    <x v="34"/>
    <x v="0"/>
    <x v="38"/>
    <x v="47"/>
  </r>
  <r>
    <x v="40"/>
    <x v="38"/>
    <x v="32"/>
    <x v="12"/>
    <x v="13"/>
    <x v="0"/>
    <x v="39"/>
    <x v="48"/>
  </r>
  <r>
    <x v="40"/>
    <x v="38"/>
    <x v="32"/>
    <x v="1"/>
    <x v="1"/>
    <x v="1"/>
    <x v="1"/>
    <x v="2"/>
  </r>
  <r>
    <x v="41"/>
    <x v="39"/>
    <x v="33"/>
    <x v="6"/>
    <x v="6"/>
    <x v="1"/>
    <x v="4"/>
    <x v="6"/>
  </r>
  <r>
    <x v="42"/>
    <x v="40"/>
    <x v="34"/>
    <x v="6"/>
    <x v="6"/>
    <x v="1"/>
    <x v="4"/>
    <x v="6"/>
  </r>
  <r>
    <x v="42"/>
    <x v="40"/>
    <x v="34"/>
    <x v="44"/>
    <x v="44"/>
    <x v="1"/>
    <x v="40"/>
    <x v="49"/>
  </r>
  <r>
    <x v="43"/>
    <x v="41"/>
    <x v="35"/>
    <x v="45"/>
    <x v="45"/>
    <x v="0"/>
    <x v="41"/>
    <x v="50"/>
  </r>
  <r>
    <x v="44"/>
    <x v="42"/>
    <x v="36"/>
    <x v="46"/>
    <x v="46"/>
    <x v="7"/>
    <x v="42"/>
    <x v="51"/>
  </r>
  <r>
    <x v="44"/>
    <x v="42"/>
    <x v="36"/>
    <x v="47"/>
    <x v="47"/>
    <x v="7"/>
    <x v="8"/>
    <x v="10"/>
  </r>
  <r>
    <x v="44"/>
    <x v="42"/>
    <x v="36"/>
    <x v="48"/>
    <x v="48"/>
    <x v="7"/>
    <x v="8"/>
    <x v="10"/>
  </r>
  <r>
    <x v="44"/>
    <x v="42"/>
    <x v="36"/>
    <x v="49"/>
    <x v="49"/>
    <x v="7"/>
    <x v="8"/>
    <x v="10"/>
  </r>
  <r>
    <x v="44"/>
    <x v="42"/>
    <x v="36"/>
    <x v="25"/>
    <x v="26"/>
    <x v="1"/>
    <x v="43"/>
    <x v="52"/>
  </r>
  <r>
    <x v="45"/>
    <x v="43"/>
    <x v="36"/>
    <x v="50"/>
    <x v="50"/>
    <x v="1"/>
    <x v="8"/>
    <x v="10"/>
  </r>
  <r>
    <x v="46"/>
    <x v="44"/>
    <x v="37"/>
    <x v="6"/>
    <x v="6"/>
    <x v="1"/>
    <x v="44"/>
    <x v="53"/>
  </r>
  <r>
    <x v="46"/>
    <x v="44"/>
    <x v="37"/>
    <x v="25"/>
    <x v="26"/>
    <x v="1"/>
    <x v="45"/>
    <x v="54"/>
  </r>
  <r>
    <x v="47"/>
    <x v="27"/>
    <x v="37"/>
    <x v="50"/>
    <x v="51"/>
    <x v="1"/>
    <x v="8"/>
    <x v="10"/>
  </r>
  <r>
    <x v="47"/>
    <x v="27"/>
    <x v="37"/>
    <x v="51"/>
    <x v="52"/>
    <x v="1"/>
    <x v="8"/>
    <x v="10"/>
  </r>
  <r>
    <x v="47"/>
    <x v="27"/>
    <x v="37"/>
    <x v="52"/>
    <x v="52"/>
    <x v="1"/>
    <x v="8"/>
    <x v="10"/>
  </r>
  <r>
    <x v="47"/>
    <x v="27"/>
    <x v="37"/>
    <x v="53"/>
    <x v="53"/>
    <x v="1"/>
    <x v="8"/>
    <x v="10"/>
  </r>
  <r>
    <x v="48"/>
    <x v="34"/>
    <x v="37"/>
    <x v="54"/>
    <x v="54"/>
    <x v="3"/>
    <x v="27"/>
    <x v="55"/>
  </r>
  <r>
    <x v="48"/>
    <x v="34"/>
    <x v="37"/>
    <x v="15"/>
    <x v="16"/>
    <x v="3"/>
    <x v="46"/>
    <x v="56"/>
  </r>
  <r>
    <x v="48"/>
    <x v="34"/>
    <x v="37"/>
    <x v="25"/>
    <x v="26"/>
    <x v="1"/>
    <x v="47"/>
    <x v="57"/>
  </r>
  <r>
    <x v="49"/>
    <x v="45"/>
    <x v="38"/>
    <x v="7"/>
    <x v="7"/>
    <x v="1"/>
    <x v="5"/>
    <x v="7"/>
  </r>
  <r>
    <x v="50"/>
    <x v="46"/>
    <x v="39"/>
    <x v="29"/>
    <x v="29"/>
    <x v="1"/>
    <x v="22"/>
    <x v="58"/>
  </r>
  <r>
    <x v="51"/>
    <x v="47"/>
    <x v="40"/>
    <x v="7"/>
    <x v="7"/>
    <x v="0"/>
    <x v="5"/>
    <x v="59"/>
  </r>
  <r>
    <x v="52"/>
    <x v="48"/>
    <x v="41"/>
    <x v="0"/>
    <x v="0"/>
    <x v="1"/>
    <x v="0"/>
    <x v="3"/>
  </r>
  <r>
    <x v="52"/>
    <x v="48"/>
    <x v="41"/>
    <x v="1"/>
    <x v="1"/>
    <x v="1"/>
    <x v="1"/>
    <x v="2"/>
  </r>
  <r>
    <x v="53"/>
    <x v="49"/>
    <x v="42"/>
    <x v="7"/>
    <x v="7"/>
    <x v="1"/>
    <x v="5"/>
    <x v="7"/>
  </r>
  <r>
    <x v="54"/>
    <x v="50"/>
    <x v="43"/>
    <x v="50"/>
    <x v="55"/>
    <x v="1"/>
    <x v="48"/>
    <x v="60"/>
  </r>
  <r>
    <x v="54"/>
    <x v="50"/>
    <x v="43"/>
    <x v="55"/>
    <x v="56"/>
    <x v="14"/>
    <x v="8"/>
    <x v="10"/>
  </r>
  <r>
    <x v="54"/>
    <x v="50"/>
    <x v="43"/>
    <x v="56"/>
    <x v="57"/>
    <x v="6"/>
    <x v="8"/>
    <x v="10"/>
  </r>
  <r>
    <x v="54"/>
    <x v="50"/>
    <x v="43"/>
    <x v="41"/>
    <x v="41"/>
    <x v="0"/>
    <x v="8"/>
    <x v="10"/>
  </r>
  <r>
    <x v="54"/>
    <x v="50"/>
    <x v="43"/>
    <x v="57"/>
    <x v="58"/>
    <x v="6"/>
    <x v="8"/>
    <x v="10"/>
  </r>
  <r>
    <x v="54"/>
    <x v="50"/>
    <x v="43"/>
    <x v="58"/>
    <x v="59"/>
    <x v="6"/>
    <x v="8"/>
    <x v="10"/>
  </r>
  <r>
    <x v="54"/>
    <x v="50"/>
    <x v="43"/>
    <x v="59"/>
    <x v="60"/>
    <x v="7"/>
    <x v="8"/>
    <x v="10"/>
  </r>
  <r>
    <x v="54"/>
    <x v="50"/>
    <x v="43"/>
    <x v="25"/>
    <x v="26"/>
    <x v="1"/>
    <x v="49"/>
    <x v="61"/>
  </r>
  <r>
    <x v="55"/>
    <x v="51"/>
    <x v="43"/>
    <x v="50"/>
    <x v="61"/>
    <x v="1"/>
    <x v="8"/>
    <x v="10"/>
  </r>
  <r>
    <x v="55"/>
    <x v="51"/>
    <x v="43"/>
    <x v="60"/>
    <x v="62"/>
    <x v="0"/>
    <x v="8"/>
    <x v="10"/>
  </r>
  <r>
    <x v="55"/>
    <x v="51"/>
    <x v="43"/>
    <x v="61"/>
    <x v="63"/>
    <x v="0"/>
    <x v="8"/>
    <x v="10"/>
  </r>
  <r>
    <x v="55"/>
    <x v="51"/>
    <x v="43"/>
    <x v="62"/>
    <x v="64"/>
    <x v="6"/>
    <x v="8"/>
    <x v="10"/>
  </r>
  <r>
    <x v="56"/>
    <x v="52"/>
    <x v="43"/>
    <x v="50"/>
    <x v="65"/>
    <x v="1"/>
    <x v="8"/>
    <x v="10"/>
  </r>
  <r>
    <x v="56"/>
    <x v="52"/>
    <x v="43"/>
    <x v="63"/>
    <x v="66"/>
    <x v="8"/>
    <x v="8"/>
    <x v="10"/>
  </r>
  <r>
    <x v="56"/>
    <x v="52"/>
    <x v="43"/>
    <x v="41"/>
    <x v="41"/>
    <x v="0"/>
    <x v="8"/>
    <x v="10"/>
  </r>
  <r>
    <x v="57"/>
    <x v="53"/>
    <x v="44"/>
    <x v="4"/>
    <x v="4"/>
    <x v="6"/>
    <x v="2"/>
    <x v="26"/>
  </r>
  <r>
    <x v="57"/>
    <x v="53"/>
    <x v="44"/>
    <x v="1"/>
    <x v="1"/>
    <x v="6"/>
    <x v="1"/>
    <x v="27"/>
  </r>
  <r>
    <x v="58"/>
    <x v="54"/>
    <x v="45"/>
    <x v="6"/>
    <x v="6"/>
    <x v="1"/>
    <x v="4"/>
    <x v="6"/>
  </r>
  <r>
    <x v="59"/>
    <x v="55"/>
    <x v="46"/>
    <x v="7"/>
    <x v="7"/>
    <x v="1"/>
    <x v="5"/>
    <x v="7"/>
  </r>
  <r>
    <x v="60"/>
    <x v="56"/>
    <x v="47"/>
    <x v="64"/>
    <x v="7"/>
    <x v="1"/>
    <x v="50"/>
    <x v="62"/>
  </r>
  <r>
    <x v="60"/>
    <x v="56"/>
    <x v="47"/>
    <x v="1"/>
    <x v="1"/>
    <x v="1"/>
    <x v="1"/>
    <x v="2"/>
  </r>
  <r>
    <x v="60"/>
    <x v="56"/>
    <x v="47"/>
    <x v="21"/>
    <x v="22"/>
    <x v="4"/>
    <x v="8"/>
    <x v="10"/>
  </r>
  <r>
    <x v="61"/>
    <x v="57"/>
    <x v="48"/>
    <x v="13"/>
    <x v="14"/>
    <x v="0"/>
    <x v="11"/>
    <x v="63"/>
  </r>
  <r>
    <x v="61"/>
    <x v="57"/>
    <x v="48"/>
    <x v="19"/>
    <x v="20"/>
    <x v="0"/>
    <x v="14"/>
    <x v="20"/>
  </r>
  <r>
    <x v="62"/>
    <x v="58"/>
    <x v="49"/>
    <x v="65"/>
    <x v="67"/>
    <x v="15"/>
    <x v="51"/>
    <x v="64"/>
  </r>
  <r>
    <x v="62"/>
    <x v="58"/>
    <x v="49"/>
    <x v="66"/>
    <x v="68"/>
    <x v="0"/>
    <x v="52"/>
    <x v="65"/>
  </r>
  <r>
    <x v="62"/>
    <x v="58"/>
    <x v="49"/>
    <x v="67"/>
    <x v="15"/>
    <x v="0"/>
    <x v="53"/>
    <x v="66"/>
  </r>
  <r>
    <x v="62"/>
    <x v="58"/>
    <x v="49"/>
    <x v="68"/>
    <x v="69"/>
    <x v="0"/>
    <x v="54"/>
    <x v="25"/>
  </r>
  <r>
    <x v="62"/>
    <x v="58"/>
    <x v="49"/>
    <x v="1"/>
    <x v="1"/>
    <x v="0"/>
    <x v="8"/>
    <x v="10"/>
  </r>
  <r>
    <x v="62"/>
    <x v="58"/>
    <x v="49"/>
    <x v="2"/>
    <x v="2"/>
    <x v="0"/>
    <x v="8"/>
    <x v="10"/>
  </r>
  <r>
    <x v="62"/>
    <x v="58"/>
    <x v="49"/>
    <x v="20"/>
    <x v="21"/>
    <x v="0"/>
    <x v="55"/>
    <x v="67"/>
  </r>
  <r>
    <x v="62"/>
    <x v="58"/>
    <x v="49"/>
    <x v="18"/>
    <x v="19"/>
    <x v="0"/>
    <x v="56"/>
    <x v="68"/>
  </r>
  <r>
    <x v="62"/>
    <x v="58"/>
    <x v="49"/>
    <x v="8"/>
    <x v="8"/>
    <x v="8"/>
    <x v="24"/>
    <x v="32"/>
  </r>
  <r>
    <x v="62"/>
    <x v="58"/>
    <x v="49"/>
    <x v="69"/>
    <x v="70"/>
    <x v="12"/>
    <x v="57"/>
    <x v="69"/>
  </r>
  <r>
    <x v="62"/>
    <x v="58"/>
    <x v="49"/>
    <x v="12"/>
    <x v="13"/>
    <x v="8"/>
    <x v="27"/>
    <x v="35"/>
  </r>
  <r>
    <x v="62"/>
    <x v="58"/>
    <x v="49"/>
    <x v="31"/>
    <x v="31"/>
    <x v="0"/>
    <x v="27"/>
    <x v="70"/>
  </r>
  <r>
    <x v="62"/>
    <x v="58"/>
    <x v="49"/>
    <x v="70"/>
    <x v="71"/>
    <x v="6"/>
    <x v="8"/>
    <x v="10"/>
  </r>
  <r>
    <x v="62"/>
    <x v="58"/>
    <x v="49"/>
    <x v="21"/>
    <x v="22"/>
    <x v="6"/>
    <x v="8"/>
    <x v="10"/>
  </r>
  <r>
    <x v="62"/>
    <x v="58"/>
    <x v="49"/>
    <x v="49"/>
    <x v="49"/>
    <x v="6"/>
    <x v="58"/>
    <x v="29"/>
  </r>
  <r>
    <x v="62"/>
    <x v="58"/>
    <x v="49"/>
    <x v="71"/>
    <x v="72"/>
    <x v="7"/>
    <x v="59"/>
    <x v="71"/>
  </r>
  <r>
    <x v="62"/>
    <x v="58"/>
    <x v="49"/>
    <x v="25"/>
    <x v="26"/>
    <x v="1"/>
    <x v="60"/>
    <x v="72"/>
  </r>
  <r>
    <x v="63"/>
    <x v="59"/>
    <x v="49"/>
    <x v="46"/>
    <x v="46"/>
    <x v="3"/>
    <x v="61"/>
    <x v="73"/>
  </r>
  <r>
    <x v="63"/>
    <x v="59"/>
    <x v="49"/>
    <x v="49"/>
    <x v="49"/>
    <x v="3"/>
    <x v="8"/>
    <x v="10"/>
  </r>
  <r>
    <x v="63"/>
    <x v="59"/>
    <x v="49"/>
    <x v="72"/>
    <x v="73"/>
    <x v="4"/>
    <x v="62"/>
    <x v="74"/>
  </r>
  <r>
    <x v="63"/>
    <x v="59"/>
    <x v="49"/>
    <x v="73"/>
    <x v="74"/>
    <x v="4"/>
    <x v="8"/>
    <x v="10"/>
  </r>
  <r>
    <x v="63"/>
    <x v="59"/>
    <x v="49"/>
    <x v="74"/>
    <x v="75"/>
    <x v="4"/>
    <x v="8"/>
    <x v="10"/>
  </r>
  <r>
    <x v="64"/>
    <x v="60"/>
    <x v="50"/>
    <x v="4"/>
    <x v="4"/>
    <x v="0"/>
    <x v="2"/>
    <x v="75"/>
  </r>
  <r>
    <x v="64"/>
    <x v="60"/>
    <x v="50"/>
    <x v="1"/>
    <x v="1"/>
    <x v="0"/>
    <x v="1"/>
    <x v="1"/>
  </r>
  <r>
    <x v="65"/>
    <x v="61"/>
    <x v="51"/>
    <x v="3"/>
    <x v="3"/>
    <x v="1"/>
    <x v="0"/>
    <x v="3"/>
  </r>
  <r>
    <x v="66"/>
    <x v="24"/>
    <x v="52"/>
    <x v="16"/>
    <x v="17"/>
    <x v="0"/>
    <x v="10"/>
    <x v="23"/>
  </r>
  <r>
    <x v="66"/>
    <x v="24"/>
    <x v="52"/>
    <x v="31"/>
    <x v="31"/>
    <x v="6"/>
    <x v="10"/>
    <x v="76"/>
  </r>
  <r>
    <x v="66"/>
    <x v="24"/>
    <x v="52"/>
    <x v="17"/>
    <x v="18"/>
    <x v="0"/>
    <x v="13"/>
    <x v="19"/>
  </r>
  <r>
    <x v="67"/>
    <x v="62"/>
    <x v="53"/>
    <x v="6"/>
    <x v="6"/>
    <x v="1"/>
    <x v="4"/>
    <x v="6"/>
  </r>
  <r>
    <x v="67"/>
    <x v="62"/>
    <x v="53"/>
    <x v="44"/>
    <x v="44"/>
    <x v="1"/>
    <x v="40"/>
    <x v="49"/>
  </r>
  <r>
    <x v="68"/>
    <x v="63"/>
    <x v="54"/>
    <x v="75"/>
    <x v="76"/>
    <x v="1"/>
    <x v="8"/>
    <x v="10"/>
  </r>
  <r>
    <x v="68"/>
    <x v="63"/>
    <x v="54"/>
    <x v="1"/>
    <x v="1"/>
    <x v="4"/>
    <x v="8"/>
    <x v="10"/>
  </r>
  <r>
    <x v="69"/>
    <x v="24"/>
    <x v="55"/>
    <x v="30"/>
    <x v="30"/>
    <x v="6"/>
    <x v="23"/>
    <x v="77"/>
  </r>
  <r>
    <x v="69"/>
    <x v="24"/>
    <x v="55"/>
    <x v="15"/>
    <x v="16"/>
    <x v="6"/>
    <x v="8"/>
    <x v="10"/>
  </r>
  <r>
    <x v="69"/>
    <x v="24"/>
    <x v="55"/>
    <x v="31"/>
    <x v="31"/>
    <x v="6"/>
    <x v="8"/>
    <x v="10"/>
  </r>
  <r>
    <x v="69"/>
    <x v="24"/>
    <x v="55"/>
    <x v="19"/>
    <x v="20"/>
    <x v="6"/>
    <x v="8"/>
    <x v="10"/>
  </r>
  <r>
    <x v="69"/>
    <x v="24"/>
    <x v="55"/>
    <x v="5"/>
    <x v="5"/>
    <x v="6"/>
    <x v="8"/>
    <x v="10"/>
  </r>
  <r>
    <x v="70"/>
    <x v="64"/>
    <x v="56"/>
    <x v="6"/>
    <x v="6"/>
    <x v="1"/>
    <x v="4"/>
    <x v="6"/>
  </r>
  <r>
    <x v="71"/>
    <x v="24"/>
    <x v="57"/>
    <x v="76"/>
    <x v="77"/>
    <x v="7"/>
    <x v="11"/>
    <x v="78"/>
  </r>
  <r>
    <x v="72"/>
    <x v="65"/>
    <x v="58"/>
    <x v="0"/>
    <x v="0"/>
    <x v="1"/>
    <x v="0"/>
    <x v="3"/>
  </r>
  <r>
    <x v="72"/>
    <x v="65"/>
    <x v="58"/>
    <x v="1"/>
    <x v="1"/>
    <x v="1"/>
    <x v="1"/>
    <x v="2"/>
  </r>
  <r>
    <x v="73"/>
    <x v="66"/>
    <x v="59"/>
    <x v="3"/>
    <x v="3"/>
    <x v="0"/>
    <x v="0"/>
    <x v="0"/>
  </r>
  <r>
    <x v="74"/>
    <x v="67"/>
    <x v="60"/>
    <x v="44"/>
    <x v="44"/>
    <x v="1"/>
    <x v="63"/>
    <x v="79"/>
  </r>
  <r>
    <x v="74"/>
    <x v="67"/>
    <x v="60"/>
    <x v="15"/>
    <x v="16"/>
    <x v="6"/>
    <x v="46"/>
    <x v="80"/>
  </r>
  <r>
    <x v="74"/>
    <x v="67"/>
    <x v="60"/>
    <x v="5"/>
    <x v="5"/>
    <x v="1"/>
    <x v="64"/>
    <x v="81"/>
  </r>
  <r>
    <x v="74"/>
    <x v="67"/>
    <x v="60"/>
    <x v="77"/>
    <x v="26"/>
    <x v="1"/>
    <x v="65"/>
    <x v="82"/>
  </r>
  <r>
    <x v="75"/>
    <x v="32"/>
    <x v="60"/>
    <x v="35"/>
    <x v="35"/>
    <x v="16"/>
    <x v="66"/>
    <x v="83"/>
  </r>
  <r>
    <x v="75"/>
    <x v="32"/>
    <x v="60"/>
    <x v="25"/>
    <x v="26"/>
    <x v="1"/>
    <x v="67"/>
    <x v="84"/>
  </r>
  <r>
    <x v="76"/>
    <x v="42"/>
    <x v="61"/>
    <x v="4"/>
    <x v="4"/>
    <x v="0"/>
    <x v="2"/>
    <x v="75"/>
  </r>
  <r>
    <x v="76"/>
    <x v="42"/>
    <x v="61"/>
    <x v="1"/>
    <x v="1"/>
    <x v="0"/>
    <x v="1"/>
    <x v="1"/>
  </r>
  <r>
    <x v="77"/>
    <x v="68"/>
    <x v="62"/>
    <x v="7"/>
    <x v="7"/>
    <x v="1"/>
    <x v="5"/>
    <x v="7"/>
  </r>
  <r>
    <x v="78"/>
    <x v="43"/>
    <x v="63"/>
    <x v="50"/>
    <x v="78"/>
    <x v="17"/>
    <x v="19"/>
    <x v="85"/>
  </r>
  <r>
    <x v="78"/>
    <x v="43"/>
    <x v="63"/>
    <x v="78"/>
    <x v="79"/>
    <x v="18"/>
    <x v="8"/>
    <x v="10"/>
  </r>
  <r>
    <x v="78"/>
    <x v="43"/>
    <x v="63"/>
    <x v="79"/>
    <x v="80"/>
    <x v="2"/>
    <x v="8"/>
    <x v="10"/>
  </r>
  <r>
    <x v="78"/>
    <x v="43"/>
    <x v="63"/>
    <x v="80"/>
    <x v="81"/>
    <x v="2"/>
    <x v="8"/>
    <x v="10"/>
  </r>
  <r>
    <x v="78"/>
    <x v="43"/>
    <x v="63"/>
    <x v="81"/>
    <x v="82"/>
    <x v="19"/>
    <x v="8"/>
    <x v="10"/>
  </r>
  <r>
    <x v="78"/>
    <x v="43"/>
    <x v="63"/>
    <x v="82"/>
    <x v="83"/>
    <x v="0"/>
    <x v="8"/>
    <x v="10"/>
  </r>
  <r>
    <x v="78"/>
    <x v="43"/>
    <x v="63"/>
    <x v="25"/>
    <x v="26"/>
    <x v="1"/>
    <x v="68"/>
    <x v="86"/>
  </r>
  <r>
    <x v="79"/>
    <x v="69"/>
    <x v="63"/>
    <x v="50"/>
    <x v="84"/>
    <x v="1"/>
    <x v="48"/>
    <x v="60"/>
  </r>
  <r>
    <x v="79"/>
    <x v="69"/>
    <x v="63"/>
    <x v="4"/>
    <x v="4"/>
    <x v="1"/>
    <x v="2"/>
    <x v="4"/>
  </r>
  <r>
    <x v="79"/>
    <x v="69"/>
    <x v="63"/>
    <x v="25"/>
    <x v="26"/>
    <x v="1"/>
    <x v="68"/>
    <x v="86"/>
  </r>
  <r>
    <x v="80"/>
    <x v="70"/>
    <x v="64"/>
    <x v="3"/>
    <x v="3"/>
    <x v="1"/>
    <x v="0"/>
    <x v="3"/>
  </r>
  <r>
    <x v="81"/>
    <x v="71"/>
    <x v="65"/>
    <x v="3"/>
    <x v="3"/>
    <x v="1"/>
    <x v="0"/>
    <x v="3"/>
  </r>
  <r>
    <x v="82"/>
    <x v="34"/>
    <x v="66"/>
    <x v="83"/>
    <x v="85"/>
    <x v="0"/>
    <x v="46"/>
    <x v="87"/>
  </r>
  <r>
    <x v="82"/>
    <x v="34"/>
    <x v="66"/>
    <x v="25"/>
    <x v="26"/>
    <x v="1"/>
    <x v="69"/>
    <x v="88"/>
  </r>
  <r>
    <x v="83"/>
    <x v="72"/>
    <x v="66"/>
    <x v="84"/>
    <x v="86"/>
    <x v="6"/>
    <x v="70"/>
    <x v="89"/>
  </r>
  <r>
    <x v="83"/>
    <x v="72"/>
    <x v="66"/>
    <x v="49"/>
    <x v="49"/>
    <x v="6"/>
    <x v="58"/>
    <x v="29"/>
  </r>
  <r>
    <x v="83"/>
    <x v="72"/>
    <x v="66"/>
    <x v="6"/>
    <x v="6"/>
    <x v="1"/>
    <x v="44"/>
    <x v="53"/>
  </r>
  <r>
    <x v="83"/>
    <x v="72"/>
    <x v="66"/>
    <x v="85"/>
    <x v="87"/>
    <x v="15"/>
    <x v="71"/>
    <x v="90"/>
  </r>
  <r>
    <x v="83"/>
    <x v="72"/>
    <x v="66"/>
    <x v="86"/>
    <x v="88"/>
    <x v="15"/>
    <x v="72"/>
    <x v="91"/>
  </r>
  <r>
    <x v="83"/>
    <x v="72"/>
    <x v="66"/>
    <x v="25"/>
    <x v="26"/>
    <x v="1"/>
    <x v="73"/>
    <x v="92"/>
  </r>
  <r>
    <x v="84"/>
    <x v="34"/>
    <x v="66"/>
    <x v="44"/>
    <x v="44"/>
    <x v="1"/>
    <x v="74"/>
    <x v="93"/>
  </r>
  <r>
    <x v="84"/>
    <x v="34"/>
    <x v="66"/>
    <x v="25"/>
    <x v="26"/>
    <x v="1"/>
    <x v="14"/>
    <x v="94"/>
  </r>
  <r>
    <x v="85"/>
    <x v="73"/>
    <x v="67"/>
    <x v="30"/>
    <x v="30"/>
    <x v="0"/>
    <x v="23"/>
    <x v="31"/>
  </r>
  <r>
    <x v="85"/>
    <x v="73"/>
    <x v="67"/>
    <x v="15"/>
    <x v="16"/>
    <x v="0"/>
    <x v="8"/>
    <x v="10"/>
  </r>
  <r>
    <x v="85"/>
    <x v="73"/>
    <x v="67"/>
    <x v="31"/>
    <x v="31"/>
    <x v="0"/>
    <x v="8"/>
    <x v="10"/>
  </r>
  <r>
    <x v="85"/>
    <x v="73"/>
    <x v="67"/>
    <x v="19"/>
    <x v="20"/>
    <x v="0"/>
    <x v="8"/>
    <x v="10"/>
  </r>
  <r>
    <x v="85"/>
    <x v="73"/>
    <x v="67"/>
    <x v="68"/>
    <x v="89"/>
    <x v="0"/>
    <x v="48"/>
    <x v="83"/>
  </r>
  <r>
    <x v="85"/>
    <x v="73"/>
    <x v="67"/>
    <x v="83"/>
    <x v="85"/>
    <x v="0"/>
    <x v="13"/>
    <x v="19"/>
  </r>
  <r>
    <x v="86"/>
    <x v="74"/>
    <x v="68"/>
    <x v="6"/>
    <x v="6"/>
    <x v="1"/>
    <x v="4"/>
    <x v="6"/>
  </r>
  <r>
    <x v="86"/>
    <x v="74"/>
    <x v="68"/>
    <x v="2"/>
    <x v="2"/>
    <x v="4"/>
    <x v="1"/>
    <x v="95"/>
  </r>
  <r>
    <x v="87"/>
    <x v="75"/>
    <x v="69"/>
    <x v="87"/>
    <x v="90"/>
    <x v="1"/>
    <x v="75"/>
    <x v="96"/>
  </r>
  <r>
    <x v="88"/>
    <x v="76"/>
    <x v="70"/>
    <x v="50"/>
    <x v="91"/>
    <x v="1"/>
    <x v="8"/>
    <x v="10"/>
  </r>
  <r>
    <x v="88"/>
    <x v="76"/>
    <x v="70"/>
    <x v="88"/>
    <x v="92"/>
    <x v="1"/>
    <x v="8"/>
    <x v="10"/>
  </r>
  <r>
    <x v="89"/>
    <x v="77"/>
    <x v="71"/>
    <x v="1"/>
    <x v="1"/>
    <x v="1"/>
    <x v="1"/>
    <x v="2"/>
  </r>
  <r>
    <x v="90"/>
    <x v="78"/>
    <x v="72"/>
    <x v="4"/>
    <x v="4"/>
    <x v="0"/>
    <x v="2"/>
    <x v="75"/>
  </r>
  <r>
    <x v="90"/>
    <x v="78"/>
    <x v="72"/>
    <x v="1"/>
    <x v="1"/>
    <x v="0"/>
    <x v="1"/>
    <x v="1"/>
  </r>
  <r>
    <x v="91"/>
    <x v="24"/>
    <x v="73"/>
    <x v="14"/>
    <x v="15"/>
    <x v="6"/>
    <x v="12"/>
    <x v="97"/>
  </r>
  <r>
    <x v="91"/>
    <x v="24"/>
    <x v="73"/>
    <x v="5"/>
    <x v="5"/>
    <x v="6"/>
    <x v="8"/>
    <x v="10"/>
  </r>
  <r>
    <x v="91"/>
    <x v="24"/>
    <x v="73"/>
    <x v="15"/>
    <x v="16"/>
    <x v="6"/>
    <x v="8"/>
    <x v="10"/>
  </r>
  <r>
    <x v="91"/>
    <x v="24"/>
    <x v="73"/>
    <x v="19"/>
    <x v="20"/>
    <x v="6"/>
    <x v="8"/>
    <x v="10"/>
  </r>
  <r>
    <x v="91"/>
    <x v="24"/>
    <x v="73"/>
    <x v="44"/>
    <x v="44"/>
    <x v="1"/>
    <x v="40"/>
    <x v="49"/>
  </r>
  <r>
    <x v="91"/>
    <x v="24"/>
    <x v="73"/>
    <x v="4"/>
    <x v="4"/>
    <x v="0"/>
    <x v="2"/>
    <x v="75"/>
  </r>
  <r>
    <x v="91"/>
    <x v="24"/>
    <x v="73"/>
    <x v="1"/>
    <x v="1"/>
    <x v="0"/>
    <x v="1"/>
    <x v="1"/>
  </r>
  <r>
    <x v="91"/>
    <x v="24"/>
    <x v="73"/>
    <x v="1"/>
    <x v="1"/>
    <x v="1"/>
    <x v="1"/>
    <x v="2"/>
  </r>
  <r>
    <x v="92"/>
    <x v="34"/>
    <x v="74"/>
    <x v="39"/>
    <x v="39"/>
    <x v="6"/>
    <x v="31"/>
    <x v="98"/>
  </r>
  <r>
    <x v="92"/>
    <x v="34"/>
    <x v="74"/>
    <x v="89"/>
    <x v="93"/>
    <x v="6"/>
    <x v="46"/>
    <x v="80"/>
  </r>
  <r>
    <x v="92"/>
    <x v="34"/>
    <x v="74"/>
    <x v="9"/>
    <x v="9"/>
    <x v="0"/>
    <x v="7"/>
    <x v="9"/>
  </r>
  <r>
    <x v="92"/>
    <x v="34"/>
    <x v="74"/>
    <x v="90"/>
    <x v="94"/>
    <x v="0"/>
    <x v="62"/>
    <x v="99"/>
  </r>
  <r>
    <x v="92"/>
    <x v="34"/>
    <x v="74"/>
    <x v="7"/>
    <x v="7"/>
    <x v="1"/>
    <x v="76"/>
    <x v="100"/>
  </r>
  <r>
    <x v="92"/>
    <x v="34"/>
    <x v="74"/>
    <x v="25"/>
    <x v="26"/>
    <x v="1"/>
    <x v="77"/>
    <x v="90"/>
  </r>
  <r>
    <x v="93"/>
    <x v="34"/>
    <x v="74"/>
    <x v="7"/>
    <x v="7"/>
    <x v="0"/>
    <x v="76"/>
    <x v="101"/>
  </r>
  <r>
    <x v="93"/>
    <x v="34"/>
    <x v="74"/>
    <x v="25"/>
    <x v="26"/>
    <x v="1"/>
    <x v="78"/>
    <x v="102"/>
  </r>
  <r>
    <x v="94"/>
    <x v="79"/>
    <x v="74"/>
    <x v="44"/>
    <x v="44"/>
    <x v="1"/>
    <x v="40"/>
    <x v="49"/>
  </r>
  <r>
    <x v="95"/>
    <x v="80"/>
    <x v="75"/>
    <x v="87"/>
    <x v="90"/>
    <x v="1"/>
    <x v="75"/>
    <x v="96"/>
  </r>
  <r>
    <x v="96"/>
    <x v="81"/>
    <x v="76"/>
    <x v="64"/>
    <x v="7"/>
    <x v="1"/>
    <x v="79"/>
    <x v="103"/>
  </r>
  <r>
    <x v="97"/>
    <x v="21"/>
    <x v="77"/>
    <x v="14"/>
    <x v="15"/>
    <x v="6"/>
    <x v="12"/>
    <x v="97"/>
  </r>
  <r>
    <x v="97"/>
    <x v="21"/>
    <x v="77"/>
    <x v="15"/>
    <x v="16"/>
    <x v="6"/>
    <x v="8"/>
    <x v="10"/>
  </r>
  <r>
    <x v="97"/>
    <x v="21"/>
    <x v="77"/>
    <x v="19"/>
    <x v="20"/>
    <x v="6"/>
    <x v="8"/>
    <x v="10"/>
  </r>
  <r>
    <x v="97"/>
    <x v="21"/>
    <x v="77"/>
    <x v="91"/>
    <x v="95"/>
    <x v="0"/>
    <x v="80"/>
    <x v="104"/>
  </r>
  <r>
    <x v="97"/>
    <x v="21"/>
    <x v="77"/>
    <x v="92"/>
    <x v="96"/>
    <x v="0"/>
    <x v="81"/>
    <x v="105"/>
  </r>
  <r>
    <x v="97"/>
    <x v="21"/>
    <x v="77"/>
    <x v="6"/>
    <x v="6"/>
    <x v="1"/>
    <x v="4"/>
    <x v="6"/>
  </r>
  <r>
    <x v="98"/>
    <x v="82"/>
    <x v="77"/>
    <x v="14"/>
    <x v="15"/>
    <x v="0"/>
    <x v="12"/>
    <x v="18"/>
  </r>
  <r>
    <x v="98"/>
    <x v="82"/>
    <x v="77"/>
    <x v="15"/>
    <x v="16"/>
    <x v="0"/>
    <x v="8"/>
    <x v="10"/>
  </r>
  <r>
    <x v="98"/>
    <x v="82"/>
    <x v="77"/>
    <x v="2"/>
    <x v="2"/>
    <x v="0"/>
    <x v="8"/>
    <x v="10"/>
  </r>
  <r>
    <x v="98"/>
    <x v="82"/>
    <x v="77"/>
    <x v="1"/>
    <x v="1"/>
    <x v="0"/>
    <x v="8"/>
    <x v="10"/>
  </r>
  <r>
    <x v="98"/>
    <x v="82"/>
    <x v="77"/>
    <x v="20"/>
    <x v="21"/>
    <x v="1"/>
    <x v="15"/>
    <x v="83"/>
  </r>
  <r>
    <x v="98"/>
    <x v="82"/>
    <x v="77"/>
    <x v="91"/>
    <x v="97"/>
    <x v="1"/>
    <x v="82"/>
    <x v="106"/>
  </r>
  <r>
    <x v="98"/>
    <x v="82"/>
    <x v="77"/>
    <x v="93"/>
    <x v="98"/>
    <x v="0"/>
    <x v="81"/>
    <x v="105"/>
  </r>
  <r>
    <x v="99"/>
    <x v="37"/>
    <x v="77"/>
    <x v="94"/>
    <x v="99"/>
    <x v="6"/>
    <x v="15"/>
    <x v="107"/>
  </r>
  <r>
    <x v="99"/>
    <x v="37"/>
    <x v="77"/>
    <x v="95"/>
    <x v="100"/>
    <x v="4"/>
    <x v="51"/>
    <x v="21"/>
  </r>
  <r>
    <x v="99"/>
    <x v="37"/>
    <x v="77"/>
    <x v="25"/>
    <x v="26"/>
    <x v="1"/>
    <x v="83"/>
    <x v="108"/>
  </r>
  <r>
    <x v="100"/>
    <x v="83"/>
    <x v="78"/>
    <x v="64"/>
    <x v="7"/>
    <x v="1"/>
    <x v="4"/>
    <x v="6"/>
  </r>
  <r>
    <x v="101"/>
    <x v="84"/>
    <x v="79"/>
    <x v="3"/>
    <x v="3"/>
    <x v="1"/>
    <x v="0"/>
    <x v="3"/>
  </r>
  <r>
    <x v="102"/>
    <x v="85"/>
    <x v="80"/>
    <x v="17"/>
    <x v="18"/>
    <x v="6"/>
    <x v="13"/>
    <x v="109"/>
  </r>
  <r>
    <x v="103"/>
    <x v="86"/>
    <x v="81"/>
    <x v="64"/>
    <x v="7"/>
    <x v="1"/>
    <x v="4"/>
    <x v="6"/>
  </r>
  <r>
    <x v="104"/>
    <x v="87"/>
    <x v="82"/>
    <x v="96"/>
    <x v="101"/>
    <x v="7"/>
    <x v="84"/>
    <x v="110"/>
  </r>
  <r>
    <x v="105"/>
    <x v="88"/>
    <x v="83"/>
    <x v="7"/>
    <x v="7"/>
    <x v="0"/>
    <x v="5"/>
    <x v="59"/>
  </r>
  <r>
    <x v="106"/>
    <x v="89"/>
    <x v="84"/>
    <x v="3"/>
    <x v="3"/>
    <x v="0"/>
    <x v="0"/>
    <x v="0"/>
  </r>
  <r>
    <x v="107"/>
    <x v="90"/>
    <x v="85"/>
    <x v="97"/>
    <x v="102"/>
    <x v="1"/>
    <x v="85"/>
    <x v="111"/>
  </r>
  <r>
    <x v="108"/>
    <x v="91"/>
    <x v="86"/>
    <x v="16"/>
    <x v="17"/>
    <x v="0"/>
    <x v="10"/>
    <x v="23"/>
  </r>
  <r>
    <x v="109"/>
    <x v="16"/>
    <x v="87"/>
    <x v="8"/>
    <x v="8"/>
    <x v="0"/>
    <x v="6"/>
    <x v="112"/>
  </r>
  <r>
    <x v="109"/>
    <x v="16"/>
    <x v="87"/>
    <x v="0"/>
    <x v="0"/>
    <x v="0"/>
    <x v="0"/>
    <x v="0"/>
  </r>
  <r>
    <x v="109"/>
    <x v="16"/>
    <x v="87"/>
    <x v="1"/>
    <x v="1"/>
    <x v="0"/>
    <x v="1"/>
    <x v="1"/>
  </r>
  <r>
    <x v="110"/>
    <x v="27"/>
    <x v="88"/>
    <x v="10"/>
    <x v="11"/>
    <x v="1"/>
    <x v="8"/>
    <x v="10"/>
  </r>
  <r>
    <x v="111"/>
    <x v="92"/>
    <x v="89"/>
    <x v="3"/>
    <x v="3"/>
    <x v="0"/>
    <x v="0"/>
    <x v="0"/>
  </r>
  <r>
    <x v="112"/>
    <x v="93"/>
    <x v="90"/>
    <x v="6"/>
    <x v="6"/>
    <x v="1"/>
    <x v="4"/>
    <x v="6"/>
  </r>
  <r>
    <x v="113"/>
    <x v="94"/>
    <x v="91"/>
    <x v="96"/>
    <x v="101"/>
    <x v="1"/>
    <x v="84"/>
    <x v="113"/>
  </r>
  <r>
    <x v="114"/>
    <x v="95"/>
    <x v="92"/>
    <x v="70"/>
    <x v="71"/>
    <x v="3"/>
    <x v="16"/>
    <x v="22"/>
  </r>
  <r>
    <x v="115"/>
    <x v="96"/>
    <x v="93"/>
    <x v="15"/>
    <x v="16"/>
    <x v="7"/>
    <x v="13"/>
    <x v="80"/>
  </r>
  <r>
    <x v="116"/>
    <x v="97"/>
    <x v="94"/>
    <x v="70"/>
    <x v="71"/>
    <x v="8"/>
    <x v="16"/>
    <x v="114"/>
  </r>
  <r>
    <x v="116"/>
    <x v="97"/>
    <x v="94"/>
    <x v="31"/>
    <x v="31"/>
    <x v="0"/>
    <x v="10"/>
    <x v="23"/>
  </r>
  <r>
    <x v="117"/>
    <x v="98"/>
    <x v="95"/>
    <x v="13"/>
    <x v="14"/>
    <x v="1"/>
    <x v="11"/>
    <x v="13"/>
  </r>
  <r>
    <x v="118"/>
    <x v="93"/>
    <x v="96"/>
    <x v="14"/>
    <x v="15"/>
    <x v="1"/>
    <x v="12"/>
    <x v="15"/>
  </r>
  <r>
    <x v="118"/>
    <x v="93"/>
    <x v="96"/>
    <x v="5"/>
    <x v="5"/>
    <x v="1"/>
    <x v="8"/>
    <x v="10"/>
  </r>
  <r>
    <x v="118"/>
    <x v="93"/>
    <x v="96"/>
    <x v="15"/>
    <x v="16"/>
    <x v="1"/>
    <x v="8"/>
    <x v="10"/>
  </r>
  <r>
    <x v="118"/>
    <x v="93"/>
    <x v="96"/>
    <x v="19"/>
    <x v="20"/>
    <x v="1"/>
    <x v="8"/>
    <x v="10"/>
  </r>
  <r>
    <x v="119"/>
    <x v="99"/>
    <x v="97"/>
    <x v="6"/>
    <x v="6"/>
    <x v="7"/>
    <x v="4"/>
    <x v="115"/>
  </r>
  <r>
    <x v="120"/>
    <x v="100"/>
    <x v="98"/>
    <x v="5"/>
    <x v="5"/>
    <x v="1"/>
    <x v="3"/>
    <x v="17"/>
  </r>
  <r>
    <x v="121"/>
    <x v="101"/>
    <x v="99"/>
    <x v="7"/>
    <x v="7"/>
    <x v="0"/>
    <x v="5"/>
    <x v="59"/>
  </r>
  <r>
    <x v="121"/>
    <x v="101"/>
    <x v="99"/>
    <x v="91"/>
    <x v="97"/>
    <x v="0"/>
    <x v="62"/>
    <x v="99"/>
  </r>
  <r>
    <x v="122"/>
    <x v="63"/>
    <x v="100"/>
    <x v="98"/>
    <x v="103"/>
    <x v="0"/>
    <x v="8"/>
    <x v="10"/>
  </r>
  <r>
    <x v="123"/>
    <x v="102"/>
    <x v="100"/>
    <x v="50"/>
    <x v="104"/>
    <x v="1"/>
    <x v="15"/>
    <x v="83"/>
  </r>
  <r>
    <x v="123"/>
    <x v="102"/>
    <x v="100"/>
    <x v="25"/>
    <x v="26"/>
    <x v="1"/>
    <x v="86"/>
    <x v="116"/>
  </r>
  <r>
    <x v="124"/>
    <x v="103"/>
    <x v="101"/>
    <x v="50"/>
    <x v="105"/>
    <x v="1"/>
    <x v="8"/>
    <x v="10"/>
  </r>
  <r>
    <x v="124"/>
    <x v="103"/>
    <x v="101"/>
    <x v="74"/>
    <x v="75"/>
    <x v="1"/>
    <x v="8"/>
    <x v="10"/>
  </r>
  <r>
    <x v="124"/>
    <x v="103"/>
    <x v="101"/>
    <x v="21"/>
    <x v="22"/>
    <x v="0"/>
    <x v="8"/>
    <x v="10"/>
  </r>
  <r>
    <x v="124"/>
    <x v="103"/>
    <x v="101"/>
    <x v="99"/>
    <x v="106"/>
    <x v="1"/>
    <x v="8"/>
    <x v="10"/>
  </r>
  <r>
    <x v="124"/>
    <x v="103"/>
    <x v="101"/>
    <x v="100"/>
    <x v="107"/>
    <x v="0"/>
    <x v="8"/>
    <x v="10"/>
  </r>
  <r>
    <x v="124"/>
    <x v="103"/>
    <x v="101"/>
    <x v="101"/>
    <x v="108"/>
    <x v="0"/>
    <x v="8"/>
    <x v="10"/>
  </r>
  <r>
    <x v="124"/>
    <x v="103"/>
    <x v="101"/>
    <x v="102"/>
    <x v="109"/>
    <x v="0"/>
    <x v="8"/>
    <x v="10"/>
  </r>
  <r>
    <x v="124"/>
    <x v="103"/>
    <x v="101"/>
    <x v="98"/>
    <x v="103"/>
    <x v="1"/>
    <x v="8"/>
    <x v="10"/>
  </r>
  <r>
    <x v="125"/>
    <x v="104"/>
    <x v="101"/>
    <x v="50"/>
    <x v="110"/>
    <x v="1"/>
    <x v="8"/>
    <x v="10"/>
  </r>
  <r>
    <x v="125"/>
    <x v="104"/>
    <x v="101"/>
    <x v="63"/>
    <x v="66"/>
    <x v="6"/>
    <x v="8"/>
    <x v="10"/>
  </r>
  <r>
    <x v="125"/>
    <x v="104"/>
    <x v="101"/>
    <x v="103"/>
    <x v="111"/>
    <x v="6"/>
    <x v="8"/>
    <x v="10"/>
  </r>
  <r>
    <x v="126"/>
    <x v="105"/>
    <x v="101"/>
    <x v="5"/>
    <x v="5"/>
    <x v="1"/>
    <x v="3"/>
    <x v="17"/>
  </r>
</pivotCacheRecords>
</file>

<file path=xl/pivotCache/pivotCacheRecords27.xml><?xml version="1.0" encoding="utf-8"?>
<pivotCacheRecords xmlns:r="http://schemas.openxmlformats.org/officeDocument/2006/relationships" xmlns="http://schemas.openxmlformats.org/spreadsheetml/2006/main" count="303">
  <r>
    <x v="0"/>
    <x v="0"/>
    <x v="0"/>
  </r>
  <r>
    <x v="1"/>
    <x v="1"/>
    <x v="0"/>
  </r>
  <r>
    <x v="2"/>
    <x v="2"/>
    <x v="1"/>
  </r>
  <r>
    <x v="3"/>
    <x v="3"/>
    <x v="1"/>
  </r>
  <r>
    <x v="4"/>
    <x v="4"/>
    <x v="1"/>
  </r>
  <r>
    <x v="1"/>
    <x v="1"/>
    <x v="1"/>
  </r>
  <r>
    <x v="5"/>
    <x v="5"/>
    <x v="0"/>
  </r>
  <r>
    <x v="4"/>
    <x v="4"/>
    <x v="1"/>
  </r>
  <r>
    <x v="1"/>
    <x v="1"/>
    <x v="1"/>
  </r>
  <r>
    <x v="6"/>
    <x v="6"/>
    <x v="1"/>
  </r>
  <r>
    <x v="7"/>
    <x v="7"/>
    <x v="1"/>
  </r>
  <r>
    <x v="6"/>
    <x v="6"/>
    <x v="1"/>
  </r>
  <r>
    <x v="6"/>
    <x v="6"/>
    <x v="1"/>
  </r>
  <r>
    <x v="8"/>
    <x v="8"/>
    <x v="2"/>
  </r>
  <r>
    <x v="9"/>
    <x v="9"/>
    <x v="0"/>
  </r>
  <r>
    <x v="10"/>
    <x v="10"/>
    <x v="1"/>
  </r>
  <r>
    <x v="10"/>
    <x v="11"/>
    <x v="1"/>
  </r>
  <r>
    <x v="11"/>
    <x v="12"/>
    <x v="0"/>
  </r>
  <r>
    <x v="3"/>
    <x v="3"/>
    <x v="0"/>
  </r>
  <r>
    <x v="1"/>
    <x v="1"/>
    <x v="0"/>
  </r>
  <r>
    <x v="2"/>
    <x v="2"/>
    <x v="1"/>
  </r>
  <r>
    <x v="0"/>
    <x v="0"/>
    <x v="1"/>
  </r>
  <r>
    <x v="1"/>
    <x v="1"/>
    <x v="1"/>
  </r>
  <r>
    <x v="12"/>
    <x v="13"/>
    <x v="1"/>
  </r>
  <r>
    <x v="13"/>
    <x v="14"/>
    <x v="1"/>
  </r>
  <r>
    <x v="12"/>
    <x v="13"/>
    <x v="3"/>
  </r>
  <r>
    <x v="7"/>
    <x v="7"/>
    <x v="1"/>
  </r>
  <r>
    <x v="7"/>
    <x v="7"/>
    <x v="1"/>
  </r>
  <r>
    <x v="14"/>
    <x v="15"/>
    <x v="1"/>
  </r>
  <r>
    <x v="5"/>
    <x v="5"/>
    <x v="1"/>
  </r>
  <r>
    <x v="15"/>
    <x v="16"/>
    <x v="1"/>
  </r>
  <r>
    <x v="16"/>
    <x v="17"/>
    <x v="1"/>
  </r>
  <r>
    <x v="17"/>
    <x v="18"/>
    <x v="1"/>
  </r>
  <r>
    <x v="18"/>
    <x v="19"/>
    <x v="1"/>
  </r>
  <r>
    <x v="14"/>
    <x v="15"/>
    <x v="0"/>
  </r>
  <r>
    <x v="15"/>
    <x v="16"/>
    <x v="0"/>
  </r>
  <r>
    <x v="19"/>
    <x v="20"/>
    <x v="0"/>
  </r>
  <r>
    <x v="20"/>
    <x v="21"/>
    <x v="0"/>
  </r>
  <r>
    <x v="7"/>
    <x v="7"/>
    <x v="1"/>
  </r>
  <r>
    <x v="21"/>
    <x v="22"/>
    <x v="3"/>
  </r>
  <r>
    <x v="16"/>
    <x v="17"/>
    <x v="0"/>
  </r>
  <r>
    <x v="22"/>
    <x v="23"/>
    <x v="4"/>
  </r>
  <r>
    <x v="23"/>
    <x v="24"/>
    <x v="5"/>
  </r>
  <r>
    <x v="24"/>
    <x v="25"/>
    <x v="5"/>
  </r>
  <r>
    <x v="25"/>
    <x v="26"/>
    <x v="1"/>
  </r>
  <r>
    <x v="4"/>
    <x v="4"/>
    <x v="6"/>
  </r>
  <r>
    <x v="1"/>
    <x v="1"/>
    <x v="6"/>
  </r>
  <r>
    <x v="26"/>
    <x v="27"/>
    <x v="3"/>
  </r>
  <r>
    <x v="27"/>
    <x v="27"/>
    <x v="3"/>
  </r>
  <r>
    <x v="15"/>
    <x v="16"/>
    <x v="1"/>
  </r>
  <r>
    <x v="25"/>
    <x v="26"/>
    <x v="1"/>
  </r>
  <r>
    <x v="28"/>
    <x v="28"/>
    <x v="7"/>
  </r>
  <r>
    <x v="29"/>
    <x v="29"/>
    <x v="0"/>
  </r>
  <r>
    <x v="3"/>
    <x v="3"/>
    <x v="1"/>
  </r>
  <r>
    <x v="4"/>
    <x v="4"/>
    <x v="1"/>
  </r>
  <r>
    <x v="1"/>
    <x v="1"/>
    <x v="1"/>
  </r>
  <r>
    <x v="30"/>
    <x v="30"/>
    <x v="0"/>
  </r>
  <r>
    <x v="15"/>
    <x v="16"/>
    <x v="0"/>
  </r>
  <r>
    <x v="31"/>
    <x v="31"/>
    <x v="0"/>
  </r>
  <r>
    <x v="19"/>
    <x v="20"/>
    <x v="0"/>
  </r>
  <r>
    <x v="5"/>
    <x v="5"/>
    <x v="0"/>
  </r>
  <r>
    <x v="32"/>
    <x v="32"/>
    <x v="0"/>
  </r>
  <r>
    <x v="8"/>
    <x v="8"/>
    <x v="8"/>
  </r>
  <r>
    <x v="33"/>
    <x v="33"/>
    <x v="9"/>
  </r>
  <r>
    <x v="34"/>
    <x v="34"/>
    <x v="9"/>
  </r>
  <r>
    <x v="12"/>
    <x v="13"/>
    <x v="8"/>
  </r>
  <r>
    <x v="35"/>
    <x v="35"/>
    <x v="10"/>
  </r>
  <r>
    <x v="25"/>
    <x v="26"/>
    <x v="1"/>
  </r>
  <r>
    <x v="36"/>
    <x v="36"/>
    <x v="6"/>
  </r>
  <r>
    <x v="37"/>
    <x v="37"/>
    <x v="11"/>
  </r>
  <r>
    <x v="38"/>
    <x v="38"/>
    <x v="6"/>
  </r>
  <r>
    <x v="9"/>
    <x v="9"/>
    <x v="6"/>
  </r>
  <r>
    <x v="25"/>
    <x v="26"/>
    <x v="1"/>
  </r>
  <r>
    <x v="39"/>
    <x v="39"/>
    <x v="0"/>
  </r>
  <r>
    <x v="40"/>
    <x v="40"/>
    <x v="0"/>
  </r>
  <r>
    <x v="41"/>
    <x v="41"/>
    <x v="4"/>
  </r>
  <r>
    <x v="25"/>
    <x v="26"/>
    <x v="1"/>
  </r>
  <r>
    <x v="1"/>
    <x v="1"/>
    <x v="2"/>
  </r>
  <r>
    <x v="4"/>
    <x v="4"/>
    <x v="12"/>
  </r>
  <r>
    <x v="35"/>
    <x v="35"/>
    <x v="13"/>
  </r>
  <r>
    <x v="25"/>
    <x v="26"/>
    <x v="1"/>
  </r>
  <r>
    <x v="42"/>
    <x v="42"/>
    <x v="1"/>
  </r>
  <r>
    <x v="43"/>
    <x v="43"/>
    <x v="1"/>
  </r>
  <r>
    <x v="8"/>
    <x v="8"/>
    <x v="1"/>
  </r>
  <r>
    <x v="33"/>
    <x v="33"/>
    <x v="0"/>
  </r>
  <r>
    <x v="34"/>
    <x v="34"/>
    <x v="0"/>
  </r>
  <r>
    <x v="12"/>
    <x v="13"/>
    <x v="0"/>
  </r>
  <r>
    <x v="1"/>
    <x v="1"/>
    <x v="1"/>
  </r>
  <r>
    <x v="6"/>
    <x v="6"/>
    <x v="1"/>
  </r>
  <r>
    <x v="6"/>
    <x v="6"/>
    <x v="1"/>
  </r>
  <r>
    <x v="44"/>
    <x v="44"/>
    <x v="1"/>
  </r>
  <r>
    <x v="45"/>
    <x v="45"/>
    <x v="0"/>
  </r>
  <r>
    <x v="46"/>
    <x v="46"/>
    <x v="7"/>
  </r>
  <r>
    <x v="47"/>
    <x v="47"/>
    <x v="7"/>
  </r>
  <r>
    <x v="48"/>
    <x v="48"/>
    <x v="7"/>
  </r>
  <r>
    <x v="49"/>
    <x v="49"/>
    <x v="7"/>
  </r>
  <r>
    <x v="25"/>
    <x v="26"/>
    <x v="1"/>
  </r>
  <r>
    <x v="50"/>
    <x v="50"/>
    <x v="1"/>
  </r>
  <r>
    <x v="6"/>
    <x v="6"/>
    <x v="1"/>
  </r>
  <r>
    <x v="25"/>
    <x v="26"/>
    <x v="1"/>
  </r>
  <r>
    <x v="50"/>
    <x v="51"/>
    <x v="1"/>
  </r>
  <r>
    <x v="51"/>
    <x v="52"/>
    <x v="1"/>
  </r>
  <r>
    <x v="52"/>
    <x v="52"/>
    <x v="1"/>
  </r>
  <r>
    <x v="53"/>
    <x v="53"/>
    <x v="1"/>
  </r>
  <r>
    <x v="54"/>
    <x v="54"/>
    <x v="3"/>
  </r>
  <r>
    <x v="15"/>
    <x v="16"/>
    <x v="3"/>
  </r>
  <r>
    <x v="25"/>
    <x v="26"/>
    <x v="1"/>
  </r>
  <r>
    <x v="7"/>
    <x v="7"/>
    <x v="1"/>
  </r>
  <r>
    <x v="29"/>
    <x v="29"/>
    <x v="1"/>
  </r>
  <r>
    <x v="7"/>
    <x v="7"/>
    <x v="0"/>
  </r>
  <r>
    <x v="0"/>
    <x v="0"/>
    <x v="1"/>
  </r>
  <r>
    <x v="1"/>
    <x v="1"/>
    <x v="1"/>
  </r>
  <r>
    <x v="7"/>
    <x v="7"/>
    <x v="1"/>
  </r>
  <r>
    <x v="50"/>
    <x v="55"/>
    <x v="1"/>
  </r>
  <r>
    <x v="55"/>
    <x v="56"/>
    <x v="14"/>
  </r>
  <r>
    <x v="56"/>
    <x v="57"/>
    <x v="6"/>
  </r>
  <r>
    <x v="41"/>
    <x v="41"/>
    <x v="0"/>
  </r>
  <r>
    <x v="57"/>
    <x v="58"/>
    <x v="6"/>
  </r>
  <r>
    <x v="58"/>
    <x v="59"/>
    <x v="6"/>
  </r>
  <r>
    <x v="59"/>
    <x v="60"/>
    <x v="7"/>
  </r>
  <r>
    <x v="25"/>
    <x v="26"/>
    <x v="1"/>
  </r>
  <r>
    <x v="50"/>
    <x v="61"/>
    <x v="1"/>
  </r>
  <r>
    <x v="60"/>
    <x v="62"/>
    <x v="0"/>
  </r>
  <r>
    <x v="61"/>
    <x v="63"/>
    <x v="0"/>
  </r>
  <r>
    <x v="62"/>
    <x v="64"/>
    <x v="6"/>
  </r>
  <r>
    <x v="50"/>
    <x v="65"/>
    <x v="1"/>
  </r>
  <r>
    <x v="63"/>
    <x v="66"/>
    <x v="8"/>
  </r>
  <r>
    <x v="41"/>
    <x v="41"/>
    <x v="0"/>
  </r>
  <r>
    <x v="4"/>
    <x v="4"/>
    <x v="6"/>
  </r>
  <r>
    <x v="1"/>
    <x v="1"/>
    <x v="6"/>
  </r>
  <r>
    <x v="6"/>
    <x v="6"/>
    <x v="1"/>
  </r>
  <r>
    <x v="7"/>
    <x v="7"/>
    <x v="1"/>
  </r>
  <r>
    <x v="64"/>
    <x v="7"/>
    <x v="1"/>
  </r>
  <r>
    <x v="1"/>
    <x v="1"/>
    <x v="1"/>
  </r>
  <r>
    <x v="21"/>
    <x v="22"/>
    <x v="4"/>
  </r>
  <r>
    <x v="13"/>
    <x v="14"/>
    <x v="0"/>
  </r>
  <r>
    <x v="19"/>
    <x v="20"/>
    <x v="0"/>
  </r>
  <r>
    <x v="65"/>
    <x v="67"/>
    <x v="15"/>
  </r>
  <r>
    <x v="66"/>
    <x v="68"/>
    <x v="0"/>
  </r>
  <r>
    <x v="67"/>
    <x v="15"/>
    <x v="0"/>
  </r>
  <r>
    <x v="68"/>
    <x v="69"/>
    <x v="0"/>
  </r>
  <r>
    <x v="1"/>
    <x v="1"/>
    <x v="0"/>
  </r>
  <r>
    <x v="2"/>
    <x v="2"/>
    <x v="0"/>
  </r>
  <r>
    <x v="20"/>
    <x v="21"/>
    <x v="0"/>
  </r>
  <r>
    <x v="18"/>
    <x v="19"/>
    <x v="0"/>
  </r>
  <r>
    <x v="8"/>
    <x v="8"/>
    <x v="8"/>
  </r>
  <r>
    <x v="69"/>
    <x v="70"/>
    <x v="12"/>
  </r>
  <r>
    <x v="12"/>
    <x v="13"/>
    <x v="8"/>
  </r>
  <r>
    <x v="31"/>
    <x v="31"/>
    <x v="0"/>
  </r>
  <r>
    <x v="70"/>
    <x v="71"/>
    <x v="6"/>
  </r>
  <r>
    <x v="21"/>
    <x v="22"/>
    <x v="6"/>
  </r>
  <r>
    <x v="49"/>
    <x v="49"/>
    <x v="6"/>
  </r>
  <r>
    <x v="71"/>
    <x v="72"/>
    <x v="7"/>
  </r>
  <r>
    <x v="25"/>
    <x v="26"/>
    <x v="1"/>
  </r>
  <r>
    <x v="46"/>
    <x v="46"/>
    <x v="3"/>
  </r>
  <r>
    <x v="49"/>
    <x v="49"/>
    <x v="3"/>
  </r>
  <r>
    <x v="72"/>
    <x v="73"/>
    <x v="4"/>
  </r>
  <r>
    <x v="73"/>
    <x v="74"/>
    <x v="4"/>
  </r>
  <r>
    <x v="74"/>
    <x v="75"/>
    <x v="4"/>
  </r>
  <r>
    <x v="4"/>
    <x v="4"/>
    <x v="0"/>
  </r>
  <r>
    <x v="1"/>
    <x v="1"/>
    <x v="0"/>
  </r>
  <r>
    <x v="3"/>
    <x v="3"/>
    <x v="1"/>
  </r>
  <r>
    <x v="16"/>
    <x v="17"/>
    <x v="0"/>
  </r>
  <r>
    <x v="31"/>
    <x v="31"/>
    <x v="6"/>
  </r>
  <r>
    <x v="17"/>
    <x v="18"/>
    <x v="0"/>
  </r>
  <r>
    <x v="6"/>
    <x v="6"/>
    <x v="1"/>
  </r>
  <r>
    <x v="44"/>
    <x v="44"/>
    <x v="1"/>
  </r>
  <r>
    <x v="75"/>
    <x v="76"/>
    <x v="1"/>
  </r>
  <r>
    <x v="1"/>
    <x v="1"/>
    <x v="4"/>
  </r>
  <r>
    <x v="30"/>
    <x v="30"/>
    <x v="6"/>
  </r>
  <r>
    <x v="15"/>
    <x v="16"/>
    <x v="6"/>
  </r>
  <r>
    <x v="31"/>
    <x v="31"/>
    <x v="6"/>
  </r>
  <r>
    <x v="19"/>
    <x v="20"/>
    <x v="6"/>
  </r>
  <r>
    <x v="5"/>
    <x v="5"/>
    <x v="6"/>
  </r>
  <r>
    <x v="6"/>
    <x v="6"/>
    <x v="1"/>
  </r>
  <r>
    <x v="76"/>
    <x v="77"/>
    <x v="7"/>
  </r>
  <r>
    <x v="0"/>
    <x v="0"/>
    <x v="1"/>
  </r>
  <r>
    <x v="1"/>
    <x v="1"/>
    <x v="1"/>
  </r>
  <r>
    <x v="3"/>
    <x v="3"/>
    <x v="0"/>
  </r>
  <r>
    <x v="44"/>
    <x v="44"/>
    <x v="1"/>
  </r>
  <r>
    <x v="15"/>
    <x v="16"/>
    <x v="6"/>
  </r>
  <r>
    <x v="5"/>
    <x v="5"/>
    <x v="1"/>
  </r>
  <r>
    <x v="77"/>
    <x v="26"/>
    <x v="1"/>
  </r>
  <r>
    <x v="35"/>
    <x v="35"/>
    <x v="16"/>
  </r>
  <r>
    <x v="25"/>
    <x v="26"/>
    <x v="1"/>
  </r>
  <r>
    <x v="4"/>
    <x v="4"/>
    <x v="0"/>
  </r>
  <r>
    <x v="1"/>
    <x v="1"/>
    <x v="0"/>
  </r>
  <r>
    <x v="7"/>
    <x v="7"/>
    <x v="1"/>
  </r>
  <r>
    <x v="50"/>
    <x v="78"/>
    <x v="17"/>
  </r>
  <r>
    <x v="78"/>
    <x v="79"/>
    <x v="18"/>
  </r>
  <r>
    <x v="79"/>
    <x v="80"/>
    <x v="2"/>
  </r>
  <r>
    <x v="80"/>
    <x v="81"/>
    <x v="2"/>
  </r>
  <r>
    <x v="81"/>
    <x v="82"/>
    <x v="19"/>
  </r>
  <r>
    <x v="82"/>
    <x v="83"/>
    <x v="0"/>
  </r>
  <r>
    <x v="25"/>
    <x v="26"/>
    <x v="1"/>
  </r>
  <r>
    <x v="50"/>
    <x v="84"/>
    <x v="1"/>
  </r>
  <r>
    <x v="4"/>
    <x v="4"/>
    <x v="1"/>
  </r>
  <r>
    <x v="25"/>
    <x v="26"/>
    <x v="1"/>
  </r>
  <r>
    <x v="3"/>
    <x v="3"/>
    <x v="1"/>
  </r>
  <r>
    <x v="3"/>
    <x v="3"/>
    <x v="1"/>
  </r>
  <r>
    <x v="83"/>
    <x v="85"/>
    <x v="0"/>
  </r>
  <r>
    <x v="25"/>
    <x v="26"/>
    <x v="1"/>
  </r>
  <r>
    <x v="84"/>
    <x v="86"/>
    <x v="6"/>
  </r>
  <r>
    <x v="49"/>
    <x v="49"/>
    <x v="6"/>
  </r>
  <r>
    <x v="6"/>
    <x v="6"/>
    <x v="1"/>
  </r>
  <r>
    <x v="85"/>
    <x v="87"/>
    <x v="15"/>
  </r>
  <r>
    <x v="86"/>
    <x v="88"/>
    <x v="15"/>
  </r>
  <r>
    <x v="25"/>
    <x v="26"/>
    <x v="1"/>
  </r>
  <r>
    <x v="44"/>
    <x v="44"/>
    <x v="1"/>
  </r>
  <r>
    <x v="25"/>
    <x v="26"/>
    <x v="1"/>
  </r>
  <r>
    <x v="30"/>
    <x v="30"/>
    <x v="0"/>
  </r>
  <r>
    <x v="15"/>
    <x v="16"/>
    <x v="0"/>
  </r>
  <r>
    <x v="31"/>
    <x v="31"/>
    <x v="0"/>
  </r>
  <r>
    <x v="19"/>
    <x v="20"/>
    <x v="0"/>
  </r>
  <r>
    <x v="68"/>
    <x v="89"/>
    <x v="0"/>
  </r>
  <r>
    <x v="83"/>
    <x v="85"/>
    <x v="0"/>
  </r>
  <r>
    <x v="6"/>
    <x v="6"/>
    <x v="1"/>
  </r>
  <r>
    <x v="2"/>
    <x v="2"/>
    <x v="4"/>
  </r>
  <r>
    <x v="87"/>
    <x v="90"/>
    <x v="1"/>
  </r>
  <r>
    <x v="50"/>
    <x v="91"/>
    <x v="1"/>
  </r>
  <r>
    <x v="88"/>
    <x v="92"/>
    <x v="1"/>
  </r>
  <r>
    <x v="1"/>
    <x v="1"/>
    <x v="1"/>
  </r>
  <r>
    <x v="4"/>
    <x v="4"/>
    <x v="0"/>
  </r>
  <r>
    <x v="1"/>
    <x v="1"/>
    <x v="0"/>
  </r>
  <r>
    <x v="14"/>
    <x v="15"/>
    <x v="6"/>
  </r>
  <r>
    <x v="5"/>
    <x v="5"/>
    <x v="6"/>
  </r>
  <r>
    <x v="15"/>
    <x v="16"/>
    <x v="6"/>
  </r>
  <r>
    <x v="19"/>
    <x v="20"/>
    <x v="6"/>
  </r>
  <r>
    <x v="44"/>
    <x v="44"/>
    <x v="1"/>
  </r>
  <r>
    <x v="4"/>
    <x v="4"/>
    <x v="0"/>
  </r>
  <r>
    <x v="1"/>
    <x v="1"/>
    <x v="0"/>
  </r>
  <r>
    <x v="1"/>
    <x v="1"/>
    <x v="1"/>
  </r>
  <r>
    <x v="39"/>
    <x v="39"/>
    <x v="6"/>
  </r>
  <r>
    <x v="89"/>
    <x v="93"/>
    <x v="6"/>
  </r>
  <r>
    <x v="9"/>
    <x v="9"/>
    <x v="0"/>
  </r>
  <r>
    <x v="90"/>
    <x v="94"/>
    <x v="0"/>
  </r>
  <r>
    <x v="7"/>
    <x v="7"/>
    <x v="1"/>
  </r>
  <r>
    <x v="25"/>
    <x v="26"/>
    <x v="1"/>
  </r>
  <r>
    <x v="7"/>
    <x v="7"/>
    <x v="0"/>
  </r>
  <r>
    <x v="25"/>
    <x v="26"/>
    <x v="1"/>
  </r>
  <r>
    <x v="44"/>
    <x v="44"/>
    <x v="1"/>
  </r>
  <r>
    <x v="87"/>
    <x v="90"/>
    <x v="1"/>
  </r>
  <r>
    <x v="64"/>
    <x v="7"/>
    <x v="1"/>
  </r>
  <r>
    <x v="14"/>
    <x v="15"/>
    <x v="6"/>
  </r>
  <r>
    <x v="15"/>
    <x v="16"/>
    <x v="6"/>
  </r>
  <r>
    <x v="19"/>
    <x v="20"/>
    <x v="6"/>
  </r>
  <r>
    <x v="91"/>
    <x v="95"/>
    <x v="0"/>
  </r>
  <r>
    <x v="92"/>
    <x v="96"/>
    <x v="0"/>
  </r>
  <r>
    <x v="6"/>
    <x v="6"/>
    <x v="1"/>
  </r>
  <r>
    <x v="14"/>
    <x v="15"/>
    <x v="0"/>
  </r>
  <r>
    <x v="15"/>
    <x v="16"/>
    <x v="0"/>
  </r>
  <r>
    <x v="2"/>
    <x v="2"/>
    <x v="0"/>
  </r>
  <r>
    <x v="1"/>
    <x v="1"/>
    <x v="0"/>
  </r>
  <r>
    <x v="20"/>
    <x v="21"/>
    <x v="1"/>
  </r>
  <r>
    <x v="91"/>
    <x v="97"/>
    <x v="1"/>
  </r>
  <r>
    <x v="93"/>
    <x v="98"/>
    <x v="0"/>
  </r>
  <r>
    <x v="94"/>
    <x v="99"/>
    <x v="6"/>
  </r>
  <r>
    <x v="95"/>
    <x v="100"/>
    <x v="4"/>
  </r>
  <r>
    <x v="25"/>
    <x v="26"/>
    <x v="1"/>
  </r>
  <r>
    <x v="64"/>
    <x v="7"/>
    <x v="1"/>
  </r>
  <r>
    <x v="3"/>
    <x v="3"/>
    <x v="1"/>
  </r>
  <r>
    <x v="17"/>
    <x v="18"/>
    <x v="6"/>
  </r>
  <r>
    <x v="64"/>
    <x v="7"/>
    <x v="1"/>
  </r>
  <r>
    <x v="96"/>
    <x v="101"/>
    <x v="7"/>
  </r>
  <r>
    <x v="7"/>
    <x v="7"/>
    <x v="0"/>
  </r>
  <r>
    <x v="3"/>
    <x v="3"/>
    <x v="0"/>
  </r>
  <r>
    <x v="97"/>
    <x v="102"/>
    <x v="1"/>
  </r>
  <r>
    <x v="16"/>
    <x v="17"/>
    <x v="0"/>
  </r>
  <r>
    <x v="8"/>
    <x v="8"/>
    <x v="0"/>
  </r>
  <r>
    <x v="0"/>
    <x v="0"/>
    <x v="0"/>
  </r>
  <r>
    <x v="1"/>
    <x v="1"/>
    <x v="0"/>
  </r>
  <r>
    <x v="10"/>
    <x v="11"/>
    <x v="1"/>
  </r>
  <r>
    <x v="3"/>
    <x v="3"/>
    <x v="0"/>
  </r>
  <r>
    <x v="6"/>
    <x v="6"/>
    <x v="1"/>
  </r>
  <r>
    <x v="96"/>
    <x v="101"/>
    <x v="1"/>
  </r>
  <r>
    <x v="70"/>
    <x v="71"/>
    <x v="3"/>
  </r>
  <r>
    <x v="15"/>
    <x v="16"/>
    <x v="7"/>
  </r>
  <r>
    <x v="70"/>
    <x v="71"/>
    <x v="8"/>
  </r>
  <r>
    <x v="31"/>
    <x v="31"/>
    <x v="0"/>
  </r>
  <r>
    <x v="13"/>
    <x v="14"/>
    <x v="1"/>
  </r>
  <r>
    <x v="14"/>
    <x v="15"/>
    <x v="1"/>
  </r>
  <r>
    <x v="5"/>
    <x v="5"/>
    <x v="1"/>
  </r>
  <r>
    <x v="15"/>
    <x v="16"/>
    <x v="1"/>
  </r>
  <r>
    <x v="19"/>
    <x v="20"/>
    <x v="1"/>
  </r>
  <r>
    <x v="6"/>
    <x v="6"/>
    <x v="7"/>
  </r>
  <r>
    <x v="5"/>
    <x v="5"/>
    <x v="1"/>
  </r>
  <r>
    <x v="7"/>
    <x v="7"/>
    <x v="0"/>
  </r>
  <r>
    <x v="91"/>
    <x v="97"/>
    <x v="0"/>
  </r>
  <r>
    <x v="98"/>
    <x v="103"/>
    <x v="0"/>
  </r>
  <r>
    <x v="50"/>
    <x v="104"/>
    <x v="1"/>
  </r>
  <r>
    <x v="25"/>
    <x v="26"/>
    <x v="1"/>
  </r>
  <r>
    <x v="50"/>
    <x v="105"/>
    <x v="1"/>
  </r>
  <r>
    <x v="74"/>
    <x v="75"/>
    <x v="1"/>
  </r>
  <r>
    <x v="21"/>
    <x v="22"/>
    <x v="0"/>
  </r>
  <r>
    <x v="99"/>
    <x v="106"/>
    <x v="1"/>
  </r>
  <r>
    <x v="100"/>
    <x v="107"/>
    <x v="0"/>
  </r>
  <r>
    <x v="101"/>
    <x v="108"/>
    <x v="0"/>
  </r>
  <r>
    <x v="102"/>
    <x v="109"/>
    <x v="0"/>
  </r>
  <r>
    <x v="98"/>
    <x v="103"/>
    <x v="1"/>
  </r>
  <r>
    <x v="50"/>
    <x v="110"/>
    <x v="1"/>
  </r>
  <r>
    <x v="63"/>
    <x v="66"/>
    <x v="6"/>
  </r>
  <r>
    <x v="103"/>
    <x v="111"/>
    <x v="6"/>
  </r>
  <r>
    <x v="5"/>
    <x v="5"/>
    <x v="1"/>
  </r>
</pivotCacheRecords>
</file>

<file path=xl/pivotCache/pivotCacheRecords28.xml><?xml version="1.0" encoding="utf-8"?>
<pivotCacheRecords xmlns:r="http://schemas.openxmlformats.org/officeDocument/2006/relationships" xmlns="http://schemas.openxmlformats.org/spreadsheetml/2006/main" count="303">
  <r>
    <x v="0"/>
    <x v="0"/>
    <x v="0"/>
    <x v="0"/>
    <x v="0"/>
  </r>
  <r>
    <x v="1"/>
    <x v="1"/>
    <x v="0"/>
    <x v="1"/>
    <x v="1"/>
  </r>
  <r>
    <x v="2"/>
    <x v="2"/>
    <x v="1"/>
    <x v="1"/>
    <x v="2"/>
  </r>
  <r>
    <x v="3"/>
    <x v="3"/>
    <x v="1"/>
    <x v="0"/>
    <x v="3"/>
  </r>
  <r>
    <x v="4"/>
    <x v="4"/>
    <x v="1"/>
    <x v="2"/>
    <x v="4"/>
  </r>
  <r>
    <x v="1"/>
    <x v="1"/>
    <x v="1"/>
    <x v="1"/>
    <x v="2"/>
  </r>
  <r>
    <x v="5"/>
    <x v="5"/>
    <x v="0"/>
    <x v="3"/>
    <x v="5"/>
  </r>
  <r>
    <x v="4"/>
    <x v="4"/>
    <x v="1"/>
    <x v="2"/>
    <x v="4"/>
  </r>
  <r>
    <x v="1"/>
    <x v="1"/>
    <x v="1"/>
    <x v="1"/>
    <x v="2"/>
  </r>
  <r>
    <x v="6"/>
    <x v="6"/>
    <x v="1"/>
    <x v="4"/>
    <x v="6"/>
  </r>
  <r>
    <x v="7"/>
    <x v="7"/>
    <x v="1"/>
    <x v="5"/>
    <x v="7"/>
  </r>
  <r>
    <x v="6"/>
    <x v="6"/>
    <x v="1"/>
    <x v="4"/>
    <x v="6"/>
  </r>
  <r>
    <x v="6"/>
    <x v="6"/>
    <x v="1"/>
    <x v="4"/>
    <x v="6"/>
  </r>
  <r>
    <x v="8"/>
    <x v="8"/>
    <x v="2"/>
    <x v="6"/>
    <x v="8"/>
  </r>
  <r>
    <x v="9"/>
    <x v="9"/>
    <x v="0"/>
    <x v="7"/>
    <x v="9"/>
  </r>
  <r>
    <x v="10"/>
    <x v="10"/>
    <x v="1"/>
    <x v="8"/>
    <x v="10"/>
  </r>
  <r>
    <x v="10"/>
    <x v="11"/>
    <x v="1"/>
    <x v="8"/>
    <x v="10"/>
  </r>
  <r>
    <x v="11"/>
    <x v="12"/>
    <x v="0"/>
    <x v="9"/>
    <x v="11"/>
  </r>
  <r>
    <x v="3"/>
    <x v="3"/>
    <x v="0"/>
    <x v="0"/>
    <x v="0"/>
  </r>
  <r>
    <x v="1"/>
    <x v="1"/>
    <x v="0"/>
    <x v="1"/>
    <x v="1"/>
  </r>
  <r>
    <x v="2"/>
    <x v="2"/>
    <x v="1"/>
    <x v="1"/>
    <x v="2"/>
  </r>
  <r>
    <x v="0"/>
    <x v="0"/>
    <x v="1"/>
    <x v="0"/>
    <x v="3"/>
  </r>
  <r>
    <x v="1"/>
    <x v="1"/>
    <x v="1"/>
    <x v="1"/>
    <x v="2"/>
  </r>
  <r>
    <x v="12"/>
    <x v="13"/>
    <x v="1"/>
    <x v="10"/>
    <x v="12"/>
  </r>
  <r>
    <x v="13"/>
    <x v="14"/>
    <x v="1"/>
    <x v="11"/>
    <x v="13"/>
  </r>
  <r>
    <x v="12"/>
    <x v="13"/>
    <x v="3"/>
    <x v="10"/>
    <x v="14"/>
  </r>
  <r>
    <x v="7"/>
    <x v="7"/>
    <x v="1"/>
    <x v="5"/>
    <x v="7"/>
  </r>
  <r>
    <x v="7"/>
    <x v="7"/>
    <x v="1"/>
    <x v="5"/>
    <x v="7"/>
  </r>
  <r>
    <x v="14"/>
    <x v="15"/>
    <x v="1"/>
    <x v="12"/>
    <x v="15"/>
  </r>
  <r>
    <x v="5"/>
    <x v="5"/>
    <x v="1"/>
    <x v="8"/>
    <x v="10"/>
  </r>
  <r>
    <x v="15"/>
    <x v="16"/>
    <x v="1"/>
    <x v="8"/>
    <x v="10"/>
  </r>
  <r>
    <x v="16"/>
    <x v="17"/>
    <x v="1"/>
    <x v="10"/>
    <x v="12"/>
  </r>
  <r>
    <x v="17"/>
    <x v="18"/>
    <x v="1"/>
    <x v="13"/>
    <x v="16"/>
  </r>
  <r>
    <x v="18"/>
    <x v="19"/>
    <x v="1"/>
    <x v="3"/>
    <x v="17"/>
  </r>
  <r>
    <x v="14"/>
    <x v="15"/>
    <x v="0"/>
    <x v="12"/>
    <x v="18"/>
  </r>
  <r>
    <x v="15"/>
    <x v="16"/>
    <x v="0"/>
    <x v="13"/>
    <x v="19"/>
  </r>
  <r>
    <x v="19"/>
    <x v="20"/>
    <x v="0"/>
    <x v="14"/>
    <x v="20"/>
  </r>
  <r>
    <x v="20"/>
    <x v="21"/>
    <x v="0"/>
    <x v="15"/>
    <x v="21"/>
  </r>
  <r>
    <x v="7"/>
    <x v="7"/>
    <x v="1"/>
    <x v="5"/>
    <x v="7"/>
  </r>
  <r>
    <x v="21"/>
    <x v="22"/>
    <x v="3"/>
    <x v="16"/>
    <x v="22"/>
  </r>
  <r>
    <x v="16"/>
    <x v="17"/>
    <x v="0"/>
    <x v="10"/>
    <x v="23"/>
  </r>
  <r>
    <x v="22"/>
    <x v="23"/>
    <x v="4"/>
    <x v="17"/>
    <x v="24"/>
  </r>
  <r>
    <x v="23"/>
    <x v="24"/>
    <x v="5"/>
    <x v="18"/>
    <x v="21"/>
  </r>
  <r>
    <x v="24"/>
    <x v="25"/>
    <x v="5"/>
    <x v="18"/>
    <x v="21"/>
  </r>
  <r>
    <x v="25"/>
    <x v="26"/>
    <x v="1"/>
    <x v="19"/>
    <x v="25"/>
  </r>
  <r>
    <x v="4"/>
    <x v="4"/>
    <x v="6"/>
    <x v="2"/>
    <x v="26"/>
  </r>
  <r>
    <x v="1"/>
    <x v="1"/>
    <x v="6"/>
    <x v="1"/>
    <x v="27"/>
  </r>
  <r>
    <x v="26"/>
    <x v="27"/>
    <x v="3"/>
    <x v="20"/>
    <x v="28"/>
  </r>
  <r>
    <x v="27"/>
    <x v="27"/>
    <x v="3"/>
    <x v="20"/>
    <x v="28"/>
  </r>
  <r>
    <x v="15"/>
    <x v="16"/>
    <x v="1"/>
    <x v="8"/>
    <x v="10"/>
  </r>
  <r>
    <x v="25"/>
    <x v="26"/>
    <x v="1"/>
    <x v="19"/>
    <x v="25"/>
  </r>
  <r>
    <x v="28"/>
    <x v="28"/>
    <x v="7"/>
    <x v="21"/>
    <x v="29"/>
  </r>
  <r>
    <x v="29"/>
    <x v="29"/>
    <x v="0"/>
    <x v="22"/>
    <x v="30"/>
  </r>
  <r>
    <x v="3"/>
    <x v="3"/>
    <x v="1"/>
    <x v="0"/>
    <x v="3"/>
  </r>
  <r>
    <x v="4"/>
    <x v="4"/>
    <x v="1"/>
    <x v="2"/>
    <x v="4"/>
  </r>
  <r>
    <x v="1"/>
    <x v="1"/>
    <x v="1"/>
    <x v="1"/>
    <x v="2"/>
  </r>
  <r>
    <x v="30"/>
    <x v="30"/>
    <x v="0"/>
    <x v="23"/>
    <x v="31"/>
  </r>
  <r>
    <x v="15"/>
    <x v="16"/>
    <x v="0"/>
    <x v="8"/>
    <x v="10"/>
  </r>
  <r>
    <x v="31"/>
    <x v="31"/>
    <x v="0"/>
    <x v="8"/>
    <x v="10"/>
  </r>
  <r>
    <x v="19"/>
    <x v="20"/>
    <x v="0"/>
    <x v="8"/>
    <x v="10"/>
  </r>
  <r>
    <x v="5"/>
    <x v="5"/>
    <x v="0"/>
    <x v="8"/>
    <x v="10"/>
  </r>
  <r>
    <x v="32"/>
    <x v="32"/>
    <x v="0"/>
    <x v="3"/>
    <x v="5"/>
  </r>
  <r>
    <x v="8"/>
    <x v="8"/>
    <x v="8"/>
    <x v="24"/>
    <x v="32"/>
  </r>
  <r>
    <x v="33"/>
    <x v="33"/>
    <x v="9"/>
    <x v="25"/>
    <x v="33"/>
  </r>
  <r>
    <x v="34"/>
    <x v="34"/>
    <x v="9"/>
    <x v="26"/>
    <x v="34"/>
  </r>
  <r>
    <x v="12"/>
    <x v="13"/>
    <x v="8"/>
    <x v="27"/>
    <x v="35"/>
  </r>
  <r>
    <x v="35"/>
    <x v="35"/>
    <x v="10"/>
    <x v="8"/>
    <x v="10"/>
  </r>
  <r>
    <x v="25"/>
    <x v="26"/>
    <x v="1"/>
    <x v="28"/>
    <x v="36"/>
  </r>
  <r>
    <x v="36"/>
    <x v="36"/>
    <x v="6"/>
    <x v="29"/>
    <x v="37"/>
  </r>
  <r>
    <x v="37"/>
    <x v="37"/>
    <x v="11"/>
    <x v="8"/>
    <x v="10"/>
  </r>
  <r>
    <x v="38"/>
    <x v="38"/>
    <x v="6"/>
    <x v="8"/>
    <x v="10"/>
  </r>
  <r>
    <x v="9"/>
    <x v="9"/>
    <x v="6"/>
    <x v="7"/>
    <x v="38"/>
  </r>
  <r>
    <x v="25"/>
    <x v="26"/>
    <x v="1"/>
    <x v="30"/>
    <x v="39"/>
  </r>
  <r>
    <x v="39"/>
    <x v="39"/>
    <x v="0"/>
    <x v="31"/>
    <x v="40"/>
  </r>
  <r>
    <x v="40"/>
    <x v="40"/>
    <x v="0"/>
    <x v="8"/>
    <x v="10"/>
  </r>
  <r>
    <x v="41"/>
    <x v="41"/>
    <x v="4"/>
    <x v="8"/>
    <x v="10"/>
  </r>
  <r>
    <x v="25"/>
    <x v="26"/>
    <x v="1"/>
    <x v="32"/>
    <x v="41"/>
  </r>
  <r>
    <x v="1"/>
    <x v="1"/>
    <x v="2"/>
    <x v="33"/>
    <x v="42"/>
  </r>
  <r>
    <x v="4"/>
    <x v="4"/>
    <x v="12"/>
    <x v="34"/>
    <x v="43"/>
  </r>
  <r>
    <x v="35"/>
    <x v="35"/>
    <x v="13"/>
    <x v="8"/>
    <x v="10"/>
  </r>
  <r>
    <x v="25"/>
    <x v="26"/>
    <x v="1"/>
    <x v="35"/>
    <x v="44"/>
  </r>
  <r>
    <x v="42"/>
    <x v="42"/>
    <x v="1"/>
    <x v="8"/>
    <x v="10"/>
  </r>
  <r>
    <x v="43"/>
    <x v="43"/>
    <x v="1"/>
    <x v="8"/>
    <x v="10"/>
  </r>
  <r>
    <x v="8"/>
    <x v="8"/>
    <x v="1"/>
    <x v="36"/>
    <x v="45"/>
  </r>
  <r>
    <x v="33"/>
    <x v="33"/>
    <x v="0"/>
    <x v="37"/>
    <x v="46"/>
  </r>
  <r>
    <x v="34"/>
    <x v="34"/>
    <x v="0"/>
    <x v="38"/>
    <x v="47"/>
  </r>
  <r>
    <x v="12"/>
    <x v="13"/>
    <x v="0"/>
    <x v="39"/>
    <x v="48"/>
  </r>
  <r>
    <x v="1"/>
    <x v="1"/>
    <x v="1"/>
    <x v="1"/>
    <x v="2"/>
  </r>
  <r>
    <x v="6"/>
    <x v="6"/>
    <x v="1"/>
    <x v="4"/>
    <x v="6"/>
  </r>
  <r>
    <x v="6"/>
    <x v="6"/>
    <x v="1"/>
    <x v="4"/>
    <x v="6"/>
  </r>
  <r>
    <x v="44"/>
    <x v="44"/>
    <x v="1"/>
    <x v="40"/>
    <x v="49"/>
  </r>
  <r>
    <x v="45"/>
    <x v="45"/>
    <x v="0"/>
    <x v="41"/>
    <x v="50"/>
  </r>
  <r>
    <x v="46"/>
    <x v="46"/>
    <x v="7"/>
    <x v="42"/>
    <x v="51"/>
  </r>
  <r>
    <x v="47"/>
    <x v="47"/>
    <x v="7"/>
    <x v="8"/>
    <x v="10"/>
  </r>
  <r>
    <x v="48"/>
    <x v="48"/>
    <x v="7"/>
    <x v="8"/>
    <x v="10"/>
  </r>
  <r>
    <x v="49"/>
    <x v="49"/>
    <x v="7"/>
    <x v="8"/>
    <x v="10"/>
  </r>
  <r>
    <x v="25"/>
    <x v="26"/>
    <x v="1"/>
    <x v="43"/>
    <x v="52"/>
  </r>
  <r>
    <x v="50"/>
    <x v="50"/>
    <x v="1"/>
    <x v="8"/>
    <x v="10"/>
  </r>
  <r>
    <x v="6"/>
    <x v="6"/>
    <x v="1"/>
    <x v="44"/>
    <x v="53"/>
  </r>
  <r>
    <x v="25"/>
    <x v="26"/>
    <x v="1"/>
    <x v="45"/>
    <x v="54"/>
  </r>
  <r>
    <x v="50"/>
    <x v="51"/>
    <x v="1"/>
    <x v="8"/>
    <x v="10"/>
  </r>
  <r>
    <x v="51"/>
    <x v="52"/>
    <x v="1"/>
    <x v="8"/>
    <x v="10"/>
  </r>
  <r>
    <x v="52"/>
    <x v="52"/>
    <x v="1"/>
    <x v="8"/>
    <x v="10"/>
  </r>
  <r>
    <x v="53"/>
    <x v="53"/>
    <x v="1"/>
    <x v="8"/>
    <x v="10"/>
  </r>
  <r>
    <x v="54"/>
    <x v="54"/>
    <x v="3"/>
    <x v="27"/>
    <x v="55"/>
  </r>
  <r>
    <x v="15"/>
    <x v="16"/>
    <x v="3"/>
    <x v="46"/>
    <x v="56"/>
  </r>
  <r>
    <x v="25"/>
    <x v="26"/>
    <x v="1"/>
    <x v="47"/>
    <x v="57"/>
  </r>
  <r>
    <x v="7"/>
    <x v="7"/>
    <x v="1"/>
    <x v="5"/>
    <x v="7"/>
  </r>
  <r>
    <x v="29"/>
    <x v="29"/>
    <x v="1"/>
    <x v="22"/>
    <x v="58"/>
  </r>
  <r>
    <x v="7"/>
    <x v="7"/>
    <x v="0"/>
    <x v="5"/>
    <x v="59"/>
  </r>
  <r>
    <x v="0"/>
    <x v="0"/>
    <x v="1"/>
    <x v="0"/>
    <x v="3"/>
  </r>
  <r>
    <x v="1"/>
    <x v="1"/>
    <x v="1"/>
    <x v="1"/>
    <x v="2"/>
  </r>
  <r>
    <x v="7"/>
    <x v="7"/>
    <x v="1"/>
    <x v="5"/>
    <x v="7"/>
  </r>
  <r>
    <x v="50"/>
    <x v="55"/>
    <x v="1"/>
    <x v="48"/>
    <x v="60"/>
  </r>
  <r>
    <x v="55"/>
    <x v="56"/>
    <x v="14"/>
    <x v="8"/>
    <x v="10"/>
  </r>
  <r>
    <x v="56"/>
    <x v="57"/>
    <x v="6"/>
    <x v="8"/>
    <x v="10"/>
  </r>
  <r>
    <x v="41"/>
    <x v="41"/>
    <x v="0"/>
    <x v="8"/>
    <x v="10"/>
  </r>
  <r>
    <x v="57"/>
    <x v="58"/>
    <x v="6"/>
    <x v="8"/>
    <x v="10"/>
  </r>
  <r>
    <x v="58"/>
    <x v="59"/>
    <x v="6"/>
    <x v="8"/>
    <x v="10"/>
  </r>
  <r>
    <x v="59"/>
    <x v="60"/>
    <x v="7"/>
    <x v="8"/>
    <x v="10"/>
  </r>
  <r>
    <x v="25"/>
    <x v="26"/>
    <x v="1"/>
    <x v="49"/>
    <x v="61"/>
  </r>
  <r>
    <x v="50"/>
    <x v="61"/>
    <x v="1"/>
    <x v="8"/>
    <x v="10"/>
  </r>
  <r>
    <x v="60"/>
    <x v="62"/>
    <x v="0"/>
    <x v="8"/>
    <x v="10"/>
  </r>
  <r>
    <x v="61"/>
    <x v="63"/>
    <x v="0"/>
    <x v="8"/>
    <x v="10"/>
  </r>
  <r>
    <x v="62"/>
    <x v="64"/>
    <x v="6"/>
    <x v="8"/>
    <x v="10"/>
  </r>
  <r>
    <x v="50"/>
    <x v="65"/>
    <x v="1"/>
    <x v="8"/>
    <x v="10"/>
  </r>
  <r>
    <x v="63"/>
    <x v="66"/>
    <x v="8"/>
    <x v="8"/>
    <x v="10"/>
  </r>
  <r>
    <x v="41"/>
    <x v="41"/>
    <x v="0"/>
    <x v="8"/>
    <x v="10"/>
  </r>
  <r>
    <x v="4"/>
    <x v="4"/>
    <x v="6"/>
    <x v="2"/>
    <x v="26"/>
  </r>
  <r>
    <x v="1"/>
    <x v="1"/>
    <x v="6"/>
    <x v="1"/>
    <x v="27"/>
  </r>
  <r>
    <x v="6"/>
    <x v="6"/>
    <x v="1"/>
    <x v="4"/>
    <x v="6"/>
  </r>
  <r>
    <x v="7"/>
    <x v="7"/>
    <x v="1"/>
    <x v="5"/>
    <x v="7"/>
  </r>
  <r>
    <x v="64"/>
    <x v="7"/>
    <x v="1"/>
    <x v="50"/>
    <x v="62"/>
  </r>
  <r>
    <x v="1"/>
    <x v="1"/>
    <x v="1"/>
    <x v="1"/>
    <x v="2"/>
  </r>
  <r>
    <x v="21"/>
    <x v="22"/>
    <x v="4"/>
    <x v="8"/>
    <x v="10"/>
  </r>
  <r>
    <x v="13"/>
    <x v="14"/>
    <x v="0"/>
    <x v="11"/>
    <x v="63"/>
  </r>
  <r>
    <x v="19"/>
    <x v="20"/>
    <x v="0"/>
    <x v="14"/>
    <x v="20"/>
  </r>
  <r>
    <x v="65"/>
    <x v="67"/>
    <x v="15"/>
    <x v="51"/>
    <x v="64"/>
  </r>
  <r>
    <x v="66"/>
    <x v="68"/>
    <x v="0"/>
    <x v="52"/>
    <x v="65"/>
  </r>
  <r>
    <x v="67"/>
    <x v="15"/>
    <x v="0"/>
    <x v="53"/>
    <x v="66"/>
  </r>
  <r>
    <x v="68"/>
    <x v="69"/>
    <x v="0"/>
    <x v="54"/>
    <x v="25"/>
  </r>
  <r>
    <x v="1"/>
    <x v="1"/>
    <x v="0"/>
    <x v="8"/>
    <x v="10"/>
  </r>
  <r>
    <x v="2"/>
    <x v="2"/>
    <x v="0"/>
    <x v="8"/>
    <x v="10"/>
  </r>
  <r>
    <x v="20"/>
    <x v="21"/>
    <x v="0"/>
    <x v="55"/>
    <x v="67"/>
  </r>
  <r>
    <x v="18"/>
    <x v="19"/>
    <x v="0"/>
    <x v="56"/>
    <x v="68"/>
  </r>
  <r>
    <x v="8"/>
    <x v="8"/>
    <x v="8"/>
    <x v="24"/>
    <x v="32"/>
  </r>
  <r>
    <x v="69"/>
    <x v="70"/>
    <x v="12"/>
    <x v="57"/>
    <x v="69"/>
  </r>
  <r>
    <x v="12"/>
    <x v="13"/>
    <x v="8"/>
    <x v="27"/>
    <x v="35"/>
  </r>
  <r>
    <x v="31"/>
    <x v="31"/>
    <x v="0"/>
    <x v="27"/>
    <x v="70"/>
  </r>
  <r>
    <x v="70"/>
    <x v="71"/>
    <x v="6"/>
    <x v="8"/>
    <x v="10"/>
  </r>
  <r>
    <x v="21"/>
    <x v="22"/>
    <x v="6"/>
    <x v="8"/>
    <x v="10"/>
  </r>
  <r>
    <x v="49"/>
    <x v="49"/>
    <x v="6"/>
    <x v="58"/>
    <x v="29"/>
  </r>
  <r>
    <x v="71"/>
    <x v="72"/>
    <x v="7"/>
    <x v="59"/>
    <x v="71"/>
  </r>
  <r>
    <x v="25"/>
    <x v="26"/>
    <x v="1"/>
    <x v="60"/>
    <x v="72"/>
  </r>
  <r>
    <x v="46"/>
    <x v="46"/>
    <x v="3"/>
    <x v="61"/>
    <x v="73"/>
  </r>
  <r>
    <x v="49"/>
    <x v="49"/>
    <x v="3"/>
    <x v="8"/>
    <x v="10"/>
  </r>
  <r>
    <x v="72"/>
    <x v="73"/>
    <x v="4"/>
    <x v="62"/>
    <x v="74"/>
  </r>
  <r>
    <x v="73"/>
    <x v="74"/>
    <x v="4"/>
    <x v="8"/>
    <x v="10"/>
  </r>
  <r>
    <x v="74"/>
    <x v="75"/>
    <x v="4"/>
    <x v="8"/>
    <x v="10"/>
  </r>
  <r>
    <x v="4"/>
    <x v="4"/>
    <x v="0"/>
    <x v="2"/>
    <x v="75"/>
  </r>
  <r>
    <x v="1"/>
    <x v="1"/>
    <x v="0"/>
    <x v="1"/>
    <x v="1"/>
  </r>
  <r>
    <x v="3"/>
    <x v="3"/>
    <x v="1"/>
    <x v="0"/>
    <x v="3"/>
  </r>
  <r>
    <x v="16"/>
    <x v="17"/>
    <x v="0"/>
    <x v="10"/>
    <x v="23"/>
  </r>
  <r>
    <x v="31"/>
    <x v="31"/>
    <x v="6"/>
    <x v="10"/>
    <x v="76"/>
  </r>
  <r>
    <x v="17"/>
    <x v="18"/>
    <x v="0"/>
    <x v="13"/>
    <x v="19"/>
  </r>
  <r>
    <x v="6"/>
    <x v="6"/>
    <x v="1"/>
    <x v="4"/>
    <x v="6"/>
  </r>
  <r>
    <x v="44"/>
    <x v="44"/>
    <x v="1"/>
    <x v="40"/>
    <x v="49"/>
  </r>
  <r>
    <x v="75"/>
    <x v="76"/>
    <x v="1"/>
    <x v="8"/>
    <x v="10"/>
  </r>
  <r>
    <x v="1"/>
    <x v="1"/>
    <x v="4"/>
    <x v="8"/>
    <x v="10"/>
  </r>
  <r>
    <x v="30"/>
    <x v="30"/>
    <x v="6"/>
    <x v="23"/>
    <x v="77"/>
  </r>
  <r>
    <x v="15"/>
    <x v="16"/>
    <x v="6"/>
    <x v="8"/>
    <x v="10"/>
  </r>
  <r>
    <x v="31"/>
    <x v="31"/>
    <x v="6"/>
    <x v="8"/>
    <x v="10"/>
  </r>
  <r>
    <x v="19"/>
    <x v="20"/>
    <x v="6"/>
    <x v="8"/>
    <x v="10"/>
  </r>
  <r>
    <x v="5"/>
    <x v="5"/>
    <x v="6"/>
    <x v="8"/>
    <x v="10"/>
  </r>
  <r>
    <x v="6"/>
    <x v="6"/>
    <x v="1"/>
    <x v="4"/>
    <x v="6"/>
  </r>
  <r>
    <x v="76"/>
    <x v="77"/>
    <x v="7"/>
    <x v="11"/>
    <x v="78"/>
  </r>
  <r>
    <x v="0"/>
    <x v="0"/>
    <x v="1"/>
    <x v="0"/>
    <x v="3"/>
  </r>
  <r>
    <x v="1"/>
    <x v="1"/>
    <x v="1"/>
    <x v="1"/>
    <x v="2"/>
  </r>
  <r>
    <x v="3"/>
    <x v="3"/>
    <x v="0"/>
    <x v="0"/>
    <x v="0"/>
  </r>
  <r>
    <x v="44"/>
    <x v="44"/>
    <x v="1"/>
    <x v="63"/>
    <x v="79"/>
  </r>
  <r>
    <x v="15"/>
    <x v="16"/>
    <x v="6"/>
    <x v="46"/>
    <x v="80"/>
  </r>
  <r>
    <x v="5"/>
    <x v="5"/>
    <x v="1"/>
    <x v="64"/>
    <x v="81"/>
  </r>
  <r>
    <x v="77"/>
    <x v="26"/>
    <x v="1"/>
    <x v="65"/>
    <x v="82"/>
  </r>
  <r>
    <x v="35"/>
    <x v="35"/>
    <x v="16"/>
    <x v="66"/>
    <x v="83"/>
  </r>
  <r>
    <x v="25"/>
    <x v="26"/>
    <x v="1"/>
    <x v="67"/>
    <x v="84"/>
  </r>
  <r>
    <x v="4"/>
    <x v="4"/>
    <x v="0"/>
    <x v="2"/>
    <x v="75"/>
  </r>
  <r>
    <x v="1"/>
    <x v="1"/>
    <x v="0"/>
    <x v="1"/>
    <x v="1"/>
  </r>
  <r>
    <x v="7"/>
    <x v="7"/>
    <x v="1"/>
    <x v="5"/>
    <x v="7"/>
  </r>
  <r>
    <x v="50"/>
    <x v="78"/>
    <x v="17"/>
    <x v="19"/>
    <x v="85"/>
  </r>
  <r>
    <x v="78"/>
    <x v="79"/>
    <x v="18"/>
    <x v="8"/>
    <x v="10"/>
  </r>
  <r>
    <x v="79"/>
    <x v="80"/>
    <x v="2"/>
    <x v="8"/>
    <x v="10"/>
  </r>
  <r>
    <x v="80"/>
    <x v="81"/>
    <x v="2"/>
    <x v="8"/>
    <x v="10"/>
  </r>
  <r>
    <x v="81"/>
    <x v="82"/>
    <x v="19"/>
    <x v="8"/>
    <x v="10"/>
  </r>
  <r>
    <x v="82"/>
    <x v="83"/>
    <x v="0"/>
    <x v="8"/>
    <x v="10"/>
  </r>
  <r>
    <x v="25"/>
    <x v="26"/>
    <x v="1"/>
    <x v="68"/>
    <x v="86"/>
  </r>
  <r>
    <x v="50"/>
    <x v="84"/>
    <x v="1"/>
    <x v="48"/>
    <x v="60"/>
  </r>
  <r>
    <x v="4"/>
    <x v="4"/>
    <x v="1"/>
    <x v="2"/>
    <x v="4"/>
  </r>
  <r>
    <x v="25"/>
    <x v="26"/>
    <x v="1"/>
    <x v="68"/>
    <x v="86"/>
  </r>
  <r>
    <x v="3"/>
    <x v="3"/>
    <x v="1"/>
    <x v="0"/>
    <x v="3"/>
  </r>
  <r>
    <x v="3"/>
    <x v="3"/>
    <x v="1"/>
    <x v="0"/>
    <x v="3"/>
  </r>
  <r>
    <x v="83"/>
    <x v="85"/>
    <x v="0"/>
    <x v="46"/>
    <x v="87"/>
  </r>
  <r>
    <x v="25"/>
    <x v="26"/>
    <x v="1"/>
    <x v="69"/>
    <x v="88"/>
  </r>
  <r>
    <x v="84"/>
    <x v="86"/>
    <x v="6"/>
    <x v="70"/>
    <x v="89"/>
  </r>
  <r>
    <x v="49"/>
    <x v="49"/>
    <x v="6"/>
    <x v="58"/>
    <x v="29"/>
  </r>
  <r>
    <x v="6"/>
    <x v="6"/>
    <x v="1"/>
    <x v="44"/>
    <x v="53"/>
  </r>
  <r>
    <x v="85"/>
    <x v="87"/>
    <x v="15"/>
    <x v="71"/>
    <x v="90"/>
  </r>
  <r>
    <x v="86"/>
    <x v="88"/>
    <x v="15"/>
    <x v="72"/>
    <x v="91"/>
  </r>
  <r>
    <x v="25"/>
    <x v="26"/>
    <x v="1"/>
    <x v="73"/>
    <x v="92"/>
  </r>
  <r>
    <x v="44"/>
    <x v="44"/>
    <x v="1"/>
    <x v="74"/>
    <x v="93"/>
  </r>
  <r>
    <x v="25"/>
    <x v="26"/>
    <x v="1"/>
    <x v="14"/>
    <x v="94"/>
  </r>
  <r>
    <x v="30"/>
    <x v="30"/>
    <x v="0"/>
    <x v="23"/>
    <x v="31"/>
  </r>
  <r>
    <x v="15"/>
    <x v="16"/>
    <x v="0"/>
    <x v="8"/>
    <x v="10"/>
  </r>
  <r>
    <x v="31"/>
    <x v="31"/>
    <x v="0"/>
    <x v="8"/>
    <x v="10"/>
  </r>
  <r>
    <x v="19"/>
    <x v="20"/>
    <x v="0"/>
    <x v="8"/>
    <x v="10"/>
  </r>
  <r>
    <x v="68"/>
    <x v="89"/>
    <x v="0"/>
    <x v="48"/>
    <x v="83"/>
  </r>
  <r>
    <x v="83"/>
    <x v="85"/>
    <x v="0"/>
    <x v="13"/>
    <x v="19"/>
  </r>
  <r>
    <x v="6"/>
    <x v="6"/>
    <x v="1"/>
    <x v="4"/>
    <x v="6"/>
  </r>
  <r>
    <x v="2"/>
    <x v="2"/>
    <x v="4"/>
    <x v="1"/>
    <x v="95"/>
  </r>
  <r>
    <x v="87"/>
    <x v="90"/>
    <x v="1"/>
    <x v="75"/>
    <x v="96"/>
  </r>
  <r>
    <x v="50"/>
    <x v="91"/>
    <x v="1"/>
    <x v="8"/>
    <x v="10"/>
  </r>
  <r>
    <x v="88"/>
    <x v="92"/>
    <x v="1"/>
    <x v="8"/>
    <x v="10"/>
  </r>
  <r>
    <x v="1"/>
    <x v="1"/>
    <x v="1"/>
    <x v="1"/>
    <x v="2"/>
  </r>
  <r>
    <x v="4"/>
    <x v="4"/>
    <x v="0"/>
    <x v="2"/>
    <x v="75"/>
  </r>
  <r>
    <x v="1"/>
    <x v="1"/>
    <x v="0"/>
    <x v="1"/>
    <x v="1"/>
  </r>
  <r>
    <x v="14"/>
    <x v="15"/>
    <x v="6"/>
    <x v="12"/>
    <x v="97"/>
  </r>
  <r>
    <x v="5"/>
    <x v="5"/>
    <x v="6"/>
    <x v="8"/>
    <x v="10"/>
  </r>
  <r>
    <x v="15"/>
    <x v="16"/>
    <x v="6"/>
    <x v="8"/>
    <x v="10"/>
  </r>
  <r>
    <x v="19"/>
    <x v="20"/>
    <x v="6"/>
    <x v="8"/>
    <x v="10"/>
  </r>
  <r>
    <x v="44"/>
    <x v="44"/>
    <x v="1"/>
    <x v="40"/>
    <x v="49"/>
  </r>
  <r>
    <x v="4"/>
    <x v="4"/>
    <x v="0"/>
    <x v="2"/>
    <x v="75"/>
  </r>
  <r>
    <x v="1"/>
    <x v="1"/>
    <x v="0"/>
    <x v="1"/>
    <x v="1"/>
  </r>
  <r>
    <x v="1"/>
    <x v="1"/>
    <x v="1"/>
    <x v="1"/>
    <x v="2"/>
  </r>
  <r>
    <x v="39"/>
    <x v="39"/>
    <x v="6"/>
    <x v="31"/>
    <x v="98"/>
  </r>
  <r>
    <x v="89"/>
    <x v="93"/>
    <x v="6"/>
    <x v="46"/>
    <x v="80"/>
  </r>
  <r>
    <x v="9"/>
    <x v="9"/>
    <x v="0"/>
    <x v="7"/>
    <x v="9"/>
  </r>
  <r>
    <x v="90"/>
    <x v="94"/>
    <x v="0"/>
    <x v="62"/>
    <x v="99"/>
  </r>
  <r>
    <x v="7"/>
    <x v="7"/>
    <x v="1"/>
    <x v="76"/>
    <x v="100"/>
  </r>
  <r>
    <x v="25"/>
    <x v="26"/>
    <x v="1"/>
    <x v="77"/>
    <x v="90"/>
  </r>
  <r>
    <x v="7"/>
    <x v="7"/>
    <x v="0"/>
    <x v="76"/>
    <x v="101"/>
  </r>
  <r>
    <x v="25"/>
    <x v="26"/>
    <x v="1"/>
    <x v="78"/>
    <x v="102"/>
  </r>
  <r>
    <x v="44"/>
    <x v="44"/>
    <x v="1"/>
    <x v="40"/>
    <x v="49"/>
  </r>
  <r>
    <x v="87"/>
    <x v="90"/>
    <x v="1"/>
    <x v="75"/>
    <x v="96"/>
  </r>
  <r>
    <x v="64"/>
    <x v="7"/>
    <x v="1"/>
    <x v="79"/>
    <x v="103"/>
  </r>
  <r>
    <x v="14"/>
    <x v="15"/>
    <x v="6"/>
    <x v="12"/>
    <x v="97"/>
  </r>
  <r>
    <x v="15"/>
    <x v="16"/>
    <x v="6"/>
    <x v="8"/>
    <x v="10"/>
  </r>
  <r>
    <x v="19"/>
    <x v="20"/>
    <x v="6"/>
    <x v="8"/>
    <x v="10"/>
  </r>
  <r>
    <x v="91"/>
    <x v="95"/>
    <x v="0"/>
    <x v="80"/>
    <x v="104"/>
  </r>
  <r>
    <x v="92"/>
    <x v="96"/>
    <x v="0"/>
    <x v="81"/>
    <x v="105"/>
  </r>
  <r>
    <x v="6"/>
    <x v="6"/>
    <x v="1"/>
    <x v="4"/>
    <x v="6"/>
  </r>
  <r>
    <x v="14"/>
    <x v="15"/>
    <x v="0"/>
    <x v="12"/>
    <x v="18"/>
  </r>
  <r>
    <x v="15"/>
    <x v="16"/>
    <x v="0"/>
    <x v="8"/>
    <x v="10"/>
  </r>
  <r>
    <x v="2"/>
    <x v="2"/>
    <x v="0"/>
    <x v="8"/>
    <x v="10"/>
  </r>
  <r>
    <x v="1"/>
    <x v="1"/>
    <x v="0"/>
    <x v="8"/>
    <x v="10"/>
  </r>
  <r>
    <x v="20"/>
    <x v="21"/>
    <x v="1"/>
    <x v="15"/>
    <x v="83"/>
  </r>
  <r>
    <x v="91"/>
    <x v="97"/>
    <x v="1"/>
    <x v="82"/>
    <x v="106"/>
  </r>
  <r>
    <x v="93"/>
    <x v="98"/>
    <x v="0"/>
    <x v="81"/>
    <x v="105"/>
  </r>
  <r>
    <x v="94"/>
    <x v="99"/>
    <x v="6"/>
    <x v="15"/>
    <x v="107"/>
  </r>
  <r>
    <x v="95"/>
    <x v="100"/>
    <x v="4"/>
    <x v="51"/>
    <x v="21"/>
  </r>
  <r>
    <x v="25"/>
    <x v="26"/>
    <x v="1"/>
    <x v="83"/>
    <x v="108"/>
  </r>
  <r>
    <x v="64"/>
    <x v="7"/>
    <x v="1"/>
    <x v="4"/>
    <x v="6"/>
  </r>
  <r>
    <x v="3"/>
    <x v="3"/>
    <x v="1"/>
    <x v="0"/>
    <x v="3"/>
  </r>
  <r>
    <x v="17"/>
    <x v="18"/>
    <x v="6"/>
    <x v="13"/>
    <x v="109"/>
  </r>
  <r>
    <x v="64"/>
    <x v="7"/>
    <x v="1"/>
    <x v="4"/>
    <x v="6"/>
  </r>
  <r>
    <x v="96"/>
    <x v="101"/>
    <x v="7"/>
    <x v="84"/>
    <x v="110"/>
  </r>
  <r>
    <x v="7"/>
    <x v="7"/>
    <x v="0"/>
    <x v="5"/>
    <x v="59"/>
  </r>
  <r>
    <x v="3"/>
    <x v="3"/>
    <x v="0"/>
    <x v="0"/>
    <x v="0"/>
  </r>
  <r>
    <x v="97"/>
    <x v="102"/>
    <x v="1"/>
    <x v="85"/>
    <x v="111"/>
  </r>
  <r>
    <x v="16"/>
    <x v="17"/>
    <x v="0"/>
    <x v="10"/>
    <x v="23"/>
  </r>
  <r>
    <x v="8"/>
    <x v="8"/>
    <x v="0"/>
    <x v="6"/>
    <x v="112"/>
  </r>
  <r>
    <x v="0"/>
    <x v="0"/>
    <x v="0"/>
    <x v="0"/>
    <x v="0"/>
  </r>
  <r>
    <x v="1"/>
    <x v="1"/>
    <x v="0"/>
    <x v="1"/>
    <x v="1"/>
  </r>
  <r>
    <x v="10"/>
    <x v="11"/>
    <x v="1"/>
    <x v="8"/>
    <x v="10"/>
  </r>
  <r>
    <x v="3"/>
    <x v="3"/>
    <x v="0"/>
    <x v="0"/>
    <x v="0"/>
  </r>
  <r>
    <x v="6"/>
    <x v="6"/>
    <x v="1"/>
    <x v="4"/>
    <x v="6"/>
  </r>
  <r>
    <x v="96"/>
    <x v="101"/>
    <x v="1"/>
    <x v="84"/>
    <x v="113"/>
  </r>
  <r>
    <x v="70"/>
    <x v="71"/>
    <x v="3"/>
    <x v="16"/>
    <x v="22"/>
  </r>
  <r>
    <x v="15"/>
    <x v="16"/>
    <x v="7"/>
    <x v="13"/>
    <x v="80"/>
  </r>
  <r>
    <x v="70"/>
    <x v="71"/>
    <x v="8"/>
    <x v="16"/>
    <x v="114"/>
  </r>
  <r>
    <x v="31"/>
    <x v="31"/>
    <x v="0"/>
    <x v="10"/>
    <x v="23"/>
  </r>
  <r>
    <x v="13"/>
    <x v="14"/>
    <x v="1"/>
    <x v="11"/>
    <x v="13"/>
  </r>
  <r>
    <x v="14"/>
    <x v="15"/>
    <x v="1"/>
    <x v="12"/>
    <x v="15"/>
  </r>
  <r>
    <x v="5"/>
    <x v="5"/>
    <x v="1"/>
    <x v="8"/>
    <x v="10"/>
  </r>
  <r>
    <x v="15"/>
    <x v="16"/>
    <x v="1"/>
    <x v="8"/>
    <x v="10"/>
  </r>
  <r>
    <x v="19"/>
    <x v="20"/>
    <x v="1"/>
    <x v="8"/>
    <x v="10"/>
  </r>
  <r>
    <x v="6"/>
    <x v="6"/>
    <x v="7"/>
    <x v="4"/>
    <x v="115"/>
  </r>
  <r>
    <x v="5"/>
    <x v="5"/>
    <x v="1"/>
    <x v="3"/>
    <x v="17"/>
  </r>
  <r>
    <x v="7"/>
    <x v="7"/>
    <x v="0"/>
    <x v="5"/>
    <x v="59"/>
  </r>
  <r>
    <x v="91"/>
    <x v="97"/>
    <x v="0"/>
    <x v="62"/>
    <x v="99"/>
  </r>
  <r>
    <x v="98"/>
    <x v="103"/>
    <x v="0"/>
    <x v="8"/>
    <x v="10"/>
  </r>
  <r>
    <x v="50"/>
    <x v="104"/>
    <x v="1"/>
    <x v="15"/>
    <x v="83"/>
  </r>
  <r>
    <x v="25"/>
    <x v="26"/>
    <x v="1"/>
    <x v="86"/>
    <x v="116"/>
  </r>
  <r>
    <x v="50"/>
    <x v="105"/>
    <x v="1"/>
    <x v="8"/>
    <x v="10"/>
  </r>
  <r>
    <x v="74"/>
    <x v="75"/>
    <x v="1"/>
    <x v="8"/>
    <x v="10"/>
  </r>
  <r>
    <x v="21"/>
    <x v="22"/>
    <x v="0"/>
    <x v="8"/>
    <x v="10"/>
  </r>
  <r>
    <x v="99"/>
    <x v="106"/>
    <x v="1"/>
    <x v="8"/>
    <x v="10"/>
  </r>
  <r>
    <x v="100"/>
    <x v="107"/>
    <x v="0"/>
    <x v="8"/>
    <x v="10"/>
  </r>
  <r>
    <x v="101"/>
    <x v="108"/>
    <x v="0"/>
    <x v="8"/>
    <x v="10"/>
  </r>
  <r>
    <x v="102"/>
    <x v="109"/>
    <x v="0"/>
    <x v="8"/>
    <x v="10"/>
  </r>
  <r>
    <x v="98"/>
    <x v="103"/>
    <x v="1"/>
    <x v="8"/>
    <x v="10"/>
  </r>
  <r>
    <x v="50"/>
    <x v="110"/>
    <x v="1"/>
    <x v="8"/>
    <x v="10"/>
  </r>
  <r>
    <x v="63"/>
    <x v="66"/>
    <x v="6"/>
    <x v="8"/>
    <x v="10"/>
  </r>
  <r>
    <x v="103"/>
    <x v="111"/>
    <x v="6"/>
    <x v="8"/>
    <x v="10"/>
  </r>
  <r>
    <x v="5"/>
    <x v="5"/>
    <x v="1"/>
    <x v="3"/>
    <x v="17"/>
  </r>
</pivotCacheRecords>
</file>

<file path=xl/pivotCache/pivotCacheRecords29.xml><?xml version="1.0" encoding="utf-8"?>
<pivotCacheRecords xmlns:r="http://schemas.openxmlformats.org/officeDocument/2006/relationships" xmlns="http://schemas.openxmlformats.org/spreadsheetml/2006/main" count="333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1"/>
    <x v="2"/>
    <x v="1"/>
    <x v="1"/>
    <x v="1"/>
    <x v="1"/>
    <x v="1"/>
  </r>
  <r>
    <x v="3"/>
    <x v="2"/>
    <x v="3"/>
    <x v="2"/>
    <x v="2"/>
    <x v="1"/>
    <x v="2"/>
    <x v="2"/>
  </r>
  <r>
    <x v="4"/>
    <x v="3"/>
    <x v="4"/>
    <x v="3"/>
    <x v="3"/>
    <x v="2"/>
    <x v="3"/>
    <x v="3"/>
  </r>
  <r>
    <x v="4"/>
    <x v="3"/>
    <x v="4"/>
    <x v="4"/>
    <x v="4"/>
    <x v="2"/>
    <x v="0"/>
    <x v="0"/>
  </r>
  <r>
    <x v="4"/>
    <x v="3"/>
    <x v="4"/>
    <x v="5"/>
    <x v="5"/>
    <x v="2"/>
    <x v="4"/>
    <x v="4"/>
  </r>
  <r>
    <x v="4"/>
    <x v="3"/>
    <x v="4"/>
    <x v="6"/>
    <x v="6"/>
    <x v="3"/>
    <x v="5"/>
    <x v="5"/>
  </r>
  <r>
    <x v="4"/>
    <x v="3"/>
    <x v="4"/>
    <x v="4"/>
    <x v="4"/>
    <x v="3"/>
    <x v="0"/>
    <x v="0"/>
  </r>
  <r>
    <x v="4"/>
    <x v="3"/>
    <x v="4"/>
    <x v="5"/>
    <x v="5"/>
    <x v="4"/>
    <x v="4"/>
    <x v="6"/>
  </r>
  <r>
    <x v="4"/>
    <x v="3"/>
    <x v="4"/>
    <x v="7"/>
    <x v="7"/>
    <x v="5"/>
    <x v="0"/>
    <x v="0"/>
  </r>
  <r>
    <x v="4"/>
    <x v="3"/>
    <x v="4"/>
    <x v="8"/>
    <x v="8"/>
    <x v="5"/>
    <x v="0"/>
    <x v="0"/>
  </r>
  <r>
    <x v="4"/>
    <x v="3"/>
    <x v="4"/>
    <x v="9"/>
    <x v="9"/>
    <x v="6"/>
    <x v="6"/>
    <x v="7"/>
  </r>
  <r>
    <x v="4"/>
    <x v="3"/>
    <x v="4"/>
    <x v="10"/>
    <x v="10"/>
    <x v="7"/>
    <x v="7"/>
    <x v="8"/>
  </r>
  <r>
    <x v="4"/>
    <x v="3"/>
    <x v="4"/>
    <x v="11"/>
    <x v="11"/>
    <x v="3"/>
    <x v="8"/>
    <x v="9"/>
  </r>
  <r>
    <x v="4"/>
    <x v="3"/>
    <x v="4"/>
    <x v="12"/>
    <x v="12"/>
    <x v="3"/>
    <x v="9"/>
    <x v="10"/>
  </r>
  <r>
    <x v="4"/>
    <x v="3"/>
    <x v="4"/>
    <x v="13"/>
    <x v="13"/>
    <x v="1"/>
    <x v="10"/>
    <x v="11"/>
  </r>
  <r>
    <x v="4"/>
    <x v="3"/>
    <x v="4"/>
    <x v="14"/>
    <x v="14"/>
    <x v="1"/>
    <x v="11"/>
    <x v="12"/>
  </r>
  <r>
    <x v="5"/>
    <x v="4"/>
    <x v="4"/>
    <x v="15"/>
    <x v="15"/>
    <x v="8"/>
    <x v="12"/>
    <x v="13"/>
  </r>
  <r>
    <x v="6"/>
    <x v="5"/>
    <x v="4"/>
    <x v="16"/>
    <x v="16"/>
    <x v="2"/>
    <x v="13"/>
    <x v="14"/>
  </r>
  <r>
    <x v="6"/>
    <x v="5"/>
    <x v="4"/>
    <x v="17"/>
    <x v="17"/>
    <x v="2"/>
    <x v="13"/>
    <x v="14"/>
  </r>
  <r>
    <x v="6"/>
    <x v="5"/>
    <x v="4"/>
    <x v="18"/>
    <x v="18"/>
    <x v="1"/>
    <x v="14"/>
    <x v="15"/>
  </r>
  <r>
    <x v="6"/>
    <x v="5"/>
    <x v="4"/>
    <x v="19"/>
    <x v="19"/>
    <x v="3"/>
    <x v="15"/>
    <x v="16"/>
  </r>
  <r>
    <x v="6"/>
    <x v="5"/>
    <x v="4"/>
    <x v="20"/>
    <x v="20"/>
    <x v="3"/>
    <x v="16"/>
    <x v="17"/>
  </r>
  <r>
    <x v="6"/>
    <x v="5"/>
    <x v="4"/>
    <x v="21"/>
    <x v="21"/>
    <x v="9"/>
    <x v="17"/>
    <x v="18"/>
  </r>
  <r>
    <x v="6"/>
    <x v="5"/>
    <x v="4"/>
    <x v="22"/>
    <x v="22"/>
    <x v="9"/>
    <x v="18"/>
    <x v="19"/>
  </r>
  <r>
    <x v="6"/>
    <x v="5"/>
    <x v="4"/>
    <x v="23"/>
    <x v="23"/>
    <x v="9"/>
    <x v="0"/>
    <x v="0"/>
  </r>
  <r>
    <x v="6"/>
    <x v="5"/>
    <x v="4"/>
    <x v="24"/>
    <x v="24"/>
    <x v="9"/>
    <x v="0"/>
    <x v="0"/>
  </r>
  <r>
    <x v="6"/>
    <x v="5"/>
    <x v="4"/>
    <x v="25"/>
    <x v="14"/>
    <x v="1"/>
    <x v="19"/>
    <x v="20"/>
  </r>
  <r>
    <x v="7"/>
    <x v="6"/>
    <x v="5"/>
    <x v="11"/>
    <x v="11"/>
    <x v="1"/>
    <x v="20"/>
    <x v="21"/>
  </r>
  <r>
    <x v="8"/>
    <x v="7"/>
    <x v="6"/>
    <x v="26"/>
    <x v="25"/>
    <x v="1"/>
    <x v="21"/>
    <x v="22"/>
  </r>
  <r>
    <x v="8"/>
    <x v="7"/>
    <x v="6"/>
    <x v="7"/>
    <x v="7"/>
    <x v="1"/>
    <x v="22"/>
    <x v="23"/>
  </r>
  <r>
    <x v="9"/>
    <x v="8"/>
    <x v="7"/>
    <x v="12"/>
    <x v="12"/>
    <x v="6"/>
    <x v="23"/>
    <x v="24"/>
  </r>
  <r>
    <x v="9"/>
    <x v="8"/>
    <x v="7"/>
    <x v="7"/>
    <x v="7"/>
    <x v="6"/>
    <x v="22"/>
    <x v="25"/>
  </r>
  <r>
    <x v="9"/>
    <x v="8"/>
    <x v="7"/>
    <x v="27"/>
    <x v="26"/>
    <x v="1"/>
    <x v="24"/>
    <x v="26"/>
  </r>
  <r>
    <x v="9"/>
    <x v="8"/>
    <x v="7"/>
    <x v="28"/>
    <x v="27"/>
    <x v="2"/>
    <x v="25"/>
    <x v="27"/>
  </r>
  <r>
    <x v="9"/>
    <x v="8"/>
    <x v="7"/>
    <x v="29"/>
    <x v="28"/>
    <x v="2"/>
    <x v="15"/>
    <x v="28"/>
  </r>
  <r>
    <x v="9"/>
    <x v="8"/>
    <x v="7"/>
    <x v="29"/>
    <x v="28"/>
    <x v="10"/>
    <x v="15"/>
    <x v="29"/>
  </r>
  <r>
    <x v="9"/>
    <x v="8"/>
    <x v="7"/>
    <x v="26"/>
    <x v="25"/>
    <x v="6"/>
    <x v="21"/>
    <x v="30"/>
  </r>
  <r>
    <x v="9"/>
    <x v="8"/>
    <x v="7"/>
    <x v="7"/>
    <x v="7"/>
    <x v="6"/>
    <x v="22"/>
    <x v="25"/>
  </r>
  <r>
    <x v="9"/>
    <x v="8"/>
    <x v="7"/>
    <x v="19"/>
    <x v="19"/>
    <x v="2"/>
    <x v="15"/>
    <x v="28"/>
  </r>
  <r>
    <x v="9"/>
    <x v="8"/>
    <x v="7"/>
    <x v="20"/>
    <x v="20"/>
    <x v="2"/>
    <x v="16"/>
    <x v="31"/>
  </r>
  <r>
    <x v="9"/>
    <x v="8"/>
    <x v="7"/>
    <x v="30"/>
    <x v="29"/>
    <x v="6"/>
    <x v="15"/>
    <x v="32"/>
  </r>
  <r>
    <x v="9"/>
    <x v="8"/>
    <x v="7"/>
    <x v="31"/>
    <x v="30"/>
    <x v="11"/>
    <x v="26"/>
    <x v="33"/>
  </r>
  <r>
    <x v="10"/>
    <x v="9"/>
    <x v="8"/>
    <x v="8"/>
    <x v="8"/>
    <x v="1"/>
    <x v="22"/>
    <x v="23"/>
  </r>
  <r>
    <x v="10"/>
    <x v="9"/>
    <x v="8"/>
    <x v="12"/>
    <x v="12"/>
    <x v="1"/>
    <x v="23"/>
    <x v="34"/>
  </r>
  <r>
    <x v="10"/>
    <x v="9"/>
    <x v="8"/>
    <x v="7"/>
    <x v="7"/>
    <x v="1"/>
    <x v="22"/>
    <x v="23"/>
  </r>
  <r>
    <x v="10"/>
    <x v="9"/>
    <x v="8"/>
    <x v="26"/>
    <x v="25"/>
    <x v="1"/>
    <x v="21"/>
    <x v="22"/>
  </r>
  <r>
    <x v="10"/>
    <x v="9"/>
    <x v="8"/>
    <x v="7"/>
    <x v="7"/>
    <x v="1"/>
    <x v="22"/>
    <x v="23"/>
  </r>
  <r>
    <x v="11"/>
    <x v="4"/>
    <x v="9"/>
    <x v="32"/>
    <x v="31"/>
    <x v="6"/>
    <x v="0"/>
    <x v="0"/>
  </r>
  <r>
    <x v="11"/>
    <x v="4"/>
    <x v="9"/>
    <x v="33"/>
    <x v="32"/>
    <x v="6"/>
    <x v="27"/>
    <x v="35"/>
  </r>
  <r>
    <x v="11"/>
    <x v="4"/>
    <x v="9"/>
    <x v="34"/>
    <x v="33"/>
    <x v="11"/>
    <x v="0"/>
    <x v="0"/>
  </r>
  <r>
    <x v="11"/>
    <x v="4"/>
    <x v="9"/>
    <x v="35"/>
    <x v="34"/>
    <x v="7"/>
    <x v="28"/>
    <x v="36"/>
  </r>
  <r>
    <x v="11"/>
    <x v="4"/>
    <x v="9"/>
    <x v="14"/>
    <x v="14"/>
    <x v="1"/>
    <x v="29"/>
    <x v="37"/>
  </r>
  <r>
    <x v="12"/>
    <x v="4"/>
    <x v="9"/>
    <x v="36"/>
    <x v="35"/>
    <x v="9"/>
    <x v="30"/>
    <x v="38"/>
  </r>
  <r>
    <x v="12"/>
    <x v="4"/>
    <x v="9"/>
    <x v="14"/>
    <x v="14"/>
    <x v="1"/>
    <x v="31"/>
    <x v="39"/>
  </r>
  <r>
    <x v="13"/>
    <x v="10"/>
    <x v="10"/>
    <x v="8"/>
    <x v="8"/>
    <x v="9"/>
    <x v="22"/>
    <x v="40"/>
  </r>
  <r>
    <x v="13"/>
    <x v="10"/>
    <x v="10"/>
    <x v="37"/>
    <x v="36"/>
    <x v="1"/>
    <x v="21"/>
    <x v="22"/>
  </r>
  <r>
    <x v="13"/>
    <x v="10"/>
    <x v="10"/>
    <x v="38"/>
    <x v="37"/>
    <x v="1"/>
    <x v="32"/>
    <x v="41"/>
  </r>
  <r>
    <x v="13"/>
    <x v="10"/>
    <x v="10"/>
    <x v="28"/>
    <x v="27"/>
    <x v="7"/>
    <x v="25"/>
    <x v="42"/>
  </r>
  <r>
    <x v="14"/>
    <x v="11"/>
    <x v="11"/>
    <x v="4"/>
    <x v="4"/>
    <x v="1"/>
    <x v="16"/>
    <x v="43"/>
  </r>
  <r>
    <x v="15"/>
    <x v="12"/>
    <x v="12"/>
    <x v="39"/>
    <x v="38"/>
    <x v="6"/>
    <x v="33"/>
    <x v="44"/>
  </r>
  <r>
    <x v="15"/>
    <x v="12"/>
    <x v="12"/>
    <x v="4"/>
    <x v="4"/>
    <x v="6"/>
    <x v="0"/>
    <x v="0"/>
  </r>
  <r>
    <x v="15"/>
    <x v="12"/>
    <x v="12"/>
    <x v="30"/>
    <x v="29"/>
    <x v="6"/>
    <x v="0"/>
    <x v="0"/>
  </r>
  <r>
    <x v="15"/>
    <x v="12"/>
    <x v="12"/>
    <x v="40"/>
    <x v="39"/>
    <x v="6"/>
    <x v="0"/>
    <x v="0"/>
  </r>
  <r>
    <x v="15"/>
    <x v="12"/>
    <x v="12"/>
    <x v="16"/>
    <x v="16"/>
    <x v="6"/>
    <x v="0"/>
    <x v="0"/>
  </r>
  <r>
    <x v="15"/>
    <x v="12"/>
    <x v="12"/>
    <x v="4"/>
    <x v="4"/>
    <x v="1"/>
    <x v="16"/>
    <x v="43"/>
  </r>
  <r>
    <x v="15"/>
    <x v="12"/>
    <x v="12"/>
    <x v="41"/>
    <x v="40"/>
    <x v="6"/>
    <x v="34"/>
    <x v="45"/>
  </r>
  <r>
    <x v="15"/>
    <x v="12"/>
    <x v="12"/>
    <x v="42"/>
    <x v="41"/>
    <x v="6"/>
    <x v="14"/>
    <x v="46"/>
  </r>
  <r>
    <x v="16"/>
    <x v="13"/>
    <x v="13"/>
    <x v="9"/>
    <x v="9"/>
    <x v="1"/>
    <x v="35"/>
    <x v="47"/>
  </r>
  <r>
    <x v="17"/>
    <x v="14"/>
    <x v="14"/>
    <x v="43"/>
    <x v="42"/>
    <x v="1"/>
    <x v="15"/>
    <x v="48"/>
  </r>
  <r>
    <x v="17"/>
    <x v="14"/>
    <x v="14"/>
    <x v="14"/>
    <x v="14"/>
    <x v="1"/>
    <x v="36"/>
    <x v="49"/>
  </r>
  <r>
    <x v="18"/>
    <x v="15"/>
    <x v="14"/>
    <x v="44"/>
    <x v="43"/>
    <x v="6"/>
    <x v="37"/>
    <x v="50"/>
  </r>
  <r>
    <x v="18"/>
    <x v="15"/>
    <x v="14"/>
    <x v="14"/>
    <x v="14"/>
    <x v="1"/>
    <x v="38"/>
    <x v="51"/>
  </r>
  <r>
    <x v="19"/>
    <x v="16"/>
    <x v="15"/>
    <x v="4"/>
    <x v="4"/>
    <x v="1"/>
    <x v="16"/>
    <x v="43"/>
  </r>
  <r>
    <x v="20"/>
    <x v="17"/>
    <x v="16"/>
    <x v="4"/>
    <x v="4"/>
    <x v="2"/>
    <x v="16"/>
    <x v="31"/>
  </r>
  <r>
    <x v="21"/>
    <x v="18"/>
    <x v="17"/>
    <x v="45"/>
    <x v="9"/>
    <x v="1"/>
    <x v="20"/>
    <x v="21"/>
  </r>
  <r>
    <x v="22"/>
    <x v="19"/>
    <x v="18"/>
    <x v="11"/>
    <x v="11"/>
    <x v="1"/>
    <x v="20"/>
    <x v="21"/>
  </r>
  <r>
    <x v="22"/>
    <x v="19"/>
    <x v="18"/>
    <x v="46"/>
    <x v="44"/>
    <x v="6"/>
    <x v="39"/>
    <x v="52"/>
  </r>
  <r>
    <x v="22"/>
    <x v="19"/>
    <x v="18"/>
    <x v="47"/>
    <x v="45"/>
    <x v="6"/>
    <x v="0"/>
    <x v="0"/>
  </r>
  <r>
    <x v="22"/>
    <x v="19"/>
    <x v="18"/>
    <x v="16"/>
    <x v="16"/>
    <x v="6"/>
    <x v="13"/>
    <x v="53"/>
  </r>
  <r>
    <x v="23"/>
    <x v="20"/>
    <x v="19"/>
    <x v="9"/>
    <x v="9"/>
    <x v="1"/>
    <x v="40"/>
    <x v="54"/>
  </r>
  <r>
    <x v="24"/>
    <x v="21"/>
    <x v="20"/>
    <x v="48"/>
    <x v="46"/>
    <x v="1"/>
    <x v="41"/>
    <x v="55"/>
  </r>
  <r>
    <x v="25"/>
    <x v="22"/>
    <x v="21"/>
    <x v="12"/>
    <x v="12"/>
    <x v="1"/>
    <x v="23"/>
    <x v="34"/>
  </r>
  <r>
    <x v="25"/>
    <x v="22"/>
    <x v="21"/>
    <x v="7"/>
    <x v="7"/>
    <x v="1"/>
    <x v="22"/>
    <x v="23"/>
  </r>
  <r>
    <x v="26"/>
    <x v="23"/>
    <x v="22"/>
    <x v="8"/>
    <x v="8"/>
    <x v="6"/>
    <x v="22"/>
    <x v="25"/>
  </r>
  <r>
    <x v="27"/>
    <x v="24"/>
    <x v="23"/>
    <x v="37"/>
    <x v="36"/>
    <x v="6"/>
    <x v="21"/>
    <x v="30"/>
  </r>
  <r>
    <x v="28"/>
    <x v="25"/>
    <x v="24"/>
    <x v="37"/>
    <x v="36"/>
    <x v="6"/>
    <x v="21"/>
    <x v="30"/>
  </r>
  <r>
    <x v="29"/>
    <x v="26"/>
    <x v="25"/>
    <x v="49"/>
    <x v="47"/>
    <x v="1"/>
    <x v="0"/>
    <x v="0"/>
  </r>
  <r>
    <x v="29"/>
    <x v="26"/>
    <x v="25"/>
    <x v="50"/>
    <x v="48"/>
    <x v="1"/>
    <x v="0"/>
    <x v="0"/>
  </r>
  <r>
    <x v="30"/>
    <x v="27"/>
    <x v="25"/>
    <x v="3"/>
    <x v="3"/>
    <x v="9"/>
    <x v="42"/>
    <x v="3"/>
  </r>
  <r>
    <x v="30"/>
    <x v="27"/>
    <x v="25"/>
    <x v="4"/>
    <x v="4"/>
    <x v="9"/>
    <x v="0"/>
    <x v="0"/>
  </r>
  <r>
    <x v="30"/>
    <x v="27"/>
    <x v="25"/>
    <x v="8"/>
    <x v="8"/>
    <x v="9"/>
    <x v="0"/>
    <x v="0"/>
  </r>
  <r>
    <x v="30"/>
    <x v="27"/>
    <x v="25"/>
    <x v="7"/>
    <x v="7"/>
    <x v="9"/>
    <x v="0"/>
    <x v="0"/>
  </r>
  <r>
    <x v="30"/>
    <x v="27"/>
    <x v="25"/>
    <x v="5"/>
    <x v="49"/>
    <x v="9"/>
    <x v="43"/>
    <x v="4"/>
  </r>
  <r>
    <x v="30"/>
    <x v="27"/>
    <x v="25"/>
    <x v="11"/>
    <x v="11"/>
    <x v="1"/>
    <x v="20"/>
    <x v="21"/>
  </r>
  <r>
    <x v="30"/>
    <x v="27"/>
    <x v="25"/>
    <x v="12"/>
    <x v="12"/>
    <x v="9"/>
    <x v="23"/>
    <x v="56"/>
  </r>
  <r>
    <x v="31"/>
    <x v="28"/>
    <x v="25"/>
    <x v="46"/>
    <x v="44"/>
    <x v="1"/>
    <x v="39"/>
    <x v="57"/>
  </r>
  <r>
    <x v="31"/>
    <x v="28"/>
    <x v="25"/>
    <x v="47"/>
    <x v="45"/>
    <x v="1"/>
    <x v="0"/>
    <x v="0"/>
  </r>
  <r>
    <x v="32"/>
    <x v="29"/>
    <x v="25"/>
    <x v="51"/>
    <x v="50"/>
    <x v="10"/>
    <x v="44"/>
    <x v="58"/>
  </r>
  <r>
    <x v="32"/>
    <x v="29"/>
    <x v="25"/>
    <x v="51"/>
    <x v="51"/>
    <x v="1"/>
    <x v="0"/>
    <x v="0"/>
  </r>
  <r>
    <x v="32"/>
    <x v="29"/>
    <x v="25"/>
    <x v="14"/>
    <x v="14"/>
    <x v="1"/>
    <x v="45"/>
    <x v="59"/>
  </r>
  <r>
    <x v="33"/>
    <x v="30"/>
    <x v="25"/>
    <x v="52"/>
    <x v="52"/>
    <x v="1"/>
    <x v="46"/>
    <x v="60"/>
  </r>
  <r>
    <x v="33"/>
    <x v="30"/>
    <x v="25"/>
    <x v="14"/>
    <x v="14"/>
    <x v="1"/>
    <x v="47"/>
    <x v="61"/>
  </r>
  <r>
    <x v="34"/>
    <x v="31"/>
    <x v="26"/>
    <x v="12"/>
    <x v="12"/>
    <x v="2"/>
    <x v="23"/>
    <x v="62"/>
  </r>
  <r>
    <x v="34"/>
    <x v="31"/>
    <x v="26"/>
    <x v="7"/>
    <x v="7"/>
    <x v="2"/>
    <x v="22"/>
    <x v="63"/>
  </r>
  <r>
    <x v="34"/>
    <x v="31"/>
    <x v="26"/>
    <x v="8"/>
    <x v="8"/>
    <x v="2"/>
    <x v="22"/>
    <x v="63"/>
  </r>
  <r>
    <x v="35"/>
    <x v="32"/>
    <x v="27"/>
    <x v="53"/>
    <x v="53"/>
    <x v="6"/>
    <x v="48"/>
    <x v="64"/>
  </r>
  <r>
    <x v="36"/>
    <x v="15"/>
    <x v="28"/>
    <x v="54"/>
    <x v="54"/>
    <x v="1"/>
    <x v="49"/>
    <x v="6"/>
  </r>
  <r>
    <x v="36"/>
    <x v="15"/>
    <x v="28"/>
    <x v="4"/>
    <x v="4"/>
    <x v="1"/>
    <x v="0"/>
    <x v="0"/>
  </r>
  <r>
    <x v="36"/>
    <x v="15"/>
    <x v="28"/>
    <x v="14"/>
    <x v="14"/>
    <x v="1"/>
    <x v="50"/>
    <x v="65"/>
  </r>
  <r>
    <x v="37"/>
    <x v="33"/>
    <x v="29"/>
    <x v="10"/>
    <x v="10"/>
    <x v="6"/>
    <x v="51"/>
    <x v="66"/>
  </r>
  <r>
    <x v="38"/>
    <x v="14"/>
    <x v="30"/>
    <x v="16"/>
    <x v="16"/>
    <x v="1"/>
    <x v="13"/>
    <x v="67"/>
  </r>
  <r>
    <x v="39"/>
    <x v="34"/>
    <x v="31"/>
    <x v="19"/>
    <x v="19"/>
    <x v="1"/>
    <x v="15"/>
    <x v="48"/>
  </r>
  <r>
    <x v="39"/>
    <x v="34"/>
    <x v="31"/>
    <x v="55"/>
    <x v="55"/>
    <x v="1"/>
    <x v="52"/>
    <x v="68"/>
  </r>
  <r>
    <x v="40"/>
    <x v="35"/>
    <x v="32"/>
    <x v="55"/>
    <x v="55"/>
    <x v="1"/>
    <x v="52"/>
    <x v="68"/>
  </r>
  <r>
    <x v="41"/>
    <x v="36"/>
    <x v="33"/>
    <x v="55"/>
    <x v="55"/>
    <x v="1"/>
    <x v="52"/>
    <x v="68"/>
  </r>
  <r>
    <x v="42"/>
    <x v="37"/>
    <x v="34"/>
    <x v="9"/>
    <x v="9"/>
    <x v="1"/>
    <x v="40"/>
    <x v="54"/>
  </r>
  <r>
    <x v="43"/>
    <x v="38"/>
    <x v="35"/>
    <x v="54"/>
    <x v="56"/>
    <x v="10"/>
    <x v="49"/>
    <x v="69"/>
  </r>
  <r>
    <x v="43"/>
    <x v="38"/>
    <x v="35"/>
    <x v="56"/>
    <x v="57"/>
    <x v="6"/>
    <x v="53"/>
    <x v="70"/>
  </r>
  <r>
    <x v="43"/>
    <x v="38"/>
    <x v="35"/>
    <x v="56"/>
    <x v="58"/>
    <x v="2"/>
    <x v="53"/>
    <x v="71"/>
  </r>
  <r>
    <x v="43"/>
    <x v="38"/>
    <x v="35"/>
    <x v="4"/>
    <x v="4"/>
    <x v="12"/>
    <x v="0"/>
    <x v="0"/>
  </r>
  <r>
    <x v="43"/>
    <x v="38"/>
    <x v="35"/>
    <x v="25"/>
    <x v="14"/>
    <x v="1"/>
    <x v="54"/>
    <x v="50"/>
  </r>
  <r>
    <x v="44"/>
    <x v="39"/>
    <x v="35"/>
    <x v="57"/>
    <x v="59"/>
    <x v="3"/>
    <x v="55"/>
    <x v="4"/>
  </r>
  <r>
    <x v="44"/>
    <x v="39"/>
    <x v="35"/>
    <x v="25"/>
    <x v="14"/>
    <x v="1"/>
    <x v="56"/>
    <x v="72"/>
  </r>
  <r>
    <x v="45"/>
    <x v="40"/>
    <x v="35"/>
    <x v="49"/>
    <x v="60"/>
    <x v="1"/>
    <x v="0"/>
    <x v="0"/>
  </r>
  <r>
    <x v="45"/>
    <x v="40"/>
    <x v="35"/>
    <x v="58"/>
    <x v="61"/>
    <x v="1"/>
    <x v="0"/>
    <x v="0"/>
  </r>
  <r>
    <x v="45"/>
    <x v="40"/>
    <x v="35"/>
    <x v="59"/>
    <x v="62"/>
    <x v="1"/>
    <x v="0"/>
    <x v="0"/>
  </r>
  <r>
    <x v="45"/>
    <x v="40"/>
    <x v="35"/>
    <x v="60"/>
    <x v="63"/>
    <x v="1"/>
    <x v="0"/>
    <x v="0"/>
  </r>
  <r>
    <x v="46"/>
    <x v="26"/>
    <x v="35"/>
    <x v="39"/>
    <x v="38"/>
    <x v="6"/>
    <x v="57"/>
    <x v="73"/>
  </r>
  <r>
    <x v="46"/>
    <x v="26"/>
    <x v="35"/>
    <x v="4"/>
    <x v="4"/>
    <x v="6"/>
    <x v="0"/>
    <x v="0"/>
  </r>
  <r>
    <x v="46"/>
    <x v="26"/>
    <x v="35"/>
    <x v="40"/>
    <x v="39"/>
    <x v="6"/>
    <x v="0"/>
    <x v="0"/>
  </r>
  <r>
    <x v="46"/>
    <x v="26"/>
    <x v="35"/>
    <x v="30"/>
    <x v="29"/>
    <x v="6"/>
    <x v="0"/>
    <x v="0"/>
  </r>
  <r>
    <x v="46"/>
    <x v="26"/>
    <x v="35"/>
    <x v="16"/>
    <x v="16"/>
    <x v="6"/>
    <x v="0"/>
    <x v="0"/>
  </r>
  <r>
    <x v="46"/>
    <x v="26"/>
    <x v="35"/>
    <x v="11"/>
    <x v="11"/>
    <x v="1"/>
    <x v="8"/>
    <x v="74"/>
  </r>
  <r>
    <x v="46"/>
    <x v="26"/>
    <x v="35"/>
    <x v="61"/>
    <x v="64"/>
    <x v="1"/>
    <x v="58"/>
    <x v="75"/>
  </r>
  <r>
    <x v="46"/>
    <x v="26"/>
    <x v="35"/>
    <x v="14"/>
    <x v="14"/>
    <x v="1"/>
    <x v="59"/>
    <x v="76"/>
  </r>
  <r>
    <x v="47"/>
    <x v="41"/>
    <x v="36"/>
    <x v="55"/>
    <x v="55"/>
    <x v="1"/>
    <x v="52"/>
    <x v="68"/>
  </r>
  <r>
    <x v="47"/>
    <x v="41"/>
    <x v="36"/>
    <x v="40"/>
    <x v="39"/>
    <x v="1"/>
    <x v="38"/>
    <x v="51"/>
  </r>
  <r>
    <x v="48"/>
    <x v="42"/>
    <x v="37"/>
    <x v="37"/>
    <x v="36"/>
    <x v="6"/>
    <x v="21"/>
    <x v="30"/>
  </r>
  <r>
    <x v="49"/>
    <x v="43"/>
    <x v="38"/>
    <x v="48"/>
    <x v="46"/>
    <x v="1"/>
    <x v="41"/>
    <x v="55"/>
  </r>
  <r>
    <x v="50"/>
    <x v="44"/>
    <x v="39"/>
    <x v="11"/>
    <x v="11"/>
    <x v="1"/>
    <x v="20"/>
    <x v="21"/>
  </r>
  <r>
    <x v="51"/>
    <x v="45"/>
    <x v="40"/>
    <x v="37"/>
    <x v="36"/>
    <x v="9"/>
    <x v="21"/>
    <x v="77"/>
  </r>
  <r>
    <x v="52"/>
    <x v="46"/>
    <x v="41"/>
    <x v="62"/>
    <x v="65"/>
    <x v="1"/>
    <x v="60"/>
    <x v="78"/>
  </r>
  <r>
    <x v="53"/>
    <x v="47"/>
    <x v="42"/>
    <x v="3"/>
    <x v="3"/>
    <x v="6"/>
    <x v="61"/>
    <x v="79"/>
  </r>
  <r>
    <x v="53"/>
    <x v="47"/>
    <x v="42"/>
    <x v="4"/>
    <x v="4"/>
    <x v="6"/>
    <x v="0"/>
    <x v="0"/>
  </r>
  <r>
    <x v="53"/>
    <x v="47"/>
    <x v="42"/>
    <x v="8"/>
    <x v="8"/>
    <x v="6"/>
    <x v="0"/>
    <x v="0"/>
  </r>
  <r>
    <x v="53"/>
    <x v="47"/>
    <x v="42"/>
    <x v="7"/>
    <x v="7"/>
    <x v="6"/>
    <x v="0"/>
    <x v="0"/>
  </r>
  <r>
    <x v="53"/>
    <x v="47"/>
    <x v="42"/>
    <x v="63"/>
    <x v="66"/>
    <x v="1"/>
    <x v="0"/>
    <x v="0"/>
  </r>
  <r>
    <x v="53"/>
    <x v="47"/>
    <x v="42"/>
    <x v="64"/>
    <x v="67"/>
    <x v="1"/>
    <x v="0"/>
    <x v="0"/>
  </r>
  <r>
    <x v="54"/>
    <x v="48"/>
    <x v="42"/>
    <x v="49"/>
    <x v="68"/>
    <x v="1"/>
    <x v="43"/>
    <x v="80"/>
  </r>
  <r>
    <x v="54"/>
    <x v="48"/>
    <x v="42"/>
    <x v="52"/>
    <x v="52"/>
    <x v="1"/>
    <x v="0"/>
    <x v="0"/>
  </r>
  <r>
    <x v="54"/>
    <x v="48"/>
    <x v="42"/>
    <x v="14"/>
    <x v="14"/>
    <x v="1"/>
    <x v="62"/>
    <x v="81"/>
  </r>
  <r>
    <x v="55"/>
    <x v="49"/>
    <x v="43"/>
    <x v="11"/>
    <x v="11"/>
    <x v="1"/>
    <x v="20"/>
    <x v="21"/>
  </r>
  <r>
    <x v="56"/>
    <x v="50"/>
    <x v="44"/>
    <x v="8"/>
    <x v="8"/>
    <x v="6"/>
    <x v="22"/>
    <x v="25"/>
  </r>
  <r>
    <x v="57"/>
    <x v="51"/>
    <x v="45"/>
    <x v="10"/>
    <x v="10"/>
    <x v="2"/>
    <x v="7"/>
    <x v="82"/>
  </r>
  <r>
    <x v="57"/>
    <x v="51"/>
    <x v="45"/>
    <x v="14"/>
    <x v="14"/>
    <x v="1"/>
    <x v="63"/>
    <x v="83"/>
  </r>
  <r>
    <x v="58"/>
    <x v="52"/>
    <x v="45"/>
    <x v="65"/>
    <x v="69"/>
    <x v="3"/>
    <x v="64"/>
    <x v="84"/>
  </r>
  <r>
    <x v="58"/>
    <x v="52"/>
    <x v="45"/>
    <x v="66"/>
    <x v="70"/>
    <x v="9"/>
    <x v="0"/>
    <x v="0"/>
  </r>
  <r>
    <x v="58"/>
    <x v="52"/>
    <x v="45"/>
    <x v="31"/>
    <x v="30"/>
    <x v="11"/>
    <x v="0"/>
    <x v="0"/>
  </r>
  <r>
    <x v="58"/>
    <x v="52"/>
    <x v="45"/>
    <x v="4"/>
    <x v="4"/>
    <x v="6"/>
    <x v="65"/>
    <x v="85"/>
  </r>
  <r>
    <x v="58"/>
    <x v="52"/>
    <x v="45"/>
    <x v="25"/>
    <x v="14"/>
    <x v="1"/>
    <x v="18"/>
    <x v="86"/>
  </r>
  <r>
    <x v="59"/>
    <x v="53"/>
    <x v="46"/>
    <x v="4"/>
    <x v="4"/>
    <x v="1"/>
    <x v="16"/>
    <x v="43"/>
  </r>
  <r>
    <x v="60"/>
    <x v="54"/>
    <x v="47"/>
    <x v="45"/>
    <x v="9"/>
    <x v="1"/>
    <x v="20"/>
    <x v="21"/>
  </r>
  <r>
    <x v="61"/>
    <x v="55"/>
    <x v="48"/>
    <x v="3"/>
    <x v="3"/>
    <x v="1"/>
    <x v="42"/>
    <x v="87"/>
  </r>
  <r>
    <x v="61"/>
    <x v="55"/>
    <x v="48"/>
    <x v="18"/>
    <x v="18"/>
    <x v="1"/>
    <x v="66"/>
    <x v="88"/>
  </r>
  <r>
    <x v="61"/>
    <x v="55"/>
    <x v="48"/>
    <x v="4"/>
    <x v="4"/>
    <x v="1"/>
    <x v="0"/>
    <x v="0"/>
  </r>
  <r>
    <x v="61"/>
    <x v="55"/>
    <x v="48"/>
    <x v="40"/>
    <x v="39"/>
    <x v="1"/>
    <x v="0"/>
    <x v="0"/>
  </r>
  <r>
    <x v="61"/>
    <x v="55"/>
    <x v="48"/>
    <x v="3"/>
    <x v="3"/>
    <x v="1"/>
    <x v="42"/>
    <x v="87"/>
  </r>
  <r>
    <x v="61"/>
    <x v="55"/>
    <x v="48"/>
    <x v="36"/>
    <x v="35"/>
    <x v="1"/>
    <x v="67"/>
    <x v="89"/>
  </r>
  <r>
    <x v="61"/>
    <x v="55"/>
    <x v="48"/>
    <x v="4"/>
    <x v="4"/>
    <x v="1"/>
    <x v="0"/>
    <x v="0"/>
  </r>
  <r>
    <x v="61"/>
    <x v="55"/>
    <x v="48"/>
    <x v="40"/>
    <x v="39"/>
    <x v="1"/>
    <x v="0"/>
    <x v="0"/>
  </r>
  <r>
    <x v="61"/>
    <x v="55"/>
    <x v="48"/>
    <x v="11"/>
    <x v="11"/>
    <x v="1"/>
    <x v="20"/>
    <x v="21"/>
  </r>
  <r>
    <x v="62"/>
    <x v="56"/>
    <x v="49"/>
    <x v="9"/>
    <x v="9"/>
    <x v="1"/>
    <x v="40"/>
    <x v="54"/>
  </r>
  <r>
    <x v="63"/>
    <x v="57"/>
    <x v="50"/>
    <x v="9"/>
    <x v="9"/>
    <x v="1"/>
    <x v="40"/>
    <x v="54"/>
  </r>
  <r>
    <x v="64"/>
    <x v="58"/>
    <x v="51"/>
    <x v="37"/>
    <x v="36"/>
    <x v="6"/>
    <x v="21"/>
    <x v="30"/>
  </r>
  <r>
    <x v="65"/>
    <x v="59"/>
    <x v="52"/>
    <x v="11"/>
    <x v="11"/>
    <x v="1"/>
    <x v="20"/>
    <x v="21"/>
  </r>
  <r>
    <x v="66"/>
    <x v="60"/>
    <x v="53"/>
    <x v="11"/>
    <x v="11"/>
    <x v="1"/>
    <x v="20"/>
    <x v="21"/>
  </r>
  <r>
    <x v="67"/>
    <x v="61"/>
    <x v="54"/>
    <x v="7"/>
    <x v="7"/>
    <x v="1"/>
    <x v="22"/>
    <x v="23"/>
  </r>
  <r>
    <x v="67"/>
    <x v="61"/>
    <x v="54"/>
    <x v="67"/>
    <x v="71"/>
    <x v="1"/>
    <x v="68"/>
    <x v="90"/>
  </r>
  <r>
    <x v="68"/>
    <x v="62"/>
    <x v="55"/>
    <x v="4"/>
    <x v="4"/>
    <x v="2"/>
    <x v="16"/>
    <x v="31"/>
  </r>
  <r>
    <x v="69"/>
    <x v="63"/>
    <x v="56"/>
    <x v="27"/>
    <x v="26"/>
    <x v="1"/>
    <x v="24"/>
    <x v="26"/>
  </r>
  <r>
    <x v="69"/>
    <x v="63"/>
    <x v="56"/>
    <x v="68"/>
    <x v="72"/>
    <x v="1"/>
    <x v="69"/>
    <x v="91"/>
  </r>
  <r>
    <x v="70"/>
    <x v="64"/>
    <x v="57"/>
    <x v="37"/>
    <x v="36"/>
    <x v="1"/>
    <x v="21"/>
    <x v="22"/>
  </r>
  <r>
    <x v="70"/>
    <x v="64"/>
    <x v="57"/>
    <x v="48"/>
    <x v="46"/>
    <x v="1"/>
    <x v="41"/>
    <x v="55"/>
  </r>
  <r>
    <x v="71"/>
    <x v="65"/>
    <x v="58"/>
    <x v="1"/>
    <x v="1"/>
    <x v="1"/>
    <x v="1"/>
    <x v="1"/>
  </r>
  <r>
    <x v="72"/>
    <x v="66"/>
    <x v="59"/>
    <x v="69"/>
    <x v="73"/>
    <x v="3"/>
    <x v="21"/>
    <x v="92"/>
  </r>
  <r>
    <x v="73"/>
    <x v="67"/>
    <x v="60"/>
    <x v="11"/>
    <x v="11"/>
    <x v="1"/>
    <x v="20"/>
    <x v="21"/>
  </r>
  <r>
    <x v="74"/>
    <x v="68"/>
    <x v="61"/>
    <x v="39"/>
    <x v="38"/>
    <x v="6"/>
    <x v="33"/>
    <x v="44"/>
  </r>
  <r>
    <x v="74"/>
    <x v="68"/>
    <x v="61"/>
    <x v="4"/>
    <x v="4"/>
    <x v="6"/>
    <x v="0"/>
    <x v="0"/>
  </r>
  <r>
    <x v="74"/>
    <x v="68"/>
    <x v="61"/>
    <x v="30"/>
    <x v="29"/>
    <x v="6"/>
    <x v="0"/>
    <x v="0"/>
  </r>
  <r>
    <x v="74"/>
    <x v="68"/>
    <x v="61"/>
    <x v="40"/>
    <x v="39"/>
    <x v="6"/>
    <x v="0"/>
    <x v="0"/>
  </r>
  <r>
    <x v="74"/>
    <x v="68"/>
    <x v="61"/>
    <x v="5"/>
    <x v="5"/>
    <x v="6"/>
    <x v="43"/>
    <x v="88"/>
  </r>
  <r>
    <x v="75"/>
    <x v="34"/>
    <x v="62"/>
    <x v="11"/>
    <x v="11"/>
    <x v="1"/>
    <x v="20"/>
    <x v="21"/>
  </r>
  <r>
    <x v="76"/>
    <x v="69"/>
    <x v="63"/>
    <x v="11"/>
    <x v="11"/>
    <x v="1"/>
    <x v="20"/>
    <x v="21"/>
  </r>
  <r>
    <x v="76"/>
    <x v="69"/>
    <x v="63"/>
    <x v="3"/>
    <x v="3"/>
    <x v="2"/>
    <x v="42"/>
    <x v="93"/>
  </r>
  <r>
    <x v="76"/>
    <x v="69"/>
    <x v="63"/>
    <x v="16"/>
    <x v="16"/>
    <x v="2"/>
    <x v="0"/>
    <x v="0"/>
  </r>
  <r>
    <x v="76"/>
    <x v="69"/>
    <x v="63"/>
    <x v="4"/>
    <x v="4"/>
    <x v="2"/>
    <x v="0"/>
    <x v="0"/>
  </r>
  <r>
    <x v="76"/>
    <x v="69"/>
    <x v="63"/>
    <x v="40"/>
    <x v="39"/>
    <x v="2"/>
    <x v="0"/>
    <x v="0"/>
  </r>
  <r>
    <x v="77"/>
    <x v="70"/>
    <x v="64"/>
    <x v="48"/>
    <x v="46"/>
    <x v="1"/>
    <x v="41"/>
    <x v="55"/>
  </r>
  <r>
    <x v="78"/>
    <x v="71"/>
    <x v="65"/>
    <x v="10"/>
    <x v="10"/>
    <x v="1"/>
    <x v="51"/>
    <x v="94"/>
  </r>
  <r>
    <x v="79"/>
    <x v="72"/>
    <x v="66"/>
    <x v="19"/>
    <x v="19"/>
    <x v="6"/>
    <x v="15"/>
    <x v="32"/>
  </r>
  <r>
    <x v="79"/>
    <x v="72"/>
    <x v="66"/>
    <x v="40"/>
    <x v="39"/>
    <x v="6"/>
    <x v="38"/>
    <x v="95"/>
  </r>
  <r>
    <x v="79"/>
    <x v="72"/>
    <x v="66"/>
    <x v="12"/>
    <x v="12"/>
    <x v="6"/>
    <x v="23"/>
    <x v="24"/>
  </r>
  <r>
    <x v="79"/>
    <x v="72"/>
    <x v="66"/>
    <x v="7"/>
    <x v="7"/>
    <x v="6"/>
    <x v="22"/>
    <x v="25"/>
  </r>
  <r>
    <x v="79"/>
    <x v="72"/>
    <x v="66"/>
    <x v="70"/>
    <x v="74"/>
    <x v="6"/>
    <x v="70"/>
    <x v="96"/>
  </r>
  <r>
    <x v="80"/>
    <x v="60"/>
    <x v="67"/>
    <x v="49"/>
    <x v="75"/>
    <x v="1"/>
    <x v="0"/>
    <x v="0"/>
  </r>
  <r>
    <x v="80"/>
    <x v="60"/>
    <x v="67"/>
    <x v="71"/>
    <x v="76"/>
    <x v="1"/>
    <x v="0"/>
    <x v="0"/>
  </r>
  <r>
    <x v="81"/>
    <x v="73"/>
    <x v="67"/>
    <x v="49"/>
    <x v="77"/>
    <x v="1"/>
    <x v="0"/>
    <x v="0"/>
  </r>
  <r>
    <x v="81"/>
    <x v="73"/>
    <x v="67"/>
    <x v="58"/>
    <x v="61"/>
    <x v="1"/>
    <x v="0"/>
    <x v="0"/>
  </r>
  <r>
    <x v="82"/>
    <x v="74"/>
    <x v="67"/>
    <x v="49"/>
    <x v="78"/>
    <x v="1"/>
    <x v="0"/>
    <x v="0"/>
  </r>
  <r>
    <x v="83"/>
    <x v="75"/>
    <x v="67"/>
    <x v="72"/>
    <x v="79"/>
    <x v="10"/>
    <x v="71"/>
    <x v="97"/>
  </r>
  <r>
    <x v="83"/>
    <x v="75"/>
    <x v="67"/>
    <x v="73"/>
    <x v="80"/>
    <x v="13"/>
    <x v="0"/>
    <x v="0"/>
  </r>
  <r>
    <x v="83"/>
    <x v="75"/>
    <x v="67"/>
    <x v="74"/>
    <x v="81"/>
    <x v="9"/>
    <x v="0"/>
    <x v="0"/>
  </r>
  <r>
    <x v="83"/>
    <x v="75"/>
    <x v="67"/>
    <x v="75"/>
    <x v="82"/>
    <x v="10"/>
    <x v="0"/>
    <x v="0"/>
  </r>
  <r>
    <x v="83"/>
    <x v="75"/>
    <x v="67"/>
    <x v="65"/>
    <x v="69"/>
    <x v="6"/>
    <x v="64"/>
    <x v="98"/>
  </r>
  <r>
    <x v="83"/>
    <x v="75"/>
    <x v="67"/>
    <x v="76"/>
    <x v="83"/>
    <x v="1"/>
    <x v="72"/>
    <x v="99"/>
  </r>
  <r>
    <x v="83"/>
    <x v="75"/>
    <x v="67"/>
    <x v="14"/>
    <x v="14"/>
    <x v="1"/>
    <x v="73"/>
    <x v="100"/>
  </r>
  <r>
    <x v="83"/>
    <x v="75"/>
    <x v="67"/>
    <x v="77"/>
    <x v="14"/>
    <x v="1"/>
    <x v="74"/>
    <x v="101"/>
  </r>
  <r>
    <x v="84"/>
    <x v="76"/>
    <x v="68"/>
    <x v="7"/>
    <x v="7"/>
    <x v="11"/>
    <x v="75"/>
    <x v="102"/>
  </r>
  <r>
    <x v="85"/>
    <x v="77"/>
    <x v="69"/>
    <x v="9"/>
    <x v="9"/>
    <x v="1"/>
    <x v="40"/>
    <x v="54"/>
  </r>
  <r>
    <x v="86"/>
    <x v="78"/>
    <x v="70"/>
    <x v="9"/>
    <x v="9"/>
    <x v="6"/>
    <x v="40"/>
    <x v="103"/>
  </r>
  <r>
    <x v="87"/>
    <x v="79"/>
    <x v="71"/>
    <x v="2"/>
    <x v="2"/>
    <x v="1"/>
    <x v="2"/>
    <x v="2"/>
  </r>
  <r>
    <x v="87"/>
    <x v="79"/>
    <x v="71"/>
    <x v="37"/>
    <x v="36"/>
    <x v="1"/>
    <x v="21"/>
    <x v="22"/>
  </r>
  <r>
    <x v="88"/>
    <x v="80"/>
    <x v="72"/>
    <x v="37"/>
    <x v="36"/>
    <x v="1"/>
    <x v="21"/>
    <x v="22"/>
  </r>
  <r>
    <x v="89"/>
    <x v="81"/>
    <x v="73"/>
    <x v="11"/>
    <x v="11"/>
    <x v="1"/>
    <x v="20"/>
    <x v="21"/>
  </r>
  <r>
    <x v="90"/>
    <x v="82"/>
    <x v="74"/>
    <x v="11"/>
    <x v="11"/>
    <x v="10"/>
    <x v="76"/>
    <x v="104"/>
  </r>
  <r>
    <x v="91"/>
    <x v="83"/>
    <x v="74"/>
    <x v="3"/>
    <x v="3"/>
    <x v="6"/>
    <x v="3"/>
    <x v="105"/>
  </r>
  <r>
    <x v="91"/>
    <x v="83"/>
    <x v="74"/>
    <x v="4"/>
    <x v="4"/>
    <x v="6"/>
    <x v="0"/>
    <x v="0"/>
  </r>
  <r>
    <x v="91"/>
    <x v="83"/>
    <x v="74"/>
    <x v="16"/>
    <x v="16"/>
    <x v="6"/>
    <x v="0"/>
    <x v="0"/>
  </r>
  <r>
    <x v="91"/>
    <x v="83"/>
    <x v="74"/>
    <x v="40"/>
    <x v="39"/>
    <x v="6"/>
    <x v="0"/>
    <x v="0"/>
  </r>
  <r>
    <x v="91"/>
    <x v="83"/>
    <x v="74"/>
    <x v="11"/>
    <x v="11"/>
    <x v="1"/>
    <x v="8"/>
    <x v="74"/>
  </r>
  <r>
    <x v="91"/>
    <x v="83"/>
    <x v="74"/>
    <x v="14"/>
    <x v="14"/>
    <x v="1"/>
    <x v="77"/>
    <x v="106"/>
  </r>
  <r>
    <x v="92"/>
    <x v="84"/>
    <x v="75"/>
    <x v="48"/>
    <x v="46"/>
    <x v="1"/>
    <x v="41"/>
    <x v="55"/>
  </r>
  <r>
    <x v="93"/>
    <x v="45"/>
    <x v="76"/>
    <x v="16"/>
    <x v="16"/>
    <x v="1"/>
    <x v="13"/>
    <x v="67"/>
  </r>
  <r>
    <x v="93"/>
    <x v="45"/>
    <x v="76"/>
    <x v="37"/>
    <x v="36"/>
    <x v="1"/>
    <x v="21"/>
    <x v="22"/>
  </r>
  <r>
    <x v="93"/>
    <x v="45"/>
    <x v="76"/>
    <x v="1"/>
    <x v="1"/>
    <x v="1"/>
    <x v="1"/>
    <x v="1"/>
  </r>
  <r>
    <x v="94"/>
    <x v="85"/>
    <x v="77"/>
    <x v="37"/>
    <x v="36"/>
    <x v="1"/>
    <x v="21"/>
    <x v="22"/>
  </r>
  <r>
    <x v="95"/>
    <x v="86"/>
    <x v="78"/>
    <x v="11"/>
    <x v="11"/>
    <x v="6"/>
    <x v="20"/>
    <x v="107"/>
  </r>
  <r>
    <x v="96"/>
    <x v="87"/>
    <x v="79"/>
    <x v="37"/>
    <x v="36"/>
    <x v="1"/>
    <x v="21"/>
    <x v="22"/>
  </r>
  <r>
    <x v="97"/>
    <x v="86"/>
    <x v="80"/>
    <x v="78"/>
    <x v="14"/>
    <x v="1"/>
    <x v="78"/>
    <x v="108"/>
  </r>
  <r>
    <x v="98"/>
    <x v="88"/>
    <x v="80"/>
    <x v="20"/>
    <x v="20"/>
    <x v="11"/>
    <x v="65"/>
    <x v="109"/>
  </r>
  <r>
    <x v="98"/>
    <x v="88"/>
    <x v="80"/>
    <x v="25"/>
    <x v="14"/>
    <x v="1"/>
    <x v="55"/>
    <x v="110"/>
  </r>
  <r>
    <x v="99"/>
    <x v="89"/>
    <x v="81"/>
    <x v="37"/>
    <x v="36"/>
    <x v="10"/>
    <x v="21"/>
    <x v="111"/>
  </r>
  <r>
    <x v="100"/>
    <x v="90"/>
    <x v="82"/>
    <x v="11"/>
    <x v="11"/>
    <x v="6"/>
    <x v="20"/>
    <x v="107"/>
  </r>
  <r>
    <x v="100"/>
    <x v="90"/>
    <x v="82"/>
    <x v="1"/>
    <x v="1"/>
    <x v="1"/>
    <x v="1"/>
    <x v="1"/>
  </r>
  <r>
    <x v="100"/>
    <x v="90"/>
    <x v="82"/>
    <x v="3"/>
    <x v="3"/>
    <x v="6"/>
    <x v="42"/>
    <x v="112"/>
  </r>
  <r>
    <x v="100"/>
    <x v="90"/>
    <x v="82"/>
    <x v="5"/>
    <x v="5"/>
    <x v="6"/>
    <x v="43"/>
    <x v="88"/>
  </r>
  <r>
    <x v="100"/>
    <x v="90"/>
    <x v="82"/>
    <x v="47"/>
    <x v="45"/>
    <x v="2"/>
    <x v="16"/>
    <x v="31"/>
  </r>
  <r>
    <x v="100"/>
    <x v="90"/>
    <x v="82"/>
    <x v="79"/>
    <x v="84"/>
    <x v="6"/>
    <x v="79"/>
    <x v="113"/>
  </r>
  <r>
    <x v="100"/>
    <x v="90"/>
    <x v="82"/>
    <x v="4"/>
    <x v="4"/>
    <x v="6"/>
    <x v="0"/>
    <x v="0"/>
  </r>
  <r>
    <x v="100"/>
    <x v="90"/>
    <x v="82"/>
    <x v="40"/>
    <x v="39"/>
    <x v="6"/>
    <x v="0"/>
    <x v="0"/>
  </r>
  <r>
    <x v="100"/>
    <x v="90"/>
    <x v="82"/>
    <x v="45"/>
    <x v="9"/>
    <x v="1"/>
    <x v="20"/>
    <x v="21"/>
  </r>
  <r>
    <x v="101"/>
    <x v="91"/>
    <x v="83"/>
    <x v="80"/>
    <x v="85"/>
    <x v="6"/>
    <x v="68"/>
    <x v="114"/>
  </r>
  <r>
    <x v="101"/>
    <x v="91"/>
    <x v="83"/>
    <x v="81"/>
    <x v="86"/>
    <x v="6"/>
    <x v="68"/>
    <x v="114"/>
  </r>
  <r>
    <x v="101"/>
    <x v="91"/>
    <x v="83"/>
    <x v="41"/>
    <x v="40"/>
    <x v="6"/>
    <x v="34"/>
    <x v="45"/>
  </r>
  <r>
    <x v="102"/>
    <x v="92"/>
    <x v="84"/>
    <x v="49"/>
    <x v="87"/>
    <x v="1"/>
    <x v="0"/>
    <x v="0"/>
  </r>
  <r>
    <x v="103"/>
    <x v="0"/>
    <x v="84"/>
    <x v="82"/>
    <x v="88"/>
    <x v="2"/>
    <x v="39"/>
    <x v="115"/>
  </r>
  <r>
    <x v="104"/>
    <x v="93"/>
    <x v="85"/>
    <x v="12"/>
    <x v="12"/>
    <x v="14"/>
    <x v="23"/>
    <x v="116"/>
  </r>
  <r>
    <x v="104"/>
    <x v="93"/>
    <x v="85"/>
    <x v="7"/>
    <x v="7"/>
    <x v="14"/>
    <x v="80"/>
    <x v="117"/>
  </r>
  <r>
    <x v="104"/>
    <x v="93"/>
    <x v="85"/>
    <x v="80"/>
    <x v="85"/>
    <x v="2"/>
    <x v="68"/>
    <x v="118"/>
  </r>
  <r>
    <x v="104"/>
    <x v="93"/>
    <x v="85"/>
    <x v="17"/>
    <x v="17"/>
    <x v="6"/>
    <x v="13"/>
    <x v="53"/>
  </r>
  <r>
    <x v="104"/>
    <x v="93"/>
    <x v="85"/>
    <x v="81"/>
    <x v="86"/>
    <x v="3"/>
    <x v="68"/>
    <x v="119"/>
  </r>
  <r>
    <x v="104"/>
    <x v="93"/>
    <x v="85"/>
    <x v="41"/>
    <x v="40"/>
    <x v="2"/>
    <x v="34"/>
    <x v="120"/>
  </r>
  <r>
    <x v="105"/>
    <x v="94"/>
    <x v="86"/>
    <x v="17"/>
    <x v="17"/>
    <x v="2"/>
    <x v="13"/>
    <x v="14"/>
  </r>
  <r>
    <x v="105"/>
    <x v="94"/>
    <x v="86"/>
    <x v="10"/>
    <x v="10"/>
    <x v="1"/>
    <x v="51"/>
    <x v="94"/>
  </r>
  <r>
    <x v="105"/>
    <x v="94"/>
    <x v="86"/>
    <x v="3"/>
    <x v="3"/>
    <x v="6"/>
    <x v="42"/>
    <x v="112"/>
  </r>
  <r>
    <x v="105"/>
    <x v="94"/>
    <x v="86"/>
    <x v="16"/>
    <x v="16"/>
    <x v="6"/>
    <x v="0"/>
    <x v="0"/>
  </r>
  <r>
    <x v="105"/>
    <x v="94"/>
    <x v="86"/>
    <x v="47"/>
    <x v="45"/>
    <x v="2"/>
    <x v="16"/>
    <x v="31"/>
  </r>
  <r>
    <x v="105"/>
    <x v="94"/>
    <x v="86"/>
    <x v="4"/>
    <x v="4"/>
    <x v="6"/>
    <x v="0"/>
    <x v="0"/>
  </r>
  <r>
    <x v="105"/>
    <x v="94"/>
    <x v="86"/>
    <x v="40"/>
    <x v="39"/>
    <x v="6"/>
    <x v="0"/>
    <x v="0"/>
  </r>
  <r>
    <x v="105"/>
    <x v="94"/>
    <x v="86"/>
    <x v="26"/>
    <x v="25"/>
    <x v="6"/>
    <x v="21"/>
    <x v="30"/>
  </r>
  <r>
    <x v="105"/>
    <x v="94"/>
    <x v="86"/>
    <x v="7"/>
    <x v="7"/>
    <x v="6"/>
    <x v="22"/>
    <x v="25"/>
  </r>
  <r>
    <x v="106"/>
    <x v="95"/>
    <x v="87"/>
    <x v="45"/>
    <x v="9"/>
    <x v="1"/>
    <x v="20"/>
    <x v="21"/>
  </r>
  <r>
    <x v="107"/>
    <x v="96"/>
    <x v="88"/>
    <x v="8"/>
    <x v="8"/>
    <x v="1"/>
    <x v="22"/>
    <x v="23"/>
  </r>
  <r>
    <x v="107"/>
    <x v="96"/>
    <x v="88"/>
    <x v="7"/>
    <x v="7"/>
    <x v="1"/>
    <x v="22"/>
    <x v="23"/>
  </r>
  <r>
    <x v="108"/>
    <x v="97"/>
    <x v="89"/>
    <x v="66"/>
    <x v="70"/>
    <x v="6"/>
    <x v="81"/>
    <x v="121"/>
  </r>
  <r>
    <x v="108"/>
    <x v="97"/>
    <x v="89"/>
    <x v="62"/>
    <x v="65"/>
    <x v="1"/>
    <x v="60"/>
    <x v="78"/>
  </r>
  <r>
    <x v="108"/>
    <x v="97"/>
    <x v="89"/>
    <x v="4"/>
    <x v="4"/>
    <x v="1"/>
    <x v="16"/>
    <x v="43"/>
  </r>
  <r>
    <x v="109"/>
    <x v="98"/>
    <x v="90"/>
    <x v="37"/>
    <x v="36"/>
    <x v="9"/>
    <x v="21"/>
    <x v="77"/>
  </r>
  <r>
    <x v="110"/>
    <x v="4"/>
    <x v="91"/>
    <x v="6"/>
    <x v="89"/>
    <x v="2"/>
    <x v="5"/>
    <x v="122"/>
  </r>
  <r>
    <x v="110"/>
    <x v="4"/>
    <x v="91"/>
    <x v="5"/>
    <x v="5"/>
    <x v="15"/>
    <x v="4"/>
    <x v="123"/>
  </r>
  <r>
    <x v="110"/>
    <x v="4"/>
    <x v="91"/>
    <x v="4"/>
    <x v="4"/>
    <x v="2"/>
    <x v="0"/>
    <x v="0"/>
  </r>
  <r>
    <x v="110"/>
    <x v="4"/>
    <x v="91"/>
    <x v="8"/>
    <x v="8"/>
    <x v="15"/>
    <x v="0"/>
    <x v="0"/>
  </r>
  <r>
    <x v="110"/>
    <x v="4"/>
    <x v="91"/>
    <x v="7"/>
    <x v="7"/>
    <x v="15"/>
    <x v="0"/>
    <x v="0"/>
  </r>
  <r>
    <x v="110"/>
    <x v="4"/>
    <x v="91"/>
    <x v="10"/>
    <x v="10"/>
    <x v="1"/>
    <x v="7"/>
    <x v="124"/>
  </r>
  <r>
    <x v="110"/>
    <x v="4"/>
    <x v="91"/>
    <x v="83"/>
    <x v="90"/>
    <x v="1"/>
    <x v="82"/>
    <x v="125"/>
  </r>
  <r>
    <x v="110"/>
    <x v="4"/>
    <x v="91"/>
    <x v="14"/>
    <x v="14"/>
    <x v="1"/>
    <x v="83"/>
    <x v="126"/>
  </r>
  <r>
    <x v="111"/>
    <x v="99"/>
    <x v="91"/>
    <x v="84"/>
    <x v="91"/>
    <x v="16"/>
    <x v="84"/>
    <x v="127"/>
  </r>
  <r>
    <x v="111"/>
    <x v="99"/>
    <x v="91"/>
    <x v="85"/>
    <x v="92"/>
    <x v="17"/>
    <x v="84"/>
    <x v="128"/>
  </r>
  <r>
    <x v="111"/>
    <x v="99"/>
    <x v="91"/>
    <x v="14"/>
    <x v="14"/>
    <x v="1"/>
    <x v="46"/>
    <x v="60"/>
  </r>
  <r>
    <x v="112"/>
    <x v="10"/>
    <x v="92"/>
    <x v="29"/>
    <x v="28"/>
    <x v="2"/>
    <x v="15"/>
    <x v="28"/>
  </r>
  <r>
    <x v="112"/>
    <x v="10"/>
    <x v="92"/>
    <x v="7"/>
    <x v="7"/>
    <x v="10"/>
    <x v="80"/>
    <x v="129"/>
  </r>
  <r>
    <x v="113"/>
    <x v="100"/>
    <x v="93"/>
    <x v="10"/>
    <x v="10"/>
    <x v="1"/>
    <x v="51"/>
    <x v="94"/>
  </r>
  <r>
    <x v="114"/>
    <x v="101"/>
    <x v="94"/>
    <x v="10"/>
    <x v="10"/>
    <x v="1"/>
    <x v="51"/>
    <x v="94"/>
  </r>
  <r>
    <x v="115"/>
    <x v="102"/>
    <x v="95"/>
    <x v="5"/>
    <x v="5"/>
    <x v="6"/>
    <x v="34"/>
    <x v="45"/>
  </r>
  <r>
    <x v="115"/>
    <x v="102"/>
    <x v="95"/>
    <x v="12"/>
    <x v="12"/>
    <x v="1"/>
    <x v="23"/>
    <x v="34"/>
  </r>
  <r>
    <x v="115"/>
    <x v="102"/>
    <x v="95"/>
    <x v="7"/>
    <x v="7"/>
    <x v="1"/>
    <x v="22"/>
    <x v="23"/>
  </r>
  <r>
    <x v="116"/>
    <x v="103"/>
    <x v="96"/>
    <x v="1"/>
    <x v="1"/>
    <x v="3"/>
    <x v="1"/>
    <x v="130"/>
  </r>
  <r>
    <x v="117"/>
    <x v="85"/>
    <x v="97"/>
    <x v="2"/>
    <x v="2"/>
    <x v="1"/>
    <x v="2"/>
    <x v="2"/>
  </r>
  <r>
    <x v="118"/>
    <x v="10"/>
    <x v="98"/>
    <x v="11"/>
    <x v="11"/>
    <x v="1"/>
    <x v="20"/>
    <x v="21"/>
  </r>
  <r>
    <x v="118"/>
    <x v="10"/>
    <x v="98"/>
    <x v="27"/>
    <x v="26"/>
    <x v="6"/>
    <x v="24"/>
    <x v="131"/>
  </r>
  <r>
    <x v="118"/>
    <x v="10"/>
    <x v="98"/>
    <x v="28"/>
    <x v="27"/>
    <x v="7"/>
    <x v="25"/>
    <x v="42"/>
  </r>
  <r>
    <x v="118"/>
    <x v="10"/>
    <x v="98"/>
    <x v="8"/>
    <x v="8"/>
    <x v="6"/>
    <x v="22"/>
    <x v="25"/>
  </r>
  <r>
    <x v="118"/>
    <x v="10"/>
    <x v="98"/>
    <x v="5"/>
    <x v="5"/>
    <x v="1"/>
    <x v="34"/>
    <x v="132"/>
  </r>
  <r>
    <x v="118"/>
    <x v="10"/>
    <x v="98"/>
    <x v="27"/>
    <x v="26"/>
    <x v="6"/>
    <x v="24"/>
    <x v="131"/>
  </r>
  <r>
    <x v="119"/>
    <x v="104"/>
    <x v="99"/>
    <x v="39"/>
    <x v="38"/>
    <x v="14"/>
    <x v="57"/>
    <x v="133"/>
  </r>
  <r>
    <x v="119"/>
    <x v="104"/>
    <x v="99"/>
    <x v="16"/>
    <x v="16"/>
    <x v="14"/>
    <x v="0"/>
    <x v="0"/>
  </r>
  <r>
    <x v="119"/>
    <x v="104"/>
    <x v="99"/>
    <x v="4"/>
    <x v="4"/>
    <x v="14"/>
    <x v="0"/>
    <x v="0"/>
  </r>
  <r>
    <x v="119"/>
    <x v="104"/>
    <x v="99"/>
    <x v="30"/>
    <x v="29"/>
    <x v="14"/>
    <x v="0"/>
    <x v="0"/>
  </r>
  <r>
    <x v="119"/>
    <x v="104"/>
    <x v="99"/>
    <x v="8"/>
    <x v="8"/>
    <x v="14"/>
    <x v="0"/>
    <x v="0"/>
  </r>
  <r>
    <x v="119"/>
    <x v="104"/>
    <x v="99"/>
    <x v="7"/>
    <x v="7"/>
    <x v="14"/>
    <x v="0"/>
    <x v="0"/>
  </r>
  <r>
    <x v="119"/>
    <x v="104"/>
    <x v="99"/>
    <x v="19"/>
    <x v="19"/>
    <x v="14"/>
    <x v="12"/>
    <x v="134"/>
  </r>
  <r>
    <x v="119"/>
    <x v="104"/>
    <x v="99"/>
    <x v="20"/>
    <x v="20"/>
    <x v="14"/>
    <x v="65"/>
    <x v="135"/>
  </r>
  <r>
    <x v="119"/>
    <x v="104"/>
    <x v="99"/>
    <x v="29"/>
    <x v="28"/>
    <x v="14"/>
    <x v="12"/>
    <x v="134"/>
  </r>
  <r>
    <x v="119"/>
    <x v="104"/>
    <x v="99"/>
    <x v="86"/>
    <x v="93"/>
    <x v="1"/>
    <x v="85"/>
    <x v="136"/>
  </r>
  <r>
    <x v="120"/>
    <x v="4"/>
    <x v="99"/>
    <x v="6"/>
    <x v="89"/>
    <x v="1"/>
    <x v="86"/>
    <x v="137"/>
  </r>
  <r>
    <x v="120"/>
    <x v="4"/>
    <x v="99"/>
    <x v="4"/>
    <x v="4"/>
    <x v="1"/>
    <x v="0"/>
    <x v="0"/>
  </r>
  <r>
    <x v="120"/>
    <x v="4"/>
    <x v="99"/>
    <x v="14"/>
    <x v="14"/>
    <x v="1"/>
    <x v="46"/>
    <x v="60"/>
  </r>
  <r>
    <x v="121"/>
    <x v="105"/>
    <x v="100"/>
    <x v="4"/>
    <x v="4"/>
    <x v="1"/>
    <x v="16"/>
    <x v="43"/>
  </r>
  <r>
    <x v="122"/>
    <x v="106"/>
    <x v="101"/>
    <x v="8"/>
    <x v="8"/>
    <x v="9"/>
    <x v="22"/>
    <x v="40"/>
  </r>
  <r>
    <x v="123"/>
    <x v="107"/>
    <x v="102"/>
    <x v="45"/>
    <x v="9"/>
    <x v="6"/>
    <x v="20"/>
    <x v="107"/>
  </r>
  <r>
    <x v="124"/>
    <x v="108"/>
    <x v="103"/>
    <x v="87"/>
    <x v="3"/>
    <x v="6"/>
    <x v="87"/>
    <x v="138"/>
  </r>
  <r>
    <x v="124"/>
    <x v="108"/>
    <x v="103"/>
    <x v="18"/>
    <x v="18"/>
    <x v="6"/>
    <x v="66"/>
    <x v="139"/>
  </r>
  <r>
    <x v="124"/>
    <x v="108"/>
    <x v="103"/>
    <x v="4"/>
    <x v="4"/>
    <x v="6"/>
    <x v="0"/>
    <x v="0"/>
  </r>
  <r>
    <x v="124"/>
    <x v="108"/>
    <x v="103"/>
    <x v="40"/>
    <x v="39"/>
    <x v="6"/>
    <x v="0"/>
    <x v="0"/>
  </r>
  <r>
    <x v="125"/>
    <x v="109"/>
    <x v="104"/>
    <x v="45"/>
    <x v="9"/>
    <x v="1"/>
    <x v="20"/>
    <x v="21"/>
  </r>
  <r>
    <x v="126"/>
    <x v="104"/>
    <x v="105"/>
    <x v="88"/>
    <x v="94"/>
    <x v="15"/>
    <x v="88"/>
    <x v="140"/>
  </r>
  <r>
    <x v="126"/>
    <x v="104"/>
    <x v="105"/>
    <x v="89"/>
    <x v="95"/>
    <x v="15"/>
    <x v="0"/>
    <x v="0"/>
  </r>
  <r>
    <x v="126"/>
    <x v="104"/>
    <x v="105"/>
    <x v="90"/>
    <x v="96"/>
    <x v="15"/>
    <x v="0"/>
    <x v="0"/>
  </r>
  <r>
    <x v="127"/>
    <x v="83"/>
    <x v="105"/>
    <x v="50"/>
    <x v="48"/>
    <x v="1"/>
    <x v="0"/>
    <x v="0"/>
  </r>
  <r>
    <x v="128"/>
    <x v="110"/>
    <x v="105"/>
    <x v="11"/>
    <x v="11"/>
    <x v="6"/>
    <x v="8"/>
    <x v="141"/>
  </r>
  <r>
    <x v="128"/>
    <x v="110"/>
    <x v="105"/>
    <x v="14"/>
    <x v="14"/>
    <x v="1"/>
    <x v="50"/>
    <x v="65"/>
  </r>
</pivotCacheRecords>
</file>

<file path=xl/pivotCache/pivotCacheRecords30.xml><?xml version="1.0" encoding="utf-8"?>
<pivotCacheRecords xmlns:r="http://schemas.openxmlformats.org/officeDocument/2006/relationships" xmlns="http://schemas.openxmlformats.org/spreadsheetml/2006/main" count="333">
  <r>
    <x v="0"/>
    <x v="0"/>
    <x v="0"/>
  </r>
  <r>
    <x v="1"/>
    <x v="1"/>
    <x v="1"/>
  </r>
  <r>
    <x v="1"/>
    <x v="1"/>
    <x v="1"/>
  </r>
  <r>
    <x v="2"/>
    <x v="2"/>
    <x v="1"/>
  </r>
  <r>
    <x v="3"/>
    <x v="3"/>
    <x v="2"/>
  </r>
  <r>
    <x v="4"/>
    <x v="4"/>
    <x v="2"/>
  </r>
  <r>
    <x v="5"/>
    <x v="5"/>
    <x v="2"/>
  </r>
  <r>
    <x v="6"/>
    <x v="6"/>
    <x v="3"/>
  </r>
  <r>
    <x v="4"/>
    <x v="4"/>
    <x v="3"/>
  </r>
  <r>
    <x v="5"/>
    <x v="5"/>
    <x v="4"/>
  </r>
  <r>
    <x v="7"/>
    <x v="7"/>
    <x v="5"/>
  </r>
  <r>
    <x v="8"/>
    <x v="8"/>
    <x v="5"/>
  </r>
  <r>
    <x v="9"/>
    <x v="9"/>
    <x v="6"/>
  </r>
  <r>
    <x v="10"/>
    <x v="10"/>
    <x v="7"/>
  </r>
  <r>
    <x v="11"/>
    <x v="11"/>
    <x v="3"/>
  </r>
  <r>
    <x v="12"/>
    <x v="12"/>
    <x v="3"/>
  </r>
  <r>
    <x v="13"/>
    <x v="13"/>
    <x v="1"/>
  </r>
  <r>
    <x v="14"/>
    <x v="14"/>
    <x v="1"/>
  </r>
  <r>
    <x v="15"/>
    <x v="15"/>
    <x v="8"/>
  </r>
  <r>
    <x v="16"/>
    <x v="16"/>
    <x v="2"/>
  </r>
  <r>
    <x v="17"/>
    <x v="17"/>
    <x v="2"/>
  </r>
  <r>
    <x v="18"/>
    <x v="18"/>
    <x v="1"/>
  </r>
  <r>
    <x v="19"/>
    <x v="19"/>
    <x v="3"/>
  </r>
  <r>
    <x v="20"/>
    <x v="20"/>
    <x v="3"/>
  </r>
  <r>
    <x v="21"/>
    <x v="21"/>
    <x v="9"/>
  </r>
  <r>
    <x v="22"/>
    <x v="22"/>
    <x v="9"/>
  </r>
  <r>
    <x v="23"/>
    <x v="23"/>
    <x v="9"/>
  </r>
  <r>
    <x v="24"/>
    <x v="24"/>
    <x v="9"/>
  </r>
  <r>
    <x v="25"/>
    <x v="14"/>
    <x v="1"/>
  </r>
  <r>
    <x v="11"/>
    <x v="11"/>
    <x v="1"/>
  </r>
  <r>
    <x v="26"/>
    <x v="25"/>
    <x v="1"/>
  </r>
  <r>
    <x v="7"/>
    <x v="7"/>
    <x v="1"/>
  </r>
  <r>
    <x v="12"/>
    <x v="12"/>
    <x v="6"/>
  </r>
  <r>
    <x v="7"/>
    <x v="7"/>
    <x v="6"/>
  </r>
  <r>
    <x v="27"/>
    <x v="26"/>
    <x v="1"/>
  </r>
  <r>
    <x v="28"/>
    <x v="27"/>
    <x v="2"/>
  </r>
  <r>
    <x v="29"/>
    <x v="28"/>
    <x v="2"/>
  </r>
  <r>
    <x v="29"/>
    <x v="28"/>
    <x v="10"/>
  </r>
  <r>
    <x v="26"/>
    <x v="25"/>
    <x v="6"/>
  </r>
  <r>
    <x v="7"/>
    <x v="7"/>
    <x v="6"/>
  </r>
  <r>
    <x v="19"/>
    <x v="19"/>
    <x v="2"/>
  </r>
  <r>
    <x v="20"/>
    <x v="20"/>
    <x v="2"/>
  </r>
  <r>
    <x v="30"/>
    <x v="29"/>
    <x v="6"/>
  </r>
  <r>
    <x v="31"/>
    <x v="30"/>
    <x v="11"/>
  </r>
  <r>
    <x v="8"/>
    <x v="8"/>
    <x v="1"/>
  </r>
  <r>
    <x v="12"/>
    <x v="12"/>
    <x v="1"/>
  </r>
  <r>
    <x v="7"/>
    <x v="7"/>
    <x v="1"/>
  </r>
  <r>
    <x v="26"/>
    <x v="25"/>
    <x v="1"/>
  </r>
  <r>
    <x v="7"/>
    <x v="7"/>
    <x v="1"/>
  </r>
  <r>
    <x v="32"/>
    <x v="31"/>
    <x v="6"/>
  </r>
  <r>
    <x v="33"/>
    <x v="32"/>
    <x v="6"/>
  </r>
  <r>
    <x v="34"/>
    <x v="33"/>
    <x v="11"/>
  </r>
  <r>
    <x v="35"/>
    <x v="34"/>
    <x v="7"/>
  </r>
  <r>
    <x v="14"/>
    <x v="14"/>
    <x v="1"/>
  </r>
  <r>
    <x v="36"/>
    <x v="35"/>
    <x v="9"/>
  </r>
  <r>
    <x v="14"/>
    <x v="14"/>
    <x v="1"/>
  </r>
  <r>
    <x v="8"/>
    <x v="8"/>
    <x v="9"/>
  </r>
  <r>
    <x v="37"/>
    <x v="36"/>
    <x v="1"/>
  </r>
  <r>
    <x v="38"/>
    <x v="37"/>
    <x v="1"/>
  </r>
  <r>
    <x v="28"/>
    <x v="27"/>
    <x v="7"/>
  </r>
  <r>
    <x v="4"/>
    <x v="4"/>
    <x v="1"/>
  </r>
  <r>
    <x v="39"/>
    <x v="38"/>
    <x v="6"/>
  </r>
  <r>
    <x v="4"/>
    <x v="4"/>
    <x v="6"/>
  </r>
  <r>
    <x v="30"/>
    <x v="29"/>
    <x v="6"/>
  </r>
  <r>
    <x v="40"/>
    <x v="39"/>
    <x v="6"/>
  </r>
  <r>
    <x v="16"/>
    <x v="16"/>
    <x v="6"/>
  </r>
  <r>
    <x v="4"/>
    <x v="4"/>
    <x v="1"/>
  </r>
  <r>
    <x v="41"/>
    <x v="40"/>
    <x v="6"/>
  </r>
  <r>
    <x v="42"/>
    <x v="41"/>
    <x v="6"/>
  </r>
  <r>
    <x v="9"/>
    <x v="9"/>
    <x v="1"/>
  </r>
  <r>
    <x v="43"/>
    <x v="42"/>
    <x v="1"/>
  </r>
  <r>
    <x v="14"/>
    <x v="14"/>
    <x v="1"/>
  </r>
  <r>
    <x v="44"/>
    <x v="43"/>
    <x v="6"/>
  </r>
  <r>
    <x v="14"/>
    <x v="14"/>
    <x v="1"/>
  </r>
  <r>
    <x v="4"/>
    <x v="4"/>
    <x v="1"/>
  </r>
  <r>
    <x v="4"/>
    <x v="4"/>
    <x v="2"/>
  </r>
  <r>
    <x v="45"/>
    <x v="9"/>
    <x v="1"/>
  </r>
  <r>
    <x v="11"/>
    <x v="11"/>
    <x v="1"/>
  </r>
  <r>
    <x v="46"/>
    <x v="44"/>
    <x v="6"/>
  </r>
  <r>
    <x v="47"/>
    <x v="45"/>
    <x v="6"/>
  </r>
  <r>
    <x v="16"/>
    <x v="16"/>
    <x v="6"/>
  </r>
  <r>
    <x v="9"/>
    <x v="9"/>
    <x v="1"/>
  </r>
  <r>
    <x v="48"/>
    <x v="46"/>
    <x v="1"/>
  </r>
  <r>
    <x v="12"/>
    <x v="12"/>
    <x v="1"/>
  </r>
  <r>
    <x v="7"/>
    <x v="7"/>
    <x v="1"/>
  </r>
  <r>
    <x v="8"/>
    <x v="8"/>
    <x v="6"/>
  </r>
  <r>
    <x v="37"/>
    <x v="36"/>
    <x v="6"/>
  </r>
  <r>
    <x v="37"/>
    <x v="36"/>
    <x v="6"/>
  </r>
  <r>
    <x v="49"/>
    <x v="47"/>
    <x v="1"/>
  </r>
  <r>
    <x v="50"/>
    <x v="48"/>
    <x v="1"/>
  </r>
  <r>
    <x v="3"/>
    <x v="3"/>
    <x v="9"/>
  </r>
  <r>
    <x v="4"/>
    <x v="4"/>
    <x v="9"/>
  </r>
  <r>
    <x v="8"/>
    <x v="8"/>
    <x v="9"/>
  </r>
  <r>
    <x v="7"/>
    <x v="7"/>
    <x v="9"/>
  </r>
  <r>
    <x v="5"/>
    <x v="49"/>
    <x v="9"/>
  </r>
  <r>
    <x v="11"/>
    <x v="11"/>
    <x v="1"/>
  </r>
  <r>
    <x v="12"/>
    <x v="12"/>
    <x v="9"/>
  </r>
  <r>
    <x v="46"/>
    <x v="44"/>
    <x v="1"/>
  </r>
  <r>
    <x v="47"/>
    <x v="45"/>
    <x v="1"/>
  </r>
  <r>
    <x v="51"/>
    <x v="50"/>
    <x v="10"/>
  </r>
  <r>
    <x v="51"/>
    <x v="51"/>
    <x v="1"/>
  </r>
  <r>
    <x v="14"/>
    <x v="14"/>
    <x v="1"/>
  </r>
  <r>
    <x v="52"/>
    <x v="52"/>
    <x v="1"/>
  </r>
  <r>
    <x v="14"/>
    <x v="14"/>
    <x v="1"/>
  </r>
  <r>
    <x v="12"/>
    <x v="12"/>
    <x v="2"/>
  </r>
  <r>
    <x v="7"/>
    <x v="7"/>
    <x v="2"/>
  </r>
  <r>
    <x v="8"/>
    <x v="8"/>
    <x v="2"/>
  </r>
  <r>
    <x v="53"/>
    <x v="53"/>
    <x v="6"/>
  </r>
  <r>
    <x v="54"/>
    <x v="54"/>
    <x v="1"/>
  </r>
  <r>
    <x v="4"/>
    <x v="4"/>
    <x v="1"/>
  </r>
  <r>
    <x v="14"/>
    <x v="14"/>
    <x v="1"/>
  </r>
  <r>
    <x v="10"/>
    <x v="10"/>
    <x v="6"/>
  </r>
  <r>
    <x v="16"/>
    <x v="16"/>
    <x v="1"/>
  </r>
  <r>
    <x v="19"/>
    <x v="19"/>
    <x v="1"/>
  </r>
  <r>
    <x v="55"/>
    <x v="55"/>
    <x v="1"/>
  </r>
  <r>
    <x v="55"/>
    <x v="55"/>
    <x v="1"/>
  </r>
  <r>
    <x v="55"/>
    <x v="55"/>
    <x v="1"/>
  </r>
  <r>
    <x v="9"/>
    <x v="9"/>
    <x v="1"/>
  </r>
  <r>
    <x v="54"/>
    <x v="56"/>
    <x v="10"/>
  </r>
  <r>
    <x v="56"/>
    <x v="57"/>
    <x v="6"/>
  </r>
  <r>
    <x v="56"/>
    <x v="58"/>
    <x v="2"/>
  </r>
  <r>
    <x v="4"/>
    <x v="4"/>
    <x v="12"/>
  </r>
  <r>
    <x v="25"/>
    <x v="14"/>
    <x v="1"/>
  </r>
  <r>
    <x v="57"/>
    <x v="59"/>
    <x v="3"/>
  </r>
  <r>
    <x v="25"/>
    <x v="14"/>
    <x v="1"/>
  </r>
  <r>
    <x v="49"/>
    <x v="60"/>
    <x v="1"/>
  </r>
  <r>
    <x v="58"/>
    <x v="61"/>
    <x v="1"/>
  </r>
  <r>
    <x v="59"/>
    <x v="62"/>
    <x v="1"/>
  </r>
  <r>
    <x v="60"/>
    <x v="63"/>
    <x v="1"/>
  </r>
  <r>
    <x v="39"/>
    <x v="38"/>
    <x v="6"/>
  </r>
  <r>
    <x v="4"/>
    <x v="4"/>
    <x v="6"/>
  </r>
  <r>
    <x v="40"/>
    <x v="39"/>
    <x v="6"/>
  </r>
  <r>
    <x v="30"/>
    <x v="29"/>
    <x v="6"/>
  </r>
  <r>
    <x v="16"/>
    <x v="16"/>
    <x v="6"/>
  </r>
  <r>
    <x v="11"/>
    <x v="11"/>
    <x v="1"/>
  </r>
  <r>
    <x v="61"/>
    <x v="64"/>
    <x v="1"/>
  </r>
  <r>
    <x v="14"/>
    <x v="14"/>
    <x v="1"/>
  </r>
  <r>
    <x v="55"/>
    <x v="55"/>
    <x v="1"/>
  </r>
  <r>
    <x v="40"/>
    <x v="39"/>
    <x v="1"/>
  </r>
  <r>
    <x v="37"/>
    <x v="36"/>
    <x v="6"/>
  </r>
  <r>
    <x v="48"/>
    <x v="46"/>
    <x v="1"/>
  </r>
  <r>
    <x v="11"/>
    <x v="11"/>
    <x v="1"/>
  </r>
  <r>
    <x v="37"/>
    <x v="36"/>
    <x v="9"/>
  </r>
  <r>
    <x v="62"/>
    <x v="65"/>
    <x v="1"/>
  </r>
  <r>
    <x v="3"/>
    <x v="3"/>
    <x v="6"/>
  </r>
  <r>
    <x v="4"/>
    <x v="4"/>
    <x v="6"/>
  </r>
  <r>
    <x v="8"/>
    <x v="8"/>
    <x v="6"/>
  </r>
  <r>
    <x v="7"/>
    <x v="7"/>
    <x v="6"/>
  </r>
  <r>
    <x v="63"/>
    <x v="66"/>
    <x v="1"/>
  </r>
  <r>
    <x v="64"/>
    <x v="67"/>
    <x v="1"/>
  </r>
  <r>
    <x v="49"/>
    <x v="68"/>
    <x v="1"/>
  </r>
  <r>
    <x v="52"/>
    <x v="52"/>
    <x v="1"/>
  </r>
  <r>
    <x v="14"/>
    <x v="14"/>
    <x v="1"/>
  </r>
  <r>
    <x v="11"/>
    <x v="11"/>
    <x v="1"/>
  </r>
  <r>
    <x v="8"/>
    <x v="8"/>
    <x v="6"/>
  </r>
  <r>
    <x v="10"/>
    <x v="10"/>
    <x v="2"/>
  </r>
  <r>
    <x v="14"/>
    <x v="14"/>
    <x v="1"/>
  </r>
  <r>
    <x v="65"/>
    <x v="69"/>
    <x v="3"/>
  </r>
  <r>
    <x v="66"/>
    <x v="70"/>
    <x v="9"/>
  </r>
  <r>
    <x v="31"/>
    <x v="30"/>
    <x v="11"/>
  </r>
  <r>
    <x v="4"/>
    <x v="4"/>
    <x v="6"/>
  </r>
  <r>
    <x v="25"/>
    <x v="14"/>
    <x v="1"/>
  </r>
  <r>
    <x v="4"/>
    <x v="4"/>
    <x v="1"/>
  </r>
  <r>
    <x v="45"/>
    <x v="9"/>
    <x v="1"/>
  </r>
  <r>
    <x v="3"/>
    <x v="3"/>
    <x v="1"/>
  </r>
  <r>
    <x v="18"/>
    <x v="18"/>
    <x v="1"/>
  </r>
  <r>
    <x v="4"/>
    <x v="4"/>
    <x v="1"/>
  </r>
  <r>
    <x v="40"/>
    <x v="39"/>
    <x v="1"/>
  </r>
  <r>
    <x v="3"/>
    <x v="3"/>
    <x v="1"/>
  </r>
  <r>
    <x v="36"/>
    <x v="35"/>
    <x v="1"/>
  </r>
  <r>
    <x v="4"/>
    <x v="4"/>
    <x v="1"/>
  </r>
  <r>
    <x v="40"/>
    <x v="39"/>
    <x v="1"/>
  </r>
  <r>
    <x v="11"/>
    <x v="11"/>
    <x v="1"/>
  </r>
  <r>
    <x v="9"/>
    <x v="9"/>
    <x v="1"/>
  </r>
  <r>
    <x v="9"/>
    <x v="9"/>
    <x v="1"/>
  </r>
  <r>
    <x v="37"/>
    <x v="36"/>
    <x v="6"/>
  </r>
  <r>
    <x v="11"/>
    <x v="11"/>
    <x v="1"/>
  </r>
  <r>
    <x v="11"/>
    <x v="11"/>
    <x v="1"/>
  </r>
  <r>
    <x v="7"/>
    <x v="7"/>
    <x v="1"/>
  </r>
  <r>
    <x v="67"/>
    <x v="71"/>
    <x v="1"/>
  </r>
  <r>
    <x v="4"/>
    <x v="4"/>
    <x v="2"/>
  </r>
  <r>
    <x v="27"/>
    <x v="26"/>
    <x v="1"/>
  </r>
  <r>
    <x v="68"/>
    <x v="72"/>
    <x v="1"/>
  </r>
  <r>
    <x v="37"/>
    <x v="36"/>
    <x v="1"/>
  </r>
  <r>
    <x v="48"/>
    <x v="46"/>
    <x v="1"/>
  </r>
  <r>
    <x v="1"/>
    <x v="1"/>
    <x v="1"/>
  </r>
  <r>
    <x v="69"/>
    <x v="73"/>
    <x v="3"/>
  </r>
  <r>
    <x v="11"/>
    <x v="11"/>
    <x v="1"/>
  </r>
  <r>
    <x v="39"/>
    <x v="38"/>
    <x v="6"/>
  </r>
  <r>
    <x v="4"/>
    <x v="4"/>
    <x v="6"/>
  </r>
  <r>
    <x v="30"/>
    <x v="29"/>
    <x v="6"/>
  </r>
  <r>
    <x v="40"/>
    <x v="39"/>
    <x v="6"/>
  </r>
  <r>
    <x v="5"/>
    <x v="5"/>
    <x v="6"/>
  </r>
  <r>
    <x v="11"/>
    <x v="11"/>
    <x v="1"/>
  </r>
  <r>
    <x v="11"/>
    <x v="11"/>
    <x v="1"/>
  </r>
  <r>
    <x v="3"/>
    <x v="3"/>
    <x v="2"/>
  </r>
  <r>
    <x v="16"/>
    <x v="16"/>
    <x v="2"/>
  </r>
  <r>
    <x v="4"/>
    <x v="4"/>
    <x v="2"/>
  </r>
  <r>
    <x v="40"/>
    <x v="39"/>
    <x v="2"/>
  </r>
  <r>
    <x v="48"/>
    <x v="46"/>
    <x v="1"/>
  </r>
  <r>
    <x v="10"/>
    <x v="10"/>
    <x v="1"/>
  </r>
  <r>
    <x v="19"/>
    <x v="19"/>
    <x v="6"/>
  </r>
  <r>
    <x v="40"/>
    <x v="39"/>
    <x v="6"/>
  </r>
  <r>
    <x v="12"/>
    <x v="12"/>
    <x v="6"/>
  </r>
  <r>
    <x v="7"/>
    <x v="7"/>
    <x v="6"/>
  </r>
  <r>
    <x v="70"/>
    <x v="74"/>
    <x v="6"/>
  </r>
  <r>
    <x v="49"/>
    <x v="75"/>
    <x v="1"/>
  </r>
  <r>
    <x v="71"/>
    <x v="76"/>
    <x v="1"/>
  </r>
  <r>
    <x v="49"/>
    <x v="77"/>
    <x v="1"/>
  </r>
  <r>
    <x v="58"/>
    <x v="61"/>
    <x v="1"/>
  </r>
  <r>
    <x v="49"/>
    <x v="78"/>
    <x v="1"/>
  </r>
  <r>
    <x v="72"/>
    <x v="79"/>
    <x v="10"/>
  </r>
  <r>
    <x v="73"/>
    <x v="80"/>
    <x v="13"/>
  </r>
  <r>
    <x v="74"/>
    <x v="81"/>
    <x v="9"/>
  </r>
  <r>
    <x v="75"/>
    <x v="82"/>
    <x v="10"/>
  </r>
  <r>
    <x v="65"/>
    <x v="69"/>
    <x v="6"/>
  </r>
  <r>
    <x v="76"/>
    <x v="83"/>
    <x v="1"/>
  </r>
  <r>
    <x v="14"/>
    <x v="14"/>
    <x v="1"/>
  </r>
  <r>
    <x v="77"/>
    <x v="14"/>
    <x v="1"/>
  </r>
  <r>
    <x v="7"/>
    <x v="7"/>
    <x v="11"/>
  </r>
  <r>
    <x v="9"/>
    <x v="9"/>
    <x v="1"/>
  </r>
  <r>
    <x v="9"/>
    <x v="9"/>
    <x v="6"/>
  </r>
  <r>
    <x v="2"/>
    <x v="2"/>
    <x v="1"/>
  </r>
  <r>
    <x v="37"/>
    <x v="36"/>
    <x v="1"/>
  </r>
  <r>
    <x v="37"/>
    <x v="36"/>
    <x v="1"/>
  </r>
  <r>
    <x v="11"/>
    <x v="11"/>
    <x v="1"/>
  </r>
  <r>
    <x v="11"/>
    <x v="11"/>
    <x v="10"/>
  </r>
  <r>
    <x v="3"/>
    <x v="3"/>
    <x v="6"/>
  </r>
  <r>
    <x v="4"/>
    <x v="4"/>
    <x v="6"/>
  </r>
  <r>
    <x v="16"/>
    <x v="16"/>
    <x v="6"/>
  </r>
  <r>
    <x v="40"/>
    <x v="39"/>
    <x v="6"/>
  </r>
  <r>
    <x v="11"/>
    <x v="11"/>
    <x v="1"/>
  </r>
  <r>
    <x v="14"/>
    <x v="14"/>
    <x v="1"/>
  </r>
  <r>
    <x v="48"/>
    <x v="46"/>
    <x v="1"/>
  </r>
  <r>
    <x v="16"/>
    <x v="16"/>
    <x v="1"/>
  </r>
  <r>
    <x v="37"/>
    <x v="36"/>
    <x v="1"/>
  </r>
  <r>
    <x v="1"/>
    <x v="1"/>
    <x v="1"/>
  </r>
  <r>
    <x v="37"/>
    <x v="36"/>
    <x v="1"/>
  </r>
  <r>
    <x v="11"/>
    <x v="11"/>
    <x v="6"/>
  </r>
  <r>
    <x v="37"/>
    <x v="36"/>
    <x v="1"/>
  </r>
  <r>
    <x v="78"/>
    <x v="14"/>
    <x v="1"/>
  </r>
  <r>
    <x v="20"/>
    <x v="20"/>
    <x v="11"/>
  </r>
  <r>
    <x v="25"/>
    <x v="14"/>
    <x v="1"/>
  </r>
  <r>
    <x v="37"/>
    <x v="36"/>
    <x v="10"/>
  </r>
  <r>
    <x v="11"/>
    <x v="11"/>
    <x v="6"/>
  </r>
  <r>
    <x v="1"/>
    <x v="1"/>
    <x v="1"/>
  </r>
  <r>
    <x v="3"/>
    <x v="3"/>
    <x v="6"/>
  </r>
  <r>
    <x v="5"/>
    <x v="5"/>
    <x v="6"/>
  </r>
  <r>
    <x v="47"/>
    <x v="45"/>
    <x v="2"/>
  </r>
  <r>
    <x v="79"/>
    <x v="84"/>
    <x v="6"/>
  </r>
  <r>
    <x v="4"/>
    <x v="4"/>
    <x v="6"/>
  </r>
  <r>
    <x v="40"/>
    <x v="39"/>
    <x v="6"/>
  </r>
  <r>
    <x v="45"/>
    <x v="9"/>
    <x v="1"/>
  </r>
  <r>
    <x v="80"/>
    <x v="85"/>
    <x v="6"/>
  </r>
  <r>
    <x v="81"/>
    <x v="86"/>
    <x v="6"/>
  </r>
  <r>
    <x v="41"/>
    <x v="40"/>
    <x v="6"/>
  </r>
  <r>
    <x v="49"/>
    <x v="87"/>
    <x v="1"/>
  </r>
  <r>
    <x v="82"/>
    <x v="88"/>
    <x v="2"/>
  </r>
  <r>
    <x v="12"/>
    <x v="12"/>
    <x v="14"/>
  </r>
  <r>
    <x v="7"/>
    <x v="7"/>
    <x v="14"/>
  </r>
  <r>
    <x v="80"/>
    <x v="85"/>
    <x v="2"/>
  </r>
  <r>
    <x v="17"/>
    <x v="17"/>
    <x v="6"/>
  </r>
  <r>
    <x v="81"/>
    <x v="86"/>
    <x v="3"/>
  </r>
  <r>
    <x v="41"/>
    <x v="40"/>
    <x v="2"/>
  </r>
  <r>
    <x v="17"/>
    <x v="17"/>
    <x v="2"/>
  </r>
  <r>
    <x v="10"/>
    <x v="10"/>
    <x v="1"/>
  </r>
  <r>
    <x v="3"/>
    <x v="3"/>
    <x v="6"/>
  </r>
  <r>
    <x v="16"/>
    <x v="16"/>
    <x v="6"/>
  </r>
  <r>
    <x v="47"/>
    <x v="45"/>
    <x v="2"/>
  </r>
  <r>
    <x v="4"/>
    <x v="4"/>
    <x v="6"/>
  </r>
  <r>
    <x v="40"/>
    <x v="39"/>
    <x v="6"/>
  </r>
  <r>
    <x v="26"/>
    <x v="25"/>
    <x v="6"/>
  </r>
  <r>
    <x v="7"/>
    <x v="7"/>
    <x v="6"/>
  </r>
  <r>
    <x v="45"/>
    <x v="9"/>
    <x v="1"/>
  </r>
  <r>
    <x v="8"/>
    <x v="8"/>
    <x v="1"/>
  </r>
  <r>
    <x v="7"/>
    <x v="7"/>
    <x v="1"/>
  </r>
  <r>
    <x v="66"/>
    <x v="70"/>
    <x v="6"/>
  </r>
  <r>
    <x v="62"/>
    <x v="65"/>
    <x v="1"/>
  </r>
  <r>
    <x v="4"/>
    <x v="4"/>
    <x v="1"/>
  </r>
  <r>
    <x v="37"/>
    <x v="36"/>
    <x v="9"/>
  </r>
  <r>
    <x v="6"/>
    <x v="89"/>
    <x v="2"/>
  </r>
  <r>
    <x v="5"/>
    <x v="5"/>
    <x v="15"/>
  </r>
  <r>
    <x v="4"/>
    <x v="4"/>
    <x v="2"/>
  </r>
  <r>
    <x v="8"/>
    <x v="8"/>
    <x v="15"/>
  </r>
  <r>
    <x v="7"/>
    <x v="7"/>
    <x v="15"/>
  </r>
  <r>
    <x v="10"/>
    <x v="10"/>
    <x v="1"/>
  </r>
  <r>
    <x v="83"/>
    <x v="90"/>
    <x v="1"/>
  </r>
  <r>
    <x v="14"/>
    <x v="14"/>
    <x v="1"/>
  </r>
  <r>
    <x v="84"/>
    <x v="91"/>
    <x v="16"/>
  </r>
  <r>
    <x v="85"/>
    <x v="92"/>
    <x v="17"/>
  </r>
  <r>
    <x v="14"/>
    <x v="14"/>
    <x v="1"/>
  </r>
  <r>
    <x v="29"/>
    <x v="28"/>
    <x v="2"/>
  </r>
  <r>
    <x v="7"/>
    <x v="7"/>
    <x v="10"/>
  </r>
  <r>
    <x v="10"/>
    <x v="10"/>
    <x v="1"/>
  </r>
  <r>
    <x v="10"/>
    <x v="10"/>
    <x v="1"/>
  </r>
  <r>
    <x v="5"/>
    <x v="5"/>
    <x v="6"/>
  </r>
  <r>
    <x v="12"/>
    <x v="12"/>
    <x v="1"/>
  </r>
  <r>
    <x v="7"/>
    <x v="7"/>
    <x v="1"/>
  </r>
  <r>
    <x v="1"/>
    <x v="1"/>
    <x v="3"/>
  </r>
  <r>
    <x v="2"/>
    <x v="2"/>
    <x v="1"/>
  </r>
  <r>
    <x v="11"/>
    <x v="11"/>
    <x v="1"/>
  </r>
  <r>
    <x v="27"/>
    <x v="26"/>
    <x v="6"/>
  </r>
  <r>
    <x v="28"/>
    <x v="27"/>
    <x v="7"/>
  </r>
  <r>
    <x v="8"/>
    <x v="8"/>
    <x v="6"/>
  </r>
  <r>
    <x v="5"/>
    <x v="5"/>
    <x v="1"/>
  </r>
  <r>
    <x v="27"/>
    <x v="26"/>
    <x v="6"/>
  </r>
  <r>
    <x v="39"/>
    <x v="38"/>
    <x v="14"/>
  </r>
  <r>
    <x v="16"/>
    <x v="16"/>
    <x v="14"/>
  </r>
  <r>
    <x v="4"/>
    <x v="4"/>
    <x v="14"/>
  </r>
  <r>
    <x v="30"/>
    <x v="29"/>
    <x v="14"/>
  </r>
  <r>
    <x v="8"/>
    <x v="8"/>
    <x v="14"/>
  </r>
  <r>
    <x v="7"/>
    <x v="7"/>
    <x v="14"/>
  </r>
  <r>
    <x v="19"/>
    <x v="19"/>
    <x v="14"/>
  </r>
  <r>
    <x v="20"/>
    <x v="20"/>
    <x v="14"/>
  </r>
  <r>
    <x v="29"/>
    <x v="28"/>
    <x v="14"/>
  </r>
  <r>
    <x v="86"/>
    <x v="93"/>
    <x v="1"/>
  </r>
  <r>
    <x v="6"/>
    <x v="89"/>
    <x v="1"/>
  </r>
  <r>
    <x v="4"/>
    <x v="4"/>
    <x v="1"/>
  </r>
  <r>
    <x v="14"/>
    <x v="14"/>
    <x v="1"/>
  </r>
  <r>
    <x v="4"/>
    <x v="4"/>
    <x v="1"/>
  </r>
  <r>
    <x v="8"/>
    <x v="8"/>
    <x v="9"/>
  </r>
  <r>
    <x v="45"/>
    <x v="9"/>
    <x v="6"/>
  </r>
  <r>
    <x v="87"/>
    <x v="3"/>
    <x v="6"/>
  </r>
  <r>
    <x v="18"/>
    <x v="18"/>
    <x v="6"/>
  </r>
  <r>
    <x v="4"/>
    <x v="4"/>
    <x v="6"/>
  </r>
  <r>
    <x v="40"/>
    <x v="39"/>
    <x v="6"/>
  </r>
  <r>
    <x v="45"/>
    <x v="9"/>
    <x v="1"/>
  </r>
  <r>
    <x v="88"/>
    <x v="94"/>
    <x v="15"/>
  </r>
  <r>
    <x v="89"/>
    <x v="95"/>
    <x v="15"/>
  </r>
  <r>
    <x v="90"/>
    <x v="96"/>
    <x v="15"/>
  </r>
  <r>
    <x v="50"/>
    <x v="48"/>
    <x v="1"/>
  </r>
  <r>
    <x v="11"/>
    <x v="11"/>
    <x v="6"/>
  </r>
  <r>
    <x v="14"/>
    <x v="14"/>
    <x v="1"/>
  </r>
</pivotCacheRecords>
</file>

<file path=xl/pivotCache/pivotCacheRecords31.xml><?xml version="1.0" encoding="utf-8"?>
<pivotCacheRecords xmlns:r="http://schemas.openxmlformats.org/officeDocument/2006/relationships" xmlns="http://schemas.openxmlformats.org/spreadsheetml/2006/main" count="333">
  <r>
    <x v="0"/>
    <x v="0"/>
    <x v="0"/>
    <x v="0"/>
    <x v="0"/>
  </r>
  <r>
    <x v="1"/>
    <x v="1"/>
    <x v="1"/>
    <x v="1"/>
    <x v="1"/>
  </r>
  <r>
    <x v="1"/>
    <x v="1"/>
    <x v="1"/>
    <x v="1"/>
    <x v="1"/>
  </r>
  <r>
    <x v="2"/>
    <x v="2"/>
    <x v="1"/>
    <x v="2"/>
    <x v="2"/>
  </r>
  <r>
    <x v="3"/>
    <x v="3"/>
    <x v="2"/>
    <x v="3"/>
    <x v="3"/>
  </r>
  <r>
    <x v="4"/>
    <x v="4"/>
    <x v="2"/>
    <x v="0"/>
    <x v="0"/>
  </r>
  <r>
    <x v="5"/>
    <x v="5"/>
    <x v="2"/>
    <x v="4"/>
    <x v="4"/>
  </r>
  <r>
    <x v="6"/>
    <x v="6"/>
    <x v="3"/>
    <x v="5"/>
    <x v="5"/>
  </r>
  <r>
    <x v="4"/>
    <x v="4"/>
    <x v="3"/>
    <x v="0"/>
    <x v="0"/>
  </r>
  <r>
    <x v="5"/>
    <x v="5"/>
    <x v="4"/>
    <x v="4"/>
    <x v="6"/>
  </r>
  <r>
    <x v="7"/>
    <x v="7"/>
    <x v="5"/>
    <x v="0"/>
    <x v="0"/>
  </r>
  <r>
    <x v="8"/>
    <x v="8"/>
    <x v="5"/>
    <x v="0"/>
    <x v="0"/>
  </r>
  <r>
    <x v="9"/>
    <x v="9"/>
    <x v="6"/>
    <x v="6"/>
    <x v="7"/>
  </r>
  <r>
    <x v="10"/>
    <x v="10"/>
    <x v="7"/>
    <x v="7"/>
    <x v="8"/>
  </r>
  <r>
    <x v="11"/>
    <x v="11"/>
    <x v="3"/>
    <x v="8"/>
    <x v="9"/>
  </r>
  <r>
    <x v="12"/>
    <x v="12"/>
    <x v="3"/>
    <x v="9"/>
    <x v="10"/>
  </r>
  <r>
    <x v="13"/>
    <x v="13"/>
    <x v="1"/>
    <x v="10"/>
    <x v="11"/>
  </r>
  <r>
    <x v="14"/>
    <x v="14"/>
    <x v="1"/>
    <x v="11"/>
    <x v="12"/>
  </r>
  <r>
    <x v="15"/>
    <x v="15"/>
    <x v="8"/>
    <x v="12"/>
    <x v="13"/>
  </r>
  <r>
    <x v="16"/>
    <x v="16"/>
    <x v="2"/>
    <x v="13"/>
    <x v="14"/>
  </r>
  <r>
    <x v="17"/>
    <x v="17"/>
    <x v="2"/>
    <x v="13"/>
    <x v="14"/>
  </r>
  <r>
    <x v="18"/>
    <x v="18"/>
    <x v="1"/>
    <x v="14"/>
    <x v="15"/>
  </r>
  <r>
    <x v="19"/>
    <x v="19"/>
    <x v="3"/>
    <x v="15"/>
    <x v="16"/>
  </r>
  <r>
    <x v="20"/>
    <x v="20"/>
    <x v="3"/>
    <x v="16"/>
    <x v="17"/>
  </r>
  <r>
    <x v="21"/>
    <x v="21"/>
    <x v="9"/>
    <x v="17"/>
    <x v="18"/>
  </r>
  <r>
    <x v="22"/>
    <x v="22"/>
    <x v="9"/>
    <x v="18"/>
    <x v="19"/>
  </r>
  <r>
    <x v="23"/>
    <x v="23"/>
    <x v="9"/>
    <x v="0"/>
    <x v="0"/>
  </r>
  <r>
    <x v="24"/>
    <x v="24"/>
    <x v="9"/>
    <x v="0"/>
    <x v="0"/>
  </r>
  <r>
    <x v="25"/>
    <x v="14"/>
    <x v="1"/>
    <x v="19"/>
    <x v="20"/>
  </r>
  <r>
    <x v="11"/>
    <x v="11"/>
    <x v="1"/>
    <x v="20"/>
    <x v="21"/>
  </r>
  <r>
    <x v="26"/>
    <x v="25"/>
    <x v="1"/>
    <x v="21"/>
    <x v="22"/>
  </r>
  <r>
    <x v="7"/>
    <x v="7"/>
    <x v="1"/>
    <x v="22"/>
    <x v="23"/>
  </r>
  <r>
    <x v="12"/>
    <x v="12"/>
    <x v="6"/>
    <x v="23"/>
    <x v="24"/>
  </r>
  <r>
    <x v="7"/>
    <x v="7"/>
    <x v="6"/>
    <x v="22"/>
    <x v="25"/>
  </r>
  <r>
    <x v="27"/>
    <x v="26"/>
    <x v="1"/>
    <x v="24"/>
    <x v="26"/>
  </r>
  <r>
    <x v="28"/>
    <x v="27"/>
    <x v="2"/>
    <x v="25"/>
    <x v="27"/>
  </r>
  <r>
    <x v="29"/>
    <x v="28"/>
    <x v="2"/>
    <x v="15"/>
    <x v="28"/>
  </r>
  <r>
    <x v="29"/>
    <x v="28"/>
    <x v="10"/>
    <x v="15"/>
    <x v="29"/>
  </r>
  <r>
    <x v="26"/>
    <x v="25"/>
    <x v="6"/>
    <x v="21"/>
    <x v="30"/>
  </r>
  <r>
    <x v="7"/>
    <x v="7"/>
    <x v="6"/>
    <x v="22"/>
    <x v="25"/>
  </r>
  <r>
    <x v="19"/>
    <x v="19"/>
    <x v="2"/>
    <x v="15"/>
    <x v="28"/>
  </r>
  <r>
    <x v="20"/>
    <x v="20"/>
    <x v="2"/>
    <x v="16"/>
    <x v="31"/>
  </r>
  <r>
    <x v="30"/>
    <x v="29"/>
    <x v="6"/>
    <x v="15"/>
    <x v="32"/>
  </r>
  <r>
    <x v="31"/>
    <x v="30"/>
    <x v="11"/>
    <x v="26"/>
    <x v="33"/>
  </r>
  <r>
    <x v="8"/>
    <x v="8"/>
    <x v="1"/>
    <x v="22"/>
    <x v="23"/>
  </r>
  <r>
    <x v="12"/>
    <x v="12"/>
    <x v="1"/>
    <x v="23"/>
    <x v="34"/>
  </r>
  <r>
    <x v="7"/>
    <x v="7"/>
    <x v="1"/>
    <x v="22"/>
    <x v="23"/>
  </r>
  <r>
    <x v="26"/>
    <x v="25"/>
    <x v="1"/>
    <x v="21"/>
    <x v="22"/>
  </r>
  <r>
    <x v="7"/>
    <x v="7"/>
    <x v="1"/>
    <x v="22"/>
    <x v="23"/>
  </r>
  <r>
    <x v="32"/>
    <x v="31"/>
    <x v="6"/>
    <x v="0"/>
    <x v="0"/>
  </r>
  <r>
    <x v="33"/>
    <x v="32"/>
    <x v="6"/>
    <x v="27"/>
    <x v="35"/>
  </r>
  <r>
    <x v="34"/>
    <x v="33"/>
    <x v="11"/>
    <x v="0"/>
    <x v="0"/>
  </r>
  <r>
    <x v="35"/>
    <x v="34"/>
    <x v="7"/>
    <x v="28"/>
    <x v="36"/>
  </r>
  <r>
    <x v="14"/>
    <x v="14"/>
    <x v="1"/>
    <x v="29"/>
    <x v="37"/>
  </r>
  <r>
    <x v="36"/>
    <x v="35"/>
    <x v="9"/>
    <x v="30"/>
    <x v="38"/>
  </r>
  <r>
    <x v="14"/>
    <x v="14"/>
    <x v="1"/>
    <x v="31"/>
    <x v="39"/>
  </r>
  <r>
    <x v="8"/>
    <x v="8"/>
    <x v="9"/>
    <x v="22"/>
    <x v="40"/>
  </r>
  <r>
    <x v="37"/>
    <x v="36"/>
    <x v="1"/>
    <x v="21"/>
    <x v="22"/>
  </r>
  <r>
    <x v="38"/>
    <x v="37"/>
    <x v="1"/>
    <x v="32"/>
    <x v="41"/>
  </r>
  <r>
    <x v="28"/>
    <x v="27"/>
    <x v="7"/>
    <x v="25"/>
    <x v="42"/>
  </r>
  <r>
    <x v="4"/>
    <x v="4"/>
    <x v="1"/>
    <x v="16"/>
    <x v="43"/>
  </r>
  <r>
    <x v="39"/>
    <x v="38"/>
    <x v="6"/>
    <x v="33"/>
    <x v="44"/>
  </r>
  <r>
    <x v="4"/>
    <x v="4"/>
    <x v="6"/>
    <x v="0"/>
    <x v="0"/>
  </r>
  <r>
    <x v="30"/>
    <x v="29"/>
    <x v="6"/>
    <x v="0"/>
    <x v="0"/>
  </r>
  <r>
    <x v="40"/>
    <x v="39"/>
    <x v="6"/>
    <x v="0"/>
    <x v="0"/>
  </r>
  <r>
    <x v="16"/>
    <x v="16"/>
    <x v="6"/>
    <x v="0"/>
    <x v="0"/>
  </r>
  <r>
    <x v="4"/>
    <x v="4"/>
    <x v="1"/>
    <x v="16"/>
    <x v="43"/>
  </r>
  <r>
    <x v="41"/>
    <x v="40"/>
    <x v="6"/>
    <x v="34"/>
    <x v="45"/>
  </r>
  <r>
    <x v="42"/>
    <x v="41"/>
    <x v="6"/>
    <x v="14"/>
    <x v="46"/>
  </r>
  <r>
    <x v="9"/>
    <x v="9"/>
    <x v="1"/>
    <x v="35"/>
    <x v="47"/>
  </r>
  <r>
    <x v="43"/>
    <x v="42"/>
    <x v="1"/>
    <x v="15"/>
    <x v="48"/>
  </r>
  <r>
    <x v="14"/>
    <x v="14"/>
    <x v="1"/>
    <x v="36"/>
    <x v="49"/>
  </r>
  <r>
    <x v="44"/>
    <x v="43"/>
    <x v="6"/>
    <x v="37"/>
    <x v="50"/>
  </r>
  <r>
    <x v="14"/>
    <x v="14"/>
    <x v="1"/>
    <x v="38"/>
    <x v="51"/>
  </r>
  <r>
    <x v="4"/>
    <x v="4"/>
    <x v="1"/>
    <x v="16"/>
    <x v="43"/>
  </r>
  <r>
    <x v="4"/>
    <x v="4"/>
    <x v="2"/>
    <x v="16"/>
    <x v="31"/>
  </r>
  <r>
    <x v="45"/>
    <x v="9"/>
    <x v="1"/>
    <x v="20"/>
    <x v="21"/>
  </r>
  <r>
    <x v="11"/>
    <x v="11"/>
    <x v="1"/>
    <x v="20"/>
    <x v="21"/>
  </r>
  <r>
    <x v="46"/>
    <x v="44"/>
    <x v="6"/>
    <x v="39"/>
    <x v="52"/>
  </r>
  <r>
    <x v="47"/>
    <x v="45"/>
    <x v="6"/>
    <x v="0"/>
    <x v="0"/>
  </r>
  <r>
    <x v="16"/>
    <x v="16"/>
    <x v="6"/>
    <x v="13"/>
    <x v="53"/>
  </r>
  <r>
    <x v="9"/>
    <x v="9"/>
    <x v="1"/>
    <x v="40"/>
    <x v="54"/>
  </r>
  <r>
    <x v="48"/>
    <x v="46"/>
    <x v="1"/>
    <x v="41"/>
    <x v="55"/>
  </r>
  <r>
    <x v="12"/>
    <x v="12"/>
    <x v="1"/>
    <x v="23"/>
    <x v="34"/>
  </r>
  <r>
    <x v="7"/>
    <x v="7"/>
    <x v="1"/>
    <x v="22"/>
    <x v="23"/>
  </r>
  <r>
    <x v="8"/>
    <x v="8"/>
    <x v="6"/>
    <x v="22"/>
    <x v="25"/>
  </r>
  <r>
    <x v="37"/>
    <x v="36"/>
    <x v="6"/>
    <x v="21"/>
    <x v="30"/>
  </r>
  <r>
    <x v="37"/>
    <x v="36"/>
    <x v="6"/>
    <x v="21"/>
    <x v="30"/>
  </r>
  <r>
    <x v="49"/>
    <x v="47"/>
    <x v="1"/>
    <x v="0"/>
    <x v="0"/>
  </r>
  <r>
    <x v="50"/>
    <x v="48"/>
    <x v="1"/>
    <x v="0"/>
    <x v="0"/>
  </r>
  <r>
    <x v="3"/>
    <x v="3"/>
    <x v="9"/>
    <x v="42"/>
    <x v="3"/>
  </r>
  <r>
    <x v="4"/>
    <x v="4"/>
    <x v="9"/>
    <x v="0"/>
    <x v="0"/>
  </r>
  <r>
    <x v="8"/>
    <x v="8"/>
    <x v="9"/>
    <x v="0"/>
    <x v="0"/>
  </r>
  <r>
    <x v="7"/>
    <x v="7"/>
    <x v="9"/>
    <x v="0"/>
    <x v="0"/>
  </r>
  <r>
    <x v="5"/>
    <x v="49"/>
    <x v="9"/>
    <x v="43"/>
    <x v="4"/>
  </r>
  <r>
    <x v="11"/>
    <x v="11"/>
    <x v="1"/>
    <x v="20"/>
    <x v="21"/>
  </r>
  <r>
    <x v="12"/>
    <x v="12"/>
    <x v="9"/>
    <x v="23"/>
    <x v="56"/>
  </r>
  <r>
    <x v="46"/>
    <x v="44"/>
    <x v="1"/>
    <x v="39"/>
    <x v="57"/>
  </r>
  <r>
    <x v="47"/>
    <x v="45"/>
    <x v="1"/>
    <x v="0"/>
    <x v="0"/>
  </r>
  <r>
    <x v="51"/>
    <x v="50"/>
    <x v="10"/>
    <x v="44"/>
    <x v="58"/>
  </r>
  <r>
    <x v="51"/>
    <x v="51"/>
    <x v="1"/>
    <x v="0"/>
    <x v="0"/>
  </r>
  <r>
    <x v="14"/>
    <x v="14"/>
    <x v="1"/>
    <x v="45"/>
    <x v="59"/>
  </r>
  <r>
    <x v="52"/>
    <x v="52"/>
    <x v="1"/>
    <x v="46"/>
    <x v="60"/>
  </r>
  <r>
    <x v="14"/>
    <x v="14"/>
    <x v="1"/>
    <x v="47"/>
    <x v="61"/>
  </r>
  <r>
    <x v="12"/>
    <x v="12"/>
    <x v="2"/>
    <x v="23"/>
    <x v="62"/>
  </r>
  <r>
    <x v="7"/>
    <x v="7"/>
    <x v="2"/>
    <x v="22"/>
    <x v="63"/>
  </r>
  <r>
    <x v="8"/>
    <x v="8"/>
    <x v="2"/>
    <x v="22"/>
    <x v="63"/>
  </r>
  <r>
    <x v="53"/>
    <x v="53"/>
    <x v="6"/>
    <x v="48"/>
    <x v="64"/>
  </r>
  <r>
    <x v="54"/>
    <x v="54"/>
    <x v="1"/>
    <x v="49"/>
    <x v="6"/>
  </r>
  <r>
    <x v="4"/>
    <x v="4"/>
    <x v="1"/>
    <x v="0"/>
    <x v="0"/>
  </r>
  <r>
    <x v="14"/>
    <x v="14"/>
    <x v="1"/>
    <x v="50"/>
    <x v="65"/>
  </r>
  <r>
    <x v="10"/>
    <x v="10"/>
    <x v="6"/>
    <x v="51"/>
    <x v="66"/>
  </r>
  <r>
    <x v="16"/>
    <x v="16"/>
    <x v="1"/>
    <x v="13"/>
    <x v="67"/>
  </r>
  <r>
    <x v="19"/>
    <x v="19"/>
    <x v="1"/>
    <x v="15"/>
    <x v="48"/>
  </r>
  <r>
    <x v="55"/>
    <x v="55"/>
    <x v="1"/>
    <x v="52"/>
    <x v="68"/>
  </r>
  <r>
    <x v="55"/>
    <x v="55"/>
    <x v="1"/>
    <x v="52"/>
    <x v="68"/>
  </r>
  <r>
    <x v="55"/>
    <x v="55"/>
    <x v="1"/>
    <x v="52"/>
    <x v="68"/>
  </r>
  <r>
    <x v="9"/>
    <x v="9"/>
    <x v="1"/>
    <x v="40"/>
    <x v="54"/>
  </r>
  <r>
    <x v="54"/>
    <x v="56"/>
    <x v="10"/>
    <x v="49"/>
    <x v="69"/>
  </r>
  <r>
    <x v="56"/>
    <x v="57"/>
    <x v="6"/>
    <x v="53"/>
    <x v="70"/>
  </r>
  <r>
    <x v="56"/>
    <x v="58"/>
    <x v="2"/>
    <x v="53"/>
    <x v="71"/>
  </r>
  <r>
    <x v="4"/>
    <x v="4"/>
    <x v="12"/>
    <x v="0"/>
    <x v="0"/>
  </r>
  <r>
    <x v="25"/>
    <x v="14"/>
    <x v="1"/>
    <x v="54"/>
    <x v="50"/>
  </r>
  <r>
    <x v="57"/>
    <x v="59"/>
    <x v="3"/>
    <x v="55"/>
    <x v="4"/>
  </r>
  <r>
    <x v="25"/>
    <x v="14"/>
    <x v="1"/>
    <x v="56"/>
    <x v="72"/>
  </r>
  <r>
    <x v="49"/>
    <x v="60"/>
    <x v="1"/>
    <x v="0"/>
    <x v="0"/>
  </r>
  <r>
    <x v="58"/>
    <x v="61"/>
    <x v="1"/>
    <x v="0"/>
    <x v="0"/>
  </r>
  <r>
    <x v="59"/>
    <x v="62"/>
    <x v="1"/>
    <x v="0"/>
    <x v="0"/>
  </r>
  <r>
    <x v="60"/>
    <x v="63"/>
    <x v="1"/>
    <x v="0"/>
    <x v="0"/>
  </r>
  <r>
    <x v="39"/>
    <x v="38"/>
    <x v="6"/>
    <x v="57"/>
    <x v="73"/>
  </r>
  <r>
    <x v="4"/>
    <x v="4"/>
    <x v="6"/>
    <x v="0"/>
    <x v="0"/>
  </r>
  <r>
    <x v="40"/>
    <x v="39"/>
    <x v="6"/>
    <x v="0"/>
    <x v="0"/>
  </r>
  <r>
    <x v="30"/>
    <x v="29"/>
    <x v="6"/>
    <x v="0"/>
    <x v="0"/>
  </r>
  <r>
    <x v="16"/>
    <x v="16"/>
    <x v="6"/>
    <x v="0"/>
    <x v="0"/>
  </r>
  <r>
    <x v="11"/>
    <x v="11"/>
    <x v="1"/>
    <x v="8"/>
    <x v="74"/>
  </r>
  <r>
    <x v="61"/>
    <x v="64"/>
    <x v="1"/>
    <x v="58"/>
    <x v="75"/>
  </r>
  <r>
    <x v="14"/>
    <x v="14"/>
    <x v="1"/>
    <x v="59"/>
    <x v="76"/>
  </r>
  <r>
    <x v="55"/>
    <x v="55"/>
    <x v="1"/>
    <x v="52"/>
    <x v="68"/>
  </r>
  <r>
    <x v="40"/>
    <x v="39"/>
    <x v="1"/>
    <x v="38"/>
    <x v="51"/>
  </r>
  <r>
    <x v="37"/>
    <x v="36"/>
    <x v="6"/>
    <x v="21"/>
    <x v="30"/>
  </r>
  <r>
    <x v="48"/>
    <x v="46"/>
    <x v="1"/>
    <x v="41"/>
    <x v="55"/>
  </r>
  <r>
    <x v="11"/>
    <x v="11"/>
    <x v="1"/>
    <x v="20"/>
    <x v="21"/>
  </r>
  <r>
    <x v="37"/>
    <x v="36"/>
    <x v="9"/>
    <x v="21"/>
    <x v="77"/>
  </r>
  <r>
    <x v="62"/>
    <x v="65"/>
    <x v="1"/>
    <x v="60"/>
    <x v="78"/>
  </r>
  <r>
    <x v="3"/>
    <x v="3"/>
    <x v="6"/>
    <x v="61"/>
    <x v="79"/>
  </r>
  <r>
    <x v="4"/>
    <x v="4"/>
    <x v="6"/>
    <x v="0"/>
    <x v="0"/>
  </r>
  <r>
    <x v="8"/>
    <x v="8"/>
    <x v="6"/>
    <x v="0"/>
    <x v="0"/>
  </r>
  <r>
    <x v="7"/>
    <x v="7"/>
    <x v="6"/>
    <x v="0"/>
    <x v="0"/>
  </r>
  <r>
    <x v="63"/>
    <x v="66"/>
    <x v="1"/>
    <x v="0"/>
    <x v="0"/>
  </r>
  <r>
    <x v="64"/>
    <x v="67"/>
    <x v="1"/>
    <x v="0"/>
    <x v="0"/>
  </r>
  <r>
    <x v="49"/>
    <x v="68"/>
    <x v="1"/>
    <x v="43"/>
    <x v="80"/>
  </r>
  <r>
    <x v="52"/>
    <x v="52"/>
    <x v="1"/>
    <x v="0"/>
    <x v="0"/>
  </r>
  <r>
    <x v="14"/>
    <x v="14"/>
    <x v="1"/>
    <x v="62"/>
    <x v="81"/>
  </r>
  <r>
    <x v="11"/>
    <x v="11"/>
    <x v="1"/>
    <x v="20"/>
    <x v="21"/>
  </r>
  <r>
    <x v="8"/>
    <x v="8"/>
    <x v="6"/>
    <x v="22"/>
    <x v="25"/>
  </r>
  <r>
    <x v="10"/>
    <x v="10"/>
    <x v="2"/>
    <x v="7"/>
    <x v="82"/>
  </r>
  <r>
    <x v="14"/>
    <x v="14"/>
    <x v="1"/>
    <x v="63"/>
    <x v="83"/>
  </r>
  <r>
    <x v="65"/>
    <x v="69"/>
    <x v="3"/>
    <x v="64"/>
    <x v="84"/>
  </r>
  <r>
    <x v="66"/>
    <x v="70"/>
    <x v="9"/>
    <x v="0"/>
    <x v="0"/>
  </r>
  <r>
    <x v="31"/>
    <x v="30"/>
    <x v="11"/>
    <x v="0"/>
    <x v="0"/>
  </r>
  <r>
    <x v="4"/>
    <x v="4"/>
    <x v="6"/>
    <x v="65"/>
    <x v="85"/>
  </r>
  <r>
    <x v="25"/>
    <x v="14"/>
    <x v="1"/>
    <x v="18"/>
    <x v="86"/>
  </r>
  <r>
    <x v="4"/>
    <x v="4"/>
    <x v="1"/>
    <x v="16"/>
    <x v="43"/>
  </r>
  <r>
    <x v="45"/>
    <x v="9"/>
    <x v="1"/>
    <x v="20"/>
    <x v="21"/>
  </r>
  <r>
    <x v="3"/>
    <x v="3"/>
    <x v="1"/>
    <x v="42"/>
    <x v="87"/>
  </r>
  <r>
    <x v="18"/>
    <x v="18"/>
    <x v="1"/>
    <x v="66"/>
    <x v="88"/>
  </r>
  <r>
    <x v="4"/>
    <x v="4"/>
    <x v="1"/>
    <x v="0"/>
    <x v="0"/>
  </r>
  <r>
    <x v="40"/>
    <x v="39"/>
    <x v="1"/>
    <x v="0"/>
    <x v="0"/>
  </r>
  <r>
    <x v="3"/>
    <x v="3"/>
    <x v="1"/>
    <x v="42"/>
    <x v="87"/>
  </r>
  <r>
    <x v="36"/>
    <x v="35"/>
    <x v="1"/>
    <x v="67"/>
    <x v="89"/>
  </r>
  <r>
    <x v="4"/>
    <x v="4"/>
    <x v="1"/>
    <x v="0"/>
    <x v="0"/>
  </r>
  <r>
    <x v="40"/>
    <x v="39"/>
    <x v="1"/>
    <x v="0"/>
    <x v="0"/>
  </r>
  <r>
    <x v="11"/>
    <x v="11"/>
    <x v="1"/>
    <x v="20"/>
    <x v="21"/>
  </r>
  <r>
    <x v="9"/>
    <x v="9"/>
    <x v="1"/>
    <x v="40"/>
    <x v="54"/>
  </r>
  <r>
    <x v="9"/>
    <x v="9"/>
    <x v="1"/>
    <x v="40"/>
    <x v="54"/>
  </r>
  <r>
    <x v="37"/>
    <x v="36"/>
    <x v="6"/>
    <x v="21"/>
    <x v="30"/>
  </r>
  <r>
    <x v="11"/>
    <x v="11"/>
    <x v="1"/>
    <x v="20"/>
    <x v="21"/>
  </r>
  <r>
    <x v="11"/>
    <x v="11"/>
    <x v="1"/>
    <x v="20"/>
    <x v="21"/>
  </r>
  <r>
    <x v="7"/>
    <x v="7"/>
    <x v="1"/>
    <x v="22"/>
    <x v="23"/>
  </r>
  <r>
    <x v="67"/>
    <x v="71"/>
    <x v="1"/>
    <x v="68"/>
    <x v="90"/>
  </r>
  <r>
    <x v="4"/>
    <x v="4"/>
    <x v="2"/>
    <x v="16"/>
    <x v="31"/>
  </r>
  <r>
    <x v="27"/>
    <x v="26"/>
    <x v="1"/>
    <x v="24"/>
    <x v="26"/>
  </r>
  <r>
    <x v="68"/>
    <x v="72"/>
    <x v="1"/>
    <x v="69"/>
    <x v="91"/>
  </r>
  <r>
    <x v="37"/>
    <x v="36"/>
    <x v="1"/>
    <x v="21"/>
    <x v="22"/>
  </r>
  <r>
    <x v="48"/>
    <x v="46"/>
    <x v="1"/>
    <x v="41"/>
    <x v="55"/>
  </r>
  <r>
    <x v="1"/>
    <x v="1"/>
    <x v="1"/>
    <x v="1"/>
    <x v="1"/>
  </r>
  <r>
    <x v="69"/>
    <x v="73"/>
    <x v="3"/>
    <x v="21"/>
    <x v="92"/>
  </r>
  <r>
    <x v="11"/>
    <x v="11"/>
    <x v="1"/>
    <x v="20"/>
    <x v="21"/>
  </r>
  <r>
    <x v="39"/>
    <x v="38"/>
    <x v="6"/>
    <x v="33"/>
    <x v="44"/>
  </r>
  <r>
    <x v="4"/>
    <x v="4"/>
    <x v="6"/>
    <x v="0"/>
    <x v="0"/>
  </r>
  <r>
    <x v="30"/>
    <x v="29"/>
    <x v="6"/>
    <x v="0"/>
    <x v="0"/>
  </r>
  <r>
    <x v="40"/>
    <x v="39"/>
    <x v="6"/>
    <x v="0"/>
    <x v="0"/>
  </r>
  <r>
    <x v="5"/>
    <x v="5"/>
    <x v="6"/>
    <x v="43"/>
    <x v="88"/>
  </r>
  <r>
    <x v="11"/>
    <x v="11"/>
    <x v="1"/>
    <x v="20"/>
    <x v="21"/>
  </r>
  <r>
    <x v="11"/>
    <x v="11"/>
    <x v="1"/>
    <x v="20"/>
    <x v="21"/>
  </r>
  <r>
    <x v="3"/>
    <x v="3"/>
    <x v="2"/>
    <x v="42"/>
    <x v="93"/>
  </r>
  <r>
    <x v="16"/>
    <x v="16"/>
    <x v="2"/>
    <x v="0"/>
    <x v="0"/>
  </r>
  <r>
    <x v="4"/>
    <x v="4"/>
    <x v="2"/>
    <x v="0"/>
    <x v="0"/>
  </r>
  <r>
    <x v="40"/>
    <x v="39"/>
    <x v="2"/>
    <x v="0"/>
    <x v="0"/>
  </r>
  <r>
    <x v="48"/>
    <x v="46"/>
    <x v="1"/>
    <x v="41"/>
    <x v="55"/>
  </r>
  <r>
    <x v="10"/>
    <x v="10"/>
    <x v="1"/>
    <x v="51"/>
    <x v="94"/>
  </r>
  <r>
    <x v="19"/>
    <x v="19"/>
    <x v="6"/>
    <x v="15"/>
    <x v="32"/>
  </r>
  <r>
    <x v="40"/>
    <x v="39"/>
    <x v="6"/>
    <x v="38"/>
    <x v="95"/>
  </r>
  <r>
    <x v="12"/>
    <x v="12"/>
    <x v="6"/>
    <x v="23"/>
    <x v="24"/>
  </r>
  <r>
    <x v="7"/>
    <x v="7"/>
    <x v="6"/>
    <x v="22"/>
    <x v="25"/>
  </r>
  <r>
    <x v="70"/>
    <x v="74"/>
    <x v="6"/>
    <x v="70"/>
    <x v="96"/>
  </r>
  <r>
    <x v="49"/>
    <x v="75"/>
    <x v="1"/>
    <x v="0"/>
    <x v="0"/>
  </r>
  <r>
    <x v="71"/>
    <x v="76"/>
    <x v="1"/>
    <x v="0"/>
    <x v="0"/>
  </r>
  <r>
    <x v="49"/>
    <x v="77"/>
    <x v="1"/>
    <x v="0"/>
    <x v="0"/>
  </r>
  <r>
    <x v="58"/>
    <x v="61"/>
    <x v="1"/>
    <x v="0"/>
    <x v="0"/>
  </r>
  <r>
    <x v="49"/>
    <x v="78"/>
    <x v="1"/>
    <x v="0"/>
    <x v="0"/>
  </r>
  <r>
    <x v="72"/>
    <x v="79"/>
    <x v="10"/>
    <x v="71"/>
    <x v="97"/>
  </r>
  <r>
    <x v="73"/>
    <x v="80"/>
    <x v="13"/>
    <x v="0"/>
    <x v="0"/>
  </r>
  <r>
    <x v="74"/>
    <x v="81"/>
    <x v="9"/>
    <x v="0"/>
    <x v="0"/>
  </r>
  <r>
    <x v="75"/>
    <x v="82"/>
    <x v="10"/>
    <x v="0"/>
    <x v="0"/>
  </r>
  <r>
    <x v="65"/>
    <x v="69"/>
    <x v="6"/>
    <x v="64"/>
    <x v="98"/>
  </r>
  <r>
    <x v="76"/>
    <x v="83"/>
    <x v="1"/>
    <x v="72"/>
    <x v="99"/>
  </r>
  <r>
    <x v="14"/>
    <x v="14"/>
    <x v="1"/>
    <x v="73"/>
    <x v="100"/>
  </r>
  <r>
    <x v="77"/>
    <x v="14"/>
    <x v="1"/>
    <x v="74"/>
    <x v="101"/>
  </r>
  <r>
    <x v="7"/>
    <x v="7"/>
    <x v="11"/>
    <x v="75"/>
    <x v="102"/>
  </r>
  <r>
    <x v="9"/>
    <x v="9"/>
    <x v="1"/>
    <x v="40"/>
    <x v="54"/>
  </r>
  <r>
    <x v="9"/>
    <x v="9"/>
    <x v="6"/>
    <x v="40"/>
    <x v="103"/>
  </r>
  <r>
    <x v="2"/>
    <x v="2"/>
    <x v="1"/>
    <x v="2"/>
    <x v="2"/>
  </r>
  <r>
    <x v="37"/>
    <x v="36"/>
    <x v="1"/>
    <x v="21"/>
    <x v="22"/>
  </r>
  <r>
    <x v="37"/>
    <x v="36"/>
    <x v="1"/>
    <x v="21"/>
    <x v="22"/>
  </r>
  <r>
    <x v="11"/>
    <x v="11"/>
    <x v="1"/>
    <x v="20"/>
    <x v="21"/>
  </r>
  <r>
    <x v="11"/>
    <x v="11"/>
    <x v="10"/>
    <x v="76"/>
    <x v="104"/>
  </r>
  <r>
    <x v="3"/>
    <x v="3"/>
    <x v="6"/>
    <x v="3"/>
    <x v="105"/>
  </r>
  <r>
    <x v="4"/>
    <x v="4"/>
    <x v="6"/>
    <x v="0"/>
    <x v="0"/>
  </r>
  <r>
    <x v="16"/>
    <x v="16"/>
    <x v="6"/>
    <x v="0"/>
    <x v="0"/>
  </r>
  <r>
    <x v="40"/>
    <x v="39"/>
    <x v="6"/>
    <x v="0"/>
    <x v="0"/>
  </r>
  <r>
    <x v="11"/>
    <x v="11"/>
    <x v="1"/>
    <x v="8"/>
    <x v="74"/>
  </r>
  <r>
    <x v="14"/>
    <x v="14"/>
    <x v="1"/>
    <x v="77"/>
    <x v="106"/>
  </r>
  <r>
    <x v="48"/>
    <x v="46"/>
    <x v="1"/>
    <x v="41"/>
    <x v="55"/>
  </r>
  <r>
    <x v="16"/>
    <x v="16"/>
    <x v="1"/>
    <x v="13"/>
    <x v="67"/>
  </r>
  <r>
    <x v="37"/>
    <x v="36"/>
    <x v="1"/>
    <x v="21"/>
    <x v="22"/>
  </r>
  <r>
    <x v="1"/>
    <x v="1"/>
    <x v="1"/>
    <x v="1"/>
    <x v="1"/>
  </r>
  <r>
    <x v="37"/>
    <x v="36"/>
    <x v="1"/>
    <x v="21"/>
    <x v="22"/>
  </r>
  <r>
    <x v="11"/>
    <x v="11"/>
    <x v="6"/>
    <x v="20"/>
    <x v="107"/>
  </r>
  <r>
    <x v="37"/>
    <x v="36"/>
    <x v="1"/>
    <x v="21"/>
    <x v="22"/>
  </r>
  <r>
    <x v="78"/>
    <x v="14"/>
    <x v="1"/>
    <x v="78"/>
    <x v="108"/>
  </r>
  <r>
    <x v="20"/>
    <x v="20"/>
    <x v="11"/>
    <x v="65"/>
    <x v="109"/>
  </r>
  <r>
    <x v="25"/>
    <x v="14"/>
    <x v="1"/>
    <x v="55"/>
    <x v="110"/>
  </r>
  <r>
    <x v="37"/>
    <x v="36"/>
    <x v="10"/>
    <x v="21"/>
    <x v="111"/>
  </r>
  <r>
    <x v="11"/>
    <x v="11"/>
    <x v="6"/>
    <x v="20"/>
    <x v="107"/>
  </r>
  <r>
    <x v="1"/>
    <x v="1"/>
    <x v="1"/>
    <x v="1"/>
    <x v="1"/>
  </r>
  <r>
    <x v="3"/>
    <x v="3"/>
    <x v="6"/>
    <x v="42"/>
    <x v="112"/>
  </r>
  <r>
    <x v="5"/>
    <x v="5"/>
    <x v="6"/>
    <x v="43"/>
    <x v="88"/>
  </r>
  <r>
    <x v="47"/>
    <x v="45"/>
    <x v="2"/>
    <x v="16"/>
    <x v="31"/>
  </r>
  <r>
    <x v="79"/>
    <x v="84"/>
    <x v="6"/>
    <x v="79"/>
    <x v="113"/>
  </r>
  <r>
    <x v="4"/>
    <x v="4"/>
    <x v="6"/>
    <x v="0"/>
    <x v="0"/>
  </r>
  <r>
    <x v="40"/>
    <x v="39"/>
    <x v="6"/>
    <x v="0"/>
    <x v="0"/>
  </r>
  <r>
    <x v="45"/>
    <x v="9"/>
    <x v="1"/>
    <x v="20"/>
    <x v="21"/>
  </r>
  <r>
    <x v="80"/>
    <x v="85"/>
    <x v="6"/>
    <x v="68"/>
    <x v="114"/>
  </r>
  <r>
    <x v="81"/>
    <x v="86"/>
    <x v="6"/>
    <x v="68"/>
    <x v="114"/>
  </r>
  <r>
    <x v="41"/>
    <x v="40"/>
    <x v="6"/>
    <x v="34"/>
    <x v="45"/>
  </r>
  <r>
    <x v="49"/>
    <x v="87"/>
    <x v="1"/>
    <x v="0"/>
    <x v="0"/>
  </r>
  <r>
    <x v="82"/>
    <x v="88"/>
    <x v="2"/>
    <x v="39"/>
    <x v="115"/>
  </r>
  <r>
    <x v="12"/>
    <x v="12"/>
    <x v="14"/>
    <x v="23"/>
    <x v="116"/>
  </r>
  <r>
    <x v="7"/>
    <x v="7"/>
    <x v="14"/>
    <x v="80"/>
    <x v="117"/>
  </r>
  <r>
    <x v="80"/>
    <x v="85"/>
    <x v="2"/>
    <x v="68"/>
    <x v="118"/>
  </r>
  <r>
    <x v="17"/>
    <x v="17"/>
    <x v="6"/>
    <x v="13"/>
    <x v="53"/>
  </r>
  <r>
    <x v="81"/>
    <x v="86"/>
    <x v="3"/>
    <x v="68"/>
    <x v="119"/>
  </r>
  <r>
    <x v="41"/>
    <x v="40"/>
    <x v="2"/>
    <x v="34"/>
    <x v="120"/>
  </r>
  <r>
    <x v="17"/>
    <x v="17"/>
    <x v="2"/>
    <x v="13"/>
    <x v="14"/>
  </r>
  <r>
    <x v="10"/>
    <x v="10"/>
    <x v="1"/>
    <x v="51"/>
    <x v="94"/>
  </r>
  <r>
    <x v="3"/>
    <x v="3"/>
    <x v="6"/>
    <x v="42"/>
    <x v="112"/>
  </r>
  <r>
    <x v="16"/>
    <x v="16"/>
    <x v="6"/>
    <x v="0"/>
    <x v="0"/>
  </r>
  <r>
    <x v="47"/>
    <x v="45"/>
    <x v="2"/>
    <x v="16"/>
    <x v="31"/>
  </r>
  <r>
    <x v="4"/>
    <x v="4"/>
    <x v="6"/>
    <x v="0"/>
    <x v="0"/>
  </r>
  <r>
    <x v="40"/>
    <x v="39"/>
    <x v="6"/>
    <x v="0"/>
    <x v="0"/>
  </r>
  <r>
    <x v="26"/>
    <x v="25"/>
    <x v="6"/>
    <x v="21"/>
    <x v="30"/>
  </r>
  <r>
    <x v="7"/>
    <x v="7"/>
    <x v="6"/>
    <x v="22"/>
    <x v="25"/>
  </r>
  <r>
    <x v="45"/>
    <x v="9"/>
    <x v="1"/>
    <x v="20"/>
    <x v="21"/>
  </r>
  <r>
    <x v="8"/>
    <x v="8"/>
    <x v="1"/>
    <x v="22"/>
    <x v="23"/>
  </r>
  <r>
    <x v="7"/>
    <x v="7"/>
    <x v="1"/>
    <x v="22"/>
    <x v="23"/>
  </r>
  <r>
    <x v="66"/>
    <x v="70"/>
    <x v="6"/>
    <x v="81"/>
    <x v="121"/>
  </r>
  <r>
    <x v="62"/>
    <x v="65"/>
    <x v="1"/>
    <x v="60"/>
    <x v="78"/>
  </r>
  <r>
    <x v="4"/>
    <x v="4"/>
    <x v="1"/>
    <x v="16"/>
    <x v="43"/>
  </r>
  <r>
    <x v="37"/>
    <x v="36"/>
    <x v="9"/>
    <x v="21"/>
    <x v="77"/>
  </r>
  <r>
    <x v="6"/>
    <x v="89"/>
    <x v="2"/>
    <x v="5"/>
    <x v="122"/>
  </r>
  <r>
    <x v="5"/>
    <x v="5"/>
    <x v="15"/>
    <x v="4"/>
    <x v="123"/>
  </r>
  <r>
    <x v="4"/>
    <x v="4"/>
    <x v="2"/>
    <x v="0"/>
    <x v="0"/>
  </r>
  <r>
    <x v="8"/>
    <x v="8"/>
    <x v="15"/>
    <x v="0"/>
    <x v="0"/>
  </r>
  <r>
    <x v="7"/>
    <x v="7"/>
    <x v="15"/>
    <x v="0"/>
    <x v="0"/>
  </r>
  <r>
    <x v="10"/>
    <x v="10"/>
    <x v="1"/>
    <x v="7"/>
    <x v="124"/>
  </r>
  <r>
    <x v="83"/>
    <x v="90"/>
    <x v="1"/>
    <x v="82"/>
    <x v="125"/>
  </r>
  <r>
    <x v="14"/>
    <x v="14"/>
    <x v="1"/>
    <x v="83"/>
    <x v="126"/>
  </r>
  <r>
    <x v="84"/>
    <x v="91"/>
    <x v="16"/>
    <x v="84"/>
    <x v="127"/>
  </r>
  <r>
    <x v="85"/>
    <x v="92"/>
    <x v="17"/>
    <x v="84"/>
    <x v="128"/>
  </r>
  <r>
    <x v="14"/>
    <x v="14"/>
    <x v="1"/>
    <x v="46"/>
    <x v="60"/>
  </r>
  <r>
    <x v="29"/>
    <x v="28"/>
    <x v="2"/>
    <x v="15"/>
    <x v="28"/>
  </r>
  <r>
    <x v="7"/>
    <x v="7"/>
    <x v="10"/>
    <x v="80"/>
    <x v="129"/>
  </r>
  <r>
    <x v="10"/>
    <x v="10"/>
    <x v="1"/>
    <x v="51"/>
    <x v="94"/>
  </r>
  <r>
    <x v="10"/>
    <x v="10"/>
    <x v="1"/>
    <x v="51"/>
    <x v="94"/>
  </r>
  <r>
    <x v="5"/>
    <x v="5"/>
    <x v="6"/>
    <x v="34"/>
    <x v="45"/>
  </r>
  <r>
    <x v="12"/>
    <x v="12"/>
    <x v="1"/>
    <x v="23"/>
    <x v="34"/>
  </r>
  <r>
    <x v="7"/>
    <x v="7"/>
    <x v="1"/>
    <x v="22"/>
    <x v="23"/>
  </r>
  <r>
    <x v="1"/>
    <x v="1"/>
    <x v="3"/>
    <x v="1"/>
    <x v="130"/>
  </r>
  <r>
    <x v="2"/>
    <x v="2"/>
    <x v="1"/>
    <x v="2"/>
    <x v="2"/>
  </r>
  <r>
    <x v="11"/>
    <x v="11"/>
    <x v="1"/>
    <x v="20"/>
    <x v="21"/>
  </r>
  <r>
    <x v="27"/>
    <x v="26"/>
    <x v="6"/>
    <x v="24"/>
    <x v="131"/>
  </r>
  <r>
    <x v="28"/>
    <x v="27"/>
    <x v="7"/>
    <x v="25"/>
    <x v="42"/>
  </r>
  <r>
    <x v="8"/>
    <x v="8"/>
    <x v="6"/>
    <x v="22"/>
    <x v="25"/>
  </r>
  <r>
    <x v="5"/>
    <x v="5"/>
    <x v="1"/>
    <x v="34"/>
    <x v="132"/>
  </r>
  <r>
    <x v="27"/>
    <x v="26"/>
    <x v="6"/>
    <x v="24"/>
    <x v="131"/>
  </r>
  <r>
    <x v="39"/>
    <x v="38"/>
    <x v="14"/>
    <x v="57"/>
    <x v="133"/>
  </r>
  <r>
    <x v="16"/>
    <x v="16"/>
    <x v="14"/>
    <x v="0"/>
    <x v="0"/>
  </r>
  <r>
    <x v="4"/>
    <x v="4"/>
    <x v="14"/>
    <x v="0"/>
    <x v="0"/>
  </r>
  <r>
    <x v="30"/>
    <x v="29"/>
    <x v="14"/>
    <x v="0"/>
    <x v="0"/>
  </r>
  <r>
    <x v="8"/>
    <x v="8"/>
    <x v="14"/>
    <x v="0"/>
    <x v="0"/>
  </r>
  <r>
    <x v="7"/>
    <x v="7"/>
    <x v="14"/>
    <x v="0"/>
    <x v="0"/>
  </r>
  <r>
    <x v="19"/>
    <x v="19"/>
    <x v="14"/>
    <x v="12"/>
    <x v="134"/>
  </r>
  <r>
    <x v="20"/>
    <x v="20"/>
    <x v="14"/>
    <x v="65"/>
    <x v="135"/>
  </r>
  <r>
    <x v="29"/>
    <x v="28"/>
    <x v="14"/>
    <x v="12"/>
    <x v="134"/>
  </r>
  <r>
    <x v="86"/>
    <x v="93"/>
    <x v="1"/>
    <x v="85"/>
    <x v="136"/>
  </r>
  <r>
    <x v="6"/>
    <x v="89"/>
    <x v="1"/>
    <x v="86"/>
    <x v="137"/>
  </r>
  <r>
    <x v="4"/>
    <x v="4"/>
    <x v="1"/>
    <x v="0"/>
    <x v="0"/>
  </r>
  <r>
    <x v="14"/>
    <x v="14"/>
    <x v="1"/>
    <x v="46"/>
    <x v="60"/>
  </r>
  <r>
    <x v="4"/>
    <x v="4"/>
    <x v="1"/>
    <x v="16"/>
    <x v="43"/>
  </r>
  <r>
    <x v="8"/>
    <x v="8"/>
    <x v="9"/>
    <x v="22"/>
    <x v="40"/>
  </r>
  <r>
    <x v="45"/>
    <x v="9"/>
    <x v="6"/>
    <x v="20"/>
    <x v="107"/>
  </r>
  <r>
    <x v="87"/>
    <x v="3"/>
    <x v="6"/>
    <x v="87"/>
    <x v="138"/>
  </r>
  <r>
    <x v="18"/>
    <x v="18"/>
    <x v="6"/>
    <x v="66"/>
    <x v="139"/>
  </r>
  <r>
    <x v="4"/>
    <x v="4"/>
    <x v="6"/>
    <x v="0"/>
    <x v="0"/>
  </r>
  <r>
    <x v="40"/>
    <x v="39"/>
    <x v="6"/>
    <x v="0"/>
    <x v="0"/>
  </r>
  <r>
    <x v="45"/>
    <x v="9"/>
    <x v="1"/>
    <x v="20"/>
    <x v="21"/>
  </r>
  <r>
    <x v="88"/>
    <x v="94"/>
    <x v="15"/>
    <x v="88"/>
    <x v="140"/>
  </r>
  <r>
    <x v="89"/>
    <x v="95"/>
    <x v="15"/>
    <x v="0"/>
    <x v="0"/>
  </r>
  <r>
    <x v="90"/>
    <x v="96"/>
    <x v="15"/>
    <x v="0"/>
    <x v="0"/>
  </r>
  <r>
    <x v="50"/>
    <x v="48"/>
    <x v="1"/>
    <x v="0"/>
    <x v="0"/>
  </r>
  <r>
    <x v="11"/>
    <x v="11"/>
    <x v="6"/>
    <x v="8"/>
    <x v="141"/>
  </r>
  <r>
    <x v="14"/>
    <x v="14"/>
    <x v="1"/>
    <x v="50"/>
    <x v="65"/>
  </r>
</pivotCacheRecords>
</file>

<file path=xl/pivotCache/pivotCacheRecords32.xml><?xml version="1.0" encoding="utf-8"?>
<pivotCacheRecords xmlns:r="http://schemas.openxmlformats.org/officeDocument/2006/relationships" xmlns="http://schemas.openxmlformats.org/spreadsheetml/2006/main" count="436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1"/>
    <x v="1"/>
    <x v="1"/>
    <x v="0"/>
    <x v="0"/>
    <x v="1"/>
    <x v="2"/>
    <x v="2"/>
  </r>
  <r>
    <x v="1"/>
    <x v="1"/>
    <x v="1"/>
    <x v="2"/>
    <x v="2"/>
    <x v="1"/>
    <x v="3"/>
    <x v="3"/>
  </r>
  <r>
    <x v="1"/>
    <x v="1"/>
    <x v="1"/>
    <x v="3"/>
    <x v="3"/>
    <x v="1"/>
    <x v="4"/>
    <x v="4"/>
  </r>
  <r>
    <x v="1"/>
    <x v="1"/>
    <x v="1"/>
    <x v="4"/>
    <x v="4"/>
    <x v="1"/>
    <x v="4"/>
    <x v="4"/>
  </r>
  <r>
    <x v="2"/>
    <x v="2"/>
    <x v="2"/>
    <x v="5"/>
    <x v="5"/>
    <x v="0"/>
    <x v="4"/>
    <x v="4"/>
  </r>
  <r>
    <x v="2"/>
    <x v="2"/>
    <x v="2"/>
    <x v="6"/>
    <x v="6"/>
    <x v="2"/>
    <x v="4"/>
    <x v="4"/>
  </r>
  <r>
    <x v="3"/>
    <x v="3"/>
    <x v="2"/>
    <x v="5"/>
    <x v="7"/>
    <x v="0"/>
    <x v="4"/>
    <x v="4"/>
  </r>
  <r>
    <x v="4"/>
    <x v="4"/>
    <x v="3"/>
    <x v="7"/>
    <x v="8"/>
    <x v="3"/>
    <x v="5"/>
    <x v="5"/>
  </r>
  <r>
    <x v="4"/>
    <x v="4"/>
    <x v="3"/>
    <x v="8"/>
    <x v="9"/>
    <x v="3"/>
    <x v="6"/>
    <x v="6"/>
  </r>
  <r>
    <x v="5"/>
    <x v="4"/>
    <x v="4"/>
    <x v="7"/>
    <x v="8"/>
    <x v="4"/>
    <x v="5"/>
    <x v="7"/>
  </r>
  <r>
    <x v="5"/>
    <x v="4"/>
    <x v="4"/>
    <x v="8"/>
    <x v="9"/>
    <x v="4"/>
    <x v="6"/>
    <x v="8"/>
  </r>
  <r>
    <x v="6"/>
    <x v="5"/>
    <x v="5"/>
    <x v="9"/>
    <x v="10"/>
    <x v="0"/>
    <x v="7"/>
    <x v="9"/>
  </r>
  <r>
    <x v="7"/>
    <x v="6"/>
    <x v="6"/>
    <x v="10"/>
    <x v="11"/>
    <x v="5"/>
    <x v="8"/>
    <x v="10"/>
  </r>
  <r>
    <x v="7"/>
    <x v="6"/>
    <x v="6"/>
    <x v="11"/>
    <x v="12"/>
    <x v="0"/>
    <x v="9"/>
    <x v="11"/>
  </r>
  <r>
    <x v="8"/>
    <x v="7"/>
    <x v="7"/>
    <x v="12"/>
    <x v="13"/>
    <x v="1"/>
    <x v="10"/>
    <x v="12"/>
  </r>
  <r>
    <x v="9"/>
    <x v="8"/>
    <x v="8"/>
    <x v="13"/>
    <x v="14"/>
    <x v="0"/>
    <x v="11"/>
    <x v="13"/>
  </r>
  <r>
    <x v="10"/>
    <x v="9"/>
    <x v="9"/>
    <x v="13"/>
    <x v="14"/>
    <x v="0"/>
    <x v="11"/>
    <x v="13"/>
  </r>
  <r>
    <x v="11"/>
    <x v="10"/>
    <x v="10"/>
    <x v="14"/>
    <x v="15"/>
    <x v="3"/>
    <x v="12"/>
    <x v="14"/>
  </r>
  <r>
    <x v="11"/>
    <x v="10"/>
    <x v="10"/>
    <x v="3"/>
    <x v="3"/>
    <x v="3"/>
    <x v="4"/>
    <x v="4"/>
  </r>
  <r>
    <x v="11"/>
    <x v="10"/>
    <x v="10"/>
    <x v="15"/>
    <x v="16"/>
    <x v="3"/>
    <x v="4"/>
    <x v="4"/>
  </r>
  <r>
    <x v="11"/>
    <x v="10"/>
    <x v="10"/>
    <x v="16"/>
    <x v="17"/>
    <x v="3"/>
    <x v="4"/>
    <x v="4"/>
  </r>
  <r>
    <x v="11"/>
    <x v="10"/>
    <x v="10"/>
    <x v="8"/>
    <x v="9"/>
    <x v="6"/>
    <x v="4"/>
    <x v="4"/>
  </r>
  <r>
    <x v="11"/>
    <x v="10"/>
    <x v="10"/>
    <x v="17"/>
    <x v="18"/>
    <x v="3"/>
    <x v="4"/>
    <x v="4"/>
  </r>
  <r>
    <x v="11"/>
    <x v="10"/>
    <x v="10"/>
    <x v="17"/>
    <x v="18"/>
    <x v="7"/>
    <x v="13"/>
    <x v="15"/>
  </r>
  <r>
    <x v="11"/>
    <x v="10"/>
    <x v="10"/>
    <x v="7"/>
    <x v="8"/>
    <x v="8"/>
    <x v="14"/>
    <x v="16"/>
  </r>
  <r>
    <x v="11"/>
    <x v="10"/>
    <x v="10"/>
    <x v="18"/>
    <x v="19"/>
    <x v="2"/>
    <x v="15"/>
    <x v="17"/>
  </r>
  <r>
    <x v="11"/>
    <x v="10"/>
    <x v="10"/>
    <x v="19"/>
    <x v="20"/>
    <x v="9"/>
    <x v="16"/>
    <x v="18"/>
  </r>
  <r>
    <x v="11"/>
    <x v="10"/>
    <x v="10"/>
    <x v="20"/>
    <x v="21"/>
    <x v="4"/>
    <x v="17"/>
    <x v="19"/>
  </r>
  <r>
    <x v="11"/>
    <x v="10"/>
    <x v="10"/>
    <x v="21"/>
    <x v="22"/>
    <x v="9"/>
    <x v="18"/>
    <x v="20"/>
  </r>
  <r>
    <x v="11"/>
    <x v="10"/>
    <x v="10"/>
    <x v="22"/>
    <x v="23"/>
    <x v="10"/>
    <x v="19"/>
    <x v="21"/>
  </r>
  <r>
    <x v="11"/>
    <x v="10"/>
    <x v="10"/>
    <x v="13"/>
    <x v="14"/>
    <x v="0"/>
    <x v="20"/>
    <x v="22"/>
  </r>
  <r>
    <x v="11"/>
    <x v="10"/>
    <x v="10"/>
    <x v="23"/>
    <x v="24"/>
    <x v="9"/>
    <x v="21"/>
    <x v="23"/>
  </r>
  <r>
    <x v="11"/>
    <x v="10"/>
    <x v="10"/>
    <x v="24"/>
    <x v="25"/>
    <x v="11"/>
    <x v="15"/>
    <x v="24"/>
  </r>
  <r>
    <x v="11"/>
    <x v="10"/>
    <x v="10"/>
    <x v="12"/>
    <x v="13"/>
    <x v="10"/>
    <x v="22"/>
    <x v="25"/>
  </r>
  <r>
    <x v="11"/>
    <x v="10"/>
    <x v="10"/>
    <x v="25"/>
    <x v="26"/>
    <x v="9"/>
    <x v="15"/>
    <x v="26"/>
  </r>
  <r>
    <x v="11"/>
    <x v="10"/>
    <x v="10"/>
    <x v="26"/>
    <x v="27"/>
    <x v="9"/>
    <x v="23"/>
    <x v="27"/>
  </r>
  <r>
    <x v="11"/>
    <x v="10"/>
    <x v="10"/>
    <x v="27"/>
    <x v="28"/>
    <x v="12"/>
    <x v="24"/>
    <x v="28"/>
  </r>
  <r>
    <x v="11"/>
    <x v="10"/>
    <x v="10"/>
    <x v="28"/>
    <x v="29"/>
    <x v="3"/>
    <x v="25"/>
    <x v="29"/>
  </r>
  <r>
    <x v="11"/>
    <x v="10"/>
    <x v="10"/>
    <x v="29"/>
    <x v="30"/>
    <x v="3"/>
    <x v="26"/>
    <x v="30"/>
  </r>
  <r>
    <x v="11"/>
    <x v="10"/>
    <x v="10"/>
    <x v="30"/>
    <x v="31"/>
    <x v="12"/>
    <x v="27"/>
    <x v="31"/>
  </r>
  <r>
    <x v="11"/>
    <x v="10"/>
    <x v="10"/>
    <x v="15"/>
    <x v="16"/>
    <x v="13"/>
    <x v="28"/>
    <x v="32"/>
  </r>
  <r>
    <x v="11"/>
    <x v="10"/>
    <x v="10"/>
    <x v="31"/>
    <x v="32"/>
    <x v="2"/>
    <x v="13"/>
    <x v="33"/>
  </r>
  <r>
    <x v="11"/>
    <x v="10"/>
    <x v="10"/>
    <x v="32"/>
    <x v="33"/>
    <x v="2"/>
    <x v="18"/>
    <x v="34"/>
  </r>
  <r>
    <x v="11"/>
    <x v="10"/>
    <x v="10"/>
    <x v="33"/>
    <x v="34"/>
    <x v="1"/>
    <x v="29"/>
    <x v="35"/>
  </r>
  <r>
    <x v="11"/>
    <x v="10"/>
    <x v="10"/>
    <x v="34"/>
    <x v="35"/>
    <x v="1"/>
    <x v="16"/>
    <x v="36"/>
  </r>
  <r>
    <x v="11"/>
    <x v="10"/>
    <x v="10"/>
    <x v="35"/>
    <x v="36"/>
    <x v="7"/>
    <x v="27"/>
    <x v="37"/>
  </r>
  <r>
    <x v="11"/>
    <x v="10"/>
    <x v="10"/>
    <x v="36"/>
    <x v="37"/>
    <x v="7"/>
    <x v="30"/>
    <x v="38"/>
  </r>
  <r>
    <x v="11"/>
    <x v="10"/>
    <x v="10"/>
    <x v="16"/>
    <x v="17"/>
    <x v="14"/>
    <x v="27"/>
    <x v="39"/>
  </r>
  <r>
    <x v="12"/>
    <x v="11"/>
    <x v="10"/>
    <x v="5"/>
    <x v="38"/>
    <x v="0"/>
    <x v="4"/>
    <x v="4"/>
  </r>
  <r>
    <x v="13"/>
    <x v="12"/>
    <x v="10"/>
    <x v="5"/>
    <x v="39"/>
    <x v="0"/>
    <x v="4"/>
    <x v="4"/>
  </r>
  <r>
    <x v="14"/>
    <x v="13"/>
    <x v="11"/>
    <x v="37"/>
    <x v="40"/>
    <x v="1"/>
    <x v="31"/>
    <x v="40"/>
  </r>
  <r>
    <x v="15"/>
    <x v="14"/>
    <x v="12"/>
    <x v="1"/>
    <x v="1"/>
    <x v="1"/>
    <x v="1"/>
    <x v="1"/>
  </r>
  <r>
    <x v="15"/>
    <x v="14"/>
    <x v="12"/>
    <x v="0"/>
    <x v="0"/>
    <x v="1"/>
    <x v="2"/>
    <x v="2"/>
  </r>
  <r>
    <x v="15"/>
    <x v="14"/>
    <x v="12"/>
    <x v="3"/>
    <x v="3"/>
    <x v="1"/>
    <x v="4"/>
    <x v="4"/>
  </r>
  <r>
    <x v="15"/>
    <x v="14"/>
    <x v="12"/>
    <x v="4"/>
    <x v="4"/>
    <x v="1"/>
    <x v="4"/>
    <x v="4"/>
  </r>
  <r>
    <x v="16"/>
    <x v="15"/>
    <x v="13"/>
    <x v="38"/>
    <x v="41"/>
    <x v="0"/>
    <x v="11"/>
    <x v="13"/>
  </r>
  <r>
    <x v="17"/>
    <x v="16"/>
    <x v="14"/>
    <x v="24"/>
    <x v="25"/>
    <x v="5"/>
    <x v="32"/>
    <x v="17"/>
  </r>
  <r>
    <x v="18"/>
    <x v="17"/>
    <x v="15"/>
    <x v="18"/>
    <x v="19"/>
    <x v="0"/>
    <x v="32"/>
    <x v="41"/>
  </r>
  <r>
    <x v="18"/>
    <x v="17"/>
    <x v="15"/>
    <x v="8"/>
    <x v="9"/>
    <x v="0"/>
    <x v="33"/>
    <x v="42"/>
  </r>
  <r>
    <x v="19"/>
    <x v="18"/>
    <x v="16"/>
    <x v="12"/>
    <x v="13"/>
    <x v="0"/>
    <x v="10"/>
    <x v="43"/>
  </r>
  <r>
    <x v="19"/>
    <x v="18"/>
    <x v="16"/>
    <x v="22"/>
    <x v="23"/>
    <x v="0"/>
    <x v="8"/>
    <x v="44"/>
  </r>
  <r>
    <x v="19"/>
    <x v="18"/>
    <x v="16"/>
    <x v="35"/>
    <x v="36"/>
    <x v="0"/>
    <x v="34"/>
    <x v="45"/>
  </r>
  <r>
    <x v="20"/>
    <x v="19"/>
    <x v="17"/>
    <x v="1"/>
    <x v="1"/>
    <x v="1"/>
    <x v="1"/>
    <x v="1"/>
  </r>
  <r>
    <x v="20"/>
    <x v="19"/>
    <x v="17"/>
    <x v="0"/>
    <x v="0"/>
    <x v="1"/>
    <x v="2"/>
    <x v="2"/>
  </r>
  <r>
    <x v="20"/>
    <x v="19"/>
    <x v="17"/>
    <x v="3"/>
    <x v="3"/>
    <x v="1"/>
    <x v="4"/>
    <x v="4"/>
  </r>
  <r>
    <x v="20"/>
    <x v="19"/>
    <x v="17"/>
    <x v="4"/>
    <x v="4"/>
    <x v="1"/>
    <x v="4"/>
    <x v="4"/>
  </r>
  <r>
    <x v="21"/>
    <x v="20"/>
    <x v="18"/>
    <x v="8"/>
    <x v="9"/>
    <x v="0"/>
    <x v="33"/>
    <x v="42"/>
  </r>
  <r>
    <x v="22"/>
    <x v="21"/>
    <x v="19"/>
    <x v="39"/>
    <x v="41"/>
    <x v="0"/>
    <x v="35"/>
    <x v="46"/>
  </r>
  <r>
    <x v="23"/>
    <x v="22"/>
    <x v="20"/>
    <x v="40"/>
    <x v="42"/>
    <x v="2"/>
    <x v="36"/>
    <x v="47"/>
  </r>
  <r>
    <x v="23"/>
    <x v="22"/>
    <x v="20"/>
    <x v="11"/>
    <x v="12"/>
    <x v="1"/>
    <x v="9"/>
    <x v="48"/>
  </r>
  <r>
    <x v="23"/>
    <x v="22"/>
    <x v="20"/>
    <x v="32"/>
    <x v="33"/>
    <x v="1"/>
    <x v="37"/>
    <x v="49"/>
  </r>
  <r>
    <x v="23"/>
    <x v="22"/>
    <x v="20"/>
    <x v="7"/>
    <x v="8"/>
    <x v="2"/>
    <x v="5"/>
    <x v="50"/>
  </r>
  <r>
    <x v="23"/>
    <x v="22"/>
    <x v="20"/>
    <x v="8"/>
    <x v="9"/>
    <x v="2"/>
    <x v="33"/>
    <x v="51"/>
  </r>
  <r>
    <x v="23"/>
    <x v="22"/>
    <x v="20"/>
    <x v="41"/>
    <x v="43"/>
    <x v="15"/>
    <x v="38"/>
    <x v="52"/>
  </r>
  <r>
    <x v="23"/>
    <x v="22"/>
    <x v="20"/>
    <x v="42"/>
    <x v="44"/>
    <x v="0"/>
    <x v="39"/>
    <x v="53"/>
  </r>
  <r>
    <x v="24"/>
    <x v="23"/>
    <x v="21"/>
    <x v="43"/>
    <x v="45"/>
    <x v="3"/>
    <x v="40"/>
    <x v="54"/>
  </r>
  <r>
    <x v="24"/>
    <x v="23"/>
    <x v="21"/>
    <x v="3"/>
    <x v="3"/>
    <x v="3"/>
    <x v="4"/>
    <x v="4"/>
  </r>
  <r>
    <x v="24"/>
    <x v="23"/>
    <x v="21"/>
    <x v="36"/>
    <x v="37"/>
    <x v="16"/>
    <x v="30"/>
    <x v="55"/>
  </r>
  <r>
    <x v="24"/>
    <x v="23"/>
    <x v="21"/>
    <x v="44"/>
    <x v="46"/>
    <x v="9"/>
    <x v="21"/>
    <x v="23"/>
  </r>
  <r>
    <x v="24"/>
    <x v="23"/>
    <x v="21"/>
    <x v="45"/>
    <x v="47"/>
    <x v="0"/>
    <x v="41"/>
    <x v="56"/>
  </r>
  <r>
    <x v="25"/>
    <x v="10"/>
    <x v="21"/>
    <x v="5"/>
    <x v="48"/>
    <x v="0"/>
    <x v="4"/>
    <x v="4"/>
  </r>
  <r>
    <x v="25"/>
    <x v="10"/>
    <x v="21"/>
    <x v="46"/>
    <x v="49"/>
    <x v="7"/>
    <x v="4"/>
    <x v="4"/>
  </r>
  <r>
    <x v="25"/>
    <x v="10"/>
    <x v="21"/>
    <x v="16"/>
    <x v="17"/>
    <x v="1"/>
    <x v="4"/>
    <x v="4"/>
  </r>
  <r>
    <x v="26"/>
    <x v="24"/>
    <x v="22"/>
    <x v="19"/>
    <x v="20"/>
    <x v="0"/>
    <x v="36"/>
    <x v="57"/>
  </r>
  <r>
    <x v="27"/>
    <x v="25"/>
    <x v="23"/>
    <x v="3"/>
    <x v="3"/>
    <x v="9"/>
    <x v="42"/>
    <x v="58"/>
  </r>
  <r>
    <x v="28"/>
    <x v="26"/>
    <x v="24"/>
    <x v="38"/>
    <x v="41"/>
    <x v="0"/>
    <x v="11"/>
    <x v="13"/>
  </r>
  <r>
    <x v="29"/>
    <x v="27"/>
    <x v="25"/>
    <x v="38"/>
    <x v="41"/>
    <x v="0"/>
    <x v="11"/>
    <x v="13"/>
  </r>
  <r>
    <x v="30"/>
    <x v="28"/>
    <x v="26"/>
    <x v="13"/>
    <x v="14"/>
    <x v="0"/>
    <x v="11"/>
    <x v="13"/>
  </r>
  <r>
    <x v="31"/>
    <x v="29"/>
    <x v="27"/>
    <x v="47"/>
    <x v="50"/>
    <x v="0"/>
    <x v="43"/>
    <x v="59"/>
  </r>
  <r>
    <x v="32"/>
    <x v="30"/>
    <x v="28"/>
    <x v="35"/>
    <x v="36"/>
    <x v="1"/>
    <x v="34"/>
    <x v="60"/>
  </r>
  <r>
    <x v="33"/>
    <x v="31"/>
    <x v="29"/>
    <x v="26"/>
    <x v="27"/>
    <x v="14"/>
    <x v="44"/>
    <x v="61"/>
  </r>
  <r>
    <x v="34"/>
    <x v="32"/>
    <x v="29"/>
    <x v="48"/>
    <x v="51"/>
    <x v="0"/>
    <x v="45"/>
    <x v="62"/>
  </r>
  <r>
    <x v="34"/>
    <x v="32"/>
    <x v="29"/>
    <x v="49"/>
    <x v="52"/>
    <x v="0"/>
    <x v="41"/>
    <x v="56"/>
  </r>
  <r>
    <x v="34"/>
    <x v="32"/>
    <x v="29"/>
    <x v="50"/>
    <x v="53"/>
    <x v="0"/>
    <x v="46"/>
    <x v="63"/>
  </r>
  <r>
    <x v="34"/>
    <x v="32"/>
    <x v="29"/>
    <x v="51"/>
    <x v="54"/>
    <x v="0"/>
    <x v="47"/>
    <x v="64"/>
  </r>
  <r>
    <x v="34"/>
    <x v="32"/>
    <x v="29"/>
    <x v="52"/>
    <x v="47"/>
    <x v="0"/>
    <x v="48"/>
    <x v="65"/>
  </r>
  <r>
    <x v="35"/>
    <x v="33"/>
    <x v="29"/>
    <x v="53"/>
    <x v="55"/>
    <x v="17"/>
    <x v="49"/>
    <x v="66"/>
  </r>
  <r>
    <x v="35"/>
    <x v="33"/>
    <x v="29"/>
    <x v="54"/>
    <x v="56"/>
    <x v="17"/>
    <x v="50"/>
    <x v="67"/>
  </r>
  <r>
    <x v="35"/>
    <x v="33"/>
    <x v="29"/>
    <x v="55"/>
    <x v="57"/>
    <x v="18"/>
    <x v="51"/>
    <x v="68"/>
  </r>
  <r>
    <x v="35"/>
    <x v="33"/>
    <x v="29"/>
    <x v="56"/>
    <x v="58"/>
    <x v="18"/>
    <x v="52"/>
    <x v="69"/>
  </r>
  <r>
    <x v="35"/>
    <x v="33"/>
    <x v="29"/>
    <x v="8"/>
    <x v="9"/>
    <x v="9"/>
    <x v="53"/>
    <x v="70"/>
  </r>
  <r>
    <x v="35"/>
    <x v="33"/>
    <x v="29"/>
    <x v="52"/>
    <x v="47"/>
    <x v="0"/>
    <x v="54"/>
    <x v="71"/>
  </r>
  <r>
    <x v="36"/>
    <x v="34"/>
    <x v="30"/>
    <x v="15"/>
    <x v="16"/>
    <x v="5"/>
    <x v="33"/>
    <x v="72"/>
  </r>
  <r>
    <x v="37"/>
    <x v="35"/>
    <x v="31"/>
    <x v="38"/>
    <x v="41"/>
    <x v="0"/>
    <x v="11"/>
    <x v="13"/>
  </r>
  <r>
    <x v="38"/>
    <x v="36"/>
    <x v="32"/>
    <x v="13"/>
    <x v="14"/>
    <x v="0"/>
    <x v="11"/>
    <x v="13"/>
  </r>
  <r>
    <x v="39"/>
    <x v="37"/>
    <x v="33"/>
    <x v="35"/>
    <x v="36"/>
    <x v="9"/>
    <x v="34"/>
    <x v="73"/>
  </r>
  <r>
    <x v="39"/>
    <x v="37"/>
    <x v="33"/>
    <x v="57"/>
    <x v="59"/>
    <x v="9"/>
    <x v="55"/>
    <x v="74"/>
  </r>
  <r>
    <x v="40"/>
    <x v="38"/>
    <x v="34"/>
    <x v="18"/>
    <x v="19"/>
    <x v="0"/>
    <x v="32"/>
    <x v="41"/>
  </r>
  <r>
    <x v="40"/>
    <x v="38"/>
    <x v="34"/>
    <x v="8"/>
    <x v="9"/>
    <x v="0"/>
    <x v="33"/>
    <x v="42"/>
  </r>
  <r>
    <x v="41"/>
    <x v="39"/>
    <x v="35"/>
    <x v="32"/>
    <x v="33"/>
    <x v="0"/>
    <x v="37"/>
    <x v="75"/>
  </r>
  <r>
    <x v="42"/>
    <x v="40"/>
    <x v="36"/>
    <x v="58"/>
    <x v="60"/>
    <x v="0"/>
    <x v="56"/>
    <x v="76"/>
  </r>
  <r>
    <x v="43"/>
    <x v="17"/>
    <x v="37"/>
    <x v="13"/>
    <x v="14"/>
    <x v="0"/>
    <x v="11"/>
    <x v="13"/>
  </r>
  <r>
    <x v="43"/>
    <x v="17"/>
    <x v="37"/>
    <x v="7"/>
    <x v="8"/>
    <x v="0"/>
    <x v="5"/>
    <x v="77"/>
  </r>
  <r>
    <x v="43"/>
    <x v="17"/>
    <x v="37"/>
    <x v="8"/>
    <x v="9"/>
    <x v="0"/>
    <x v="33"/>
    <x v="42"/>
  </r>
  <r>
    <x v="43"/>
    <x v="17"/>
    <x v="37"/>
    <x v="17"/>
    <x v="18"/>
    <x v="1"/>
    <x v="9"/>
    <x v="48"/>
  </r>
  <r>
    <x v="44"/>
    <x v="41"/>
    <x v="38"/>
    <x v="13"/>
    <x v="14"/>
    <x v="0"/>
    <x v="11"/>
    <x v="13"/>
  </r>
  <r>
    <x v="45"/>
    <x v="42"/>
    <x v="39"/>
    <x v="13"/>
    <x v="14"/>
    <x v="0"/>
    <x v="11"/>
    <x v="13"/>
  </r>
  <r>
    <x v="45"/>
    <x v="42"/>
    <x v="39"/>
    <x v="8"/>
    <x v="9"/>
    <x v="0"/>
    <x v="33"/>
    <x v="42"/>
  </r>
  <r>
    <x v="46"/>
    <x v="43"/>
    <x v="40"/>
    <x v="15"/>
    <x v="16"/>
    <x v="1"/>
    <x v="33"/>
    <x v="78"/>
  </r>
  <r>
    <x v="47"/>
    <x v="44"/>
    <x v="41"/>
    <x v="58"/>
    <x v="60"/>
    <x v="0"/>
    <x v="57"/>
    <x v="79"/>
  </r>
  <r>
    <x v="47"/>
    <x v="44"/>
    <x v="41"/>
    <x v="21"/>
    <x v="22"/>
    <x v="2"/>
    <x v="18"/>
    <x v="34"/>
  </r>
  <r>
    <x v="47"/>
    <x v="44"/>
    <x v="41"/>
    <x v="25"/>
    <x v="26"/>
    <x v="12"/>
    <x v="15"/>
    <x v="80"/>
  </r>
  <r>
    <x v="47"/>
    <x v="44"/>
    <x v="41"/>
    <x v="52"/>
    <x v="47"/>
    <x v="0"/>
    <x v="58"/>
    <x v="81"/>
  </r>
  <r>
    <x v="48"/>
    <x v="45"/>
    <x v="41"/>
    <x v="46"/>
    <x v="49"/>
    <x v="2"/>
    <x v="59"/>
    <x v="82"/>
  </r>
  <r>
    <x v="48"/>
    <x v="45"/>
    <x v="41"/>
    <x v="23"/>
    <x v="24"/>
    <x v="0"/>
    <x v="60"/>
    <x v="83"/>
  </r>
  <r>
    <x v="48"/>
    <x v="45"/>
    <x v="41"/>
    <x v="59"/>
    <x v="61"/>
    <x v="0"/>
    <x v="61"/>
    <x v="84"/>
  </r>
  <r>
    <x v="48"/>
    <x v="45"/>
    <x v="41"/>
    <x v="60"/>
    <x v="62"/>
    <x v="0"/>
    <x v="62"/>
    <x v="85"/>
  </r>
  <r>
    <x v="48"/>
    <x v="45"/>
    <x v="41"/>
    <x v="52"/>
    <x v="47"/>
    <x v="0"/>
    <x v="63"/>
    <x v="86"/>
  </r>
  <r>
    <x v="49"/>
    <x v="46"/>
    <x v="42"/>
    <x v="17"/>
    <x v="18"/>
    <x v="2"/>
    <x v="9"/>
    <x v="87"/>
  </r>
  <r>
    <x v="50"/>
    <x v="47"/>
    <x v="43"/>
    <x v="12"/>
    <x v="13"/>
    <x v="0"/>
    <x v="10"/>
    <x v="43"/>
  </r>
  <r>
    <x v="51"/>
    <x v="48"/>
    <x v="44"/>
    <x v="18"/>
    <x v="19"/>
    <x v="1"/>
    <x v="32"/>
    <x v="88"/>
  </r>
  <r>
    <x v="51"/>
    <x v="48"/>
    <x v="44"/>
    <x v="8"/>
    <x v="9"/>
    <x v="1"/>
    <x v="33"/>
    <x v="78"/>
  </r>
  <r>
    <x v="52"/>
    <x v="49"/>
    <x v="45"/>
    <x v="15"/>
    <x v="16"/>
    <x v="1"/>
    <x v="33"/>
    <x v="78"/>
  </r>
  <r>
    <x v="53"/>
    <x v="50"/>
    <x v="46"/>
    <x v="14"/>
    <x v="15"/>
    <x v="0"/>
    <x v="64"/>
    <x v="89"/>
  </r>
  <r>
    <x v="53"/>
    <x v="50"/>
    <x v="46"/>
    <x v="3"/>
    <x v="3"/>
    <x v="0"/>
    <x v="4"/>
    <x v="4"/>
  </r>
  <r>
    <x v="53"/>
    <x v="50"/>
    <x v="46"/>
    <x v="16"/>
    <x v="17"/>
    <x v="0"/>
    <x v="4"/>
    <x v="4"/>
  </r>
  <r>
    <x v="53"/>
    <x v="50"/>
    <x v="46"/>
    <x v="4"/>
    <x v="4"/>
    <x v="0"/>
    <x v="4"/>
    <x v="4"/>
  </r>
  <r>
    <x v="53"/>
    <x v="50"/>
    <x v="46"/>
    <x v="21"/>
    <x v="22"/>
    <x v="0"/>
    <x v="65"/>
    <x v="90"/>
  </r>
  <r>
    <x v="53"/>
    <x v="50"/>
    <x v="46"/>
    <x v="13"/>
    <x v="14"/>
    <x v="0"/>
    <x v="11"/>
    <x v="13"/>
  </r>
  <r>
    <x v="54"/>
    <x v="37"/>
    <x v="47"/>
    <x v="61"/>
    <x v="59"/>
    <x v="0"/>
    <x v="55"/>
    <x v="91"/>
  </r>
  <r>
    <x v="54"/>
    <x v="37"/>
    <x v="47"/>
    <x v="35"/>
    <x v="36"/>
    <x v="0"/>
    <x v="34"/>
    <x v="45"/>
  </r>
  <r>
    <x v="55"/>
    <x v="51"/>
    <x v="48"/>
    <x v="5"/>
    <x v="63"/>
    <x v="0"/>
    <x v="4"/>
    <x v="4"/>
  </r>
  <r>
    <x v="55"/>
    <x v="51"/>
    <x v="48"/>
    <x v="62"/>
    <x v="64"/>
    <x v="7"/>
    <x v="4"/>
    <x v="4"/>
  </r>
  <r>
    <x v="55"/>
    <x v="51"/>
    <x v="48"/>
    <x v="63"/>
    <x v="65"/>
    <x v="0"/>
    <x v="4"/>
    <x v="4"/>
  </r>
  <r>
    <x v="55"/>
    <x v="51"/>
    <x v="48"/>
    <x v="64"/>
    <x v="66"/>
    <x v="0"/>
    <x v="4"/>
    <x v="4"/>
  </r>
  <r>
    <x v="55"/>
    <x v="51"/>
    <x v="48"/>
    <x v="65"/>
    <x v="67"/>
    <x v="0"/>
    <x v="4"/>
    <x v="4"/>
  </r>
  <r>
    <x v="55"/>
    <x v="51"/>
    <x v="48"/>
    <x v="66"/>
    <x v="68"/>
    <x v="1"/>
    <x v="4"/>
    <x v="4"/>
  </r>
  <r>
    <x v="55"/>
    <x v="51"/>
    <x v="48"/>
    <x v="67"/>
    <x v="69"/>
    <x v="1"/>
    <x v="4"/>
    <x v="4"/>
  </r>
  <r>
    <x v="55"/>
    <x v="51"/>
    <x v="48"/>
    <x v="68"/>
    <x v="70"/>
    <x v="0"/>
    <x v="4"/>
    <x v="4"/>
  </r>
  <r>
    <x v="55"/>
    <x v="51"/>
    <x v="48"/>
    <x v="63"/>
    <x v="65"/>
    <x v="0"/>
    <x v="4"/>
    <x v="4"/>
  </r>
  <r>
    <x v="55"/>
    <x v="51"/>
    <x v="48"/>
    <x v="64"/>
    <x v="66"/>
    <x v="0"/>
    <x v="4"/>
    <x v="4"/>
  </r>
  <r>
    <x v="55"/>
    <x v="51"/>
    <x v="48"/>
    <x v="62"/>
    <x v="64"/>
    <x v="7"/>
    <x v="4"/>
    <x v="4"/>
  </r>
  <r>
    <x v="55"/>
    <x v="51"/>
    <x v="48"/>
    <x v="69"/>
    <x v="71"/>
    <x v="0"/>
    <x v="4"/>
    <x v="4"/>
  </r>
  <r>
    <x v="55"/>
    <x v="51"/>
    <x v="48"/>
    <x v="65"/>
    <x v="67"/>
    <x v="0"/>
    <x v="4"/>
    <x v="4"/>
  </r>
  <r>
    <x v="56"/>
    <x v="52"/>
    <x v="49"/>
    <x v="70"/>
    <x v="1"/>
    <x v="0"/>
    <x v="66"/>
    <x v="92"/>
  </r>
  <r>
    <x v="56"/>
    <x v="52"/>
    <x v="49"/>
    <x v="21"/>
    <x v="22"/>
    <x v="0"/>
    <x v="65"/>
    <x v="90"/>
  </r>
  <r>
    <x v="56"/>
    <x v="52"/>
    <x v="49"/>
    <x v="3"/>
    <x v="3"/>
    <x v="0"/>
    <x v="4"/>
    <x v="4"/>
  </r>
  <r>
    <x v="56"/>
    <x v="52"/>
    <x v="49"/>
    <x v="4"/>
    <x v="4"/>
    <x v="0"/>
    <x v="4"/>
    <x v="4"/>
  </r>
  <r>
    <x v="56"/>
    <x v="52"/>
    <x v="49"/>
    <x v="13"/>
    <x v="14"/>
    <x v="0"/>
    <x v="11"/>
    <x v="13"/>
  </r>
  <r>
    <x v="57"/>
    <x v="53"/>
    <x v="50"/>
    <x v="18"/>
    <x v="19"/>
    <x v="0"/>
    <x v="32"/>
    <x v="41"/>
  </r>
  <r>
    <x v="57"/>
    <x v="53"/>
    <x v="50"/>
    <x v="8"/>
    <x v="9"/>
    <x v="0"/>
    <x v="33"/>
    <x v="42"/>
  </r>
  <r>
    <x v="58"/>
    <x v="54"/>
    <x v="51"/>
    <x v="13"/>
    <x v="14"/>
    <x v="0"/>
    <x v="11"/>
    <x v="13"/>
  </r>
  <r>
    <x v="59"/>
    <x v="24"/>
    <x v="52"/>
    <x v="70"/>
    <x v="1"/>
    <x v="0"/>
    <x v="66"/>
    <x v="92"/>
  </r>
  <r>
    <x v="59"/>
    <x v="24"/>
    <x v="52"/>
    <x v="19"/>
    <x v="20"/>
    <x v="0"/>
    <x v="67"/>
    <x v="93"/>
  </r>
  <r>
    <x v="59"/>
    <x v="24"/>
    <x v="52"/>
    <x v="3"/>
    <x v="3"/>
    <x v="0"/>
    <x v="4"/>
    <x v="4"/>
  </r>
  <r>
    <x v="59"/>
    <x v="24"/>
    <x v="52"/>
    <x v="4"/>
    <x v="4"/>
    <x v="0"/>
    <x v="4"/>
    <x v="4"/>
  </r>
  <r>
    <x v="59"/>
    <x v="24"/>
    <x v="52"/>
    <x v="18"/>
    <x v="19"/>
    <x v="5"/>
    <x v="32"/>
    <x v="17"/>
  </r>
  <r>
    <x v="59"/>
    <x v="24"/>
    <x v="52"/>
    <x v="8"/>
    <x v="9"/>
    <x v="5"/>
    <x v="33"/>
    <x v="72"/>
  </r>
  <r>
    <x v="59"/>
    <x v="24"/>
    <x v="52"/>
    <x v="7"/>
    <x v="8"/>
    <x v="2"/>
    <x v="5"/>
    <x v="50"/>
  </r>
  <r>
    <x v="59"/>
    <x v="24"/>
    <x v="52"/>
    <x v="8"/>
    <x v="9"/>
    <x v="2"/>
    <x v="33"/>
    <x v="51"/>
  </r>
  <r>
    <x v="60"/>
    <x v="55"/>
    <x v="53"/>
    <x v="39"/>
    <x v="41"/>
    <x v="0"/>
    <x v="35"/>
    <x v="46"/>
  </r>
  <r>
    <x v="61"/>
    <x v="56"/>
    <x v="54"/>
    <x v="71"/>
    <x v="72"/>
    <x v="0"/>
    <x v="68"/>
    <x v="94"/>
  </r>
  <r>
    <x v="62"/>
    <x v="57"/>
    <x v="55"/>
    <x v="13"/>
    <x v="14"/>
    <x v="0"/>
    <x v="11"/>
    <x v="13"/>
  </r>
  <r>
    <x v="63"/>
    <x v="58"/>
    <x v="56"/>
    <x v="58"/>
    <x v="60"/>
    <x v="0"/>
    <x v="56"/>
    <x v="76"/>
  </r>
  <r>
    <x v="64"/>
    <x v="59"/>
    <x v="57"/>
    <x v="18"/>
    <x v="19"/>
    <x v="0"/>
    <x v="32"/>
    <x v="41"/>
  </r>
  <r>
    <x v="64"/>
    <x v="59"/>
    <x v="57"/>
    <x v="8"/>
    <x v="9"/>
    <x v="0"/>
    <x v="33"/>
    <x v="42"/>
  </r>
  <r>
    <x v="65"/>
    <x v="60"/>
    <x v="58"/>
    <x v="7"/>
    <x v="8"/>
    <x v="2"/>
    <x v="5"/>
    <x v="50"/>
  </r>
  <r>
    <x v="65"/>
    <x v="60"/>
    <x v="58"/>
    <x v="8"/>
    <x v="9"/>
    <x v="2"/>
    <x v="33"/>
    <x v="51"/>
  </r>
  <r>
    <x v="66"/>
    <x v="61"/>
    <x v="59"/>
    <x v="71"/>
    <x v="72"/>
    <x v="0"/>
    <x v="68"/>
    <x v="94"/>
  </r>
  <r>
    <x v="67"/>
    <x v="62"/>
    <x v="60"/>
    <x v="13"/>
    <x v="14"/>
    <x v="0"/>
    <x v="11"/>
    <x v="13"/>
  </r>
  <r>
    <x v="68"/>
    <x v="63"/>
    <x v="61"/>
    <x v="15"/>
    <x v="16"/>
    <x v="0"/>
    <x v="33"/>
    <x v="42"/>
  </r>
  <r>
    <x v="69"/>
    <x v="64"/>
    <x v="62"/>
    <x v="9"/>
    <x v="10"/>
    <x v="0"/>
    <x v="7"/>
    <x v="9"/>
  </r>
  <r>
    <x v="70"/>
    <x v="65"/>
    <x v="63"/>
    <x v="58"/>
    <x v="60"/>
    <x v="0"/>
    <x v="56"/>
    <x v="76"/>
  </r>
  <r>
    <x v="71"/>
    <x v="66"/>
    <x v="64"/>
    <x v="70"/>
    <x v="1"/>
    <x v="1"/>
    <x v="66"/>
    <x v="95"/>
  </r>
  <r>
    <x v="71"/>
    <x v="66"/>
    <x v="64"/>
    <x v="19"/>
    <x v="20"/>
    <x v="1"/>
    <x v="67"/>
    <x v="96"/>
  </r>
  <r>
    <x v="71"/>
    <x v="66"/>
    <x v="64"/>
    <x v="3"/>
    <x v="3"/>
    <x v="1"/>
    <x v="4"/>
    <x v="4"/>
  </r>
  <r>
    <x v="71"/>
    <x v="66"/>
    <x v="64"/>
    <x v="4"/>
    <x v="4"/>
    <x v="1"/>
    <x v="4"/>
    <x v="4"/>
  </r>
  <r>
    <x v="72"/>
    <x v="67"/>
    <x v="65"/>
    <x v="13"/>
    <x v="14"/>
    <x v="0"/>
    <x v="11"/>
    <x v="13"/>
  </r>
  <r>
    <x v="73"/>
    <x v="33"/>
    <x v="66"/>
    <x v="71"/>
    <x v="72"/>
    <x v="0"/>
    <x v="69"/>
    <x v="97"/>
  </r>
  <r>
    <x v="73"/>
    <x v="33"/>
    <x v="66"/>
    <x v="52"/>
    <x v="47"/>
    <x v="0"/>
    <x v="70"/>
    <x v="98"/>
  </r>
  <r>
    <x v="74"/>
    <x v="68"/>
    <x v="66"/>
    <x v="70"/>
    <x v="1"/>
    <x v="2"/>
    <x v="66"/>
    <x v="99"/>
  </r>
  <r>
    <x v="74"/>
    <x v="68"/>
    <x v="66"/>
    <x v="0"/>
    <x v="0"/>
    <x v="2"/>
    <x v="2"/>
    <x v="66"/>
  </r>
  <r>
    <x v="74"/>
    <x v="68"/>
    <x v="66"/>
    <x v="3"/>
    <x v="3"/>
    <x v="2"/>
    <x v="4"/>
    <x v="4"/>
  </r>
  <r>
    <x v="74"/>
    <x v="68"/>
    <x v="66"/>
    <x v="15"/>
    <x v="16"/>
    <x v="2"/>
    <x v="4"/>
    <x v="4"/>
  </r>
  <r>
    <x v="74"/>
    <x v="68"/>
    <x v="66"/>
    <x v="8"/>
    <x v="9"/>
    <x v="2"/>
    <x v="4"/>
    <x v="4"/>
  </r>
  <r>
    <x v="74"/>
    <x v="68"/>
    <x v="66"/>
    <x v="13"/>
    <x v="14"/>
    <x v="0"/>
    <x v="11"/>
    <x v="13"/>
  </r>
  <r>
    <x v="74"/>
    <x v="68"/>
    <x v="66"/>
    <x v="72"/>
    <x v="47"/>
    <x v="0"/>
    <x v="71"/>
    <x v="100"/>
  </r>
  <r>
    <x v="75"/>
    <x v="33"/>
    <x v="66"/>
    <x v="14"/>
    <x v="15"/>
    <x v="2"/>
    <x v="72"/>
    <x v="101"/>
  </r>
  <r>
    <x v="75"/>
    <x v="33"/>
    <x v="66"/>
    <x v="3"/>
    <x v="3"/>
    <x v="2"/>
    <x v="4"/>
    <x v="4"/>
  </r>
  <r>
    <x v="75"/>
    <x v="33"/>
    <x v="66"/>
    <x v="16"/>
    <x v="17"/>
    <x v="2"/>
    <x v="4"/>
    <x v="4"/>
  </r>
  <r>
    <x v="75"/>
    <x v="33"/>
    <x v="66"/>
    <x v="36"/>
    <x v="37"/>
    <x v="7"/>
    <x v="30"/>
    <x v="38"/>
  </r>
  <r>
    <x v="75"/>
    <x v="33"/>
    <x v="66"/>
    <x v="52"/>
    <x v="47"/>
    <x v="0"/>
    <x v="73"/>
    <x v="102"/>
  </r>
  <r>
    <x v="76"/>
    <x v="69"/>
    <x v="67"/>
    <x v="24"/>
    <x v="25"/>
    <x v="1"/>
    <x v="32"/>
    <x v="88"/>
  </r>
  <r>
    <x v="77"/>
    <x v="29"/>
    <x v="68"/>
    <x v="47"/>
    <x v="50"/>
    <x v="1"/>
    <x v="43"/>
    <x v="103"/>
  </r>
  <r>
    <x v="78"/>
    <x v="70"/>
    <x v="69"/>
    <x v="13"/>
    <x v="14"/>
    <x v="5"/>
    <x v="11"/>
    <x v="104"/>
  </r>
  <r>
    <x v="79"/>
    <x v="6"/>
    <x v="70"/>
    <x v="19"/>
    <x v="20"/>
    <x v="0"/>
    <x v="36"/>
    <x v="57"/>
  </r>
  <r>
    <x v="80"/>
    <x v="71"/>
    <x v="71"/>
    <x v="15"/>
    <x v="16"/>
    <x v="0"/>
    <x v="33"/>
    <x v="42"/>
  </r>
  <r>
    <x v="80"/>
    <x v="71"/>
    <x v="71"/>
    <x v="61"/>
    <x v="59"/>
    <x v="0"/>
    <x v="55"/>
    <x v="91"/>
  </r>
  <r>
    <x v="81"/>
    <x v="72"/>
    <x v="72"/>
    <x v="12"/>
    <x v="13"/>
    <x v="1"/>
    <x v="10"/>
    <x v="12"/>
  </r>
  <r>
    <x v="82"/>
    <x v="73"/>
    <x v="73"/>
    <x v="39"/>
    <x v="41"/>
    <x v="0"/>
    <x v="35"/>
    <x v="46"/>
  </r>
  <r>
    <x v="83"/>
    <x v="51"/>
    <x v="74"/>
    <x v="71"/>
    <x v="72"/>
    <x v="0"/>
    <x v="69"/>
    <x v="97"/>
  </r>
  <r>
    <x v="83"/>
    <x v="51"/>
    <x v="74"/>
    <x v="52"/>
    <x v="47"/>
    <x v="0"/>
    <x v="74"/>
    <x v="105"/>
  </r>
  <r>
    <x v="84"/>
    <x v="74"/>
    <x v="75"/>
    <x v="9"/>
    <x v="10"/>
    <x v="0"/>
    <x v="7"/>
    <x v="9"/>
  </r>
  <r>
    <x v="85"/>
    <x v="75"/>
    <x v="76"/>
    <x v="7"/>
    <x v="8"/>
    <x v="3"/>
    <x v="5"/>
    <x v="5"/>
  </r>
  <r>
    <x v="85"/>
    <x v="75"/>
    <x v="76"/>
    <x v="8"/>
    <x v="9"/>
    <x v="3"/>
    <x v="6"/>
    <x v="6"/>
  </r>
  <r>
    <x v="86"/>
    <x v="76"/>
    <x v="77"/>
    <x v="24"/>
    <x v="25"/>
    <x v="1"/>
    <x v="32"/>
    <x v="88"/>
  </r>
  <r>
    <x v="87"/>
    <x v="77"/>
    <x v="78"/>
    <x v="13"/>
    <x v="14"/>
    <x v="0"/>
    <x v="11"/>
    <x v="13"/>
  </r>
  <r>
    <x v="87"/>
    <x v="77"/>
    <x v="78"/>
    <x v="8"/>
    <x v="9"/>
    <x v="1"/>
    <x v="33"/>
    <x v="78"/>
  </r>
  <r>
    <x v="88"/>
    <x v="78"/>
    <x v="79"/>
    <x v="24"/>
    <x v="25"/>
    <x v="0"/>
    <x v="32"/>
    <x v="41"/>
  </r>
  <r>
    <x v="89"/>
    <x v="79"/>
    <x v="80"/>
    <x v="5"/>
    <x v="73"/>
    <x v="0"/>
    <x v="4"/>
    <x v="4"/>
  </r>
  <r>
    <x v="90"/>
    <x v="80"/>
    <x v="81"/>
    <x v="14"/>
    <x v="15"/>
    <x v="2"/>
    <x v="64"/>
    <x v="106"/>
  </r>
  <r>
    <x v="90"/>
    <x v="80"/>
    <x v="81"/>
    <x v="3"/>
    <x v="3"/>
    <x v="2"/>
    <x v="4"/>
    <x v="4"/>
  </r>
  <r>
    <x v="90"/>
    <x v="80"/>
    <x v="81"/>
    <x v="16"/>
    <x v="17"/>
    <x v="2"/>
    <x v="4"/>
    <x v="4"/>
  </r>
  <r>
    <x v="90"/>
    <x v="80"/>
    <x v="81"/>
    <x v="4"/>
    <x v="4"/>
    <x v="2"/>
    <x v="4"/>
    <x v="4"/>
  </r>
  <r>
    <x v="90"/>
    <x v="80"/>
    <x v="81"/>
    <x v="21"/>
    <x v="22"/>
    <x v="2"/>
    <x v="65"/>
    <x v="2"/>
  </r>
  <r>
    <x v="91"/>
    <x v="81"/>
    <x v="82"/>
    <x v="18"/>
    <x v="19"/>
    <x v="1"/>
    <x v="32"/>
    <x v="88"/>
  </r>
  <r>
    <x v="91"/>
    <x v="81"/>
    <x v="82"/>
    <x v="8"/>
    <x v="9"/>
    <x v="1"/>
    <x v="33"/>
    <x v="78"/>
  </r>
  <r>
    <x v="92"/>
    <x v="82"/>
    <x v="83"/>
    <x v="58"/>
    <x v="60"/>
    <x v="1"/>
    <x v="56"/>
    <x v="107"/>
  </r>
  <r>
    <x v="93"/>
    <x v="83"/>
    <x v="84"/>
    <x v="58"/>
    <x v="60"/>
    <x v="0"/>
    <x v="56"/>
    <x v="76"/>
  </r>
  <r>
    <x v="94"/>
    <x v="84"/>
    <x v="85"/>
    <x v="12"/>
    <x v="13"/>
    <x v="0"/>
    <x v="10"/>
    <x v="43"/>
  </r>
  <r>
    <x v="95"/>
    <x v="85"/>
    <x v="86"/>
    <x v="17"/>
    <x v="18"/>
    <x v="1"/>
    <x v="9"/>
    <x v="48"/>
  </r>
  <r>
    <x v="96"/>
    <x v="86"/>
    <x v="87"/>
    <x v="73"/>
    <x v="74"/>
    <x v="0"/>
    <x v="4"/>
    <x v="4"/>
  </r>
  <r>
    <x v="97"/>
    <x v="87"/>
    <x v="88"/>
    <x v="14"/>
    <x v="15"/>
    <x v="0"/>
    <x v="64"/>
    <x v="89"/>
  </r>
  <r>
    <x v="97"/>
    <x v="87"/>
    <x v="88"/>
    <x v="3"/>
    <x v="3"/>
    <x v="0"/>
    <x v="4"/>
    <x v="4"/>
  </r>
  <r>
    <x v="97"/>
    <x v="87"/>
    <x v="88"/>
    <x v="16"/>
    <x v="17"/>
    <x v="0"/>
    <x v="4"/>
    <x v="4"/>
  </r>
  <r>
    <x v="97"/>
    <x v="87"/>
    <x v="88"/>
    <x v="4"/>
    <x v="4"/>
    <x v="0"/>
    <x v="4"/>
    <x v="4"/>
  </r>
  <r>
    <x v="97"/>
    <x v="87"/>
    <x v="88"/>
    <x v="17"/>
    <x v="18"/>
    <x v="0"/>
    <x v="4"/>
    <x v="4"/>
  </r>
  <r>
    <x v="98"/>
    <x v="88"/>
    <x v="89"/>
    <x v="39"/>
    <x v="41"/>
    <x v="0"/>
    <x v="35"/>
    <x v="46"/>
  </r>
  <r>
    <x v="99"/>
    <x v="89"/>
    <x v="90"/>
    <x v="18"/>
    <x v="19"/>
    <x v="0"/>
    <x v="32"/>
    <x v="41"/>
  </r>
  <r>
    <x v="99"/>
    <x v="89"/>
    <x v="90"/>
    <x v="8"/>
    <x v="9"/>
    <x v="0"/>
    <x v="33"/>
    <x v="42"/>
  </r>
  <r>
    <x v="100"/>
    <x v="90"/>
    <x v="91"/>
    <x v="71"/>
    <x v="72"/>
    <x v="0"/>
    <x v="69"/>
    <x v="97"/>
  </r>
  <r>
    <x v="100"/>
    <x v="90"/>
    <x v="91"/>
    <x v="52"/>
    <x v="47"/>
    <x v="0"/>
    <x v="54"/>
    <x v="71"/>
  </r>
  <r>
    <x v="101"/>
    <x v="91"/>
    <x v="92"/>
    <x v="58"/>
    <x v="60"/>
    <x v="0"/>
    <x v="56"/>
    <x v="76"/>
  </r>
  <r>
    <x v="102"/>
    <x v="92"/>
    <x v="93"/>
    <x v="7"/>
    <x v="8"/>
    <x v="0"/>
    <x v="5"/>
    <x v="77"/>
  </r>
  <r>
    <x v="102"/>
    <x v="92"/>
    <x v="93"/>
    <x v="8"/>
    <x v="9"/>
    <x v="0"/>
    <x v="33"/>
    <x v="42"/>
  </r>
  <r>
    <x v="103"/>
    <x v="93"/>
    <x v="94"/>
    <x v="14"/>
    <x v="15"/>
    <x v="1"/>
    <x v="64"/>
    <x v="108"/>
  </r>
  <r>
    <x v="103"/>
    <x v="93"/>
    <x v="94"/>
    <x v="3"/>
    <x v="3"/>
    <x v="1"/>
    <x v="4"/>
    <x v="4"/>
  </r>
  <r>
    <x v="103"/>
    <x v="93"/>
    <x v="94"/>
    <x v="16"/>
    <x v="17"/>
    <x v="1"/>
    <x v="4"/>
    <x v="4"/>
  </r>
  <r>
    <x v="103"/>
    <x v="93"/>
    <x v="94"/>
    <x v="4"/>
    <x v="4"/>
    <x v="1"/>
    <x v="4"/>
    <x v="4"/>
  </r>
  <r>
    <x v="103"/>
    <x v="93"/>
    <x v="94"/>
    <x v="21"/>
    <x v="22"/>
    <x v="1"/>
    <x v="65"/>
    <x v="109"/>
  </r>
  <r>
    <x v="103"/>
    <x v="93"/>
    <x v="94"/>
    <x v="74"/>
    <x v="75"/>
    <x v="1"/>
    <x v="42"/>
    <x v="110"/>
  </r>
  <r>
    <x v="103"/>
    <x v="93"/>
    <x v="94"/>
    <x v="11"/>
    <x v="12"/>
    <x v="1"/>
    <x v="9"/>
    <x v="48"/>
  </r>
  <r>
    <x v="103"/>
    <x v="93"/>
    <x v="94"/>
    <x v="16"/>
    <x v="17"/>
    <x v="1"/>
    <x v="34"/>
    <x v="60"/>
  </r>
  <r>
    <x v="103"/>
    <x v="93"/>
    <x v="94"/>
    <x v="35"/>
    <x v="36"/>
    <x v="1"/>
    <x v="34"/>
    <x v="60"/>
  </r>
  <r>
    <x v="103"/>
    <x v="93"/>
    <x v="94"/>
    <x v="36"/>
    <x v="37"/>
    <x v="1"/>
    <x v="42"/>
    <x v="110"/>
  </r>
  <r>
    <x v="104"/>
    <x v="94"/>
    <x v="95"/>
    <x v="39"/>
    <x v="41"/>
    <x v="0"/>
    <x v="35"/>
    <x v="46"/>
  </r>
  <r>
    <x v="105"/>
    <x v="95"/>
    <x v="96"/>
    <x v="70"/>
    <x v="1"/>
    <x v="1"/>
    <x v="66"/>
    <x v="95"/>
  </r>
  <r>
    <x v="105"/>
    <x v="95"/>
    <x v="96"/>
    <x v="17"/>
    <x v="18"/>
    <x v="1"/>
    <x v="4"/>
    <x v="4"/>
  </r>
  <r>
    <x v="105"/>
    <x v="95"/>
    <x v="96"/>
    <x v="3"/>
    <x v="3"/>
    <x v="1"/>
    <x v="4"/>
    <x v="4"/>
  </r>
  <r>
    <x v="105"/>
    <x v="95"/>
    <x v="96"/>
    <x v="4"/>
    <x v="4"/>
    <x v="1"/>
    <x v="4"/>
    <x v="4"/>
  </r>
  <r>
    <x v="105"/>
    <x v="95"/>
    <x v="96"/>
    <x v="12"/>
    <x v="13"/>
    <x v="1"/>
    <x v="10"/>
    <x v="12"/>
  </r>
  <r>
    <x v="105"/>
    <x v="95"/>
    <x v="96"/>
    <x v="8"/>
    <x v="9"/>
    <x v="0"/>
    <x v="33"/>
    <x v="42"/>
  </r>
  <r>
    <x v="105"/>
    <x v="95"/>
    <x v="96"/>
    <x v="46"/>
    <x v="49"/>
    <x v="1"/>
    <x v="59"/>
    <x v="111"/>
  </r>
  <r>
    <x v="105"/>
    <x v="95"/>
    <x v="96"/>
    <x v="75"/>
    <x v="76"/>
    <x v="1"/>
    <x v="59"/>
    <x v="111"/>
  </r>
  <r>
    <x v="106"/>
    <x v="32"/>
    <x v="97"/>
    <x v="76"/>
    <x v="77"/>
    <x v="1"/>
    <x v="21"/>
    <x v="112"/>
  </r>
  <r>
    <x v="106"/>
    <x v="32"/>
    <x v="97"/>
    <x v="77"/>
    <x v="78"/>
    <x v="1"/>
    <x v="75"/>
    <x v="113"/>
  </r>
  <r>
    <x v="106"/>
    <x v="32"/>
    <x v="97"/>
    <x v="8"/>
    <x v="9"/>
    <x v="1"/>
    <x v="28"/>
    <x v="114"/>
  </r>
  <r>
    <x v="106"/>
    <x v="32"/>
    <x v="97"/>
    <x v="60"/>
    <x v="62"/>
    <x v="1"/>
    <x v="76"/>
    <x v="115"/>
  </r>
  <r>
    <x v="106"/>
    <x v="32"/>
    <x v="97"/>
    <x v="52"/>
    <x v="47"/>
    <x v="0"/>
    <x v="77"/>
    <x v="116"/>
  </r>
  <r>
    <x v="107"/>
    <x v="96"/>
    <x v="98"/>
    <x v="22"/>
    <x v="23"/>
    <x v="0"/>
    <x v="8"/>
    <x v="44"/>
  </r>
  <r>
    <x v="108"/>
    <x v="97"/>
    <x v="99"/>
    <x v="24"/>
    <x v="25"/>
    <x v="1"/>
    <x v="32"/>
    <x v="88"/>
  </r>
  <r>
    <x v="108"/>
    <x v="97"/>
    <x v="99"/>
    <x v="7"/>
    <x v="8"/>
    <x v="0"/>
    <x v="5"/>
    <x v="77"/>
  </r>
  <r>
    <x v="108"/>
    <x v="97"/>
    <x v="99"/>
    <x v="8"/>
    <x v="9"/>
    <x v="0"/>
    <x v="33"/>
    <x v="42"/>
  </r>
  <r>
    <x v="109"/>
    <x v="98"/>
    <x v="100"/>
    <x v="13"/>
    <x v="14"/>
    <x v="0"/>
    <x v="11"/>
    <x v="13"/>
  </r>
  <r>
    <x v="109"/>
    <x v="98"/>
    <x v="100"/>
    <x v="7"/>
    <x v="8"/>
    <x v="1"/>
    <x v="5"/>
    <x v="117"/>
  </r>
  <r>
    <x v="109"/>
    <x v="98"/>
    <x v="100"/>
    <x v="8"/>
    <x v="9"/>
    <x v="1"/>
    <x v="33"/>
    <x v="78"/>
  </r>
  <r>
    <x v="110"/>
    <x v="99"/>
    <x v="101"/>
    <x v="15"/>
    <x v="16"/>
    <x v="0"/>
    <x v="33"/>
    <x v="42"/>
  </r>
  <r>
    <x v="110"/>
    <x v="99"/>
    <x v="101"/>
    <x v="7"/>
    <x v="8"/>
    <x v="1"/>
    <x v="5"/>
    <x v="117"/>
  </r>
  <r>
    <x v="110"/>
    <x v="99"/>
    <x v="101"/>
    <x v="8"/>
    <x v="9"/>
    <x v="1"/>
    <x v="33"/>
    <x v="78"/>
  </r>
  <r>
    <x v="111"/>
    <x v="100"/>
    <x v="102"/>
    <x v="73"/>
    <x v="50"/>
    <x v="2"/>
    <x v="43"/>
    <x v="118"/>
  </r>
  <r>
    <x v="112"/>
    <x v="86"/>
    <x v="102"/>
    <x v="49"/>
    <x v="52"/>
    <x v="1"/>
    <x v="41"/>
    <x v="119"/>
  </r>
  <r>
    <x v="112"/>
    <x v="86"/>
    <x v="102"/>
    <x v="48"/>
    <x v="51"/>
    <x v="1"/>
    <x v="78"/>
    <x v="120"/>
  </r>
  <r>
    <x v="112"/>
    <x v="86"/>
    <x v="102"/>
    <x v="78"/>
    <x v="79"/>
    <x v="1"/>
    <x v="79"/>
    <x v="121"/>
  </r>
  <r>
    <x v="112"/>
    <x v="86"/>
    <x v="102"/>
    <x v="79"/>
    <x v="80"/>
    <x v="1"/>
    <x v="80"/>
    <x v="122"/>
  </r>
  <r>
    <x v="112"/>
    <x v="86"/>
    <x v="102"/>
    <x v="80"/>
    <x v="81"/>
    <x v="2"/>
    <x v="81"/>
    <x v="123"/>
  </r>
  <r>
    <x v="112"/>
    <x v="86"/>
    <x v="102"/>
    <x v="81"/>
    <x v="82"/>
    <x v="1"/>
    <x v="82"/>
    <x v="124"/>
  </r>
  <r>
    <x v="112"/>
    <x v="86"/>
    <x v="102"/>
    <x v="52"/>
    <x v="47"/>
    <x v="0"/>
    <x v="83"/>
    <x v="125"/>
  </r>
  <r>
    <x v="113"/>
    <x v="86"/>
    <x v="102"/>
    <x v="82"/>
    <x v="83"/>
    <x v="0"/>
    <x v="12"/>
    <x v="126"/>
  </r>
  <r>
    <x v="113"/>
    <x v="86"/>
    <x v="102"/>
    <x v="73"/>
    <x v="50"/>
    <x v="0"/>
    <x v="84"/>
    <x v="127"/>
  </r>
  <r>
    <x v="113"/>
    <x v="86"/>
    <x v="102"/>
    <x v="3"/>
    <x v="3"/>
    <x v="0"/>
    <x v="4"/>
    <x v="4"/>
  </r>
  <r>
    <x v="113"/>
    <x v="86"/>
    <x v="102"/>
    <x v="52"/>
    <x v="47"/>
    <x v="0"/>
    <x v="85"/>
    <x v="128"/>
  </r>
  <r>
    <x v="114"/>
    <x v="101"/>
    <x v="103"/>
    <x v="39"/>
    <x v="41"/>
    <x v="0"/>
    <x v="35"/>
    <x v="46"/>
  </r>
  <r>
    <x v="115"/>
    <x v="102"/>
    <x v="104"/>
    <x v="24"/>
    <x v="25"/>
    <x v="2"/>
    <x v="32"/>
    <x v="129"/>
  </r>
  <r>
    <x v="116"/>
    <x v="103"/>
    <x v="105"/>
    <x v="39"/>
    <x v="41"/>
    <x v="0"/>
    <x v="35"/>
    <x v="46"/>
  </r>
  <r>
    <x v="117"/>
    <x v="104"/>
    <x v="106"/>
    <x v="24"/>
    <x v="25"/>
    <x v="0"/>
    <x v="32"/>
    <x v="41"/>
  </r>
  <r>
    <x v="118"/>
    <x v="105"/>
    <x v="107"/>
    <x v="22"/>
    <x v="23"/>
    <x v="0"/>
    <x v="8"/>
    <x v="44"/>
  </r>
  <r>
    <x v="118"/>
    <x v="105"/>
    <x v="107"/>
    <x v="4"/>
    <x v="4"/>
    <x v="0"/>
    <x v="63"/>
    <x v="86"/>
  </r>
  <r>
    <x v="119"/>
    <x v="106"/>
    <x v="108"/>
    <x v="49"/>
    <x v="52"/>
    <x v="0"/>
    <x v="41"/>
    <x v="56"/>
  </r>
  <r>
    <x v="119"/>
    <x v="106"/>
    <x v="108"/>
    <x v="83"/>
    <x v="84"/>
    <x v="0"/>
    <x v="45"/>
    <x v="62"/>
  </r>
  <r>
    <x v="119"/>
    <x v="106"/>
    <x v="108"/>
    <x v="84"/>
    <x v="85"/>
    <x v="0"/>
    <x v="86"/>
    <x v="130"/>
  </r>
  <r>
    <x v="119"/>
    <x v="106"/>
    <x v="108"/>
    <x v="85"/>
    <x v="86"/>
    <x v="19"/>
    <x v="87"/>
    <x v="131"/>
  </r>
  <r>
    <x v="119"/>
    <x v="106"/>
    <x v="108"/>
    <x v="52"/>
    <x v="47"/>
    <x v="0"/>
    <x v="88"/>
    <x v="132"/>
  </r>
  <r>
    <x v="120"/>
    <x v="79"/>
    <x v="108"/>
    <x v="8"/>
    <x v="9"/>
    <x v="0"/>
    <x v="33"/>
    <x v="42"/>
  </r>
  <r>
    <x v="121"/>
    <x v="107"/>
    <x v="109"/>
    <x v="24"/>
    <x v="25"/>
    <x v="0"/>
    <x v="32"/>
    <x v="41"/>
  </r>
  <r>
    <x v="122"/>
    <x v="108"/>
    <x v="110"/>
    <x v="38"/>
    <x v="41"/>
    <x v="1"/>
    <x v="11"/>
    <x v="133"/>
  </r>
  <r>
    <x v="122"/>
    <x v="108"/>
    <x v="110"/>
    <x v="12"/>
    <x v="13"/>
    <x v="1"/>
    <x v="10"/>
    <x v="12"/>
  </r>
  <r>
    <x v="122"/>
    <x v="108"/>
    <x v="110"/>
    <x v="13"/>
    <x v="14"/>
    <x v="0"/>
    <x v="11"/>
    <x v="13"/>
  </r>
  <r>
    <x v="123"/>
    <x v="109"/>
    <x v="111"/>
    <x v="58"/>
    <x v="60"/>
    <x v="1"/>
    <x v="56"/>
    <x v="107"/>
  </r>
  <r>
    <x v="124"/>
    <x v="110"/>
    <x v="112"/>
    <x v="58"/>
    <x v="60"/>
    <x v="0"/>
    <x v="56"/>
    <x v="76"/>
  </r>
  <r>
    <x v="125"/>
    <x v="111"/>
    <x v="113"/>
    <x v="24"/>
    <x v="25"/>
    <x v="2"/>
    <x v="32"/>
    <x v="129"/>
  </r>
  <r>
    <x v="125"/>
    <x v="111"/>
    <x v="113"/>
    <x v="9"/>
    <x v="10"/>
    <x v="0"/>
    <x v="7"/>
    <x v="9"/>
  </r>
  <r>
    <x v="125"/>
    <x v="111"/>
    <x v="113"/>
    <x v="86"/>
    <x v="87"/>
    <x v="0"/>
    <x v="89"/>
    <x v="134"/>
  </r>
  <r>
    <x v="125"/>
    <x v="111"/>
    <x v="113"/>
    <x v="21"/>
    <x v="22"/>
    <x v="1"/>
    <x v="37"/>
    <x v="49"/>
  </r>
  <r>
    <x v="126"/>
    <x v="112"/>
    <x v="114"/>
    <x v="18"/>
    <x v="19"/>
    <x v="0"/>
    <x v="32"/>
    <x v="41"/>
  </r>
  <r>
    <x v="126"/>
    <x v="112"/>
    <x v="114"/>
    <x v="8"/>
    <x v="9"/>
    <x v="0"/>
    <x v="33"/>
    <x v="42"/>
  </r>
  <r>
    <x v="126"/>
    <x v="112"/>
    <x v="114"/>
    <x v="8"/>
    <x v="9"/>
    <x v="0"/>
    <x v="33"/>
    <x v="42"/>
  </r>
  <r>
    <x v="127"/>
    <x v="113"/>
    <x v="115"/>
    <x v="38"/>
    <x v="41"/>
    <x v="0"/>
    <x v="11"/>
    <x v="13"/>
  </r>
  <r>
    <x v="128"/>
    <x v="114"/>
    <x v="116"/>
    <x v="87"/>
    <x v="88"/>
    <x v="1"/>
    <x v="90"/>
    <x v="135"/>
  </r>
  <r>
    <x v="128"/>
    <x v="114"/>
    <x v="116"/>
    <x v="24"/>
    <x v="25"/>
    <x v="2"/>
    <x v="15"/>
    <x v="17"/>
  </r>
  <r>
    <x v="128"/>
    <x v="114"/>
    <x v="116"/>
    <x v="12"/>
    <x v="13"/>
    <x v="2"/>
    <x v="22"/>
    <x v="136"/>
  </r>
  <r>
    <x v="129"/>
    <x v="115"/>
    <x v="116"/>
    <x v="73"/>
    <x v="89"/>
    <x v="2"/>
    <x v="84"/>
    <x v="137"/>
  </r>
  <r>
    <x v="129"/>
    <x v="115"/>
    <x v="116"/>
    <x v="52"/>
    <x v="47"/>
    <x v="0"/>
    <x v="83"/>
    <x v="125"/>
  </r>
  <r>
    <x v="130"/>
    <x v="116"/>
    <x v="117"/>
    <x v="13"/>
    <x v="14"/>
    <x v="0"/>
    <x v="11"/>
    <x v="13"/>
  </r>
  <r>
    <x v="131"/>
    <x v="117"/>
    <x v="118"/>
    <x v="39"/>
    <x v="41"/>
    <x v="0"/>
    <x v="35"/>
    <x v="46"/>
  </r>
  <r>
    <x v="132"/>
    <x v="118"/>
    <x v="119"/>
    <x v="7"/>
    <x v="8"/>
    <x v="1"/>
    <x v="5"/>
    <x v="117"/>
  </r>
  <r>
    <x v="132"/>
    <x v="118"/>
    <x v="119"/>
    <x v="8"/>
    <x v="9"/>
    <x v="1"/>
    <x v="33"/>
    <x v="78"/>
  </r>
  <r>
    <x v="132"/>
    <x v="118"/>
    <x v="119"/>
    <x v="15"/>
    <x v="16"/>
    <x v="2"/>
    <x v="33"/>
    <x v="51"/>
  </r>
  <r>
    <x v="132"/>
    <x v="118"/>
    <x v="119"/>
    <x v="22"/>
    <x v="23"/>
    <x v="1"/>
    <x v="8"/>
    <x v="138"/>
  </r>
  <r>
    <x v="132"/>
    <x v="118"/>
    <x v="119"/>
    <x v="10"/>
    <x v="11"/>
    <x v="1"/>
    <x v="8"/>
    <x v="138"/>
  </r>
  <r>
    <x v="132"/>
    <x v="118"/>
    <x v="119"/>
    <x v="35"/>
    <x v="36"/>
    <x v="2"/>
    <x v="34"/>
    <x v="139"/>
  </r>
  <r>
    <x v="133"/>
    <x v="119"/>
    <x v="120"/>
    <x v="13"/>
    <x v="14"/>
    <x v="0"/>
    <x v="11"/>
    <x v="13"/>
  </r>
  <r>
    <x v="133"/>
    <x v="119"/>
    <x v="120"/>
    <x v="88"/>
    <x v="90"/>
    <x v="0"/>
    <x v="91"/>
    <x v="140"/>
  </r>
  <r>
    <x v="133"/>
    <x v="119"/>
    <x v="120"/>
    <x v="74"/>
    <x v="75"/>
    <x v="0"/>
    <x v="42"/>
    <x v="141"/>
  </r>
  <r>
    <x v="133"/>
    <x v="119"/>
    <x v="120"/>
    <x v="89"/>
    <x v="91"/>
    <x v="0"/>
    <x v="4"/>
    <x v="4"/>
  </r>
  <r>
    <x v="134"/>
    <x v="120"/>
    <x v="121"/>
    <x v="70"/>
    <x v="1"/>
    <x v="2"/>
    <x v="66"/>
    <x v="99"/>
  </r>
  <r>
    <x v="134"/>
    <x v="120"/>
    <x v="121"/>
    <x v="17"/>
    <x v="18"/>
    <x v="2"/>
    <x v="4"/>
    <x v="4"/>
  </r>
  <r>
    <x v="134"/>
    <x v="120"/>
    <x v="121"/>
    <x v="3"/>
    <x v="3"/>
    <x v="2"/>
    <x v="4"/>
    <x v="4"/>
  </r>
  <r>
    <x v="134"/>
    <x v="120"/>
    <x v="121"/>
    <x v="2"/>
    <x v="2"/>
    <x v="2"/>
    <x v="3"/>
    <x v="142"/>
  </r>
  <r>
    <x v="134"/>
    <x v="120"/>
    <x v="121"/>
    <x v="13"/>
    <x v="14"/>
    <x v="5"/>
    <x v="11"/>
    <x v="104"/>
  </r>
  <r>
    <x v="134"/>
    <x v="120"/>
    <x v="121"/>
    <x v="15"/>
    <x v="16"/>
    <x v="2"/>
    <x v="4"/>
    <x v="4"/>
  </r>
  <r>
    <x v="134"/>
    <x v="120"/>
    <x v="121"/>
    <x v="8"/>
    <x v="9"/>
    <x v="2"/>
    <x v="4"/>
    <x v="4"/>
  </r>
  <r>
    <x v="135"/>
    <x v="121"/>
    <x v="121"/>
    <x v="22"/>
    <x v="23"/>
    <x v="0"/>
    <x v="4"/>
    <x v="4"/>
  </r>
  <r>
    <x v="136"/>
    <x v="51"/>
    <x v="121"/>
    <x v="5"/>
    <x v="92"/>
    <x v="0"/>
    <x v="4"/>
    <x v="4"/>
  </r>
  <r>
    <x v="137"/>
    <x v="122"/>
    <x v="121"/>
    <x v="90"/>
    <x v="93"/>
    <x v="1"/>
    <x v="4"/>
    <x v="4"/>
  </r>
  <r>
    <x v="137"/>
    <x v="122"/>
    <x v="121"/>
    <x v="91"/>
    <x v="94"/>
    <x v="1"/>
    <x v="4"/>
    <x v="4"/>
  </r>
  <r>
    <x v="137"/>
    <x v="122"/>
    <x v="121"/>
    <x v="18"/>
    <x v="19"/>
    <x v="0"/>
    <x v="4"/>
    <x v="4"/>
  </r>
  <r>
    <x v="138"/>
    <x v="123"/>
    <x v="122"/>
    <x v="36"/>
    <x v="37"/>
    <x v="1"/>
    <x v="42"/>
    <x v="110"/>
  </r>
  <r>
    <x v="138"/>
    <x v="123"/>
    <x v="122"/>
    <x v="35"/>
    <x v="36"/>
    <x v="1"/>
    <x v="34"/>
    <x v="60"/>
  </r>
  <r>
    <x v="139"/>
    <x v="124"/>
    <x v="123"/>
    <x v="7"/>
    <x v="8"/>
    <x v="5"/>
    <x v="5"/>
    <x v="143"/>
  </r>
  <r>
    <x v="139"/>
    <x v="124"/>
    <x v="123"/>
    <x v="8"/>
    <x v="9"/>
    <x v="5"/>
    <x v="33"/>
    <x v="72"/>
  </r>
  <r>
    <x v="140"/>
    <x v="51"/>
    <x v="124"/>
    <x v="92"/>
    <x v="95"/>
    <x v="1"/>
    <x v="92"/>
    <x v="144"/>
  </r>
  <r>
    <x v="140"/>
    <x v="51"/>
    <x v="124"/>
    <x v="93"/>
    <x v="96"/>
    <x v="1"/>
    <x v="13"/>
    <x v="145"/>
  </r>
  <r>
    <x v="140"/>
    <x v="51"/>
    <x v="124"/>
    <x v="94"/>
    <x v="97"/>
    <x v="3"/>
    <x v="18"/>
    <x v="146"/>
  </r>
  <r>
    <x v="141"/>
    <x v="125"/>
    <x v="125"/>
    <x v="8"/>
    <x v="9"/>
    <x v="1"/>
    <x v="33"/>
    <x v="78"/>
  </r>
  <r>
    <x v="142"/>
    <x v="126"/>
    <x v="126"/>
    <x v="24"/>
    <x v="25"/>
    <x v="1"/>
    <x v="32"/>
    <x v="88"/>
  </r>
  <r>
    <x v="142"/>
    <x v="126"/>
    <x v="126"/>
    <x v="8"/>
    <x v="9"/>
    <x v="0"/>
    <x v="33"/>
    <x v="42"/>
  </r>
  <r>
    <x v="142"/>
    <x v="126"/>
    <x v="126"/>
    <x v="13"/>
    <x v="14"/>
    <x v="0"/>
    <x v="11"/>
    <x v="13"/>
  </r>
  <r>
    <x v="143"/>
    <x v="127"/>
    <x v="127"/>
    <x v="38"/>
    <x v="41"/>
    <x v="0"/>
    <x v="11"/>
    <x v="13"/>
  </r>
  <r>
    <x v="144"/>
    <x v="128"/>
    <x v="128"/>
    <x v="39"/>
    <x v="41"/>
    <x v="0"/>
    <x v="35"/>
    <x v="46"/>
  </r>
  <r>
    <x v="145"/>
    <x v="129"/>
    <x v="129"/>
    <x v="12"/>
    <x v="13"/>
    <x v="1"/>
    <x v="10"/>
    <x v="12"/>
  </r>
  <r>
    <x v="146"/>
    <x v="130"/>
    <x v="130"/>
    <x v="39"/>
    <x v="41"/>
    <x v="0"/>
    <x v="35"/>
    <x v="46"/>
  </r>
  <r>
    <x v="147"/>
    <x v="131"/>
    <x v="131"/>
    <x v="12"/>
    <x v="13"/>
    <x v="0"/>
    <x v="10"/>
    <x v="43"/>
  </r>
  <r>
    <x v="148"/>
    <x v="132"/>
    <x v="132"/>
    <x v="13"/>
    <x v="14"/>
    <x v="0"/>
    <x v="11"/>
    <x v="13"/>
  </r>
  <r>
    <x v="149"/>
    <x v="133"/>
    <x v="133"/>
    <x v="18"/>
    <x v="19"/>
    <x v="0"/>
    <x v="32"/>
    <x v="41"/>
  </r>
  <r>
    <x v="149"/>
    <x v="133"/>
    <x v="133"/>
    <x v="8"/>
    <x v="9"/>
    <x v="0"/>
    <x v="33"/>
    <x v="42"/>
  </r>
  <r>
    <x v="150"/>
    <x v="106"/>
    <x v="134"/>
    <x v="49"/>
    <x v="52"/>
    <x v="0"/>
    <x v="41"/>
    <x v="56"/>
  </r>
  <r>
    <x v="150"/>
    <x v="106"/>
    <x v="134"/>
    <x v="83"/>
    <x v="84"/>
    <x v="0"/>
    <x v="45"/>
    <x v="62"/>
  </r>
  <r>
    <x v="150"/>
    <x v="106"/>
    <x v="134"/>
    <x v="84"/>
    <x v="85"/>
    <x v="0"/>
    <x v="27"/>
    <x v="147"/>
  </r>
  <r>
    <x v="150"/>
    <x v="106"/>
    <x v="134"/>
    <x v="52"/>
    <x v="47"/>
    <x v="0"/>
    <x v="93"/>
    <x v="148"/>
  </r>
  <r>
    <x v="151"/>
    <x v="90"/>
    <x v="134"/>
    <x v="13"/>
    <x v="14"/>
    <x v="0"/>
    <x v="20"/>
    <x v="22"/>
  </r>
  <r>
    <x v="151"/>
    <x v="90"/>
    <x v="134"/>
    <x v="13"/>
    <x v="14"/>
    <x v="0"/>
    <x v="20"/>
    <x v="22"/>
  </r>
  <r>
    <x v="151"/>
    <x v="90"/>
    <x v="134"/>
    <x v="52"/>
    <x v="47"/>
    <x v="0"/>
    <x v="74"/>
    <x v="105"/>
  </r>
  <r>
    <x v="152"/>
    <x v="134"/>
    <x v="134"/>
    <x v="95"/>
    <x v="98"/>
    <x v="15"/>
    <x v="94"/>
    <x v="149"/>
  </r>
  <r>
    <x v="152"/>
    <x v="134"/>
    <x v="134"/>
    <x v="3"/>
    <x v="3"/>
    <x v="15"/>
    <x v="4"/>
    <x v="4"/>
  </r>
  <r>
    <x v="152"/>
    <x v="134"/>
    <x v="134"/>
    <x v="45"/>
    <x v="47"/>
    <x v="0"/>
    <x v="41"/>
    <x v="56"/>
  </r>
  <r>
    <x v="153"/>
    <x v="106"/>
    <x v="134"/>
    <x v="49"/>
    <x v="52"/>
    <x v="1"/>
    <x v="41"/>
    <x v="119"/>
  </r>
  <r>
    <x v="153"/>
    <x v="106"/>
    <x v="134"/>
    <x v="83"/>
    <x v="84"/>
    <x v="1"/>
    <x v="45"/>
    <x v="150"/>
  </r>
  <r>
    <x v="153"/>
    <x v="106"/>
    <x v="134"/>
    <x v="84"/>
    <x v="85"/>
    <x v="1"/>
    <x v="27"/>
    <x v="151"/>
  </r>
  <r>
    <x v="153"/>
    <x v="106"/>
    <x v="134"/>
    <x v="96"/>
    <x v="99"/>
    <x v="1"/>
    <x v="95"/>
    <x v="152"/>
  </r>
  <r>
    <x v="153"/>
    <x v="106"/>
    <x v="134"/>
    <x v="97"/>
    <x v="99"/>
    <x v="20"/>
    <x v="96"/>
    <x v="153"/>
  </r>
  <r>
    <x v="153"/>
    <x v="106"/>
    <x v="134"/>
    <x v="98"/>
    <x v="100"/>
    <x v="1"/>
    <x v="97"/>
    <x v="154"/>
  </r>
  <r>
    <x v="153"/>
    <x v="106"/>
    <x v="134"/>
    <x v="89"/>
    <x v="91"/>
    <x v="1"/>
    <x v="4"/>
    <x v="4"/>
  </r>
  <r>
    <x v="153"/>
    <x v="106"/>
    <x v="134"/>
    <x v="3"/>
    <x v="3"/>
    <x v="1"/>
    <x v="30"/>
    <x v="155"/>
  </r>
  <r>
    <x v="153"/>
    <x v="106"/>
    <x v="134"/>
    <x v="26"/>
    <x v="27"/>
    <x v="0"/>
    <x v="4"/>
    <x v="4"/>
  </r>
  <r>
    <x v="153"/>
    <x v="106"/>
    <x v="134"/>
    <x v="52"/>
    <x v="47"/>
    <x v="0"/>
    <x v="83"/>
    <x v="125"/>
  </r>
  <r>
    <x v="154"/>
    <x v="135"/>
    <x v="134"/>
    <x v="92"/>
    <x v="95"/>
    <x v="2"/>
    <x v="92"/>
    <x v="156"/>
  </r>
  <r>
    <x v="154"/>
    <x v="135"/>
    <x v="134"/>
    <x v="99"/>
    <x v="101"/>
    <x v="5"/>
    <x v="18"/>
    <x v="157"/>
  </r>
  <r>
    <x v="154"/>
    <x v="135"/>
    <x v="134"/>
    <x v="94"/>
    <x v="97"/>
    <x v="4"/>
    <x v="18"/>
    <x v="158"/>
  </r>
  <r>
    <x v="154"/>
    <x v="135"/>
    <x v="134"/>
    <x v="93"/>
    <x v="96"/>
    <x v="2"/>
    <x v="13"/>
    <x v="33"/>
  </r>
  <r>
    <x v="154"/>
    <x v="135"/>
    <x v="134"/>
    <x v="52"/>
    <x v="47"/>
    <x v="0"/>
    <x v="98"/>
    <x v="131"/>
  </r>
  <r>
    <x v="155"/>
    <x v="33"/>
    <x v="134"/>
    <x v="100"/>
    <x v="102"/>
    <x v="10"/>
    <x v="99"/>
    <x v="159"/>
  </r>
  <r>
    <x v="155"/>
    <x v="33"/>
    <x v="134"/>
    <x v="101"/>
    <x v="103"/>
    <x v="10"/>
    <x v="4"/>
    <x v="4"/>
  </r>
  <r>
    <x v="155"/>
    <x v="33"/>
    <x v="134"/>
    <x v="52"/>
    <x v="47"/>
    <x v="0"/>
    <x v="54"/>
    <x v="71"/>
  </r>
  <r>
    <x v="156"/>
    <x v="136"/>
    <x v="134"/>
    <x v="77"/>
    <x v="78"/>
    <x v="2"/>
    <x v="4"/>
    <x v="4"/>
  </r>
  <r>
    <x v="157"/>
    <x v="137"/>
    <x v="135"/>
    <x v="7"/>
    <x v="8"/>
    <x v="1"/>
    <x v="5"/>
    <x v="117"/>
  </r>
  <r>
    <x v="157"/>
    <x v="137"/>
    <x v="135"/>
    <x v="8"/>
    <x v="9"/>
    <x v="1"/>
    <x v="33"/>
    <x v="78"/>
  </r>
  <r>
    <x v="158"/>
    <x v="138"/>
    <x v="136"/>
    <x v="13"/>
    <x v="14"/>
    <x v="0"/>
    <x v="11"/>
    <x v="13"/>
  </r>
  <r>
    <x v="159"/>
    <x v="139"/>
    <x v="137"/>
    <x v="38"/>
    <x v="41"/>
    <x v="0"/>
    <x v="11"/>
    <x v="13"/>
  </r>
  <r>
    <x v="160"/>
    <x v="140"/>
    <x v="138"/>
    <x v="26"/>
    <x v="27"/>
    <x v="1"/>
    <x v="44"/>
    <x v="160"/>
  </r>
  <r>
    <x v="160"/>
    <x v="140"/>
    <x v="138"/>
    <x v="27"/>
    <x v="28"/>
    <x v="3"/>
    <x v="38"/>
    <x v="161"/>
  </r>
  <r>
    <x v="161"/>
    <x v="141"/>
    <x v="139"/>
    <x v="9"/>
    <x v="10"/>
    <x v="0"/>
    <x v="7"/>
    <x v="9"/>
  </r>
  <r>
    <x v="162"/>
    <x v="142"/>
    <x v="140"/>
    <x v="37"/>
    <x v="40"/>
    <x v="1"/>
    <x v="31"/>
    <x v="40"/>
  </r>
  <r>
    <x v="163"/>
    <x v="143"/>
    <x v="141"/>
    <x v="39"/>
    <x v="41"/>
    <x v="0"/>
    <x v="35"/>
    <x v="46"/>
  </r>
  <r>
    <x v="164"/>
    <x v="144"/>
    <x v="142"/>
    <x v="9"/>
    <x v="10"/>
    <x v="0"/>
    <x v="100"/>
    <x v="162"/>
  </r>
  <r>
    <x v="165"/>
    <x v="145"/>
    <x v="143"/>
    <x v="9"/>
    <x v="10"/>
    <x v="0"/>
    <x v="7"/>
    <x v="9"/>
  </r>
  <r>
    <x v="166"/>
    <x v="146"/>
    <x v="144"/>
    <x v="5"/>
    <x v="104"/>
    <x v="0"/>
    <x v="4"/>
    <x v="4"/>
  </r>
  <r>
    <x v="166"/>
    <x v="146"/>
    <x v="144"/>
    <x v="46"/>
    <x v="49"/>
    <x v="9"/>
    <x v="4"/>
    <x v="4"/>
  </r>
  <r>
    <x v="167"/>
    <x v="147"/>
    <x v="144"/>
    <x v="37"/>
    <x v="40"/>
    <x v="1"/>
    <x v="4"/>
    <x v="4"/>
  </r>
  <r>
    <x v="167"/>
    <x v="147"/>
    <x v="144"/>
    <x v="102"/>
    <x v="105"/>
    <x v="0"/>
    <x v="4"/>
    <x v="4"/>
  </r>
  <r>
    <x v="168"/>
    <x v="148"/>
    <x v="145"/>
    <x v="8"/>
    <x v="9"/>
    <x v="7"/>
    <x v="101"/>
    <x v="163"/>
  </r>
  <r>
    <x v="168"/>
    <x v="148"/>
    <x v="145"/>
    <x v="7"/>
    <x v="8"/>
    <x v="0"/>
    <x v="5"/>
    <x v="77"/>
  </r>
  <r>
    <x v="168"/>
    <x v="148"/>
    <x v="145"/>
    <x v="8"/>
    <x v="9"/>
    <x v="0"/>
    <x v="33"/>
    <x v="42"/>
  </r>
  <r>
    <x v="168"/>
    <x v="148"/>
    <x v="145"/>
    <x v="36"/>
    <x v="37"/>
    <x v="0"/>
    <x v="42"/>
    <x v="141"/>
  </r>
  <r>
    <x v="168"/>
    <x v="148"/>
    <x v="145"/>
    <x v="35"/>
    <x v="36"/>
    <x v="0"/>
    <x v="34"/>
    <x v="45"/>
  </r>
  <r>
    <x v="169"/>
    <x v="149"/>
    <x v="146"/>
    <x v="9"/>
    <x v="10"/>
    <x v="0"/>
    <x v="7"/>
    <x v="9"/>
  </r>
  <r>
    <x v="170"/>
    <x v="150"/>
    <x v="147"/>
    <x v="14"/>
    <x v="15"/>
    <x v="2"/>
    <x v="64"/>
    <x v="106"/>
  </r>
  <r>
    <x v="170"/>
    <x v="150"/>
    <x v="147"/>
    <x v="3"/>
    <x v="3"/>
    <x v="2"/>
    <x v="4"/>
    <x v="4"/>
  </r>
  <r>
    <x v="170"/>
    <x v="150"/>
    <x v="147"/>
    <x v="16"/>
    <x v="17"/>
    <x v="2"/>
    <x v="4"/>
    <x v="4"/>
  </r>
  <r>
    <x v="170"/>
    <x v="150"/>
    <x v="147"/>
    <x v="4"/>
    <x v="4"/>
    <x v="2"/>
    <x v="4"/>
    <x v="4"/>
  </r>
  <r>
    <x v="170"/>
    <x v="150"/>
    <x v="147"/>
    <x v="17"/>
    <x v="18"/>
    <x v="2"/>
    <x v="4"/>
    <x v="4"/>
  </r>
  <r>
    <x v="170"/>
    <x v="150"/>
    <x v="147"/>
    <x v="21"/>
    <x v="22"/>
    <x v="1"/>
    <x v="37"/>
    <x v="49"/>
  </r>
  <r>
    <x v="170"/>
    <x v="150"/>
    <x v="147"/>
    <x v="13"/>
    <x v="14"/>
    <x v="0"/>
    <x v="11"/>
    <x v="13"/>
  </r>
  <r>
    <x v="170"/>
    <x v="150"/>
    <x v="147"/>
    <x v="103"/>
    <x v="106"/>
    <x v="1"/>
    <x v="55"/>
    <x v="164"/>
  </r>
  <r>
    <x v="170"/>
    <x v="150"/>
    <x v="147"/>
    <x v="11"/>
    <x v="12"/>
    <x v="5"/>
    <x v="9"/>
    <x v="33"/>
  </r>
  <r>
    <x v="170"/>
    <x v="150"/>
    <x v="147"/>
    <x v="104"/>
    <x v="107"/>
    <x v="0"/>
    <x v="0"/>
    <x v="0"/>
  </r>
  <r>
    <x v="171"/>
    <x v="151"/>
    <x v="148"/>
    <x v="18"/>
    <x v="19"/>
    <x v="0"/>
    <x v="32"/>
    <x v="41"/>
  </r>
  <r>
    <x v="171"/>
    <x v="151"/>
    <x v="148"/>
    <x v="8"/>
    <x v="9"/>
    <x v="0"/>
    <x v="33"/>
    <x v="42"/>
  </r>
  <r>
    <x v="172"/>
    <x v="136"/>
    <x v="149"/>
    <x v="33"/>
    <x v="34"/>
    <x v="2"/>
    <x v="0"/>
    <x v="165"/>
  </r>
  <r>
    <x v="172"/>
    <x v="136"/>
    <x v="149"/>
    <x v="35"/>
    <x v="36"/>
    <x v="2"/>
    <x v="34"/>
    <x v="139"/>
  </r>
  <r>
    <x v="172"/>
    <x v="136"/>
    <x v="149"/>
    <x v="7"/>
    <x v="8"/>
    <x v="10"/>
    <x v="5"/>
    <x v="166"/>
  </r>
  <r>
    <x v="172"/>
    <x v="136"/>
    <x v="149"/>
    <x v="8"/>
    <x v="9"/>
    <x v="10"/>
    <x v="6"/>
    <x v="167"/>
  </r>
  <r>
    <x v="173"/>
    <x v="152"/>
    <x v="150"/>
    <x v="7"/>
    <x v="8"/>
    <x v="0"/>
    <x v="5"/>
    <x v="77"/>
  </r>
  <r>
    <x v="173"/>
    <x v="152"/>
    <x v="150"/>
    <x v="8"/>
    <x v="9"/>
    <x v="0"/>
    <x v="33"/>
    <x v="42"/>
  </r>
  <r>
    <x v="173"/>
    <x v="152"/>
    <x v="150"/>
    <x v="15"/>
    <x v="16"/>
    <x v="3"/>
    <x v="33"/>
    <x v="168"/>
  </r>
</pivotCacheRecords>
</file>

<file path=xl/pivotCache/pivotCacheRecords33.xml><?xml version="1.0" encoding="utf-8"?>
<pivotCacheRecords xmlns:r="http://schemas.openxmlformats.org/officeDocument/2006/relationships" xmlns="http://schemas.openxmlformats.org/spreadsheetml/2006/main" count="436">
  <r>
    <x v="0"/>
    <x v="0"/>
    <x v="0"/>
  </r>
  <r>
    <x v="1"/>
    <x v="1"/>
    <x v="1"/>
  </r>
  <r>
    <x v="0"/>
    <x v="0"/>
    <x v="1"/>
  </r>
  <r>
    <x v="2"/>
    <x v="2"/>
    <x v="1"/>
  </r>
  <r>
    <x v="3"/>
    <x v="3"/>
    <x v="1"/>
  </r>
  <r>
    <x v="4"/>
    <x v="4"/>
    <x v="1"/>
  </r>
  <r>
    <x v="5"/>
    <x v="5"/>
    <x v="0"/>
  </r>
  <r>
    <x v="6"/>
    <x v="6"/>
    <x v="2"/>
  </r>
  <r>
    <x v="5"/>
    <x v="7"/>
    <x v="0"/>
  </r>
  <r>
    <x v="7"/>
    <x v="8"/>
    <x v="3"/>
  </r>
  <r>
    <x v="8"/>
    <x v="9"/>
    <x v="3"/>
  </r>
  <r>
    <x v="7"/>
    <x v="8"/>
    <x v="4"/>
  </r>
  <r>
    <x v="8"/>
    <x v="9"/>
    <x v="4"/>
  </r>
  <r>
    <x v="9"/>
    <x v="10"/>
    <x v="0"/>
  </r>
  <r>
    <x v="10"/>
    <x v="11"/>
    <x v="5"/>
  </r>
  <r>
    <x v="11"/>
    <x v="12"/>
    <x v="0"/>
  </r>
  <r>
    <x v="12"/>
    <x v="13"/>
    <x v="1"/>
  </r>
  <r>
    <x v="13"/>
    <x v="14"/>
    <x v="0"/>
  </r>
  <r>
    <x v="13"/>
    <x v="14"/>
    <x v="0"/>
  </r>
  <r>
    <x v="14"/>
    <x v="15"/>
    <x v="3"/>
  </r>
  <r>
    <x v="3"/>
    <x v="3"/>
    <x v="3"/>
  </r>
  <r>
    <x v="15"/>
    <x v="16"/>
    <x v="3"/>
  </r>
  <r>
    <x v="16"/>
    <x v="17"/>
    <x v="3"/>
  </r>
  <r>
    <x v="8"/>
    <x v="9"/>
    <x v="6"/>
  </r>
  <r>
    <x v="17"/>
    <x v="18"/>
    <x v="3"/>
  </r>
  <r>
    <x v="17"/>
    <x v="18"/>
    <x v="7"/>
  </r>
  <r>
    <x v="7"/>
    <x v="8"/>
    <x v="8"/>
  </r>
  <r>
    <x v="18"/>
    <x v="19"/>
    <x v="2"/>
  </r>
  <r>
    <x v="19"/>
    <x v="20"/>
    <x v="9"/>
  </r>
  <r>
    <x v="20"/>
    <x v="21"/>
    <x v="4"/>
  </r>
  <r>
    <x v="21"/>
    <x v="22"/>
    <x v="9"/>
  </r>
  <r>
    <x v="22"/>
    <x v="23"/>
    <x v="10"/>
  </r>
  <r>
    <x v="13"/>
    <x v="14"/>
    <x v="0"/>
  </r>
  <r>
    <x v="23"/>
    <x v="24"/>
    <x v="9"/>
  </r>
  <r>
    <x v="24"/>
    <x v="25"/>
    <x v="11"/>
  </r>
  <r>
    <x v="12"/>
    <x v="13"/>
    <x v="10"/>
  </r>
  <r>
    <x v="25"/>
    <x v="26"/>
    <x v="9"/>
  </r>
  <r>
    <x v="26"/>
    <x v="27"/>
    <x v="9"/>
  </r>
  <r>
    <x v="27"/>
    <x v="28"/>
    <x v="12"/>
  </r>
  <r>
    <x v="28"/>
    <x v="29"/>
    <x v="3"/>
  </r>
  <r>
    <x v="29"/>
    <x v="30"/>
    <x v="3"/>
  </r>
  <r>
    <x v="30"/>
    <x v="31"/>
    <x v="12"/>
  </r>
  <r>
    <x v="15"/>
    <x v="16"/>
    <x v="13"/>
  </r>
  <r>
    <x v="31"/>
    <x v="32"/>
    <x v="2"/>
  </r>
  <r>
    <x v="32"/>
    <x v="33"/>
    <x v="2"/>
  </r>
  <r>
    <x v="33"/>
    <x v="34"/>
    <x v="1"/>
  </r>
  <r>
    <x v="34"/>
    <x v="35"/>
    <x v="1"/>
  </r>
  <r>
    <x v="35"/>
    <x v="36"/>
    <x v="7"/>
  </r>
  <r>
    <x v="36"/>
    <x v="37"/>
    <x v="7"/>
  </r>
  <r>
    <x v="16"/>
    <x v="17"/>
    <x v="14"/>
  </r>
  <r>
    <x v="5"/>
    <x v="38"/>
    <x v="0"/>
  </r>
  <r>
    <x v="5"/>
    <x v="39"/>
    <x v="0"/>
  </r>
  <r>
    <x v="37"/>
    <x v="40"/>
    <x v="1"/>
  </r>
  <r>
    <x v="1"/>
    <x v="1"/>
    <x v="1"/>
  </r>
  <r>
    <x v="0"/>
    <x v="0"/>
    <x v="1"/>
  </r>
  <r>
    <x v="3"/>
    <x v="3"/>
    <x v="1"/>
  </r>
  <r>
    <x v="4"/>
    <x v="4"/>
    <x v="1"/>
  </r>
  <r>
    <x v="38"/>
    <x v="41"/>
    <x v="0"/>
  </r>
  <r>
    <x v="24"/>
    <x v="25"/>
    <x v="5"/>
  </r>
  <r>
    <x v="18"/>
    <x v="19"/>
    <x v="0"/>
  </r>
  <r>
    <x v="8"/>
    <x v="9"/>
    <x v="0"/>
  </r>
  <r>
    <x v="12"/>
    <x v="13"/>
    <x v="0"/>
  </r>
  <r>
    <x v="22"/>
    <x v="23"/>
    <x v="0"/>
  </r>
  <r>
    <x v="35"/>
    <x v="36"/>
    <x v="0"/>
  </r>
  <r>
    <x v="1"/>
    <x v="1"/>
    <x v="1"/>
  </r>
  <r>
    <x v="0"/>
    <x v="0"/>
    <x v="1"/>
  </r>
  <r>
    <x v="3"/>
    <x v="3"/>
    <x v="1"/>
  </r>
  <r>
    <x v="4"/>
    <x v="4"/>
    <x v="1"/>
  </r>
  <r>
    <x v="8"/>
    <x v="9"/>
    <x v="0"/>
  </r>
  <r>
    <x v="39"/>
    <x v="41"/>
    <x v="0"/>
  </r>
  <r>
    <x v="40"/>
    <x v="42"/>
    <x v="2"/>
  </r>
  <r>
    <x v="11"/>
    <x v="12"/>
    <x v="1"/>
  </r>
  <r>
    <x v="32"/>
    <x v="33"/>
    <x v="1"/>
  </r>
  <r>
    <x v="7"/>
    <x v="8"/>
    <x v="2"/>
  </r>
  <r>
    <x v="8"/>
    <x v="9"/>
    <x v="2"/>
  </r>
  <r>
    <x v="41"/>
    <x v="43"/>
    <x v="15"/>
  </r>
  <r>
    <x v="42"/>
    <x v="44"/>
    <x v="0"/>
  </r>
  <r>
    <x v="43"/>
    <x v="45"/>
    <x v="3"/>
  </r>
  <r>
    <x v="3"/>
    <x v="3"/>
    <x v="3"/>
  </r>
  <r>
    <x v="36"/>
    <x v="37"/>
    <x v="16"/>
  </r>
  <r>
    <x v="44"/>
    <x v="46"/>
    <x v="9"/>
  </r>
  <r>
    <x v="45"/>
    <x v="47"/>
    <x v="0"/>
  </r>
  <r>
    <x v="5"/>
    <x v="48"/>
    <x v="0"/>
  </r>
  <r>
    <x v="46"/>
    <x v="49"/>
    <x v="7"/>
  </r>
  <r>
    <x v="16"/>
    <x v="17"/>
    <x v="1"/>
  </r>
  <r>
    <x v="19"/>
    <x v="20"/>
    <x v="0"/>
  </r>
  <r>
    <x v="3"/>
    <x v="3"/>
    <x v="9"/>
  </r>
  <r>
    <x v="38"/>
    <x v="41"/>
    <x v="0"/>
  </r>
  <r>
    <x v="38"/>
    <x v="41"/>
    <x v="0"/>
  </r>
  <r>
    <x v="13"/>
    <x v="14"/>
    <x v="0"/>
  </r>
  <r>
    <x v="47"/>
    <x v="50"/>
    <x v="0"/>
  </r>
  <r>
    <x v="35"/>
    <x v="36"/>
    <x v="1"/>
  </r>
  <r>
    <x v="26"/>
    <x v="27"/>
    <x v="14"/>
  </r>
  <r>
    <x v="48"/>
    <x v="51"/>
    <x v="0"/>
  </r>
  <r>
    <x v="49"/>
    <x v="52"/>
    <x v="0"/>
  </r>
  <r>
    <x v="50"/>
    <x v="53"/>
    <x v="0"/>
  </r>
  <r>
    <x v="51"/>
    <x v="54"/>
    <x v="0"/>
  </r>
  <r>
    <x v="52"/>
    <x v="47"/>
    <x v="0"/>
  </r>
  <r>
    <x v="53"/>
    <x v="55"/>
    <x v="17"/>
  </r>
  <r>
    <x v="54"/>
    <x v="56"/>
    <x v="17"/>
  </r>
  <r>
    <x v="55"/>
    <x v="57"/>
    <x v="18"/>
  </r>
  <r>
    <x v="56"/>
    <x v="58"/>
    <x v="18"/>
  </r>
  <r>
    <x v="8"/>
    <x v="9"/>
    <x v="9"/>
  </r>
  <r>
    <x v="52"/>
    <x v="47"/>
    <x v="0"/>
  </r>
  <r>
    <x v="15"/>
    <x v="16"/>
    <x v="5"/>
  </r>
  <r>
    <x v="38"/>
    <x v="41"/>
    <x v="0"/>
  </r>
  <r>
    <x v="13"/>
    <x v="14"/>
    <x v="0"/>
  </r>
  <r>
    <x v="35"/>
    <x v="36"/>
    <x v="9"/>
  </r>
  <r>
    <x v="57"/>
    <x v="59"/>
    <x v="9"/>
  </r>
  <r>
    <x v="18"/>
    <x v="19"/>
    <x v="0"/>
  </r>
  <r>
    <x v="8"/>
    <x v="9"/>
    <x v="0"/>
  </r>
  <r>
    <x v="32"/>
    <x v="33"/>
    <x v="0"/>
  </r>
  <r>
    <x v="58"/>
    <x v="60"/>
    <x v="0"/>
  </r>
  <r>
    <x v="13"/>
    <x v="14"/>
    <x v="0"/>
  </r>
  <r>
    <x v="7"/>
    <x v="8"/>
    <x v="0"/>
  </r>
  <r>
    <x v="8"/>
    <x v="9"/>
    <x v="0"/>
  </r>
  <r>
    <x v="17"/>
    <x v="18"/>
    <x v="1"/>
  </r>
  <r>
    <x v="13"/>
    <x v="14"/>
    <x v="0"/>
  </r>
  <r>
    <x v="13"/>
    <x v="14"/>
    <x v="0"/>
  </r>
  <r>
    <x v="8"/>
    <x v="9"/>
    <x v="0"/>
  </r>
  <r>
    <x v="15"/>
    <x v="16"/>
    <x v="1"/>
  </r>
  <r>
    <x v="58"/>
    <x v="60"/>
    <x v="0"/>
  </r>
  <r>
    <x v="21"/>
    <x v="22"/>
    <x v="2"/>
  </r>
  <r>
    <x v="25"/>
    <x v="26"/>
    <x v="12"/>
  </r>
  <r>
    <x v="52"/>
    <x v="47"/>
    <x v="0"/>
  </r>
  <r>
    <x v="46"/>
    <x v="49"/>
    <x v="2"/>
  </r>
  <r>
    <x v="23"/>
    <x v="24"/>
    <x v="0"/>
  </r>
  <r>
    <x v="59"/>
    <x v="61"/>
    <x v="0"/>
  </r>
  <r>
    <x v="60"/>
    <x v="62"/>
    <x v="0"/>
  </r>
  <r>
    <x v="52"/>
    <x v="47"/>
    <x v="0"/>
  </r>
  <r>
    <x v="17"/>
    <x v="18"/>
    <x v="2"/>
  </r>
  <r>
    <x v="12"/>
    <x v="13"/>
    <x v="0"/>
  </r>
  <r>
    <x v="18"/>
    <x v="19"/>
    <x v="1"/>
  </r>
  <r>
    <x v="8"/>
    <x v="9"/>
    <x v="1"/>
  </r>
  <r>
    <x v="15"/>
    <x v="16"/>
    <x v="1"/>
  </r>
  <r>
    <x v="14"/>
    <x v="15"/>
    <x v="0"/>
  </r>
  <r>
    <x v="3"/>
    <x v="3"/>
    <x v="0"/>
  </r>
  <r>
    <x v="16"/>
    <x v="17"/>
    <x v="0"/>
  </r>
  <r>
    <x v="4"/>
    <x v="4"/>
    <x v="0"/>
  </r>
  <r>
    <x v="21"/>
    <x v="22"/>
    <x v="0"/>
  </r>
  <r>
    <x v="13"/>
    <x v="14"/>
    <x v="0"/>
  </r>
  <r>
    <x v="61"/>
    <x v="59"/>
    <x v="0"/>
  </r>
  <r>
    <x v="35"/>
    <x v="36"/>
    <x v="0"/>
  </r>
  <r>
    <x v="5"/>
    <x v="63"/>
    <x v="0"/>
  </r>
  <r>
    <x v="62"/>
    <x v="64"/>
    <x v="7"/>
  </r>
  <r>
    <x v="63"/>
    <x v="65"/>
    <x v="0"/>
  </r>
  <r>
    <x v="64"/>
    <x v="66"/>
    <x v="0"/>
  </r>
  <r>
    <x v="65"/>
    <x v="67"/>
    <x v="0"/>
  </r>
  <r>
    <x v="66"/>
    <x v="68"/>
    <x v="1"/>
  </r>
  <r>
    <x v="67"/>
    <x v="69"/>
    <x v="1"/>
  </r>
  <r>
    <x v="68"/>
    <x v="70"/>
    <x v="0"/>
  </r>
  <r>
    <x v="63"/>
    <x v="65"/>
    <x v="0"/>
  </r>
  <r>
    <x v="64"/>
    <x v="66"/>
    <x v="0"/>
  </r>
  <r>
    <x v="62"/>
    <x v="64"/>
    <x v="7"/>
  </r>
  <r>
    <x v="69"/>
    <x v="71"/>
    <x v="0"/>
  </r>
  <r>
    <x v="65"/>
    <x v="67"/>
    <x v="0"/>
  </r>
  <r>
    <x v="70"/>
    <x v="1"/>
    <x v="0"/>
  </r>
  <r>
    <x v="21"/>
    <x v="22"/>
    <x v="0"/>
  </r>
  <r>
    <x v="3"/>
    <x v="3"/>
    <x v="0"/>
  </r>
  <r>
    <x v="4"/>
    <x v="4"/>
    <x v="0"/>
  </r>
  <r>
    <x v="13"/>
    <x v="14"/>
    <x v="0"/>
  </r>
  <r>
    <x v="18"/>
    <x v="19"/>
    <x v="0"/>
  </r>
  <r>
    <x v="8"/>
    <x v="9"/>
    <x v="0"/>
  </r>
  <r>
    <x v="13"/>
    <x v="14"/>
    <x v="0"/>
  </r>
  <r>
    <x v="70"/>
    <x v="1"/>
    <x v="0"/>
  </r>
  <r>
    <x v="19"/>
    <x v="20"/>
    <x v="0"/>
  </r>
  <r>
    <x v="3"/>
    <x v="3"/>
    <x v="0"/>
  </r>
  <r>
    <x v="4"/>
    <x v="4"/>
    <x v="0"/>
  </r>
  <r>
    <x v="18"/>
    <x v="19"/>
    <x v="5"/>
  </r>
  <r>
    <x v="8"/>
    <x v="9"/>
    <x v="5"/>
  </r>
  <r>
    <x v="7"/>
    <x v="8"/>
    <x v="2"/>
  </r>
  <r>
    <x v="8"/>
    <x v="9"/>
    <x v="2"/>
  </r>
  <r>
    <x v="39"/>
    <x v="41"/>
    <x v="0"/>
  </r>
  <r>
    <x v="71"/>
    <x v="72"/>
    <x v="0"/>
  </r>
  <r>
    <x v="13"/>
    <x v="14"/>
    <x v="0"/>
  </r>
  <r>
    <x v="58"/>
    <x v="60"/>
    <x v="0"/>
  </r>
  <r>
    <x v="18"/>
    <x v="19"/>
    <x v="0"/>
  </r>
  <r>
    <x v="8"/>
    <x v="9"/>
    <x v="0"/>
  </r>
  <r>
    <x v="7"/>
    <x v="8"/>
    <x v="2"/>
  </r>
  <r>
    <x v="8"/>
    <x v="9"/>
    <x v="2"/>
  </r>
  <r>
    <x v="71"/>
    <x v="72"/>
    <x v="0"/>
  </r>
  <r>
    <x v="13"/>
    <x v="14"/>
    <x v="0"/>
  </r>
  <r>
    <x v="15"/>
    <x v="16"/>
    <x v="0"/>
  </r>
  <r>
    <x v="9"/>
    <x v="10"/>
    <x v="0"/>
  </r>
  <r>
    <x v="58"/>
    <x v="60"/>
    <x v="0"/>
  </r>
  <r>
    <x v="70"/>
    <x v="1"/>
    <x v="1"/>
  </r>
  <r>
    <x v="19"/>
    <x v="20"/>
    <x v="1"/>
  </r>
  <r>
    <x v="3"/>
    <x v="3"/>
    <x v="1"/>
  </r>
  <r>
    <x v="4"/>
    <x v="4"/>
    <x v="1"/>
  </r>
  <r>
    <x v="13"/>
    <x v="14"/>
    <x v="0"/>
  </r>
  <r>
    <x v="71"/>
    <x v="72"/>
    <x v="0"/>
  </r>
  <r>
    <x v="52"/>
    <x v="47"/>
    <x v="0"/>
  </r>
  <r>
    <x v="70"/>
    <x v="1"/>
    <x v="2"/>
  </r>
  <r>
    <x v="0"/>
    <x v="0"/>
    <x v="2"/>
  </r>
  <r>
    <x v="3"/>
    <x v="3"/>
    <x v="2"/>
  </r>
  <r>
    <x v="15"/>
    <x v="16"/>
    <x v="2"/>
  </r>
  <r>
    <x v="8"/>
    <x v="9"/>
    <x v="2"/>
  </r>
  <r>
    <x v="13"/>
    <x v="14"/>
    <x v="0"/>
  </r>
  <r>
    <x v="72"/>
    <x v="47"/>
    <x v="0"/>
  </r>
  <r>
    <x v="14"/>
    <x v="15"/>
    <x v="2"/>
  </r>
  <r>
    <x v="3"/>
    <x v="3"/>
    <x v="2"/>
  </r>
  <r>
    <x v="16"/>
    <x v="17"/>
    <x v="2"/>
  </r>
  <r>
    <x v="36"/>
    <x v="37"/>
    <x v="7"/>
  </r>
  <r>
    <x v="52"/>
    <x v="47"/>
    <x v="0"/>
  </r>
  <r>
    <x v="24"/>
    <x v="25"/>
    <x v="1"/>
  </r>
  <r>
    <x v="47"/>
    <x v="50"/>
    <x v="1"/>
  </r>
  <r>
    <x v="13"/>
    <x v="14"/>
    <x v="5"/>
  </r>
  <r>
    <x v="19"/>
    <x v="20"/>
    <x v="0"/>
  </r>
  <r>
    <x v="15"/>
    <x v="16"/>
    <x v="0"/>
  </r>
  <r>
    <x v="61"/>
    <x v="59"/>
    <x v="0"/>
  </r>
  <r>
    <x v="12"/>
    <x v="13"/>
    <x v="1"/>
  </r>
  <r>
    <x v="39"/>
    <x v="41"/>
    <x v="0"/>
  </r>
  <r>
    <x v="71"/>
    <x v="72"/>
    <x v="0"/>
  </r>
  <r>
    <x v="52"/>
    <x v="47"/>
    <x v="0"/>
  </r>
  <r>
    <x v="9"/>
    <x v="10"/>
    <x v="0"/>
  </r>
  <r>
    <x v="7"/>
    <x v="8"/>
    <x v="3"/>
  </r>
  <r>
    <x v="8"/>
    <x v="9"/>
    <x v="3"/>
  </r>
  <r>
    <x v="24"/>
    <x v="25"/>
    <x v="1"/>
  </r>
  <r>
    <x v="13"/>
    <x v="14"/>
    <x v="0"/>
  </r>
  <r>
    <x v="8"/>
    <x v="9"/>
    <x v="1"/>
  </r>
  <r>
    <x v="24"/>
    <x v="25"/>
    <x v="0"/>
  </r>
  <r>
    <x v="5"/>
    <x v="73"/>
    <x v="0"/>
  </r>
  <r>
    <x v="14"/>
    <x v="15"/>
    <x v="2"/>
  </r>
  <r>
    <x v="3"/>
    <x v="3"/>
    <x v="2"/>
  </r>
  <r>
    <x v="16"/>
    <x v="17"/>
    <x v="2"/>
  </r>
  <r>
    <x v="4"/>
    <x v="4"/>
    <x v="2"/>
  </r>
  <r>
    <x v="21"/>
    <x v="22"/>
    <x v="2"/>
  </r>
  <r>
    <x v="18"/>
    <x v="19"/>
    <x v="1"/>
  </r>
  <r>
    <x v="8"/>
    <x v="9"/>
    <x v="1"/>
  </r>
  <r>
    <x v="58"/>
    <x v="60"/>
    <x v="1"/>
  </r>
  <r>
    <x v="58"/>
    <x v="60"/>
    <x v="0"/>
  </r>
  <r>
    <x v="12"/>
    <x v="13"/>
    <x v="0"/>
  </r>
  <r>
    <x v="17"/>
    <x v="18"/>
    <x v="1"/>
  </r>
  <r>
    <x v="73"/>
    <x v="74"/>
    <x v="0"/>
  </r>
  <r>
    <x v="14"/>
    <x v="15"/>
    <x v="0"/>
  </r>
  <r>
    <x v="3"/>
    <x v="3"/>
    <x v="0"/>
  </r>
  <r>
    <x v="16"/>
    <x v="17"/>
    <x v="0"/>
  </r>
  <r>
    <x v="4"/>
    <x v="4"/>
    <x v="0"/>
  </r>
  <r>
    <x v="17"/>
    <x v="18"/>
    <x v="0"/>
  </r>
  <r>
    <x v="39"/>
    <x v="41"/>
    <x v="0"/>
  </r>
  <r>
    <x v="18"/>
    <x v="19"/>
    <x v="0"/>
  </r>
  <r>
    <x v="8"/>
    <x v="9"/>
    <x v="0"/>
  </r>
  <r>
    <x v="71"/>
    <x v="72"/>
    <x v="0"/>
  </r>
  <r>
    <x v="52"/>
    <x v="47"/>
    <x v="0"/>
  </r>
  <r>
    <x v="58"/>
    <x v="60"/>
    <x v="0"/>
  </r>
  <r>
    <x v="7"/>
    <x v="8"/>
    <x v="0"/>
  </r>
  <r>
    <x v="8"/>
    <x v="9"/>
    <x v="0"/>
  </r>
  <r>
    <x v="14"/>
    <x v="15"/>
    <x v="1"/>
  </r>
  <r>
    <x v="3"/>
    <x v="3"/>
    <x v="1"/>
  </r>
  <r>
    <x v="16"/>
    <x v="17"/>
    <x v="1"/>
  </r>
  <r>
    <x v="4"/>
    <x v="4"/>
    <x v="1"/>
  </r>
  <r>
    <x v="21"/>
    <x v="22"/>
    <x v="1"/>
  </r>
  <r>
    <x v="74"/>
    <x v="75"/>
    <x v="1"/>
  </r>
  <r>
    <x v="11"/>
    <x v="12"/>
    <x v="1"/>
  </r>
  <r>
    <x v="16"/>
    <x v="17"/>
    <x v="1"/>
  </r>
  <r>
    <x v="35"/>
    <x v="36"/>
    <x v="1"/>
  </r>
  <r>
    <x v="36"/>
    <x v="37"/>
    <x v="1"/>
  </r>
  <r>
    <x v="39"/>
    <x v="41"/>
    <x v="0"/>
  </r>
  <r>
    <x v="70"/>
    <x v="1"/>
    <x v="1"/>
  </r>
  <r>
    <x v="17"/>
    <x v="18"/>
    <x v="1"/>
  </r>
  <r>
    <x v="3"/>
    <x v="3"/>
    <x v="1"/>
  </r>
  <r>
    <x v="4"/>
    <x v="4"/>
    <x v="1"/>
  </r>
  <r>
    <x v="12"/>
    <x v="13"/>
    <x v="1"/>
  </r>
  <r>
    <x v="8"/>
    <x v="9"/>
    <x v="0"/>
  </r>
  <r>
    <x v="46"/>
    <x v="49"/>
    <x v="1"/>
  </r>
  <r>
    <x v="75"/>
    <x v="76"/>
    <x v="1"/>
  </r>
  <r>
    <x v="76"/>
    <x v="77"/>
    <x v="1"/>
  </r>
  <r>
    <x v="77"/>
    <x v="78"/>
    <x v="1"/>
  </r>
  <r>
    <x v="8"/>
    <x v="9"/>
    <x v="1"/>
  </r>
  <r>
    <x v="60"/>
    <x v="62"/>
    <x v="1"/>
  </r>
  <r>
    <x v="52"/>
    <x v="47"/>
    <x v="0"/>
  </r>
  <r>
    <x v="22"/>
    <x v="23"/>
    <x v="0"/>
  </r>
  <r>
    <x v="24"/>
    <x v="25"/>
    <x v="1"/>
  </r>
  <r>
    <x v="7"/>
    <x v="8"/>
    <x v="0"/>
  </r>
  <r>
    <x v="8"/>
    <x v="9"/>
    <x v="0"/>
  </r>
  <r>
    <x v="13"/>
    <x v="14"/>
    <x v="0"/>
  </r>
  <r>
    <x v="7"/>
    <x v="8"/>
    <x v="1"/>
  </r>
  <r>
    <x v="8"/>
    <x v="9"/>
    <x v="1"/>
  </r>
  <r>
    <x v="15"/>
    <x v="16"/>
    <x v="0"/>
  </r>
  <r>
    <x v="7"/>
    <x v="8"/>
    <x v="1"/>
  </r>
  <r>
    <x v="8"/>
    <x v="9"/>
    <x v="1"/>
  </r>
  <r>
    <x v="73"/>
    <x v="50"/>
    <x v="2"/>
  </r>
  <r>
    <x v="49"/>
    <x v="52"/>
    <x v="1"/>
  </r>
  <r>
    <x v="48"/>
    <x v="51"/>
    <x v="1"/>
  </r>
  <r>
    <x v="78"/>
    <x v="79"/>
    <x v="1"/>
  </r>
  <r>
    <x v="79"/>
    <x v="80"/>
    <x v="1"/>
  </r>
  <r>
    <x v="80"/>
    <x v="81"/>
    <x v="2"/>
  </r>
  <r>
    <x v="81"/>
    <x v="82"/>
    <x v="1"/>
  </r>
  <r>
    <x v="52"/>
    <x v="47"/>
    <x v="0"/>
  </r>
  <r>
    <x v="82"/>
    <x v="83"/>
    <x v="0"/>
  </r>
  <r>
    <x v="73"/>
    <x v="50"/>
    <x v="0"/>
  </r>
  <r>
    <x v="3"/>
    <x v="3"/>
    <x v="0"/>
  </r>
  <r>
    <x v="52"/>
    <x v="47"/>
    <x v="0"/>
  </r>
  <r>
    <x v="39"/>
    <x v="41"/>
    <x v="0"/>
  </r>
  <r>
    <x v="24"/>
    <x v="25"/>
    <x v="2"/>
  </r>
  <r>
    <x v="39"/>
    <x v="41"/>
    <x v="0"/>
  </r>
  <r>
    <x v="24"/>
    <x v="25"/>
    <x v="0"/>
  </r>
  <r>
    <x v="22"/>
    <x v="23"/>
    <x v="0"/>
  </r>
  <r>
    <x v="4"/>
    <x v="4"/>
    <x v="0"/>
  </r>
  <r>
    <x v="49"/>
    <x v="52"/>
    <x v="0"/>
  </r>
  <r>
    <x v="83"/>
    <x v="84"/>
    <x v="0"/>
  </r>
  <r>
    <x v="84"/>
    <x v="85"/>
    <x v="0"/>
  </r>
  <r>
    <x v="85"/>
    <x v="86"/>
    <x v="19"/>
  </r>
  <r>
    <x v="52"/>
    <x v="47"/>
    <x v="0"/>
  </r>
  <r>
    <x v="8"/>
    <x v="9"/>
    <x v="0"/>
  </r>
  <r>
    <x v="24"/>
    <x v="25"/>
    <x v="0"/>
  </r>
  <r>
    <x v="38"/>
    <x v="41"/>
    <x v="1"/>
  </r>
  <r>
    <x v="12"/>
    <x v="13"/>
    <x v="1"/>
  </r>
  <r>
    <x v="13"/>
    <x v="14"/>
    <x v="0"/>
  </r>
  <r>
    <x v="58"/>
    <x v="60"/>
    <x v="1"/>
  </r>
  <r>
    <x v="58"/>
    <x v="60"/>
    <x v="0"/>
  </r>
  <r>
    <x v="24"/>
    <x v="25"/>
    <x v="2"/>
  </r>
  <r>
    <x v="9"/>
    <x v="10"/>
    <x v="0"/>
  </r>
  <r>
    <x v="86"/>
    <x v="87"/>
    <x v="0"/>
  </r>
  <r>
    <x v="21"/>
    <x v="22"/>
    <x v="1"/>
  </r>
  <r>
    <x v="18"/>
    <x v="19"/>
    <x v="0"/>
  </r>
  <r>
    <x v="8"/>
    <x v="9"/>
    <x v="0"/>
  </r>
  <r>
    <x v="8"/>
    <x v="9"/>
    <x v="0"/>
  </r>
  <r>
    <x v="38"/>
    <x v="41"/>
    <x v="0"/>
  </r>
  <r>
    <x v="87"/>
    <x v="88"/>
    <x v="1"/>
  </r>
  <r>
    <x v="24"/>
    <x v="25"/>
    <x v="2"/>
  </r>
  <r>
    <x v="12"/>
    <x v="13"/>
    <x v="2"/>
  </r>
  <r>
    <x v="73"/>
    <x v="89"/>
    <x v="2"/>
  </r>
  <r>
    <x v="52"/>
    <x v="47"/>
    <x v="0"/>
  </r>
  <r>
    <x v="13"/>
    <x v="14"/>
    <x v="0"/>
  </r>
  <r>
    <x v="39"/>
    <x v="41"/>
    <x v="0"/>
  </r>
  <r>
    <x v="7"/>
    <x v="8"/>
    <x v="1"/>
  </r>
  <r>
    <x v="8"/>
    <x v="9"/>
    <x v="1"/>
  </r>
  <r>
    <x v="15"/>
    <x v="16"/>
    <x v="2"/>
  </r>
  <r>
    <x v="22"/>
    <x v="23"/>
    <x v="1"/>
  </r>
  <r>
    <x v="10"/>
    <x v="11"/>
    <x v="1"/>
  </r>
  <r>
    <x v="35"/>
    <x v="36"/>
    <x v="2"/>
  </r>
  <r>
    <x v="13"/>
    <x v="14"/>
    <x v="0"/>
  </r>
  <r>
    <x v="88"/>
    <x v="90"/>
    <x v="0"/>
  </r>
  <r>
    <x v="74"/>
    <x v="75"/>
    <x v="0"/>
  </r>
  <r>
    <x v="89"/>
    <x v="91"/>
    <x v="0"/>
  </r>
  <r>
    <x v="70"/>
    <x v="1"/>
    <x v="2"/>
  </r>
  <r>
    <x v="17"/>
    <x v="18"/>
    <x v="2"/>
  </r>
  <r>
    <x v="3"/>
    <x v="3"/>
    <x v="2"/>
  </r>
  <r>
    <x v="2"/>
    <x v="2"/>
    <x v="2"/>
  </r>
  <r>
    <x v="13"/>
    <x v="14"/>
    <x v="5"/>
  </r>
  <r>
    <x v="15"/>
    <x v="16"/>
    <x v="2"/>
  </r>
  <r>
    <x v="8"/>
    <x v="9"/>
    <x v="2"/>
  </r>
  <r>
    <x v="22"/>
    <x v="23"/>
    <x v="0"/>
  </r>
  <r>
    <x v="5"/>
    <x v="92"/>
    <x v="0"/>
  </r>
  <r>
    <x v="90"/>
    <x v="93"/>
    <x v="1"/>
  </r>
  <r>
    <x v="91"/>
    <x v="94"/>
    <x v="1"/>
  </r>
  <r>
    <x v="18"/>
    <x v="19"/>
    <x v="0"/>
  </r>
  <r>
    <x v="36"/>
    <x v="37"/>
    <x v="1"/>
  </r>
  <r>
    <x v="35"/>
    <x v="36"/>
    <x v="1"/>
  </r>
  <r>
    <x v="7"/>
    <x v="8"/>
    <x v="5"/>
  </r>
  <r>
    <x v="8"/>
    <x v="9"/>
    <x v="5"/>
  </r>
  <r>
    <x v="92"/>
    <x v="95"/>
    <x v="1"/>
  </r>
  <r>
    <x v="93"/>
    <x v="96"/>
    <x v="1"/>
  </r>
  <r>
    <x v="94"/>
    <x v="97"/>
    <x v="3"/>
  </r>
  <r>
    <x v="8"/>
    <x v="9"/>
    <x v="1"/>
  </r>
  <r>
    <x v="24"/>
    <x v="25"/>
    <x v="1"/>
  </r>
  <r>
    <x v="8"/>
    <x v="9"/>
    <x v="0"/>
  </r>
  <r>
    <x v="13"/>
    <x v="14"/>
    <x v="0"/>
  </r>
  <r>
    <x v="38"/>
    <x v="41"/>
    <x v="0"/>
  </r>
  <r>
    <x v="39"/>
    <x v="41"/>
    <x v="0"/>
  </r>
  <r>
    <x v="12"/>
    <x v="13"/>
    <x v="1"/>
  </r>
  <r>
    <x v="39"/>
    <x v="41"/>
    <x v="0"/>
  </r>
  <r>
    <x v="12"/>
    <x v="13"/>
    <x v="0"/>
  </r>
  <r>
    <x v="13"/>
    <x v="14"/>
    <x v="0"/>
  </r>
  <r>
    <x v="18"/>
    <x v="19"/>
    <x v="0"/>
  </r>
  <r>
    <x v="8"/>
    <x v="9"/>
    <x v="0"/>
  </r>
  <r>
    <x v="49"/>
    <x v="52"/>
    <x v="0"/>
  </r>
  <r>
    <x v="83"/>
    <x v="84"/>
    <x v="0"/>
  </r>
  <r>
    <x v="84"/>
    <x v="85"/>
    <x v="0"/>
  </r>
  <r>
    <x v="52"/>
    <x v="47"/>
    <x v="0"/>
  </r>
  <r>
    <x v="13"/>
    <x v="14"/>
    <x v="0"/>
  </r>
  <r>
    <x v="13"/>
    <x v="14"/>
    <x v="0"/>
  </r>
  <r>
    <x v="52"/>
    <x v="47"/>
    <x v="0"/>
  </r>
  <r>
    <x v="95"/>
    <x v="98"/>
    <x v="15"/>
  </r>
  <r>
    <x v="3"/>
    <x v="3"/>
    <x v="15"/>
  </r>
  <r>
    <x v="45"/>
    <x v="47"/>
    <x v="0"/>
  </r>
  <r>
    <x v="49"/>
    <x v="52"/>
    <x v="1"/>
  </r>
  <r>
    <x v="83"/>
    <x v="84"/>
    <x v="1"/>
  </r>
  <r>
    <x v="84"/>
    <x v="85"/>
    <x v="1"/>
  </r>
  <r>
    <x v="96"/>
    <x v="99"/>
    <x v="1"/>
  </r>
  <r>
    <x v="97"/>
    <x v="99"/>
    <x v="20"/>
  </r>
  <r>
    <x v="98"/>
    <x v="100"/>
    <x v="1"/>
  </r>
  <r>
    <x v="89"/>
    <x v="91"/>
    <x v="1"/>
  </r>
  <r>
    <x v="3"/>
    <x v="3"/>
    <x v="1"/>
  </r>
  <r>
    <x v="26"/>
    <x v="27"/>
    <x v="0"/>
  </r>
  <r>
    <x v="52"/>
    <x v="47"/>
    <x v="0"/>
  </r>
  <r>
    <x v="92"/>
    <x v="95"/>
    <x v="2"/>
  </r>
  <r>
    <x v="99"/>
    <x v="101"/>
    <x v="5"/>
  </r>
  <r>
    <x v="94"/>
    <x v="97"/>
    <x v="4"/>
  </r>
  <r>
    <x v="93"/>
    <x v="96"/>
    <x v="2"/>
  </r>
  <r>
    <x v="52"/>
    <x v="47"/>
    <x v="0"/>
  </r>
  <r>
    <x v="100"/>
    <x v="102"/>
    <x v="10"/>
  </r>
  <r>
    <x v="101"/>
    <x v="103"/>
    <x v="10"/>
  </r>
  <r>
    <x v="52"/>
    <x v="47"/>
    <x v="0"/>
  </r>
  <r>
    <x v="77"/>
    <x v="78"/>
    <x v="2"/>
  </r>
  <r>
    <x v="7"/>
    <x v="8"/>
    <x v="1"/>
  </r>
  <r>
    <x v="8"/>
    <x v="9"/>
    <x v="1"/>
  </r>
  <r>
    <x v="13"/>
    <x v="14"/>
    <x v="0"/>
  </r>
  <r>
    <x v="38"/>
    <x v="41"/>
    <x v="0"/>
  </r>
  <r>
    <x v="26"/>
    <x v="27"/>
    <x v="1"/>
  </r>
  <r>
    <x v="27"/>
    <x v="28"/>
    <x v="3"/>
  </r>
  <r>
    <x v="9"/>
    <x v="10"/>
    <x v="0"/>
  </r>
  <r>
    <x v="37"/>
    <x v="40"/>
    <x v="1"/>
  </r>
  <r>
    <x v="39"/>
    <x v="41"/>
    <x v="0"/>
  </r>
  <r>
    <x v="9"/>
    <x v="10"/>
    <x v="0"/>
  </r>
  <r>
    <x v="9"/>
    <x v="10"/>
    <x v="0"/>
  </r>
  <r>
    <x v="5"/>
    <x v="104"/>
    <x v="0"/>
  </r>
  <r>
    <x v="46"/>
    <x v="49"/>
    <x v="9"/>
  </r>
  <r>
    <x v="37"/>
    <x v="40"/>
    <x v="1"/>
  </r>
  <r>
    <x v="102"/>
    <x v="105"/>
    <x v="0"/>
  </r>
  <r>
    <x v="8"/>
    <x v="9"/>
    <x v="7"/>
  </r>
  <r>
    <x v="7"/>
    <x v="8"/>
    <x v="0"/>
  </r>
  <r>
    <x v="8"/>
    <x v="9"/>
    <x v="0"/>
  </r>
  <r>
    <x v="36"/>
    <x v="37"/>
    <x v="0"/>
  </r>
  <r>
    <x v="35"/>
    <x v="36"/>
    <x v="0"/>
  </r>
  <r>
    <x v="9"/>
    <x v="10"/>
    <x v="0"/>
  </r>
  <r>
    <x v="14"/>
    <x v="15"/>
    <x v="2"/>
  </r>
  <r>
    <x v="3"/>
    <x v="3"/>
    <x v="2"/>
  </r>
  <r>
    <x v="16"/>
    <x v="17"/>
    <x v="2"/>
  </r>
  <r>
    <x v="4"/>
    <x v="4"/>
    <x v="2"/>
  </r>
  <r>
    <x v="17"/>
    <x v="18"/>
    <x v="2"/>
  </r>
  <r>
    <x v="21"/>
    <x v="22"/>
    <x v="1"/>
  </r>
  <r>
    <x v="13"/>
    <x v="14"/>
    <x v="0"/>
  </r>
  <r>
    <x v="103"/>
    <x v="106"/>
    <x v="1"/>
  </r>
  <r>
    <x v="11"/>
    <x v="12"/>
    <x v="5"/>
  </r>
  <r>
    <x v="104"/>
    <x v="107"/>
    <x v="0"/>
  </r>
  <r>
    <x v="18"/>
    <x v="19"/>
    <x v="0"/>
  </r>
  <r>
    <x v="8"/>
    <x v="9"/>
    <x v="0"/>
  </r>
  <r>
    <x v="33"/>
    <x v="34"/>
    <x v="2"/>
  </r>
  <r>
    <x v="35"/>
    <x v="36"/>
    <x v="2"/>
  </r>
  <r>
    <x v="7"/>
    <x v="8"/>
    <x v="10"/>
  </r>
  <r>
    <x v="8"/>
    <x v="9"/>
    <x v="10"/>
  </r>
  <r>
    <x v="7"/>
    <x v="8"/>
    <x v="0"/>
  </r>
  <r>
    <x v="8"/>
    <x v="9"/>
    <x v="0"/>
  </r>
  <r>
    <x v="15"/>
    <x v="16"/>
    <x v="3"/>
  </r>
</pivotCacheRecords>
</file>

<file path=xl/pivotCache/pivotCacheRecords34.xml><?xml version="1.0" encoding="utf-8"?>
<pivotCacheRecords xmlns:r="http://schemas.openxmlformats.org/officeDocument/2006/relationships" xmlns="http://schemas.openxmlformats.org/spreadsheetml/2006/main" count="436">
  <r>
    <x v="0"/>
    <x v="0"/>
    <x v="0"/>
    <x v="0"/>
    <x v="0"/>
  </r>
  <r>
    <x v="1"/>
    <x v="1"/>
    <x v="1"/>
    <x v="1"/>
    <x v="1"/>
  </r>
  <r>
    <x v="0"/>
    <x v="0"/>
    <x v="1"/>
    <x v="2"/>
    <x v="2"/>
  </r>
  <r>
    <x v="2"/>
    <x v="2"/>
    <x v="1"/>
    <x v="3"/>
    <x v="3"/>
  </r>
  <r>
    <x v="3"/>
    <x v="3"/>
    <x v="1"/>
    <x v="4"/>
    <x v="4"/>
  </r>
  <r>
    <x v="4"/>
    <x v="4"/>
    <x v="1"/>
    <x v="4"/>
    <x v="4"/>
  </r>
  <r>
    <x v="5"/>
    <x v="5"/>
    <x v="0"/>
    <x v="4"/>
    <x v="4"/>
  </r>
  <r>
    <x v="6"/>
    <x v="6"/>
    <x v="2"/>
    <x v="4"/>
    <x v="4"/>
  </r>
  <r>
    <x v="5"/>
    <x v="7"/>
    <x v="0"/>
    <x v="4"/>
    <x v="4"/>
  </r>
  <r>
    <x v="7"/>
    <x v="8"/>
    <x v="3"/>
    <x v="5"/>
    <x v="5"/>
  </r>
  <r>
    <x v="8"/>
    <x v="9"/>
    <x v="3"/>
    <x v="6"/>
    <x v="6"/>
  </r>
  <r>
    <x v="7"/>
    <x v="8"/>
    <x v="4"/>
    <x v="5"/>
    <x v="7"/>
  </r>
  <r>
    <x v="8"/>
    <x v="9"/>
    <x v="4"/>
    <x v="6"/>
    <x v="8"/>
  </r>
  <r>
    <x v="9"/>
    <x v="10"/>
    <x v="0"/>
    <x v="7"/>
    <x v="9"/>
  </r>
  <r>
    <x v="10"/>
    <x v="11"/>
    <x v="5"/>
    <x v="8"/>
    <x v="10"/>
  </r>
  <r>
    <x v="11"/>
    <x v="12"/>
    <x v="0"/>
    <x v="9"/>
    <x v="11"/>
  </r>
  <r>
    <x v="12"/>
    <x v="13"/>
    <x v="1"/>
    <x v="10"/>
    <x v="12"/>
  </r>
  <r>
    <x v="13"/>
    <x v="14"/>
    <x v="0"/>
    <x v="11"/>
    <x v="13"/>
  </r>
  <r>
    <x v="13"/>
    <x v="14"/>
    <x v="0"/>
    <x v="11"/>
    <x v="13"/>
  </r>
  <r>
    <x v="14"/>
    <x v="15"/>
    <x v="3"/>
    <x v="12"/>
    <x v="14"/>
  </r>
  <r>
    <x v="3"/>
    <x v="3"/>
    <x v="3"/>
    <x v="4"/>
    <x v="4"/>
  </r>
  <r>
    <x v="15"/>
    <x v="16"/>
    <x v="3"/>
    <x v="4"/>
    <x v="4"/>
  </r>
  <r>
    <x v="16"/>
    <x v="17"/>
    <x v="3"/>
    <x v="4"/>
    <x v="4"/>
  </r>
  <r>
    <x v="8"/>
    <x v="9"/>
    <x v="6"/>
    <x v="4"/>
    <x v="4"/>
  </r>
  <r>
    <x v="17"/>
    <x v="18"/>
    <x v="3"/>
    <x v="4"/>
    <x v="4"/>
  </r>
  <r>
    <x v="17"/>
    <x v="18"/>
    <x v="7"/>
    <x v="13"/>
    <x v="15"/>
  </r>
  <r>
    <x v="7"/>
    <x v="8"/>
    <x v="8"/>
    <x v="14"/>
    <x v="16"/>
  </r>
  <r>
    <x v="18"/>
    <x v="19"/>
    <x v="2"/>
    <x v="15"/>
    <x v="17"/>
  </r>
  <r>
    <x v="19"/>
    <x v="20"/>
    <x v="9"/>
    <x v="16"/>
    <x v="18"/>
  </r>
  <r>
    <x v="20"/>
    <x v="21"/>
    <x v="4"/>
    <x v="17"/>
    <x v="19"/>
  </r>
  <r>
    <x v="21"/>
    <x v="22"/>
    <x v="9"/>
    <x v="18"/>
    <x v="20"/>
  </r>
  <r>
    <x v="22"/>
    <x v="23"/>
    <x v="10"/>
    <x v="19"/>
    <x v="21"/>
  </r>
  <r>
    <x v="13"/>
    <x v="14"/>
    <x v="0"/>
    <x v="20"/>
    <x v="22"/>
  </r>
  <r>
    <x v="23"/>
    <x v="24"/>
    <x v="9"/>
    <x v="21"/>
    <x v="23"/>
  </r>
  <r>
    <x v="24"/>
    <x v="25"/>
    <x v="11"/>
    <x v="15"/>
    <x v="24"/>
  </r>
  <r>
    <x v="12"/>
    <x v="13"/>
    <x v="10"/>
    <x v="22"/>
    <x v="25"/>
  </r>
  <r>
    <x v="25"/>
    <x v="26"/>
    <x v="9"/>
    <x v="15"/>
    <x v="26"/>
  </r>
  <r>
    <x v="26"/>
    <x v="27"/>
    <x v="9"/>
    <x v="23"/>
    <x v="27"/>
  </r>
  <r>
    <x v="27"/>
    <x v="28"/>
    <x v="12"/>
    <x v="24"/>
    <x v="28"/>
  </r>
  <r>
    <x v="28"/>
    <x v="29"/>
    <x v="3"/>
    <x v="25"/>
    <x v="29"/>
  </r>
  <r>
    <x v="29"/>
    <x v="30"/>
    <x v="3"/>
    <x v="26"/>
    <x v="30"/>
  </r>
  <r>
    <x v="30"/>
    <x v="31"/>
    <x v="12"/>
    <x v="27"/>
    <x v="31"/>
  </r>
  <r>
    <x v="15"/>
    <x v="16"/>
    <x v="13"/>
    <x v="28"/>
    <x v="32"/>
  </r>
  <r>
    <x v="31"/>
    <x v="32"/>
    <x v="2"/>
    <x v="13"/>
    <x v="33"/>
  </r>
  <r>
    <x v="32"/>
    <x v="33"/>
    <x v="2"/>
    <x v="18"/>
    <x v="34"/>
  </r>
  <r>
    <x v="33"/>
    <x v="34"/>
    <x v="1"/>
    <x v="29"/>
    <x v="35"/>
  </r>
  <r>
    <x v="34"/>
    <x v="35"/>
    <x v="1"/>
    <x v="16"/>
    <x v="36"/>
  </r>
  <r>
    <x v="35"/>
    <x v="36"/>
    <x v="7"/>
    <x v="27"/>
    <x v="37"/>
  </r>
  <r>
    <x v="36"/>
    <x v="37"/>
    <x v="7"/>
    <x v="30"/>
    <x v="38"/>
  </r>
  <r>
    <x v="16"/>
    <x v="17"/>
    <x v="14"/>
    <x v="27"/>
    <x v="39"/>
  </r>
  <r>
    <x v="5"/>
    <x v="38"/>
    <x v="0"/>
    <x v="4"/>
    <x v="4"/>
  </r>
  <r>
    <x v="5"/>
    <x v="39"/>
    <x v="0"/>
    <x v="4"/>
    <x v="4"/>
  </r>
  <r>
    <x v="37"/>
    <x v="40"/>
    <x v="1"/>
    <x v="31"/>
    <x v="40"/>
  </r>
  <r>
    <x v="1"/>
    <x v="1"/>
    <x v="1"/>
    <x v="1"/>
    <x v="1"/>
  </r>
  <r>
    <x v="0"/>
    <x v="0"/>
    <x v="1"/>
    <x v="2"/>
    <x v="2"/>
  </r>
  <r>
    <x v="3"/>
    <x v="3"/>
    <x v="1"/>
    <x v="4"/>
    <x v="4"/>
  </r>
  <r>
    <x v="4"/>
    <x v="4"/>
    <x v="1"/>
    <x v="4"/>
    <x v="4"/>
  </r>
  <r>
    <x v="38"/>
    <x v="41"/>
    <x v="0"/>
    <x v="11"/>
    <x v="13"/>
  </r>
  <r>
    <x v="24"/>
    <x v="25"/>
    <x v="5"/>
    <x v="32"/>
    <x v="17"/>
  </r>
  <r>
    <x v="18"/>
    <x v="19"/>
    <x v="0"/>
    <x v="32"/>
    <x v="41"/>
  </r>
  <r>
    <x v="8"/>
    <x v="9"/>
    <x v="0"/>
    <x v="33"/>
    <x v="42"/>
  </r>
  <r>
    <x v="12"/>
    <x v="13"/>
    <x v="0"/>
    <x v="10"/>
    <x v="43"/>
  </r>
  <r>
    <x v="22"/>
    <x v="23"/>
    <x v="0"/>
    <x v="8"/>
    <x v="44"/>
  </r>
  <r>
    <x v="35"/>
    <x v="36"/>
    <x v="0"/>
    <x v="34"/>
    <x v="45"/>
  </r>
  <r>
    <x v="1"/>
    <x v="1"/>
    <x v="1"/>
    <x v="1"/>
    <x v="1"/>
  </r>
  <r>
    <x v="0"/>
    <x v="0"/>
    <x v="1"/>
    <x v="2"/>
    <x v="2"/>
  </r>
  <r>
    <x v="3"/>
    <x v="3"/>
    <x v="1"/>
    <x v="4"/>
    <x v="4"/>
  </r>
  <r>
    <x v="4"/>
    <x v="4"/>
    <x v="1"/>
    <x v="4"/>
    <x v="4"/>
  </r>
  <r>
    <x v="8"/>
    <x v="9"/>
    <x v="0"/>
    <x v="33"/>
    <x v="42"/>
  </r>
  <r>
    <x v="39"/>
    <x v="41"/>
    <x v="0"/>
    <x v="35"/>
    <x v="46"/>
  </r>
  <r>
    <x v="40"/>
    <x v="42"/>
    <x v="2"/>
    <x v="36"/>
    <x v="47"/>
  </r>
  <r>
    <x v="11"/>
    <x v="12"/>
    <x v="1"/>
    <x v="9"/>
    <x v="48"/>
  </r>
  <r>
    <x v="32"/>
    <x v="33"/>
    <x v="1"/>
    <x v="37"/>
    <x v="49"/>
  </r>
  <r>
    <x v="7"/>
    <x v="8"/>
    <x v="2"/>
    <x v="5"/>
    <x v="50"/>
  </r>
  <r>
    <x v="8"/>
    <x v="9"/>
    <x v="2"/>
    <x v="33"/>
    <x v="51"/>
  </r>
  <r>
    <x v="41"/>
    <x v="43"/>
    <x v="15"/>
    <x v="38"/>
    <x v="52"/>
  </r>
  <r>
    <x v="42"/>
    <x v="44"/>
    <x v="0"/>
    <x v="39"/>
    <x v="53"/>
  </r>
  <r>
    <x v="43"/>
    <x v="45"/>
    <x v="3"/>
    <x v="40"/>
    <x v="54"/>
  </r>
  <r>
    <x v="3"/>
    <x v="3"/>
    <x v="3"/>
    <x v="4"/>
    <x v="4"/>
  </r>
  <r>
    <x v="36"/>
    <x v="37"/>
    <x v="16"/>
    <x v="30"/>
    <x v="55"/>
  </r>
  <r>
    <x v="44"/>
    <x v="46"/>
    <x v="9"/>
    <x v="21"/>
    <x v="23"/>
  </r>
  <r>
    <x v="45"/>
    <x v="47"/>
    <x v="0"/>
    <x v="41"/>
    <x v="56"/>
  </r>
  <r>
    <x v="5"/>
    <x v="48"/>
    <x v="0"/>
    <x v="4"/>
    <x v="4"/>
  </r>
  <r>
    <x v="46"/>
    <x v="49"/>
    <x v="7"/>
    <x v="4"/>
    <x v="4"/>
  </r>
  <r>
    <x v="16"/>
    <x v="17"/>
    <x v="1"/>
    <x v="4"/>
    <x v="4"/>
  </r>
  <r>
    <x v="19"/>
    <x v="20"/>
    <x v="0"/>
    <x v="36"/>
    <x v="57"/>
  </r>
  <r>
    <x v="3"/>
    <x v="3"/>
    <x v="9"/>
    <x v="42"/>
    <x v="58"/>
  </r>
  <r>
    <x v="38"/>
    <x v="41"/>
    <x v="0"/>
    <x v="11"/>
    <x v="13"/>
  </r>
  <r>
    <x v="38"/>
    <x v="41"/>
    <x v="0"/>
    <x v="11"/>
    <x v="13"/>
  </r>
  <r>
    <x v="13"/>
    <x v="14"/>
    <x v="0"/>
    <x v="11"/>
    <x v="13"/>
  </r>
  <r>
    <x v="47"/>
    <x v="50"/>
    <x v="0"/>
    <x v="43"/>
    <x v="59"/>
  </r>
  <r>
    <x v="35"/>
    <x v="36"/>
    <x v="1"/>
    <x v="34"/>
    <x v="60"/>
  </r>
  <r>
    <x v="26"/>
    <x v="27"/>
    <x v="14"/>
    <x v="44"/>
    <x v="61"/>
  </r>
  <r>
    <x v="48"/>
    <x v="51"/>
    <x v="0"/>
    <x v="45"/>
    <x v="62"/>
  </r>
  <r>
    <x v="49"/>
    <x v="52"/>
    <x v="0"/>
    <x v="41"/>
    <x v="56"/>
  </r>
  <r>
    <x v="50"/>
    <x v="53"/>
    <x v="0"/>
    <x v="46"/>
    <x v="63"/>
  </r>
  <r>
    <x v="51"/>
    <x v="54"/>
    <x v="0"/>
    <x v="47"/>
    <x v="64"/>
  </r>
  <r>
    <x v="52"/>
    <x v="47"/>
    <x v="0"/>
    <x v="48"/>
    <x v="65"/>
  </r>
  <r>
    <x v="53"/>
    <x v="55"/>
    <x v="17"/>
    <x v="49"/>
    <x v="66"/>
  </r>
  <r>
    <x v="54"/>
    <x v="56"/>
    <x v="17"/>
    <x v="50"/>
    <x v="67"/>
  </r>
  <r>
    <x v="55"/>
    <x v="57"/>
    <x v="18"/>
    <x v="51"/>
    <x v="68"/>
  </r>
  <r>
    <x v="56"/>
    <x v="58"/>
    <x v="18"/>
    <x v="52"/>
    <x v="69"/>
  </r>
  <r>
    <x v="8"/>
    <x v="9"/>
    <x v="9"/>
    <x v="53"/>
    <x v="70"/>
  </r>
  <r>
    <x v="52"/>
    <x v="47"/>
    <x v="0"/>
    <x v="54"/>
    <x v="71"/>
  </r>
  <r>
    <x v="15"/>
    <x v="16"/>
    <x v="5"/>
    <x v="33"/>
    <x v="72"/>
  </r>
  <r>
    <x v="38"/>
    <x v="41"/>
    <x v="0"/>
    <x v="11"/>
    <x v="13"/>
  </r>
  <r>
    <x v="13"/>
    <x v="14"/>
    <x v="0"/>
    <x v="11"/>
    <x v="13"/>
  </r>
  <r>
    <x v="35"/>
    <x v="36"/>
    <x v="9"/>
    <x v="34"/>
    <x v="73"/>
  </r>
  <r>
    <x v="57"/>
    <x v="59"/>
    <x v="9"/>
    <x v="55"/>
    <x v="74"/>
  </r>
  <r>
    <x v="18"/>
    <x v="19"/>
    <x v="0"/>
    <x v="32"/>
    <x v="41"/>
  </r>
  <r>
    <x v="8"/>
    <x v="9"/>
    <x v="0"/>
    <x v="33"/>
    <x v="42"/>
  </r>
  <r>
    <x v="32"/>
    <x v="33"/>
    <x v="0"/>
    <x v="37"/>
    <x v="75"/>
  </r>
  <r>
    <x v="58"/>
    <x v="60"/>
    <x v="0"/>
    <x v="56"/>
    <x v="76"/>
  </r>
  <r>
    <x v="13"/>
    <x v="14"/>
    <x v="0"/>
    <x v="11"/>
    <x v="13"/>
  </r>
  <r>
    <x v="7"/>
    <x v="8"/>
    <x v="0"/>
    <x v="5"/>
    <x v="77"/>
  </r>
  <r>
    <x v="8"/>
    <x v="9"/>
    <x v="0"/>
    <x v="33"/>
    <x v="42"/>
  </r>
  <r>
    <x v="17"/>
    <x v="18"/>
    <x v="1"/>
    <x v="9"/>
    <x v="48"/>
  </r>
  <r>
    <x v="13"/>
    <x v="14"/>
    <x v="0"/>
    <x v="11"/>
    <x v="13"/>
  </r>
  <r>
    <x v="13"/>
    <x v="14"/>
    <x v="0"/>
    <x v="11"/>
    <x v="13"/>
  </r>
  <r>
    <x v="8"/>
    <x v="9"/>
    <x v="0"/>
    <x v="33"/>
    <x v="42"/>
  </r>
  <r>
    <x v="15"/>
    <x v="16"/>
    <x v="1"/>
    <x v="33"/>
    <x v="78"/>
  </r>
  <r>
    <x v="58"/>
    <x v="60"/>
    <x v="0"/>
    <x v="57"/>
    <x v="79"/>
  </r>
  <r>
    <x v="21"/>
    <x v="22"/>
    <x v="2"/>
    <x v="18"/>
    <x v="34"/>
  </r>
  <r>
    <x v="25"/>
    <x v="26"/>
    <x v="12"/>
    <x v="15"/>
    <x v="80"/>
  </r>
  <r>
    <x v="52"/>
    <x v="47"/>
    <x v="0"/>
    <x v="58"/>
    <x v="81"/>
  </r>
  <r>
    <x v="46"/>
    <x v="49"/>
    <x v="2"/>
    <x v="59"/>
    <x v="82"/>
  </r>
  <r>
    <x v="23"/>
    <x v="24"/>
    <x v="0"/>
    <x v="60"/>
    <x v="83"/>
  </r>
  <r>
    <x v="59"/>
    <x v="61"/>
    <x v="0"/>
    <x v="61"/>
    <x v="84"/>
  </r>
  <r>
    <x v="60"/>
    <x v="62"/>
    <x v="0"/>
    <x v="62"/>
    <x v="85"/>
  </r>
  <r>
    <x v="52"/>
    <x v="47"/>
    <x v="0"/>
    <x v="63"/>
    <x v="86"/>
  </r>
  <r>
    <x v="17"/>
    <x v="18"/>
    <x v="2"/>
    <x v="9"/>
    <x v="87"/>
  </r>
  <r>
    <x v="12"/>
    <x v="13"/>
    <x v="0"/>
    <x v="10"/>
    <x v="43"/>
  </r>
  <r>
    <x v="18"/>
    <x v="19"/>
    <x v="1"/>
    <x v="32"/>
    <x v="88"/>
  </r>
  <r>
    <x v="8"/>
    <x v="9"/>
    <x v="1"/>
    <x v="33"/>
    <x v="78"/>
  </r>
  <r>
    <x v="15"/>
    <x v="16"/>
    <x v="1"/>
    <x v="33"/>
    <x v="78"/>
  </r>
  <r>
    <x v="14"/>
    <x v="15"/>
    <x v="0"/>
    <x v="64"/>
    <x v="89"/>
  </r>
  <r>
    <x v="3"/>
    <x v="3"/>
    <x v="0"/>
    <x v="4"/>
    <x v="4"/>
  </r>
  <r>
    <x v="16"/>
    <x v="17"/>
    <x v="0"/>
    <x v="4"/>
    <x v="4"/>
  </r>
  <r>
    <x v="4"/>
    <x v="4"/>
    <x v="0"/>
    <x v="4"/>
    <x v="4"/>
  </r>
  <r>
    <x v="21"/>
    <x v="22"/>
    <x v="0"/>
    <x v="65"/>
    <x v="90"/>
  </r>
  <r>
    <x v="13"/>
    <x v="14"/>
    <x v="0"/>
    <x v="11"/>
    <x v="13"/>
  </r>
  <r>
    <x v="61"/>
    <x v="59"/>
    <x v="0"/>
    <x v="55"/>
    <x v="91"/>
  </r>
  <r>
    <x v="35"/>
    <x v="36"/>
    <x v="0"/>
    <x v="34"/>
    <x v="45"/>
  </r>
  <r>
    <x v="5"/>
    <x v="63"/>
    <x v="0"/>
    <x v="4"/>
    <x v="4"/>
  </r>
  <r>
    <x v="62"/>
    <x v="64"/>
    <x v="7"/>
    <x v="4"/>
    <x v="4"/>
  </r>
  <r>
    <x v="63"/>
    <x v="65"/>
    <x v="0"/>
    <x v="4"/>
    <x v="4"/>
  </r>
  <r>
    <x v="64"/>
    <x v="66"/>
    <x v="0"/>
    <x v="4"/>
    <x v="4"/>
  </r>
  <r>
    <x v="65"/>
    <x v="67"/>
    <x v="0"/>
    <x v="4"/>
    <x v="4"/>
  </r>
  <r>
    <x v="66"/>
    <x v="68"/>
    <x v="1"/>
    <x v="4"/>
    <x v="4"/>
  </r>
  <r>
    <x v="67"/>
    <x v="69"/>
    <x v="1"/>
    <x v="4"/>
    <x v="4"/>
  </r>
  <r>
    <x v="68"/>
    <x v="70"/>
    <x v="0"/>
    <x v="4"/>
    <x v="4"/>
  </r>
  <r>
    <x v="63"/>
    <x v="65"/>
    <x v="0"/>
    <x v="4"/>
    <x v="4"/>
  </r>
  <r>
    <x v="64"/>
    <x v="66"/>
    <x v="0"/>
    <x v="4"/>
    <x v="4"/>
  </r>
  <r>
    <x v="62"/>
    <x v="64"/>
    <x v="7"/>
    <x v="4"/>
    <x v="4"/>
  </r>
  <r>
    <x v="69"/>
    <x v="71"/>
    <x v="0"/>
    <x v="4"/>
    <x v="4"/>
  </r>
  <r>
    <x v="65"/>
    <x v="67"/>
    <x v="0"/>
    <x v="4"/>
    <x v="4"/>
  </r>
  <r>
    <x v="70"/>
    <x v="1"/>
    <x v="0"/>
    <x v="66"/>
    <x v="92"/>
  </r>
  <r>
    <x v="21"/>
    <x v="22"/>
    <x v="0"/>
    <x v="65"/>
    <x v="90"/>
  </r>
  <r>
    <x v="3"/>
    <x v="3"/>
    <x v="0"/>
    <x v="4"/>
    <x v="4"/>
  </r>
  <r>
    <x v="4"/>
    <x v="4"/>
    <x v="0"/>
    <x v="4"/>
    <x v="4"/>
  </r>
  <r>
    <x v="13"/>
    <x v="14"/>
    <x v="0"/>
    <x v="11"/>
    <x v="13"/>
  </r>
  <r>
    <x v="18"/>
    <x v="19"/>
    <x v="0"/>
    <x v="32"/>
    <x v="41"/>
  </r>
  <r>
    <x v="8"/>
    <x v="9"/>
    <x v="0"/>
    <x v="33"/>
    <x v="42"/>
  </r>
  <r>
    <x v="13"/>
    <x v="14"/>
    <x v="0"/>
    <x v="11"/>
    <x v="13"/>
  </r>
  <r>
    <x v="70"/>
    <x v="1"/>
    <x v="0"/>
    <x v="66"/>
    <x v="92"/>
  </r>
  <r>
    <x v="19"/>
    <x v="20"/>
    <x v="0"/>
    <x v="67"/>
    <x v="93"/>
  </r>
  <r>
    <x v="3"/>
    <x v="3"/>
    <x v="0"/>
    <x v="4"/>
    <x v="4"/>
  </r>
  <r>
    <x v="4"/>
    <x v="4"/>
    <x v="0"/>
    <x v="4"/>
    <x v="4"/>
  </r>
  <r>
    <x v="18"/>
    <x v="19"/>
    <x v="5"/>
    <x v="32"/>
    <x v="17"/>
  </r>
  <r>
    <x v="8"/>
    <x v="9"/>
    <x v="5"/>
    <x v="33"/>
    <x v="72"/>
  </r>
  <r>
    <x v="7"/>
    <x v="8"/>
    <x v="2"/>
    <x v="5"/>
    <x v="50"/>
  </r>
  <r>
    <x v="8"/>
    <x v="9"/>
    <x v="2"/>
    <x v="33"/>
    <x v="51"/>
  </r>
  <r>
    <x v="39"/>
    <x v="41"/>
    <x v="0"/>
    <x v="35"/>
    <x v="46"/>
  </r>
  <r>
    <x v="71"/>
    <x v="72"/>
    <x v="0"/>
    <x v="68"/>
    <x v="94"/>
  </r>
  <r>
    <x v="13"/>
    <x v="14"/>
    <x v="0"/>
    <x v="11"/>
    <x v="13"/>
  </r>
  <r>
    <x v="58"/>
    <x v="60"/>
    <x v="0"/>
    <x v="56"/>
    <x v="76"/>
  </r>
  <r>
    <x v="18"/>
    <x v="19"/>
    <x v="0"/>
    <x v="32"/>
    <x v="41"/>
  </r>
  <r>
    <x v="8"/>
    <x v="9"/>
    <x v="0"/>
    <x v="33"/>
    <x v="42"/>
  </r>
  <r>
    <x v="7"/>
    <x v="8"/>
    <x v="2"/>
    <x v="5"/>
    <x v="50"/>
  </r>
  <r>
    <x v="8"/>
    <x v="9"/>
    <x v="2"/>
    <x v="33"/>
    <x v="51"/>
  </r>
  <r>
    <x v="71"/>
    <x v="72"/>
    <x v="0"/>
    <x v="68"/>
    <x v="94"/>
  </r>
  <r>
    <x v="13"/>
    <x v="14"/>
    <x v="0"/>
    <x v="11"/>
    <x v="13"/>
  </r>
  <r>
    <x v="15"/>
    <x v="16"/>
    <x v="0"/>
    <x v="33"/>
    <x v="42"/>
  </r>
  <r>
    <x v="9"/>
    <x v="10"/>
    <x v="0"/>
    <x v="7"/>
    <x v="9"/>
  </r>
  <r>
    <x v="58"/>
    <x v="60"/>
    <x v="0"/>
    <x v="56"/>
    <x v="76"/>
  </r>
  <r>
    <x v="70"/>
    <x v="1"/>
    <x v="1"/>
    <x v="66"/>
    <x v="95"/>
  </r>
  <r>
    <x v="19"/>
    <x v="20"/>
    <x v="1"/>
    <x v="67"/>
    <x v="96"/>
  </r>
  <r>
    <x v="3"/>
    <x v="3"/>
    <x v="1"/>
    <x v="4"/>
    <x v="4"/>
  </r>
  <r>
    <x v="4"/>
    <x v="4"/>
    <x v="1"/>
    <x v="4"/>
    <x v="4"/>
  </r>
  <r>
    <x v="13"/>
    <x v="14"/>
    <x v="0"/>
    <x v="11"/>
    <x v="13"/>
  </r>
  <r>
    <x v="71"/>
    <x v="72"/>
    <x v="0"/>
    <x v="69"/>
    <x v="97"/>
  </r>
  <r>
    <x v="52"/>
    <x v="47"/>
    <x v="0"/>
    <x v="70"/>
    <x v="98"/>
  </r>
  <r>
    <x v="70"/>
    <x v="1"/>
    <x v="2"/>
    <x v="66"/>
    <x v="99"/>
  </r>
  <r>
    <x v="0"/>
    <x v="0"/>
    <x v="2"/>
    <x v="2"/>
    <x v="66"/>
  </r>
  <r>
    <x v="3"/>
    <x v="3"/>
    <x v="2"/>
    <x v="4"/>
    <x v="4"/>
  </r>
  <r>
    <x v="15"/>
    <x v="16"/>
    <x v="2"/>
    <x v="4"/>
    <x v="4"/>
  </r>
  <r>
    <x v="8"/>
    <x v="9"/>
    <x v="2"/>
    <x v="4"/>
    <x v="4"/>
  </r>
  <r>
    <x v="13"/>
    <x v="14"/>
    <x v="0"/>
    <x v="11"/>
    <x v="13"/>
  </r>
  <r>
    <x v="72"/>
    <x v="47"/>
    <x v="0"/>
    <x v="71"/>
    <x v="100"/>
  </r>
  <r>
    <x v="14"/>
    <x v="15"/>
    <x v="2"/>
    <x v="72"/>
    <x v="101"/>
  </r>
  <r>
    <x v="3"/>
    <x v="3"/>
    <x v="2"/>
    <x v="4"/>
    <x v="4"/>
  </r>
  <r>
    <x v="16"/>
    <x v="17"/>
    <x v="2"/>
    <x v="4"/>
    <x v="4"/>
  </r>
  <r>
    <x v="36"/>
    <x v="37"/>
    <x v="7"/>
    <x v="30"/>
    <x v="38"/>
  </r>
  <r>
    <x v="52"/>
    <x v="47"/>
    <x v="0"/>
    <x v="73"/>
    <x v="102"/>
  </r>
  <r>
    <x v="24"/>
    <x v="25"/>
    <x v="1"/>
    <x v="32"/>
    <x v="88"/>
  </r>
  <r>
    <x v="47"/>
    <x v="50"/>
    <x v="1"/>
    <x v="43"/>
    <x v="103"/>
  </r>
  <r>
    <x v="13"/>
    <x v="14"/>
    <x v="5"/>
    <x v="11"/>
    <x v="104"/>
  </r>
  <r>
    <x v="19"/>
    <x v="20"/>
    <x v="0"/>
    <x v="36"/>
    <x v="57"/>
  </r>
  <r>
    <x v="15"/>
    <x v="16"/>
    <x v="0"/>
    <x v="33"/>
    <x v="42"/>
  </r>
  <r>
    <x v="61"/>
    <x v="59"/>
    <x v="0"/>
    <x v="55"/>
    <x v="91"/>
  </r>
  <r>
    <x v="12"/>
    <x v="13"/>
    <x v="1"/>
    <x v="10"/>
    <x v="12"/>
  </r>
  <r>
    <x v="39"/>
    <x v="41"/>
    <x v="0"/>
    <x v="35"/>
    <x v="46"/>
  </r>
  <r>
    <x v="71"/>
    <x v="72"/>
    <x v="0"/>
    <x v="69"/>
    <x v="97"/>
  </r>
  <r>
    <x v="52"/>
    <x v="47"/>
    <x v="0"/>
    <x v="74"/>
    <x v="105"/>
  </r>
  <r>
    <x v="9"/>
    <x v="10"/>
    <x v="0"/>
    <x v="7"/>
    <x v="9"/>
  </r>
  <r>
    <x v="7"/>
    <x v="8"/>
    <x v="3"/>
    <x v="5"/>
    <x v="5"/>
  </r>
  <r>
    <x v="8"/>
    <x v="9"/>
    <x v="3"/>
    <x v="6"/>
    <x v="6"/>
  </r>
  <r>
    <x v="24"/>
    <x v="25"/>
    <x v="1"/>
    <x v="32"/>
    <x v="88"/>
  </r>
  <r>
    <x v="13"/>
    <x v="14"/>
    <x v="0"/>
    <x v="11"/>
    <x v="13"/>
  </r>
  <r>
    <x v="8"/>
    <x v="9"/>
    <x v="1"/>
    <x v="33"/>
    <x v="78"/>
  </r>
  <r>
    <x v="24"/>
    <x v="25"/>
    <x v="0"/>
    <x v="32"/>
    <x v="41"/>
  </r>
  <r>
    <x v="5"/>
    <x v="73"/>
    <x v="0"/>
    <x v="4"/>
    <x v="4"/>
  </r>
  <r>
    <x v="14"/>
    <x v="15"/>
    <x v="2"/>
    <x v="64"/>
    <x v="106"/>
  </r>
  <r>
    <x v="3"/>
    <x v="3"/>
    <x v="2"/>
    <x v="4"/>
    <x v="4"/>
  </r>
  <r>
    <x v="16"/>
    <x v="17"/>
    <x v="2"/>
    <x v="4"/>
    <x v="4"/>
  </r>
  <r>
    <x v="4"/>
    <x v="4"/>
    <x v="2"/>
    <x v="4"/>
    <x v="4"/>
  </r>
  <r>
    <x v="21"/>
    <x v="22"/>
    <x v="2"/>
    <x v="65"/>
    <x v="2"/>
  </r>
  <r>
    <x v="18"/>
    <x v="19"/>
    <x v="1"/>
    <x v="32"/>
    <x v="88"/>
  </r>
  <r>
    <x v="8"/>
    <x v="9"/>
    <x v="1"/>
    <x v="33"/>
    <x v="78"/>
  </r>
  <r>
    <x v="58"/>
    <x v="60"/>
    <x v="1"/>
    <x v="56"/>
    <x v="107"/>
  </r>
  <r>
    <x v="58"/>
    <x v="60"/>
    <x v="0"/>
    <x v="56"/>
    <x v="76"/>
  </r>
  <r>
    <x v="12"/>
    <x v="13"/>
    <x v="0"/>
    <x v="10"/>
    <x v="43"/>
  </r>
  <r>
    <x v="17"/>
    <x v="18"/>
    <x v="1"/>
    <x v="9"/>
    <x v="48"/>
  </r>
  <r>
    <x v="73"/>
    <x v="74"/>
    <x v="0"/>
    <x v="4"/>
    <x v="4"/>
  </r>
  <r>
    <x v="14"/>
    <x v="15"/>
    <x v="0"/>
    <x v="64"/>
    <x v="89"/>
  </r>
  <r>
    <x v="3"/>
    <x v="3"/>
    <x v="0"/>
    <x v="4"/>
    <x v="4"/>
  </r>
  <r>
    <x v="16"/>
    <x v="17"/>
    <x v="0"/>
    <x v="4"/>
    <x v="4"/>
  </r>
  <r>
    <x v="4"/>
    <x v="4"/>
    <x v="0"/>
    <x v="4"/>
    <x v="4"/>
  </r>
  <r>
    <x v="17"/>
    <x v="18"/>
    <x v="0"/>
    <x v="4"/>
    <x v="4"/>
  </r>
  <r>
    <x v="39"/>
    <x v="41"/>
    <x v="0"/>
    <x v="35"/>
    <x v="46"/>
  </r>
  <r>
    <x v="18"/>
    <x v="19"/>
    <x v="0"/>
    <x v="32"/>
    <x v="41"/>
  </r>
  <r>
    <x v="8"/>
    <x v="9"/>
    <x v="0"/>
    <x v="33"/>
    <x v="42"/>
  </r>
  <r>
    <x v="71"/>
    <x v="72"/>
    <x v="0"/>
    <x v="69"/>
    <x v="97"/>
  </r>
  <r>
    <x v="52"/>
    <x v="47"/>
    <x v="0"/>
    <x v="54"/>
    <x v="71"/>
  </r>
  <r>
    <x v="58"/>
    <x v="60"/>
    <x v="0"/>
    <x v="56"/>
    <x v="76"/>
  </r>
  <r>
    <x v="7"/>
    <x v="8"/>
    <x v="0"/>
    <x v="5"/>
    <x v="77"/>
  </r>
  <r>
    <x v="8"/>
    <x v="9"/>
    <x v="0"/>
    <x v="33"/>
    <x v="42"/>
  </r>
  <r>
    <x v="14"/>
    <x v="15"/>
    <x v="1"/>
    <x v="64"/>
    <x v="108"/>
  </r>
  <r>
    <x v="3"/>
    <x v="3"/>
    <x v="1"/>
    <x v="4"/>
    <x v="4"/>
  </r>
  <r>
    <x v="16"/>
    <x v="17"/>
    <x v="1"/>
    <x v="4"/>
    <x v="4"/>
  </r>
  <r>
    <x v="4"/>
    <x v="4"/>
    <x v="1"/>
    <x v="4"/>
    <x v="4"/>
  </r>
  <r>
    <x v="21"/>
    <x v="22"/>
    <x v="1"/>
    <x v="65"/>
    <x v="109"/>
  </r>
  <r>
    <x v="74"/>
    <x v="75"/>
    <x v="1"/>
    <x v="42"/>
    <x v="110"/>
  </r>
  <r>
    <x v="11"/>
    <x v="12"/>
    <x v="1"/>
    <x v="9"/>
    <x v="48"/>
  </r>
  <r>
    <x v="16"/>
    <x v="17"/>
    <x v="1"/>
    <x v="34"/>
    <x v="60"/>
  </r>
  <r>
    <x v="35"/>
    <x v="36"/>
    <x v="1"/>
    <x v="34"/>
    <x v="60"/>
  </r>
  <r>
    <x v="36"/>
    <x v="37"/>
    <x v="1"/>
    <x v="42"/>
    <x v="110"/>
  </r>
  <r>
    <x v="39"/>
    <x v="41"/>
    <x v="0"/>
    <x v="35"/>
    <x v="46"/>
  </r>
  <r>
    <x v="70"/>
    <x v="1"/>
    <x v="1"/>
    <x v="66"/>
    <x v="95"/>
  </r>
  <r>
    <x v="17"/>
    <x v="18"/>
    <x v="1"/>
    <x v="4"/>
    <x v="4"/>
  </r>
  <r>
    <x v="3"/>
    <x v="3"/>
    <x v="1"/>
    <x v="4"/>
    <x v="4"/>
  </r>
  <r>
    <x v="4"/>
    <x v="4"/>
    <x v="1"/>
    <x v="4"/>
    <x v="4"/>
  </r>
  <r>
    <x v="12"/>
    <x v="13"/>
    <x v="1"/>
    <x v="10"/>
    <x v="12"/>
  </r>
  <r>
    <x v="8"/>
    <x v="9"/>
    <x v="0"/>
    <x v="33"/>
    <x v="42"/>
  </r>
  <r>
    <x v="46"/>
    <x v="49"/>
    <x v="1"/>
    <x v="59"/>
    <x v="111"/>
  </r>
  <r>
    <x v="75"/>
    <x v="76"/>
    <x v="1"/>
    <x v="59"/>
    <x v="111"/>
  </r>
  <r>
    <x v="76"/>
    <x v="77"/>
    <x v="1"/>
    <x v="21"/>
    <x v="112"/>
  </r>
  <r>
    <x v="77"/>
    <x v="78"/>
    <x v="1"/>
    <x v="75"/>
    <x v="113"/>
  </r>
  <r>
    <x v="8"/>
    <x v="9"/>
    <x v="1"/>
    <x v="28"/>
    <x v="114"/>
  </r>
  <r>
    <x v="60"/>
    <x v="62"/>
    <x v="1"/>
    <x v="76"/>
    <x v="115"/>
  </r>
  <r>
    <x v="52"/>
    <x v="47"/>
    <x v="0"/>
    <x v="77"/>
    <x v="116"/>
  </r>
  <r>
    <x v="22"/>
    <x v="23"/>
    <x v="0"/>
    <x v="8"/>
    <x v="44"/>
  </r>
  <r>
    <x v="24"/>
    <x v="25"/>
    <x v="1"/>
    <x v="32"/>
    <x v="88"/>
  </r>
  <r>
    <x v="7"/>
    <x v="8"/>
    <x v="0"/>
    <x v="5"/>
    <x v="77"/>
  </r>
  <r>
    <x v="8"/>
    <x v="9"/>
    <x v="0"/>
    <x v="33"/>
    <x v="42"/>
  </r>
  <r>
    <x v="13"/>
    <x v="14"/>
    <x v="0"/>
    <x v="11"/>
    <x v="13"/>
  </r>
  <r>
    <x v="7"/>
    <x v="8"/>
    <x v="1"/>
    <x v="5"/>
    <x v="117"/>
  </r>
  <r>
    <x v="8"/>
    <x v="9"/>
    <x v="1"/>
    <x v="33"/>
    <x v="78"/>
  </r>
  <r>
    <x v="15"/>
    <x v="16"/>
    <x v="0"/>
    <x v="33"/>
    <x v="42"/>
  </r>
  <r>
    <x v="7"/>
    <x v="8"/>
    <x v="1"/>
    <x v="5"/>
    <x v="117"/>
  </r>
  <r>
    <x v="8"/>
    <x v="9"/>
    <x v="1"/>
    <x v="33"/>
    <x v="78"/>
  </r>
  <r>
    <x v="73"/>
    <x v="50"/>
    <x v="2"/>
    <x v="43"/>
    <x v="118"/>
  </r>
  <r>
    <x v="49"/>
    <x v="52"/>
    <x v="1"/>
    <x v="41"/>
    <x v="119"/>
  </r>
  <r>
    <x v="48"/>
    <x v="51"/>
    <x v="1"/>
    <x v="78"/>
    <x v="120"/>
  </r>
  <r>
    <x v="78"/>
    <x v="79"/>
    <x v="1"/>
    <x v="79"/>
    <x v="121"/>
  </r>
  <r>
    <x v="79"/>
    <x v="80"/>
    <x v="1"/>
    <x v="80"/>
    <x v="122"/>
  </r>
  <r>
    <x v="80"/>
    <x v="81"/>
    <x v="2"/>
    <x v="81"/>
    <x v="123"/>
  </r>
  <r>
    <x v="81"/>
    <x v="82"/>
    <x v="1"/>
    <x v="82"/>
    <x v="124"/>
  </r>
  <r>
    <x v="52"/>
    <x v="47"/>
    <x v="0"/>
    <x v="83"/>
    <x v="125"/>
  </r>
  <r>
    <x v="82"/>
    <x v="83"/>
    <x v="0"/>
    <x v="12"/>
    <x v="126"/>
  </r>
  <r>
    <x v="73"/>
    <x v="50"/>
    <x v="0"/>
    <x v="84"/>
    <x v="127"/>
  </r>
  <r>
    <x v="3"/>
    <x v="3"/>
    <x v="0"/>
    <x v="4"/>
    <x v="4"/>
  </r>
  <r>
    <x v="52"/>
    <x v="47"/>
    <x v="0"/>
    <x v="85"/>
    <x v="128"/>
  </r>
  <r>
    <x v="39"/>
    <x v="41"/>
    <x v="0"/>
    <x v="35"/>
    <x v="46"/>
  </r>
  <r>
    <x v="24"/>
    <x v="25"/>
    <x v="2"/>
    <x v="32"/>
    <x v="129"/>
  </r>
  <r>
    <x v="39"/>
    <x v="41"/>
    <x v="0"/>
    <x v="35"/>
    <x v="46"/>
  </r>
  <r>
    <x v="24"/>
    <x v="25"/>
    <x v="0"/>
    <x v="32"/>
    <x v="41"/>
  </r>
  <r>
    <x v="22"/>
    <x v="23"/>
    <x v="0"/>
    <x v="8"/>
    <x v="44"/>
  </r>
  <r>
    <x v="4"/>
    <x v="4"/>
    <x v="0"/>
    <x v="63"/>
    <x v="86"/>
  </r>
  <r>
    <x v="49"/>
    <x v="52"/>
    <x v="0"/>
    <x v="41"/>
    <x v="56"/>
  </r>
  <r>
    <x v="83"/>
    <x v="84"/>
    <x v="0"/>
    <x v="45"/>
    <x v="62"/>
  </r>
  <r>
    <x v="84"/>
    <x v="85"/>
    <x v="0"/>
    <x v="86"/>
    <x v="130"/>
  </r>
  <r>
    <x v="85"/>
    <x v="86"/>
    <x v="19"/>
    <x v="87"/>
    <x v="131"/>
  </r>
  <r>
    <x v="52"/>
    <x v="47"/>
    <x v="0"/>
    <x v="88"/>
    <x v="132"/>
  </r>
  <r>
    <x v="8"/>
    <x v="9"/>
    <x v="0"/>
    <x v="33"/>
    <x v="42"/>
  </r>
  <r>
    <x v="24"/>
    <x v="25"/>
    <x v="0"/>
    <x v="32"/>
    <x v="41"/>
  </r>
  <r>
    <x v="38"/>
    <x v="41"/>
    <x v="1"/>
    <x v="11"/>
    <x v="133"/>
  </r>
  <r>
    <x v="12"/>
    <x v="13"/>
    <x v="1"/>
    <x v="10"/>
    <x v="12"/>
  </r>
  <r>
    <x v="13"/>
    <x v="14"/>
    <x v="0"/>
    <x v="11"/>
    <x v="13"/>
  </r>
  <r>
    <x v="58"/>
    <x v="60"/>
    <x v="1"/>
    <x v="56"/>
    <x v="107"/>
  </r>
  <r>
    <x v="58"/>
    <x v="60"/>
    <x v="0"/>
    <x v="56"/>
    <x v="76"/>
  </r>
  <r>
    <x v="24"/>
    <x v="25"/>
    <x v="2"/>
    <x v="32"/>
    <x v="129"/>
  </r>
  <r>
    <x v="9"/>
    <x v="10"/>
    <x v="0"/>
    <x v="7"/>
    <x v="9"/>
  </r>
  <r>
    <x v="86"/>
    <x v="87"/>
    <x v="0"/>
    <x v="89"/>
    <x v="134"/>
  </r>
  <r>
    <x v="21"/>
    <x v="22"/>
    <x v="1"/>
    <x v="37"/>
    <x v="49"/>
  </r>
  <r>
    <x v="18"/>
    <x v="19"/>
    <x v="0"/>
    <x v="32"/>
    <x v="41"/>
  </r>
  <r>
    <x v="8"/>
    <x v="9"/>
    <x v="0"/>
    <x v="33"/>
    <x v="42"/>
  </r>
  <r>
    <x v="8"/>
    <x v="9"/>
    <x v="0"/>
    <x v="33"/>
    <x v="42"/>
  </r>
  <r>
    <x v="38"/>
    <x v="41"/>
    <x v="0"/>
    <x v="11"/>
    <x v="13"/>
  </r>
  <r>
    <x v="87"/>
    <x v="88"/>
    <x v="1"/>
    <x v="90"/>
    <x v="135"/>
  </r>
  <r>
    <x v="24"/>
    <x v="25"/>
    <x v="2"/>
    <x v="15"/>
    <x v="17"/>
  </r>
  <r>
    <x v="12"/>
    <x v="13"/>
    <x v="2"/>
    <x v="22"/>
    <x v="136"/>
  </r>
  <r>
    <x v="73"/>
    <x v="89"/>
    <x v="2"/>
    <x v="84"/>
    <x v="137"/>
  </r>
  <r>
    <x v="52"/>
    <x v="47"/>
    <x v="0"/>
    <x v="83"/>
    <x v="125"/>
  </r>
  <r>
    <x v="13"/>
    <x v="14"/>
    <x v="0"/>
    <x v="11"/>
    <x v="13"/>
  </r>
  <r>
    <x v="39"/>
    <x v="41"/>
    <x v="0"/>
    <x v="35"/>
    <x v="46"/>
  </r>
  <r>
    <x v="7"/>
    <x v="8"/>
    <x v="1"/>
    <x v="5"/>
    <x v="117"/>
  </r>
  <r>
    <x v="8"/>
    <x v="9"/>
    <x v="1"/>
    <x v="33"/>
    <x v="78"/>
  </r>
  <r>
    <x v="15"/>
    <x v="16"/>
    <x v="2"/>
    <x v="33"/>
    <x v="51"/>
  </r>
  <r>
    <x v="22"/>
    <x v="23"/>
    <x v="1"/>
    <x v="8"/>
    <x v="138"/>
  </r>
  <r>
    <x v="10"/>
    <x v="11"/>
    <x v="1"/>
    <x v="8"/>
    <x v="138"/>
  </r>
  <r>
    <x v="35"/>
    <x v="36"/>
    <x v="2"/>
    <x v="34"/>
    <x v="139"/>
  </r>
  <r>
    <x v="13"/>
    <x v="14"/>
    <x v="0"/>
    <x v="11"/>
    <x v="13"/>
  </r>
  <r>
    <x v="88"/>
    <x v="90"/>
    <x v="0"/>
    <x v="91"/>
    <x v="140"/>
  </r>
  <r>
    <x v="74"/>
    <x v="75"/>
    <x v="0"/>
    <x v="42"/>
    <x v="141"/>
  </r>
  <r>
    <x v="89"/>
    <x v="91"/>
    <x v="0"/>
    <x v="4"/>
    <x v="4"/>
  </r>
  <r>
    <x v="70"/>
    <x v="1"/>
    <x v="2"/>
    <x v="66"/>
    <x v="99"/>
  </r>
  <r>
    <x v="17"/>
    <x v="18"/>
    <x v="2"/>
    <x v="4"/>
    <x v="4"/>
  </r>
  <r>
    <x v="3"/>
    <x v="3"/>
    <x v="2"/>
    <x v="4"/>
    <x v="4"/>
  </r>
  <r>
    <x v="2"/>
    <x v="2"/>
    <x v="2"/>
    <x v="3"/>
    <x v="142"/>
  </r>
  <r>
    <x v="13"/>
    <x v="14"/>
    <x v="5"/>
    <x v="11"/>
    <x v="104"/>
  </r>
  <r>
    <x v="15"/>
    <x v="16"/>
    <x v="2"/>
    <x v="4"/>
    <x v="4"/>
  </r>
  <r>
    <x v="8"/>
    <x v="9"/>
    <x v="2"/>
    <x v="4"/>
    <x v="4"/>
  </r>
  <r>
    <x v="22"/>
    <x v="23"/>
    <x v="0"/>
    <x v="4"/>
    <x v="4"/>
  </r>
  <r>
    <x v="5"/>
    <x v="92"/>
    <x v="0"/>
    <x v="4"/>
    <x v="4"/>
  </r>
  <r>
    <x v="90"/>
    <x v="93"/>
    <x v="1"/>
    <x v="4"/>
    <x v="4"/>
  </r>
  <r>
    <x v="91"/>
    <x v="94"/>
    <x v="1"/>
    <x v="4"/>
    <x v="4"/>
  </r>
  <r>
    <x v="18"/>
    <x v="19"/>
    <x v="0"/>
    <x v="4"/>
    <x v="4"/>
  </r>
  <r>
    <x v="36"/>
    <x v="37"/>
    <x v="1"/>
    <x v="42"/>
    <x v="110"/>
  </r>
  <r>
    <x v="35"/>
    <x v="36"/>
    <x v="1"/>
    <x v="34"/>
    <x v="60"/>
  </r>
  <r>
    <x v="7"/>
    <x v="8"/>
    <x v="5"/>
    <x v="5"/>
    <x v="143"/>
  </r>
  <r>
    <x v="8"/>
    <x v="9"/>
    <x v="5"/>
    <x v="33"/>
    <x v="72"/>
  </r>
  <r>
    <x v="92"/>
    <x v="95"/>
    <x v="1"/>
    <x v="92"/>
    <x v="144"/>
  </r>
  <r>
    <x v="93"/>
    <x v="96"/>
    <x v="1"/>
    <x v="13"/>
    <x v="145"/>
  </r>
  <r>
    <x v="94"/>
    <x v="97"/>
    <x v="3"/>
    <x v="18"/>
    <x v="146"/>
  </r>
  <r>
    <x v="8"/>
    <x v="9"/>
    <x v="1"/>
    <x v="33"/>
    <x v="78"/>
  </r>
  <r>
    <x v="24"/>
    <x v="25"/>
    <x v="1"/>
    <x v="32"/>
    <x v="88"/>
  </r>
  <r>
    <x v="8"/>
    <x v="9"/>
    <x v="0"/>
    <x v="33"/>
    <x v="42"/>
  </r>
  <r>
    <x v="13"/>
    <x v="14"/>
    <x v="0"/>
    <x v="11"/>
    <x v="13"/>
  </r>
  <r>
    <x v="38"/>
    <x v="41"/>
    <x v="0"/>
    <x v="11"/>
    <x v="13"/>
  </r>
  <r>
    <x v="39"/>
    <x v="41"/>
    <x v="0"/>
    <x v="35"/>
    <x v="46"/>
  </r>
  <r>
    <x v="12"/>
    <x v="13"/>
    <x v="1"/>
    <x v="10"/>
    <x v="12"/>
  </r>
  <r>
    <x v="39"/>
    <x v="41"/>
    <x v="0"/>
    <x v="35"/>
    <x v="46"/>
  </r>
  <r>
    <x v="12"/>
    <x v="13"/>
    <x v="0"/>
    <x v="10"/>
    <x v="43"/>
  </r>
  <r>
    <x v="13"/>
    <x v="14"/>
    <x v="0"/>
    <x v="11"/>
    <x v="13"/>
  </r>
  <r>
    <x v="18"/>
    <x v="19"/>
    <x v="0"/>
    <x v="32"/>
    <x v="41"/>
  </r>
  <r>
    <x v="8"/>
    <x v="9"/>
    <x v="0"/>
    <x v="33"/>
    <x v="42"/>
  </r>
  <r>
    <x v="49"/>
    <x v="52"/>
    <x v="0"/>
    <x v="41"/>
    <x v="56"/>
  </r>
  <r>
    <x v="83"/>
    <x v="84"/>
    <x v="0"/>
    <x v="45"/>
    <x v="62"/>
  </r>
  <r>
    <x v="84"/>
    <x v="85"/>
    <x v="0"/>
    <x v="27"/>
    <x v="147"/>
  </r>
  <r>
    <x v="52"/>
    <x v="47"/>
    <x v="0"/>
    <x v="93"/>
    <x v="148"/>
  </r>
  <r>
    <x v="13"/>
    <x v="14"/>
    <x v="0"/>
    <x v="20"/>
    <x v="22"/>
  </r>
  <r>
    <x v="13"/>
    <x v="14"/>
    <x v="0"/>
    <x v="20"/>
    <x v="22"/>
  </r>
  <r>
    <x v="52"/>
    <x v="47"/>
    <x v="0"/>
    <x v="74"/>
    <x v="105"/>
  </r>
  <r>
    <x v="95"/>
    <x v="98"/>
    <x v="15"/>
    <x v="94"/>
    <x v="149"/>
  </r>
  <r>
    <x v="3"/>
    <x v="3"/>
    <x v="15"/>
    <x v="4"/>
    <x v="4"/>
  </r>
  <r>
    <x v="45"/>
    <x v="47"/>
    <x v="0"/>
    <x v="41"/>
    <x v="56"/>
  </r>
  <r>
    <x v="49"/>
    <x v="52"/>
    <x v="1"/>
    <x v="41"/>
    <x v="119"/>
  </r>
  <r>
    <x v="83"/>
    <x v="84"/>
    <x v="1"/>
    <x v="45"/>
    <x v="150"/>
  </r>
  <r>
    <x v="84"/>
    <x v="85"/>
    <x v="1"/>
    <x v="27"/>
    <x v="151"/>
  </r>
  <r>
    <x v="96"/>
    <x v="99"/>
    <x v="1"/>
    <x v="95"/>
    <x v="152"/>
  </r>
  <r>
    <x v="97"/>
    <x v="99"/>
    <x v="20"/>
    <x v="96"/>
    <x v="153"/>
  </r>
  <r>
    <x v="98"/>
    <x v="100"/>
    <x v="1"/>
    <x v="97"/>
    <x v="154"/>
  </r>
  <r>
    <x v="89"/>
    <x v="91"/>
    <x v="1"/>
    <x v="4"/>
    <x v="4"/>
  </r>
  <r>
    <x v="3"/>
    <x v="3"/>
    <x v="1"/>
    <x v="30"/>
    <x v="155"/>
  </r>
  <r>
    <x v="26"/>
    <x v="27"/>
    <x v="0"/>
    <x v="4"/>
    <x v="4"/>
  </r>
  <r>
    <x v="52"/>
    <x v="47"/>
    <x v="0"/>
    <x v="83"/>
    <x v="125"/>
  </r>
  <r>
    <x v="92"/>
    <x v="95"/>
    <x v="2"/>
    <x v="92"/>
    <x v="156"/>
  </r>
  <r>
    <x v="99"/>
    <x v="101"/>
    <x v="5"/>
    <x v="18"/>
    <x v="157"/>
  </r>
  <r>
    <x v="94"/>
    <x v="97"/>
    <x v="4"/>
    <x v="18"/>
    <x v="158"/>
  </r>
  <r>
    <x v="93"/>
    <x v="96"/>
    <x v="2"/>
    <x v="13"/>
    <x v="33"/>
  </r>
  <r>
    <x v="52"/>
    <x v="47"/>
    <x v="0"/>
    <x v="98"/>
    <x v="131"/>
  </r>
  <r>
    <x v="100"/>
    <x v="102"/>
    <x v="10"/>
    <x v="99"/>
    <x v="159"/>
  </r>
  <r>
    <x v="101"/>
    <x v="103"/>
    <x v="10"/>
    <x v="4"/>
    <x v="4"/>
  </r>
  <r>
    <x v="52"/>
    <x v="47"/>
    <x v="0"/>
    <x v="54"/>
    <x v="71"/>
  </r>
  <r>
    <x v="77"/>
    <x v="78"/>
    <x v="2"/>
    <x v="4"/>
    <x v="4"/>
  </r>
  <r>
    <x v="7"/>
    <x v="8"/>
    <x v="1"/>
    <x v="5"/>
    <x v="117"/>
  </r>
  <r>
    <x v="8"/>
    <x v="9"/>
    <x v="1"/>
    <x v="33"/>
    <x v="78"/>
  </r>
  <r>
    <x v="13"/>
    <x v="14"/>
    <x v="0"/>
    <x v="11"/>
    <x v="13"/>
  </r>
  <r>
    <x v="38"/>
    <x v="41"/>
    <x v="0"/>
    <x v="11"/>
    <x v="13"/>
  </r>
  <r>
    <x v="26"/>
    <x v="27"/>
    <x v="1"/>
    <x v="44"/>
    <x v="160"/>
  </r>
  <r>
    <x v="27"/>
    <x v="28"/>
    <x v="3"/>
    <x v="38"/>
    <x v="161"/>
  </r>
  <r>
    <x v="9"/>
    <x v="10"/>
    <x v="0"/>
    <x v="7"/>
    <x v="9"/>
  </r>
  <r>
    <x v="37"/>
    <x v="40"/>
    <x v="1"/>
    <x v="31"/>
    <x v="40"/>
  </r>
  <r>
    <x v="39"/>
    <x v="41"/>
    <x v="0"/>
    <x v="35"/>
    <x v="46"/>
  </r>
  <r>
    <x v="9"/>
    <x v="10"/>
    <x v="0"/>
    <x v="100"/>
    <x v="162"/>
  </r>
  <r>
    <x v="9"/>
    <x v="10"/>
    <x v="0"/>
    <x v="7"/>
    <x v="9"/>
  </r>
  <r>
    <x v="5"/>
    <x v="104"/>
    <x v="0"/>
    <x v="4"/>
    <x v="4"/>
  </r>
  <r>
    <x v="46"/>
    <x v="49"/>
    <x v="9"/>
    <x v="4"/>
    <x v="4"/>
  </r>
  <r>
    <x v="37"/>
    <x v="40"/>
    <x v="1"/>
    <x v="4"/>
    <x v="4"/>
  </r>
  <r>
    <x v="102"/>
    <x v="105"/>
    <x v="0"/>
    <x v="4"/>
    <x v="4"/>
  </r>
  <r>
    <x v="8"/>
    <x v="9"/>
    <x v="7"/>
    <x v="101"/>
    <x v="163"/>
  </r>
  <r>
    <x v="7"/>
    <x v="8"/>
    <x v="0"/>
    <x v="5"/>
    <x v="77"/>
  </r>
  <r>
    <x v="8"/>
    <x v="9"/>
    <x v="0"/>
    <x v="33"/>
    <x v="42"/>
  </r>
  <r>
    <x v="36"/>
    <x v="37"/>
    <x v="0"/>
    <x v="42"/>
    <x v="141"/>
  </r>
  <r>
    <x v="35"/>
    <x v="36"/>
    <x v="0"/>
    <x v="34"/>
    <x v="45"/>
  </r>
  <r>
    <x v="9"/>
    <x v="10"/>
    <x v="0"/>
    <x v="7"/>
    <x v="9"/>
  </r>
  <r>
    <x v="14"/>
    <x v="15"/>
    <x v="2"/>
    <x v="64"/>
    <x v="106"/>
  </r>
  <r>
    <x v="3"/>
    <x v="3"/>
    <x v="2"/>
    <x v="4"/>
    <x v="4"/>
  </r>
  <r>
    <x v="16"/>
    <x v="17"/>
    <x v="2"/>
    <x v="4"/>
    <x v="4"/>
  </r>
  <r>
    <x v="4"/>
    <x v="4"/>
    <x v="2"/>
    <x v="4"/>
    <x v="4"/>
  </r>
  <r>
    <x v="17"/>
    <x v="18"/>
    <x v="2"/>
    <x v="4"/>
    <x v="4"/>
  </r>
  <r>
    <x v="21"/>
    <x v="22"/>
    <x v="1"/>
    <x v="37"/>
    <x v="49"/>
  </r>
  <r>
    <x v="13"/>
    <x v="14"/>
    <x v="0"/>
    <x v="11"/>
    <x v="13"/>
  </r>
  <r>
    <x v="103"/>
    <x v="106"/>
    <x v="1"/>
    <x v="55"/>
    <x v="164"/>
  </r>
  <r>
    <x v="11"/>
    <x v="12"/>
    <x v="5"/>
    <x v="9"/>
    <x v="33"/>
  </r>
  <r>
    <x v="104"/>
    <x v="107"/>
    <x v="0"/>
    <x v="0"/>
    <x v="0"/>
  </r>
  <r>
    <x v="18"/>
    <x v="19"/>
    <x v="0"/>
    <x v="32"/>
    <x v="41"/>
  </r>
  <r>
    <x v="8"/>
    <x v="9"/>
    <x v="0"/>
    <x v="33"/>
    <x v="42"/>
  </r>
  <r>
    <x v="33"/>
    <x v="34"/>
    <x v="2"/>
    <x v="0"/>
    <x v="165"/>
  </r>
  <r>
    <x v="35"/>
    <x v="36"/>
    <x v="2"/>
    <x v="34"/>
    <x v="139"/>
  </r>
  <r>
    <x v="7"/>
    <x v="8"/>
    <x v="10"/>
    <x v="5"/>
    <x v="166"/>
  </r>
  <r>
    <x v="8"/>
    <x v="9"/>
    <x v="10"/>
    <x v="6"/>
    <x v="167"/>
  </r>
  <r>
    <x v="7"/>
    <x v="8"/>
    <x v="0"/>
    <x v="5"/>
    <x v="77"/>
  </r>
  <r>
    <x v="8"/>
    <x v="9"/>
    <x v="0"/>
    <x v="33"/>
    <x v="42"/>
  </r>
  <r>
    <x v="15"/>
    <x v="16"/>
    <x v="3"/>
    <x v="33"/>
    <x v="168"/>
  </r>
</pivotCacheRecords>
</file>

<file path=xl/pivotCache/pivotCacheRecords35.xml><?xml version="1.0" encoding="utf-8"?>
<pivotCacheRecords xmlns:r="http://schemas.openxmlformats.org/officeDocument/2006/relationships" xmlns="http://schemas.openxmlformats.org/spreadsheetml/2006/main" count="44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1"/>
    <x v="1"/>
    <x v="2"/>
    <x v="2"/>
  </r>
  <r>
    <x v="3"/>
    <x v="3"/>
    <x v="3"/>
    <x v="3"/>
    <x v="2"/>
    <x v="1"/>
    <x v="1"/>
    <x v="1"/>
  </r>
  <r>
    <x v="4"/>
    <x v="4"/>
    <x v="4"/>
    <x v="4"/>
    <x v="3"/>
    <x v="1"/>
    <x v="3"/>
    <x v="3"/>
  </r>
  <r>
    <x v="5"/>
    <x v="5"/>
    <x v="5"/>
    <x v="5"/>
    <x v="4"/>
    <x v="1"/>
    <x v="4"/>
    <x v="4"/>
  </r>
  <r>
    <x v="5"/>
    <x v="5"/>
    <x v="5"/>
    <x v="6"/>
    <x v="5"/>
    <x v="1"/>
    <x v="5"/>
    <x v="5"/>
  </r>
  <r>
    <x v="5"/>
    <x v="5"/>
    <x v="5"/>
    <x v="7"/>
    <x v="6"/>
    <x v="1"/>
    <x v="6"/>
    <x v="6"/>
  </r>
  <r>
    <x v="6"/>
    <x v="6"/>
    <x v="6"/>
    <x v="8"/>
    <x v="7"/>
    <x v="0"/>
    <x v="7"/>
    <x v="7"/>
  </r>
  <r>
    <x v="6"/>
    <x v="6"/>
    <x v="6"/>
    <x v="9"/>
    <x v="8"/>
    <x v="0"/>
    <x v="8"/>
    <x v="8"/>
  </r>
  <r>
    <x v="6"/>
    <x v="6"/>
    <x v="6"/>
    <x v="3"/>
    <x v="2"/>
    <x v="1"/>
    <x v="1"/>
    <x v="1"/>
  </r>
  <r>
    <x v="6"/>
    <x v="6"/>
    <x v="6"/>
    <x v="10"/>
    <x v="9"/>
    <x v="1"/>
    <x v="9"/>
    <x v="9"/>
  </r>
  <r>
    <x v="6"/>
    <x v="6"/>
    <x v="6"/>
    <x v="5"/>
    <x v="4"/>
    <x v="1"/>
    <x v="4"/>
    <x v="4"/>
  </r>
  <r>
    <x v="6"/>
    <x v="6"/>
    <x v="6"/>
    <x v="11"/>
    <x v="10"/>
    <x v="1"/>
    <x v="10"/>
    <x v="10"/>
  </r>
  <r>
    <x v="6"/>
    <x v="6"/>
    <x v="6"/>
    <x v="12"/>
    <x v="11"/>
    <x v="1"/>
    <x v="11"/>
    <x v="11"/>
  </r>
  <r>
    <x v="6"/>
    <x v="6"/>
    <x v="6"/>
    <x v="13"/>
    <x v="12"/>
    <x v="1"/>
    <x v="8"/>
    <x v="8"/>
  </r>
  <r>
    <x v="6"/>
    <x v="6"/>
    <x v="6"/>
    <x v="14"/>
    <x v="13"/>
    <x v="1"/>
    <x v="8"/>
    <x v="8"/>
  </r>
  <r>
    <x v="6"/>
    <x v="6"/>
    <x v="6"/>
    <x v="15"/>
    <x v="14"/>
    <x v="0"/>
    <x v="8"/>
    <x v="8"/>
  </r>
  <r>
    <x v="6"/>
    <x v="6"/>
    <x v="6"/>
    <x v="6"/>
    <x v="5"/>
    <x v="0"/>
    <x v="8"/>
    <x v="8"/>
  </r>
  <r>
    <x v="6"/>
    <x v="6"/>
    <x v="6"/>
    <x v="16"/>
    <x v="15"/>
    <x v="0"/>
    <x v="8"/>
    <x v="8"/>
  </r>
  <r>
    <x v="6"/>
    <x v="6"/>
    <x v="6"/>
    <x v="17"/>
    <x v="16"/>
    <x v="1"/>
    <x v="8"/>
    <x v="8"/>
  </r>
  <r>
    <x v="7"/>
    <x v="7"/>
    <x v="6"/>
    <x v="18"/>
    <x v="17"/>
    <x v="2"/>
    <x v="12"/>
    <x v="12"/>
  </r>
  <r>
    <x v="7"/>
    <x v="7"/>
    <x v="6"/>
    <x v="19"/>
    <x v="18"/>
    <x v="1"/>
    <x v="13"/>
    <x v="13"/>
  </r>
  <r>
    <x v="8"/>
    <x v="8"/>
    <x v="6"/>
    <x v="8"/>
    <x v="7"/>
    <x v="3"/>
    <x v="7"/>
    <x v="14"/>
  </r>
  <r>
    <x v="9"/>
    <x v="7"/>
    <x v="6"/>
    <x v="20"/>
    <x v="19"/>
    <x v="2"/>
    <x v="14"/>
    <x v="15"/>
  </r>
  <r>
    <x v="9"/>
    <x v="7"/>
    <x v="6"/>
    <x v="21"/>
    <x v="20"/>
    <x v="2"/>
    <x v="8"/>
    <x v="8"/>
  </r>
  <r>
    <x v="9"/>
    <x v="7"/>
    <x v="6"/>
    <x v="22"/>
    <x v="21"/>
    <x v="4"/>
    <x v="15"/>
    <x v="16"/>
  </r>
  <r>
    <x v="9"/>
    <x v="7"/>
    <x v="6"/>
    <x v="23"/>
    <x v="22"/>
    <x v="2"/>
    <x v="16"/>
    <x v="17"/>
  </r>
  <r>
    <x v="9"/>
    <x v="7"/>
    <x v="6"/>
    <x v="24"/>
    <x v="23"/>
    <x v="2"/>
    <x v="17"/>
    <x v="18"/>
  </r>
  <r>
    <x v="9"/>
    <x v="7"/>
    <x v="6"/>
    <x v="15"/>
    <x v="14"/>
    <x v="2"/>
    <x v="8"/>
    <x v="8"/>
  </r>
  <r>
    <x v="9"/>
    <x v="7"/>
    <x v="6"/>
    <x v="25"/>
    <x v="24"/>
    <x v="2"/>
    <x v="8"/>
    <x v="8"/>
  </r>
  <r>
    <x v="9"/>
    <x v="7"/>
    <x v="6"/>
    <x v="19"/>
    <x v="18"/>
    <x v="1"/>
    <x v="13"/>
    <x v="13"/>
  </r>
  <r>
    <x v="10"/>
    <x v="7"/>
    <x v="6"/>
    <x v="26"/>
    <x v="25"/>
    <x v="1"/>
    <x v="18"/>
    <x v="19"/>
  </r>
  <r>
    <x v="11"/>
    <x v="9"/>
    <x v="6"/>
    <x v="27"/>
    <x v="26"/>
    <x v="5"/>
    <x v="19"/>
    <x v="20"/>
  </r>
  <r>
    <x v="11"/>
    <x v="9"/>
    <x v="6"/>
    <x v="28"/>
    <x v="27"/>
    <x v="5"/>
    <x v="20"/>
    <x v="21"/>
  </r>
  <r>
    <x v="11"/>
    <x v="9"/>
    <x v="6"/>
    <x v="13"/>
    <x v="12"/>
    <x v="6"/>
    <x v="8"/>
    <x v="8"/>
  </r>
  <r>
    <x v="11"/>
    <x v="9"/>
    <x v="6"/>
    <x v="3"/>
    <x v="2"/>
    <x v="1"/>
    <x v="1"/>
    <x v="1"/>
  </r>
  <r>
    <x v="12"/>
    <x v="7"/>
    <x v="6"/>
    <x v="26"/>
    <x v="25"/>
    <x v="1"/>
    <x v="18"/>
    <x v="19"/>
  </r>
  <r>
    <x v="13"/>
    <x v="10"/>
    <x v="7"/>
    <x v="2"/>
    <x v="1"/>
    <x v="1"/>
    <x v="2"/>
    <x v="2"/>
  </r>
  <r>
    <x v="14"/>
    <x v="11"/>
    <x v="8"/>
    <x v="3"/>
    <x v="2"/>
    <x v="1"/>
    <x v="1"/>
    <x v="1"/>
  </r>
  <r>
    <x v="15"/>
    <x v="12"/>
    <x v="9"/>
    <x v="2"/>
    <x v="1"/>
    <x v="1"/>
    <x v="2"/>
    <x v="2"/>
  </r>
  <r>
    <x v="16"/>
    <x v="13"/>
    <x v="10"/>
    <x v="3"/>
    <x v="2"/>
    <x v="1"/>
    <x v="1"/>
    <x v="1"/>
  </r>
  <r>
    <x v="17"/>
    <x v="8"/>
    <x v="11"/>
    <x v="8"/>
    <x v="7"/>
    <x v="3"/>
    <x v="7"/>
    <x v="14"/>
  </r>
  <r>
    <x v="18"/>
    <x v="7"/>
    <x v="11"/>
    <x v="29"/>
    <x v="28"/>
    <x v="2"/>
    <x v="8"/>
    <x v="8"/>
  </r>
  <r>
    <x v="18"/>
    <x v="7"/>
    <x v="11"/>
    <x v="15"/>
    <x v="14"/>
    <x v="2"/>
    <x v="8"/>
    <x v="8"/>
  </r>
  <r>
    <x v="19"/>
    <x v="14"/>
    <x v="12"/>
    <x v="3"/>
    <x v="2"/>
    <x v="1"/>
    <x v="1"/>
    <x v="1"/>
  </r>
  <r>
    <x v="20"/>
    <x v="15"/>
    <x v="13"/>
    <x v="2"/>
    <x v="1"/>
    <x v="1"/>
    <x v="2"/>
    <x v="2"/>
  </r>
  <r>
    <x v="20"/>
    <x v="15"/>
    <x v="13"/>
    <x v="16"/>
    <x v="15"/>
    <x v="1"/>
    <x v="5"/>
    <x v="5"/>
  </r>
  <r>
    <x v="21"/>
    <x v="16"/>
    <x v="14"/>
    <x v="5"/>
    <x v="4"/>
    <x v="1"/>
    <x v="4"/>
    <x v="4"/>
  </r>
  <r>
    <x v="21"/>
    <x v="16"/>
    <x v="14"/>
    <x v="6"/>
    <x v="5"/>
    <x v="1"/>
    <x v="5"/>
    <x v="5"/>
  </r>
  <r>
    <x v="22"/>
    <x v="17"/>
    <x v="15"/>
    <x v="29"/>
    <x v="28"/>
    <x v="1"/>
    <x v="21"/>
    <x v="22"/>
  </r>
  <r>
    <x v="23"/>
    <x v="18"/>
    <x v="16"/>
    <x v="3"/>
    <x v="2"/>
    <x v="1"/>
    <x v="1"/>
    <x v="1"/>
  </r>
  <r>
    <x v="24"/>
    <x v="19"/>
    <x v="17"/>
    <x v="30"/>
    <x v="29"/>
    <x v="7"/>
    <x v="22"/>
    <x v="23"/>
  </r>
  <r>
    <x v="24"/>
    <x v="19"/>
    <x v="17"/>
    <x v="31"/>
    <x v="30"/>
    <x v="1"/>
    <x v="23"/>
    <x v="24"/>
  </r>
  <r>
    <x v="24"/>
    <x v="19"/>
    <x v="17"/>
    <x v="19"/>
    <x v="18"/>
    <x v="1"/>
    <x v="24"/>
    <x v="25"/>
  </r>
  <r>
    <x v="25"/>
    <x v="19"/>
    <x v="17"/>
    <x v="32"/>
    <x v="31"/>
    <x v="8"/>
    <x v="25"/>
    <x v="26"/>
  </r>
  <r>
    <x v="25"/>
    <x v="19"/>
    <x v="17"/>
    <x v="33"/>
    <x v="32"/>
    <x v="9"/>
    <x v="25"/>
    <x v="27"/>
  </r>
  <r>
    <x v="25"/>
    <x v="19"/>
    <x v="17"/>
    <x v="19"/>
    <x v="18"/>
    <x v="1"/>
    <x v="26"/>
    <x v="28"/>
  </r>
  <r>
    <x v="26"/>
    <x v="20"/>
    <x v="18"/>
    <x v="34"/>
    <x v="33"/>
    <x v="1"/>
    <x v="27"/>
    <x v="29"/>
  </r>
  <r>
    <x v="26"/>
    <x v="20"/>
    <x v="18"/>
    <x v="6"/>
    <x v="5"/>
    <x v="1"/>
    <x v="5"/>
    <x v="5"/>
  </r>
  <r>
    <x v="27"/>
    <x v="21"/>
    <x v="19"/>
    <x v="2"/>
    <x v="1"/>
    <x v="1"/>
    <x v="28"/>
    <x v="30"/>
  </r>
  <r>
    <x v="28"/>
    <x v="22"/>
    <x v="20"/>
    <x v="2"/>
    <x v="1"/>
    <x v="1"/>
    <x v="2"/>
    <x v="2"/>
  </r>
  <r>
    <x v="29"/>
    <x v="23"/>
    <x v="21"/>
    <x v="35"/>
    <x v="34"/>
    <x v="0"/>
    <x v="29"/>
    <x v="31"/>
  </r>
  <r>
    <x v="29"/>
    <x v="23"/>
    <x v="21"/>
    <x v="36"/>
    <x v="35"/>
    <x v="1"/>
    <x v="30"/>
    <x v="32"/>
  </r>
  <r>
    <x v="29"/>
    <x v="23"/>
    <x v="21"/>
    <x v="37"/>
    <x v="36"/>
    <x v="1"/>
    <x v="31"/>
    <x v="33"/>
  </r>
  <r>
    <x v="30"/>
    <x v="24"/>
    <x v="22"/>
    <x v="18"/>
    <x v="17"/>
    <x v="0"/>
    <x v="32"/>
    <x v="34"/>
  </r>
  <r>
    <x v="30"/>
    <x v="24"/>
    <x v="22"/>
    <x v="16"/>
    <x v="15"/>
    <x v="1"/>
    <x v="5"/>
    <x v="5"/>
  </r>
  <r>
    <x v="30"/>
    <x v="24"/>
    <x v="22"/>
    <x v="34"/>
    <x v="33"/>
    <x v="1"/>
    <x v="27"/>
    <x v="29"/>
  </r>
  <r>
    <x v="30"/>
    <x v="24"/>
    <x v="22"/>
    <x v="6"/>
    <x v="5"/>
    <x v="1"/>
    <x v="5"/>
    <x v="5"/>
  </r>
  <r>
    <x v="31"/>
    <x v="25"/>
    <x v="23"/>
    <x v="7"/>
    <x v="6"/>
    <x v="1"/>
    <x v="6"/>
    <x v="6"/>
  </r>
  <r>
    <x v="31"/>
    <x v="25"/>
    <x v="23"/>
    <x v="37"/>
    <x v="36"/>
    <x v="1"/>
    <x v="31"/>
    <x v="33"/>
  </r>
  <r>
    <x v="32"/>
    <x v="25"/>
    <x v="24"/>
    <x v="3"/>
    <x v="2"/>
    <x v="1"/>
    <x v="1"/>
    <x v="1"/>
  </r>
  <r>
    <x v="33"/>
    <x v="26"/>
    <x v="25"/>
    <x v="38"/>
    <x v="37"/>
    <x v="4"/>
    <x v="21"/>
    <x v="35"/>
  </r>
  <r>
    <x v="34"/>
    <x v="27"/>
    <x v="25"/>
    <x v="2"/>
    <x v="1"/>
    <x v="1"/>
    <x v="2"/>
    <x v="2"/>
  </r>
  <r>
    <x v="35"/>
    <x v="28"/>
    <x v="26"/>
    <x v="39"/>
    <x v="38"/>
    <x v="2"/>
    <x v="21"/>
    <x v="36"/>
  </r>
  <r>
    <x v="35"/>
    <x v="28"/>
    <x v="26"/>
    <x v="6"/>
    <x v="5"/>
    <x v="5"/>
    <x v="33"/>
    <x v="37"/>
  </r>
  <r>
    <x v="36"/>
    <x v="29"/>
    <x v="27"/>
    <x v="38"/>
    <x v="37"/>
    <x v="2"/>
    <x v="21"/>
    <x v="36"/>
  </r>
  <r>
    <x v="37"/>
    <x v="30"/>
    <x v="28"/>
    <x v="5"/>
    <x v="4"/>
    <x v="2"/>
    <x v="3"/>
    <x v="38"/>
  </r>
  <r>
    <x v="38"/>
    <x v="22"/>
    <x v="29"/>
    <x v="2"/>
    <x v="1"/>
    <x v="1"/>
    <x v="2"/>
    <x v="2"/>
  </r>
  <r>
    <x v="39"/>
    <x v="31"/>
    <x v="30"/>
    <x v="1"/>
    <x v="1"/>
    <x v="1"/>
    <x v="1"/>
    <x v="1"/>
  </r>
  <r>
    <x v="40"/>
    <x v="32"/>
    <x v="31"/>
    <x v="2"/>
    <x v="1"/>
    <x v="1"/>
    <x v="2"/>
    <x v="2"/>
  </r>
  <r>
    <x v="41"/>
    <x v="33"/>
    <x v="32"/>
    <x v="1"/>
    <x v="1"/>
    <x v="1"/>
    <x v="1"/>
    <x v="1"/>
  </r>
  <r>
    <x v="41"/>
    <x v="33"/>
    <x v="32"/>
    <x v="40"/>
    <x v="39"/>
    <x v="1"/>
    <x v="7"/>
    <x v="39"/>
  </r>
  <r>
    <x v="41"/>
    <x v="33"/>
    <x v="32"/>
    <x v="39"/>
    <x v="38"/>
    <x v="1"/>
    <x v="8"/>
    <x v="8"/>
  </r>
  <r>
    <x v="41"/>
    <x v="33"/>
    <x v="32"/>
    <x v="41"/>
    <x v="40"/>
    <x v="1"/>
    <x v="34"/>
    <x v="40"/>
  </r>
  <r>
    <x v="41"/>
    <x v="33"/>
    <x v="32"/>
    <x v="37"/>
    <x v="36"/>
    <x v="1"/>
    <x v="31"/>
    <x v="33"/>
  </r>
  <r>
    <x v="42"/>
    <x v="34"/>
    <x v="33"/>
    <x v="5"/>
    <x v="4"/>
    <x v="1"/>
    <x v="4"/>
    <x v="4"/>
  </r>
  <r>
    <x v="42"/>
    <x v="34"/>
    <x v="33"/>
    <x v="6"/>
    <x v="5"/>
    <x v="1"/>
    <x v="5"/>
    <x v="5"/>
  </r>
  <r>
    <x v="42"/>
    <x v="34"/>
    <x v="33"/>
    <x v="29"/>
    <x v="28"/>
    <x v="1"/>
    <x v="21"/>
    <x v="22"/>
  </r>
  <r>
    <x v="43"/>
    <x v="35"/>
    <x v="34"/>
    <x v="42"/>
    <x v="41"/>
    <x v="0"/>
    <x v="35"/>
    <x v="41"/>
  </r>
  <r>
    <x v="43"/>
    <x v="35"/>
    <x v="34"/>
    <x v="43"/>
    <x v="42"/>
    <x v="0"/>
    <x v="35"/>
    <x v="41"/>
  </r>
  <r>
    <x v="43"/>
    <x v="35"/>
    <x v="34"/>
    <x v="44"/>
    <x v="43"/>
    <x v="1"/>
    <x v="6"/>
    <x v="6"/>
  </r>
  <r>
    <x v="43"/>
    <x v="35"/>
    <x v="34"/>
    <x v="37"/>
    <x v="36"/>
    <x v="1"/>
    <x v="31"/>
    <x v="33"/>
  </r>
  <r>
    <x v="44"/>
    <x v="36"/>
    <x v="35"/>
    <x v="3"/>
    <x v="2"/>
    <x v="5"/>
    <x v="36"/>
    <x v="42"/>
  </r>
  <r>
    <x v="44"/>
    <x v="36"/>
    <x v="35"/>
    <x v="45"/>
    <x v="44"/>
    <x v="1"/>
    <x v="37"/>
    <x v="43"/>
  </r>
  <r>
    <x v="44"/>
    <x v="36"/>
    <x v="35"/>
    <x v="19"/>
    <x v="18"/>
    <x v="1"/>
    <x v="38"/>
    <x v="44"/>
  </r>
  <r>
    <x v="45"/>
    <x v="37"/>
    <x v="35"/>
    <x v="46"/>
    <x v="45"/>
    <x v="1"/>
    <x v="8"/>
    <x v="8"/>
  </r>
  <r>
    <x v="45"/>
    <x v="37"/>
    <x v="35"/>
    <x v="47"/>
    <x v="46"/>
    <x v="1"/>
    <x v="8"/>
    <x v="8"/>
  </r>
  <r>
    <x v="46"/>
    <x v="38"/>
    <x v="35"/>
    <x v="48"/>
    <x v="47"/>
    <x v="1"/>
    <x v="8"/>
    <x v="8"/>
  </r>
  <r>
    <x v="46"/>
    <x v="38"/>
    <x v="35"/>
    <x v="49"/>
    <x v="48"/>
    <x v="1"/>
    <x v="8"/>
    <x v="8"/>
  </r>
  <r>
    <x v="47"/>
    <x v="39"/>
    <x v="35"/>
    <x v="50"/>
    <x v="49"/>
    <x v="1"/>
    <x v="8"/>
    <x v="8"/>
  </r>
  <r>
    <x v="48"/>
    <x v="40"/>
    <x v="36"/>
    <x v="17"/>
    <x v="16"/>
    <x v="0"/>
    <x v="39"/>
    <x v="45"/>
  </r>
  <r>
    <x v="49"/>
    <x v="41"/>
    <x v="37"/>
    <x v="51"/>
    <x v="50"/>
    <x v="1"/>
    <x v="27"/>
    <x v="29"/>
  </r>
  <r>
    <x v="49"/>
    <x v="41"/>
    <x v="37"/>
    <x v="16"/>
    <x v="15"/>
    <x v="1"/>
    <x v="5"/>
    <x v="5"/>
  </r>
  <r>
    <x v="50"/>
    <x v="42"/>
    <x v="38"/>
    <x v="6"/>
    <x v="5"/>
    <x v="6"/>
    <x v="33"/>
    <x v="46"/>
  </r>
  <r>
    <x v="50"/>
    <x v="42"/>
    <x v="38"/>
    <x v="3"/>
    <x v="2"/>
    <x v="1"/>
    <x v="1"/>
    <x v="1"/>
  </r>
  <r>
    <x v="51"/>
    <x v="43"/>
    <x v="39"/>
    <x v="34"/>
    <x v="33"/>
    <x v="1"/>
    <x v="27"/>
    <x v="29"/>
  </r>
  <r>
    <x v="51"/>
    <x v="43"/>
    <x v="39"/>
    <x v="6"/>
    <x v="5"/>
    <x v="1"/>
    <x v="5"/>
    <x v="5"/>
  </r>
  <r>
    <x v="52"/>
    <x v="44"/>
    <x v="40"/>
    <x v="16"/>
    <x v="15"/>
    <x v="0"/>
    <x v="5"/>
    <x v="47"/>
  </r>
  <r>
    <x v="53"/>
    <x v="45"/>
    <x v="41"/>
    <x v="39"/>
    <x v="38"/>
    <x v="10"/>
    <x v="8"/>
    <x v="8"/>
  </r>
  <r>
    <x v="53"/>
    <x v="45"/>
    <x v="41"/>
    <x v="52"/>
    <x v="51"/>
    <x v="10"/>
    <x v="8"/>
    <x v="8"/>
  </r>
  <r>
    <x v="54"/>
    <x v="46"/>
    <x v="42"/>
    <x v="1"/>
    <x v="1"/>
    <x v="0"/>
    <x v="1"/>
    <x v="48"/>
  </r>
  <r>
    <x v="55"/>
    <x v="47"/>
    <x v="43"/>
    <x v="53"/>
    <x v="52"/>
    <x v="1"/>
    <x v="40"/>
    <x v="49"/>
  </r>
  <r>
    <x v="55"/>
    <x v="47"/>
    <x v="43"/>
    <x v="41"/>
    <x v="40"/>
    <x v="1"/>
    <x v="26"/>
    <x v="28"/>
  </r>
  <r>
    <x v="55"/>
    <x v="47"/>
    <x v="43"/>
    <x v="54"/>
    <x v="53"/>
    <x v="1"/>
    <x v="41"/>
    <x v="50"/>
  </r>
  <r>
    <x v="55"/>
    <x v="47"/>
    <x v="43"/>
    <x v="38"/>
    <x v="37"/>
    <x v="1"/>
    <x v="8"/>
    <x v="8"/>
  </r>
  <r>
    <x v="55"/>
    <x v="47"/>
    <x v="43"/>
    <x v="37"/>
    <x v="36"/>
    <x v="1"/>
    <x v="8"/>
    <x v="8"/>
  </r>
  <r>
    <x v="55"/>
    <x v="47"/>
    <x v="43"/>
    <x v="3"/>
    <x v="2"/>
    <x v="1"/>
    <x v="1"/>
    <x v="1"/>
  </r>
  <r>
    <x v="56"/>
    <x v="48"/>
    <x v="44"/>
    <x v="3"/>
    <x v="2"/>
    <x v="1"/>
    <x v="1"/>
    <x v="1"/>
  </r>
  <r>
    <x v="57"/>
    <x v="49"/>
    <x v="45"/>
    <x v="7"/>
    <x v="6"/>
    <x v="1"/>
    <x v="6"/>
    <x v="6"/>
  </r>
  <r>
    <x v="58"/>
    <x v="50"/>
    <x v="46"/>
    <x v="55"/>
    <x v="54"/>
    <x v="2"/>
    <x v="27"/>
    <x v="51"/>
  </r>
  <r>
    <x v="59"/>
    <x v="8"/>
    <x v="47"/>
    <x v="29"/>
    <x v="28"/>
    <x v="11"/>
    <x v="21"/>
    <x v="52"/>
  </r>
  <r>
    <x v="60"/>
    <x v="7"/>
    <x v="47"/>
    <x v="17"/>
    <x v="16"/>
    <x v="12"/>
    <x v="42"/>
    <x v="53"/>
  </r>
  <r>
    <x v="60"/>
    <x v="7"/>
    <x v="47"/>
    <x v="19"/>
    <x v="18"/>
    <x v="1"/>
    <x v="43"/>
    <x v="54"/>
  </r>
  <r>
    <x v="61"/>
    <x v="51"/>
    <x v="47"/>
    <x v="56"/>
    <x v="55"/>
    <x v="1"/>
    <x v="8"/>
    <x v="8"/>
  </r>
  <r>
    <x v="61"/>
    <x v="51"/>
    <x v="47"/>
    <x v="57"/>
    <x v="56"/>
    <x v="1"/>
    <x v="8"/>
    <x v="8"/>
  </r>
  <r>
    <x v="62"/>
    <x v="52"/>
    <x v="47"/>
    <x v="53"/>
    <x v="52"/>
    <x v="0"/>
    <x v="40"/>
    <x v="55"/>
  </r>
  <r>
    <x v="62"/>
    <x v="52"/>
    <x v="47"/>
    <x v="37"/>
    <x v="36"/>
    <x v="0"/>
    <x v="8"/>
    <x v="8"/>
  </r>
  <r>
    <x v="62"/>
    <x v="52"/>
    <x v="47"/>
    <x v="0"/>
    <x v="57"/>
    <x v="1"/>
    <x v="44"/>
    <x v="56"/>
  </r>
  <r>
    <x v="62"/>
    <x v="52"/>
    <x v="47"/>
    <x v="58"/>
    <x v="58"/>
    <x v="1"/>
    <x v="45"/>
    <x v="57"/>
  </r>
  <r>
    <x v="62"/>
    <x v="52"/>
    <x v="47"/>
    <x v="3"/>
    <x v="2"/>
    <x v="1"/>
    <x v="1"/>
    <x v="1"/>
  </r>
  <r>
    <x v="62"/>
    <x v="52"/>
    <x v="47"/>
    <x v="59"/>
    <x v="59"/>
    <x v="0"/>
    <x v="46"/>
    <x v="58"/>
  </r>
  <r>
    <x v="62"/>
    <x v="52"/>
    <x v="47"/>
    <x v="38"/>
    <x v="37"/>
    <x v="0"/>
    <x v="8"/>
    <x v="8"/>
  </r>
  <r>
    <x v="62"/>
    <x v="52"/>
    <x v="47"/>
    <x v="19"/>
    <x v="18"/>
    <x v="1"/>
    <x v="47"/>
    <x v="59"/>
  </r>
  <r>
    <x v="63"/>
    <x v="51"/>
    <x v="47"/>
    <x v="23"/>
    <x v="22"/>
    <x v="10"/>
    <x v="8"/>
    <x v="8"/>
  </r>
  <r>
    <x v="63"/>
    <x v="51"/>
    <x v="47"/>
    <x v="60"/>
    <x v="60"/>
    <x v="2"/>
    <x v="8"/>
    <x v="8"/>
  </r>
  <r>
    <x v="63"/>
    <x v="51"/>
    <x v="47"/>
    <x v="61"/>
    <x v="61"/>
    <x v="2"/>
    <x v="48"/>
    <x v="60"/>
  </r>
  <r>
    <x v="63"/>
    <x v="51"/>
    <x v="47"/>
    <x v="38"/>
    <x v="37"/>
    <x v="2"/>
    <x v="8"/>
    <x v="8"/>
  </r>
  <r>
    <x v="63"/>
    <x v="51"/>
    <x v="47"/>
    <x v="62"/>
    <x v="62"/>
    <x v="2"/>
    <x v="49"/>
    <x v="61"/>
  </r>
  <r>
    <x v="63"/>
    <x v="51"/>
    <x v="47"/>
    <x v="19"/>
    <x v="18"/>
    <x v="1"/>
    <x v="50"/>
    <x v="62"/>
  </r>
  <r>
    <x v="64"/>
    <x v="53"/>
    <x v="48"/>
    <x v="35"/>
    <x v="34"/>
    <x v="12"/>
    <x v="29"/>
    <x v="63"/>
  </r>
  <r>
    <x v="64"/>
    <x v="53"/>
    <x v="48"/>
    <x v="63"/>
    <x v="63"/>
    <x v="1"/>
    <x v="29"/>
    <x v="64"/>
  </r>
  <r>
    <x v="65"/>
    <x v="54"/>
    <x v="49"/>
    <x v="64"/>
    <x v="64"/>
    <x v="1"/>
    <x v="51"/>
    <x v="65"/>
  </r>
  <r>
    <x v="65"/>
    <x v="54"/>
    <x v="49"/>
    <x v="51"/>
    <x v="50"/>
    <x v="1"/>
    <x v="52"/>
    <x v="66"/>
  </r>
  <r>
    <x v="66"/>
    <x v="55"/>
    <x v="50"/>
    <x v="51"/>
    <x v="50"/>
    <x v="0"/>
    <x v="27"/>
    <x v="67"/>
  </r>
  <r>
    <x v="67"/>
    <x v="22"/>
    <x v="51"/>
    <x v="65"/>
    <x v="65"/>
    <x v="1"/>
    <x v="30"/>
    <x v="32"/>
  </r>
  <r>
    <x v="68"/>
    <x v="56"/>
    <x v="52"/>
    <x v="41"/>
    <x v="40"/>
    <x v="11"/>
    <x v="34"/>
    <x v="68"/>
  </r>
  <r>
    <x v="68"/>
    <x v="56"/>
    <x v="52"/>
    <x v="37"/>
    <x v="36"/>
    <x v="11"/>
    <x v="31"/>
    <x v="69"/>
  </r>
  <r>
    <x v="69"/>
    <x v="53"/>
    <x v="53"/>
    <x v="5"/>
    <x v="4"/>
    <x v="2"/>
    <x v="4"/>
    <x v="70"/>
  </r>
  <r>
    <x v="69"/>
    <x v="53"/>
    <x v="53"/>
    <x v="6"/>
    <x v="5"/>
    <x v="2"/>
    <x v="5"/>
    <x v="71"/>
  </r>
  <r>
    <x v="70"/>
    <x v="57"/>
    <x v="54"/>
    <x v="2"/>
    <x v="1"/>
    <x v="1"/>
    <x v="2"/>
    <x v="2"/>
  </r>
  <r>
    <x v="71"/>
    <x v="58"/>
    <x v="55"/>
    <x v="66"/>
    <x v="66"/>
    <x v="10"/>
    <x v="8"/>
    <x v="8"/>
  </r>
  <r>
    <x v="72"/>
    <x v="59"/>
    <x v="55"/>
    <x v="67"/>
    <x v="67"/>
    <x v="1"/>
    <x v="8"/>
    <x v="8"/>
  </r>
  <r>
    <x v="72"/>
    <x v="59"/>
    <x v="55"/>
    <x v="68"/>
    <x v="68"/>
    <x v="1"/>
    <x v="8"/>
    <x v="8"/>
  </r>
  <r>
    <x v="72"/>
    <x v="59"/>
    <x v="55"/>
    <x v="69"/>
    <x v="69"/>
    <x v="1"/>
    <x v="8"/>
    <x v="8"/>
  </r>
  <r>
    <x v="73"/>
    <x v="60"/>
    <x v="55"/>
    <x v="70"/>
    <x v="70"/>
    <x v="5"/>
    <x v="53"/>
    <x v="72"/>
  </r>
  <r>
    <x v="73"/>
    <x v="60"/>
    <x v="55"/>
    <x v="71"/>
    <x v="70"/>
    <x v="5"/>
    <x v="53"/>
    <x v="72"/>
  </r>
  <r>
    <x v="73"/>
    <x v="60"/>
    <x v="55"/>
    <x v="19"/>
    <x v="18"/>
    <x v="1"/>
    <x v="54"/>
    <x v="73"/>
  </r>
  <r>
    <x v="74"/>
    <x v="61"/>
    <x v="56"/>
    <x v="3"/>
    <x v="2"/>
    <x v="1"/>
    <x v="1"/>
    <x v="1"/>
  </r>
  <r>
    <x v="74"/>
    <x v="61"/>
    <x v="56"/>
    <x v="65"/>
    <x v="65"/>
    <x v="0"/>
    <x v="30"/>
    <x v="74"/>
  </r>
  <r>
    <x v="75"/>
    <x v="62"/>
    <x v="57"/>
    <x v="65"/>
    <x v="65"/>
    <x v="1"/>
    <x v="30"/>
    <x v="32"/>
  </r>
  <r>
    <x v="75"/>
    <x v="62"/>
    <x v="57"/>
    <x v="37"/>
    <x v="36"/>
    <x v="1"/>
    <x v="31"/>
    <x v="33"/>
  </r>
  <r>
    <x v="76"/>
    <x v="63"/>
    <x v="58"/>
    <x v="2"/>
    <x v="1"/>
    <x v="1"/>
    <x v="2"/>
    <x v="2"/>
  </r>
  <r>
    <x v="77"/>
    <x v="64"/>
    <x v="59"/>
    <x v="16"/>
    <x v="15"/>
    <x v="2"/>
    <x v="5"/>
    <x v="71"/>
  </r>
  <r>
    <x v="78"/>
    <x v="65"/>
    <x v="60"/>
    <x v="5"/>
    <x v="4"/>
    <x v="1"/>
    <x v="4"/>
    <x v="4"/>
  </r>
  <r>
    <x v="78"/>
    <x v="65"/>
    <x v="60"/>
    <x v="6"/>
    <x v="5"/>
    <x v="1"/>
    <x v="5"/>
    <x v="5"/>
  </r>
  <r>
    <x v="78"/>
    <x v="65"/>
    <x v="60"/>
    <x v="42"/>
    <x v="41"/>
    <x v="1"/>
    <x v="35"/>
    <x v="75"/>
  </r>
  <r>
    <x v="79"/>
    <x v="66"/>
    <x v="61"/>
    <x v="64"/>
    <x v="64"/>
    <x v="1"/>
    <x v="51"/>
    <x v="65"/>
  </r>
  <r>
    <x v="79"/>
    <x v="66"/>
    <x v="61"/>
    <x v="51"/>
    <x v="50"/>
    <x v="1"/>
    <x v="52"/>
    <x v="66"/>
  </r>
  <r>
    <x v="80"/>
    <x v="67"/>
    <x v="62"/>
    <x v="72"/>
    <x v="71"/>
    <x v="2"/>
    <x v="55"/>
    <x v="76"/>
  </r>
  <r>
    <x v="80"/>
    <x v="67"/>
    <x v="62"/>
    <x v="38"/>
    <x v="72"/>
    <x v="2"/>
    <x v="8"/>
    <x v="8"/>
  </r>
  <r>
    <x v="80"/>
    <x v="67"/>
    <x v="62"/>
    <x v="29"/>
    <x v="28"/>
    <x v="13"/>
    <x v="56"/>
    <x v="35"/>
  </r>
  <r>
    <x v="80"/>
    <x v="67"/>
    <x v="62"/>
    <x v="73"/>
    <x v="18"/>
    <x v="1"/>
    <x v="57"/>
    <x v="77"/>
  </r>
  <r>
    <x v="81"/>
    <x v="68"/>
    <x v="63"/>
    <x v="51"/>
    <x v="50"/>
    <x v="0"/>
    <x v="27"/>
    <x v="67"/>
  </r>
  <r>
    <x v="82"/>
    <x v="69"/>
    <x v="64"/>
    <x v="74"/>
    <x v="73"/>
    <x v="1"/>
    <x v="11"/>
    <x v="11"/>
  </r>
  <r>
    <x v="83"/>
    <x v="70"/>
    <x v="65"/>
    <x v="7"/>
    <x v="6"/>
    <x v="0"/>
    <x v="6"/>
    <x v="78"/>
  </r>
  <r>
    <x v="84"/>
    <x v="71"/>
    <x v="66"/>
    <x v="16"/>
    <x v="15"/>
    <x v="1"/>
    <x v="5"/>
    <x v="5"/>
  </r>
  <r>
    <x v="84"/>
    <x v="71"/>
    <x v="66"/>
    <x v="75"/>
    <x v="74"/>
    <x v="1"/>
    <x v="58"/>
    <x v="79"/>
  </r>
  <r>
    <x v="84"/>
    <x v="71"/>
    <x v="66"/>
    <x v="76"/>
    <x v="75"/>
    <x v="1"/>
    <x v="59"/>
    <x v="80"/>
  </r>
  <r>
    <x v="85"/>
    <x v="37"/>
    <x v="67"/>
    <x v="35"/>
    <x v="34"/>
    <x v="5"/>
    <x v="60"/>
    <x v="81"/>
  </r>
  <r>
    <x v="85"/>
    <x v="37"/>
    <x v="67"/>
    <x v="19"/>
    <x v="18"/>
    <x v="1"/>
    <x v="61"/>
    <x v="82"/>
  </r>
  <r>
    <x v="86"/>
    <x v="72"/>
    <x v="67"/>
    <x v="77"/>
    <x v="76"/>
    <x v="12"/>
    <x v="62"/>
    <x v="83"/>
  </r>
  <r>
    <x v="86"/>
    <x v="72"/>
    <x v="67"/>
    <x v="38"/>
    <x v="37"/>
    <x v="12"/>
    <x v="8"/>
    <x v="8"/>
  </r>
  <r>
    <x v="86"/>
    <x v="72"/>
    <x v="67"/>
    <x v="19"/>
    <x v="18"/>
    <x v="1"/>
    <x v="57"/>
    <x v="77"/>
  </r>
  <r>
    <x v="87"/>
    <x v="73"/>
    <x v="67"/>
    <x v="78"/>
    <x v="77"/>
    <x v="2"/>
    <x v="63"/>
    <x v="84"/>
  </r>
  <r>
    <x v="87"/>
    <x v="73"/>
    <x v="67"/>
    <x v="79"/>
    <x v="78"/>
    <x v="2"/>
    <x v="8"/>
    <x v="8"/>
  </r>
  <r>
    <x v="87"/>
    <x v="73"/>
    <x v="67"/>
    <x v="80"/>
    <x v="79"/>
    <x v="10"/>
    <x v="8"/>
    <x v="8"/>
  </r>
  <r>
    <x v="87"/>
    <x v="73"/>
    <x v="67"/>
    <x v="81"/>
    <x v="80"/>
    <x v="2"/>
    <x v="8"/>
    <x v="8"/>
  </r>
  <r>
    <x v="87"/>
    <x v="73"/>
    <x v="67"/>
    <x v="19"/>
    <x v="18"/>
    <x v="1"/>
    <x v="64"/>
    <x v="85"/>
  </r>
  <r>
    <x v="88"/>
    <x v="74"/>
    <x v="68"/>
    <x v="16"/>
    <x v="15"/>
    <x v="1"/>
    <x v="5"/>
    <x v="5"/>
  </r>
  <r>
    <x v="89"/>
    <x v="75"/>
    <x v="69"/>
    <x v="51"/>
    <x v="50"/>
    <x v="1"/>
    <x v="27"/>
    <x v="29"/>
  </r>
  <r>
    <x v="90"/>
    <x v="56"/>
    <x v="70"/>
    <x v="41"/>
    <x v="40"/>
    <x v="0"/>
    <x v="34"/>
    <x v="86"/>
  </r>
  <r>
    <x v="90"/>
    <x v="56"/>
    <x v="70"/>
    <x v="37"/>
    <x v="36"/>
    <x v="0"/>
    <x v="31"/>
    <x v="13"/>
  </r>
  <r>
    <x v="91"/>
    <x v="76"/>
    <x v="71"/>
    <x v="3"/>
    <x v="2"/>
    <x v="1"/>
    <x v="1"/>
    <x v="1"/>
  </r>
  <r>
    <x v="92"/>
    <x v="77"/>
    <x v="72"/>
    <x v="5"/>
    <x v="4"/>
    <x v="0"/>
    <x v="4"/>
    <x v="87"/>
  </r>
  <r>
    <x v="92"/>
    <x v="77"/>
    <x v="72"/>
    <x v="6"/>
    <x v="5"/>
    <x v="0"/>
    <x v="5"/>
    <x v="47"/>
  </r>
  <r>
    <x v="93"/>
    <x v="78"/>
    <x v="73"/>
    <x v="3"/>
    <x v="2"/>
    <x v="1"/>
    <x v="1"/>
    <x v="1"/>
  </r>
  <r>
    <x v="94"/>
    <x v="79"/>
    <x v="74"/>
    <x v="17"/>
    <x v="16"/>
    <x v="1"/>
    <x v="39"/>
    <x v="88"/>
  </r>
  <r>
    <x v="94"/>
    <x v="79"/>
    <x v="74"/>
    <x v="82"/>
    <x v="81"/>
    <x v="1"/>
    <x v="39"/>
    <x v="88"/>
  </r>
  <r>
    <x v="95"/>
    <x v="80"/>
    <x v="75"/>
    <x v="41"/>
    <x v="40"/>
    <x v="1"/>
    <x v="34"/>
    <x v="40"/>
  </r>
  <r>
    <x v="95"/>
    <x v="80"/>
    <x v="75"/>
    <x v="37"/>
    <x v="36"/>
    <x v="1"/>
    <x v="31"/>
    <x v="33"/>
  </r>
  <r>
    <x v="96"/>
    <x v="81"/>
    <x v="76"/>
    <x v="64"/>
    <x v="64"/>
    <x v="1"/>
    <x v="65"/>
    <x v="89"/>
  </r>
  <r>
    <x v="97"/>
    <x v="82"/>
    <x v="77"/>
    <x v="51"/>
    <x v="50"/>
    <x v="1"/>
    <x v="27"/>
    <x v="29"/>
  </r>
  <r>
    <x v="98"/>
    <x v="83"/>
    <x v="78"/>
    <x v="3"/>
    <x v="2"/>
    <x v="1"/>
    <x v="1"/>
    <x v="1"/>
  </r>
  <r>
    <x v="99"/>
    <x v="84"/>
    <x v="79"/>
    <x v="83"/>
    <x v="82"/>
    <x v="2"/>
    <x v="66"/>
    <x v="90"/>
  </r>
  <r>
    <x v="100"/>
    <x v="85"/>
    <x v="80"/>
    <x v="5"/>
    <x v="4"/>
    <x v="0"/>
    <x v="4"/>
    <x v="87"/>
  </r>
  <r>
    <x v="100"/>
    <x v="85"/>
    <x v="80"/>
    <x v="6"/>
    <x v="5"/>
    <x v="0"/>
    <x v="5"/>
    <x v="47"/>
  </r>
  <r>
    <x v="101"/>
    <x v="86"/>
    <x v="81"/>
    <x v="72"/>
    <x v="71"/>
    <x v="0"/>
    <x v="67"/>
    <x v="91"/>
  </r>
  <r>
    <x v="101"/>
    <x v="86"/>
    <x v="81"/>
    <x v="38"/>
    <x v="37"/>
    <x v="0"/>
    <x v="8"/>
    <x v="8"/>
  </r>
  <r>
    <x v="101"/>
    <x v="86"/>
    <x v="81"/>
    <x v="4"/>
    <x v="3"/>
    <x v="10"/>
    <x v="8"/>
    <x v="8"/>
  </r>
  <r>
    <x v="101"/>
    <x v="86"/>
    <x v="81"/>
    <x v="16"/>
    <x v="15"/>
    <x v="10"/>
    <x v="8"/>
    <x v="8"/>
  </r>
  <r>
    <x v="101"/>
    <x v="86"/>
    <x v="81"/>
    <x v="6"/>
    <x v="5"/>
    <x v="10"/>
    <x v="8"/>
    <x v="8"/>
  </r>
  <r>
    <x v="101"/>
    <x v="86"/>
    <x v="81"/>
    <x v="19"/>
    <x v="18"/>
    <x v="1"/>
    <x v="26"/>
    <x v="28"/>
  </r>
  <r>
    <x v="102"/>
    <x v="87"/>
    <x v="81"/>
    <x v="84"/>
    <x v="83"/>
    <x v="14"/>
    <x v="68"/>
    <x v="92"/>
  </r>
  <r>
    <x v="102"/>
    <x v="87"/>
    <x v="81"/>
    <x v="85"/>
    <x v="84"/>
    <x v="15"/>
    <x v="8"/>
    <x v="8"/>
  </r>
  <r>
    <x v="102"/>
    <x v="87"/>
    <x v="81"/>
    <x v="86"/>
    <x v="85"/>
    <x v="15"/>
    <x v="8"/>
    <x v="8"/>
  </r>
  <r>
    <x v="102"/>
    <x v="87"/>
    <x v="81"/>
    <x v="87"/>
    <x v="86"/>
    <x v="16"/>
    <x v="8"/>
    <x v="8"/>
  </r>
  <r>
    <x v="103"/>
    <x v="88"/>
    <x v="81"/>
    <x v="61"/>
    <x v="52"/>
    <x v="2"/>
    <x v="69"/>
    <x v="93"/>
  </r>
  <r>
    <x v="103"/>
    <x v="88"/>
    <x v="81"/>
    <x v="41"/>
    <x v="40"/>
    <x v="2"/>
    <x v="70"/>
    <x v="94"/>
  </r>
  <r>
    <x v="103"/>
    <x v="88"/>
    <x v="81"/>
    <x v="40"/>
    <x v="39"/>
    <x v="2"/>
    <x v="71"/>
    <x v="95"/>
  </r>
  <r>
    <x v="103"/>
    <x v="88"/>
    <x v="81"/>
    <x v="9"/>
    <x v="8"/>
    <x v="2"/>
    <x v="8"/>
    <x v="8"/>
  </r>
  <r>
    <x v="103"/>
    <x v="88"/>
    <x v="81"/>
    <x v="41"/>
    <x v="40"/>
    <x v="2"/>
    <x v="72"/>
    <x v="96"/>
  </r>
  <r>
    <x v="103"/>
    <x v="88"/>
    <x v="81"/>
    <x v="3"/>
    <x v="2"/>
    <x v="0"/>
    <x v="36"/>
    <x v="97"/>
  </r>
  <r>
    <x v="103"/>
    <x v="88"/>
    <x v="81"/>
    <x v="88"/>
    <x v="87"/>
    <x v="2"/>
    <x v="73"/>
    <x v="98"/>
  </r>
  <r>
    <x v="103"/>
    <x v="88"/>
    <x v="81"/>
    <x v="41"/>
    <x v="40"/>
    <x v="2"/>
    <x v="70"/>
    <x v="94"/>
  </r>
  <r>
    <x v="103"/>
    <x v="88"/>
    <x v="81"/>
    <x v="26"/>
    <x v="88"/>
    <x v="1"/>
    <x v="18"/>
    <x v="19"/>
  </r>
  <r>
    <x v="103"/>
    <x v="88"/>
    <x v="81"/>
    <x v="35"/>
    <x v="34"/>
    <x v="3"/>
    <x v="60"/>
    <x v="99"/>
  </r>
  <r>
    <x v="103"/>
    <x v="88"/>
    <x v="81"/>
    <x v="29"/>
    <x v="28"/>
    <x v="3"/>
    <x v="56"/>
    <x v="100"/>
  </r>
  <r>
    <x v="103"/>
    <x v="88"/>
    <x v="81"/>
    <x v="73"/>
    <x v="18"/>
    <x v="1"/>
    <x v="74"/>
    <x v="101"/>
  </r>
  <r>
    <x v="104"/>
    <x v="26"/>
    <x v="81"/>
    <x v="3"/>
    <x v="2"/>
    <x v="1"/>
    <x v="75"/>
    <x v="102"/>
  </r>
  <r>
    <x v="105"/>
    <x v="89"/>
    <x v="82"/>
    <x v="44"/>
    <x v="43"/>
    <x v="1"/>
    <x v="6"/>
    <x v="6"/>
  </r>
  <r>
    <x v="106"/>
    <x v="39"/>
    <x v="83"/>
    <x v="88"/>
    <x v="87"/>
    <x v="2"/>
    <x v="76"/>
    <x v="103"/>
  </r>
  <r>
    <x v="106"/>
    <x v="39"/>
    <x v="83"/>
    <x v="38"/>
    <x v="37"/>
    <x v="2"/>
    <x v="8"/>
    <x v="8"/>
  </r>
  <r>
    <x v="106"/>
    <x v="39"/>
    <x v="83"/>
    <x v="63"/>
    <x v="63"/>
    <x v="2"/>
    <x v="8"/>
    <x v="8"/>
  </r>
  <r>
    <x v="106"/>
    <x v="39"/>
    <x v="83"/>
    <x v="37"/>
    <x v="36"/>
    <x v="2"/>
    <x v="8"/>
    <x v="8"/>
  </r>
  <r>
    <x v="106"/>
    <x v="39"/>
    <x v="83"/>
    <x v="7"/>
    <x v="6"/>
    <x v="2"/>
    <x v="8"/>
    <x v="8"/>
  </r>
  <r>
    <x v="106"/>
    <x v="39"/>
    <x v="83"/>
    <x v="3"/>
    <x v="2"/>
    <x v="0"/>
    <x v="1"/>
    <x v="48"/>
  </r>
  <r>
    <x v="106"/>
    <x v="39"/>
    <x v="83"/>
    <x v="26"/>
    <x v="88"/>
    <x v="1"/>
    <x v="77"/>
    <x v="104"/>
  </r>
  <r>
    <x v="106"/>
    <x v="39"/>
    <x v="83"/>
    <x v="89"/>
    <x v="89"/>
    <x v="2"/>
    <x v="6"/>
    <x v="105"/>
  </r>
  <r>
    <x v="106"/>
    <x v="39"/>
    <x v="83"/>
    <x v="90"/>
    <x v="90"/>
    <x v="0"/>
    <x v="78"/>
    <x v="106"/>
  </r>
  <r>
    <x v="106"/>
    <x v="39"/>
    <x v="83"/>
    <x v="91"/>
    <x v="91"/>
    <x v="10"/>
    <x v="79"/>
    <x v="107"/>
  </r>
  <r>
    <x v="106"/>
    <x v="39"/>
    <x v="83"/>
    <x v="92"/>
    <x v="92"/>
    <x v="2"/>
    <x v="80"/>
    <x v="108"/>
  </r>
  <r>
    <x v="107"/>
    <x v="90"/>
    <x v="84"/>
    <x v="16"/>
    <x v="15"/>
    <x v="0"/>
    <x v="5"/>
    <x v="47"/>
  </r>
  <r>
    <x v="107"/>
    <x v="90"/>
    <x v="84"/>
    <x v="51"/>
    <x v="50"/>
    <x v="1"/>
    <x v="27"/>
    <x v="29"/>
  </r>
  <r>
    <x v="108"/>
    <x v="91"/>
    <x v="85"/>
    <x v="26"/>
    <x v="88"/>
    <x v="1"/>
    <x v="77"/>
    <x v="104"/>
  </r>
  <r>
    <x v="108"/>
    <x v="91"/>
    <x v="85"/>
    <x v="3"/>
    <x v="2"/>
    <x v="1"/>
    <x v="1"/>
    <x v="1"/>
  </r>
  <r>
    <x v="109"/>
    <x v="92"/>
    <x v="86"/>
    <x v="90"/>
    <x v="90"/>
    <x v="12"/>
    <x v="78"/>
    <x v="109"/>
  </r>
  <r>
    <x v="110"/>
    <x v="93"/>
    <x v="87"/>
    <x v="5"/>
    <x v="4"/>
    <x v="1"/>
    <x v="4"/>
    <x v="4"/>
  </r>
  <r>
    <x v="110"/>
    <x v="93"/>
    <x v="87"/>
    <x v="6"/>
    <x v="5"/>
    <x v="1"/>
    <x v="5"/>
    <x v="5"/>
  </r>
  <r>
    <x v="110"/>
    <x v="93"/>
    <x v="87"/>
    <x v="51"/>
    <x v="50"/>
    <x v="1"/>
    <x v="27"/>
    <x v="29"/>
  </r>
  <r>
    <x v="111"/>
    <x v="87"/>
    <x v="88"/>
    <x v="88"/>
    <x v="87"/>
    <x v="2"/>
    <x v="73"/>
    <x v="98"/>
  </r>
  <r>
    <x v="111"/>
    <x v="87"/>
    <x v="88"/>
    <x v="38"/>
    <x v="37"/>
    <x v="2"/>
    <x v="8"/>
    <x v="8"/>
  </r>
  <r>
    <x v="111"/>
    <x v="87"/>
    <x v="88"/>
    <x v="63"/>
    <x v="63"/>
    <x v="2"/>
    <x v="8"/>
    <x v="8"/>
  </r>
  <r>
    <x v="111"/>
    <x v="87"/>
    <x v="88"/>
    <x v="93"/>
    <x v="93"/>
    <x v="2"/>
    <x v="81"/>
    <x v="110"/>
  </r>
  <r>
    <x v="111"/>
    <x v="87"/>
    <x v="88"/>
    <x v="39"/>
    <x v="38"/>
    <x v="2"/>
    <x v="56"/>
    <x v="111"/>
  </r>
  <r>
    <x v="111"/>
    <x v="87"/>
    <x v="88"/>
    <x v="19"/>
    <x v="18"/>
    <x v="1"/>
    <x v="82"/>
    <x v="112"/>
  </r>
  <r>
    <x v="112"/>
    <x v="58"/>
    <x v="88"/>
    <x v="77"/>
    <x v="94"/>
    <x v="10"/>
    <x v="73"/>
    <x v="113"/>
  </r>
  <r>
    <x v="112"/>
    <x v="58"/>
    <x v="88"/>
    <x v="19"/>
    <x v="18"/>
    <x v="1"/>
    <x v="83"/>
    <x v="114"/>
  </r>
  <r>
    <x v="113"/>
    <x v="87"/>
    <x v="88"/>
    <x v="88"/>
    <x v="87"/>
    <x v="2"/>
    <x v="73"/>
    <x v="98"/>
  </r>
  <r>
    <x v="113"/>
    <x v="87"/>
    <x v="88"/>
    <x v="38"/>
    <x v="37"/>
    <x v="2"/>
    <x v="8"/>
    <x v="8"/>
  </r>
  <r>
    <x v="113"/>
    <x v="87"/>
    <x v="88"/>
    <x v="63"/>
    <x v="63"/>
    <x v="2"/>
    <x v="8"/>
    <x v="8"/>
  </r>
  <r>
    <x v="113"/>
    <x v="87"/>
    <x v="88"/>
    <x v="93"/>
    <x v="93"/>
    <x v="2"/>
    <x v="81"/>
    <x v="110"/>
  </r>
  <r>
    <x v="113"/>
    <x v="87"/>
    <x v="88"/>
    <x v="46"/>
    <x v="95"/>
    <x v="4"/>
    <x v="84"/>
    <x v="115"/>
  </r>
  <r>
    <x v="113"/>
    <x v="87"/>
    <x v="88"/>
    <x v="39"/>
    <x v="38"/>
    <x v="2"/>
    <x v="56"/>
    <x v="111"/>
  </r>
  <r>
    <x v="113"/>
    <x v="87"/>
    <x v="88"/>
    <x v="19"/>
    <x v="18"/>
    <x v="1"/>
    <x v="44"/>
    <x v="56"/>
  </r>
  <r>
    <x v="114"/>
    <x v="60"/>
    <x v="88"/>
    <x v="46"/>
    <x v="95"/>
    <x v="10"/>
    <x v="84"/>
    <x v="116"/>
  </r>
  <r>
    <x v="114"/>
    <x v="60"/>
    <x v="88"/>
    <x v="19"/>
    <x v="18"/>
    <x v="1"/>
    <x v="85"/>
    <x v="117"/>
  </r>
  <r>
    <x v="115"/>
    <x v="60"/>
    <x v="88"/>
    <x v="94"/>
    <x v="96"/>
    <x v="4"/>
    <x v="8"/>
    <x v="8"/>
  </r>
  <r>
    <x v="115"/>
    <x v="60"/>
    <x v="88"/>
    <x v="95"/>
    <x v="97"/>
    <x v="4"/>
    <x v="8"/>
    <x v="8"/>
  </r>
  <r>
    <x v="115"/>
    <x v="60"/>
    <x v="88"/>
    <x v="96"/>
    <x v="98"/>
    <x v="4"/>
    <x v="8"/>
    <x v="8"/>
  </r>
  <r>
    <x v="116"/>
    <x v="94"/>
    <x v="88"/>
    <x v="46"/>
    <x v="99"/>
    <x v="0"/>
    <x v="86"/>
    <x v="118"/>
  </r>
  <r>
    <x v="117"/>
    <x v="37"/>
    <x v="88"/>
    <x v="50"/>
    <x v="100"/>
    <x v="1"/>
    <x v="8"/>
    <x v="8"/>
  </r>
  <r>
    <x v="118"/>
    <x v="95"/>
    <x v="89"/>
    <x v="97"/>
    <x v="101"/>
    <x v="1"/>
    <x v="87"/>
    <x v="119"/>
  </r>
  <r>
    <x v="119"/>
    <x v="96"/>
    <x v="90"/>
    <x v="26"/>
    <x v="88"/>
    <x v="1"/>
    <x v="77"/>
    <x v="104"/>
  </r>
  <r>
    <x v="119"/>
    <x v="96"/>
    <x v="90"/>
    <x v="61"/>
    <x v="52"/>
    <x v="0"/>
    <x v="88"/>
    <x v="120"/>
  </r>
  <r>
    <x v="119"/>
    <x v="96"/>
    <x v="90"/>
    <x v="41"/>
    <x v="40"/>
    <x v="0"/>
    <x v="26"/>
    <x v="56"/>
  </r>
  <r>
    <x v="119"/>
    <x v="96"/>
    <x v="90"/>
    <x v="38"/>
    <x v="37"/>
    <x v="0"/>
    <x v="8"/>
    <x v="8"/>
  </r>
  <r>
    <x v="119"/>
    <x v="96"/>
    <x v="90"/>
    <x v="37"/>
    <x v="36"/>
    <x v="0"/>
    <x v="8"/>
    <x v="8"/>
  </r>
  <r>
    <x v="120"/>
    <x v="97"/>
    <x v="91"/>
    <x v="41"/>
    <x v="40"/>
    <x v="1"/>
    <x v="34"/>
    <x v="40"/>
  </r>
  <r>
    <x v="121"/>
    <x v="98"/>
    <x v="92"/>
    <x v="3"/>
    <x v="2"/>
    <x v="1"/>
    <x v="1"/>
    <x v="1"/>
  </r>
  <r>
    <x v="122"/>
    <x v="99"/>
    <x v="93"/>
    <x v="98"/>
    <x v="102"/>
    <x v="1"/>
    <x v="89"/>
    <x v="121"/>
  </r>
  <r>
    <x v="122"/>
    <x v="99"/>
    <x v="93"/>
    <x v="5"/>
    <x v="4"/>
    <x v="2"/>
    <x v="4"/>
    <x v="70"/>
  </r>
  <r>
    <x v="122"/>
    <x v="99"/>
    <x v="93"/>
    <x v="6"/>
    <x v="5"/>
    <x v="2"/>
    <x v="5"/>
    <x v="71"/>
  </r>
  <r>
    <x v="122"/>
    <x v="99"/>
    <x v="93"/>
    <x v="3"/>
    <x v="2"/>
    <x v="1"/>
    <x v="1"/>
    <x v="1"/>
  </r>
  <r>
    <x v="123"/>
    <x v="17"/>
    <x v="94"/>
    <x v="88"/>
    <x v="87"/>
    <x v="0"/>
    <x v="76"/>
    <x v="122"/>
  </r>
  <r>
    <x v="123"/>
    <x v="17"/>
    <x v="94"/>
    <x v="38"/>
    <x v="37"/>
    <x v="0"/>
    <x v="8"/>
    <x v="8"/>
  </r>
  <r>
    <x v="123"/>
    <x v="17"/>
    <x v="94"/>
    <x v="63"/>
    <x v="63"/>
    <x v="0"/>
    <x v="8"/>
    <x v="8"/>
  </r>
  <r>
    <x v="123"/>
    <x v="17"/>
    <x v="94"/>
    <x v="37"/>
    <x v="36"/>
    <x v="0"/>
    <x v="8"/>
    <x v="8"/>
  </r>
  <r>
    <x v="123"/>
    <x v="17"/>
    <x v="94"/>
    <x v="7"/>
    <x v="6"/>
    <x v="0"/>
    <x v="8"/>
    <x v="8"/>
  </r>
  <r>
    <x v="123"/>
    <x v="17"/>
    <x v="94"/>
    <x v="3"/>
    <x v="2"/>
    <x v="1"/>
    <x v="1"/>
    <x v="1"/>
  </r>
  <r>
    <x v="124"/>
    <x v="56"/>
    <x v="95"/>
    <x v="41"/>
    <x v="40"/>
    <x v="2"/>
    <x v="34"/>
    <x v="123"/>
  </r>
  <r>
    <x v="124"/>
    <x v="56"/>
    <x v="95"/>
    <x v="37"/>
    <x v="36"/>
    <x v="2"/>
    <x v="31"/>
    <x v="77"/>
  </r>
  <r>
    <x v="124"/>
    <x v="56"/>
    <x v="95"/>
    <x v="58"/>
    <x v="103"/>
    <x v="2"/>
    <x v="66"/>
    <x v="90"/>
  </r>
  <r>
    <x v="124"/>
    <x v="56"/>
    <x v="95"/>
    <x v="37"/>
    <x v="36"/>
    <x v="2"/>
    <x v="31"/>
    <x v="77"/>
  </r>
  <r>
    <x v="125"/>
    <x v="100"/>
    <x v="96"/>
    <x v="97"/>
    <x v="101"/>
    <x v="1"/>
    <x v="87"/>
    <x v="119"/>
  </r>
  <r>
    <x v="126"/>
    <x v="56"/>
    <x v="97"/>
    <x v="3"/>
    <x v="2"/>
    <x v="11"/>
    <x v="1"/>
    <x v="124"/>
  </r>
  <r>
    <x v="127"/>
    <x v="101"/>
    <x v="98"/>
    <x v="97"/>
    <x v="101"/>
    <x v="1"/>
    <x v="87"/>
    <x v="119"/>
  </r>
  <r>
    <x v="128"/>
    <x v="58"/>
    <x v="99"/>
    <x v="18"/>
    <x v="17"/>
    <x v="12"/>
    <x v="12"/>
    <x v="125"/>
  </r>
  <r>
    <x v="128"/>
    <x v="58"/>
    <x v="99"/>
    <x v="19"/>
    <x v="18"/>
    <x v="1"/>
    <x v="90"/>
    <x v="126"/>
  </r>
  <r>
    <x v="129"/>
    <x v="102"/>
    <x v="100"/>
    <x v="38"/>
    <x v="37"/>
    <x v="12"/>
    <x v="21"/>
    <x v="111"/>
  </r>
  <r>
    <x v="130"/>
    <x v="103"/>
    <x v="101"/>
    <x v="69"/>
    <x v="69"/>
    <x v="0"/>
    <x v="91"/>
    <x v="127"/>
  </r>
  <r>
    <x v="131"/>
    <x v="7"/>
    <x v="102"/>
    <x v="99"/>
    <x v="104"/>
    <x v="5"/>
    <x v="62"/>
    <x v="128"/>
  </r>
  <r>
    <x v="131"/>
    <x v="7"/>
    <x v="102"/>
    <x v="38"/>
    <x v="37"/>
    <x v="5"/>
    <x v="8"/>
    <x v="8"/>
  </r>
  <r>
    <x v="131"/>
    <x v="7"/>
    <x v="102"/>
    <x v="63"/>
    <x v="105"/>
    <x v="5"/>
    <x v="8"/>
    <x v="8"/>
  </r>
  <r>
    <x v="131"/>
    <x v="7"/>
    <x v="102"/>
    <x v="73"/>
    <x v="18"/>
    <x v="1"/>
    <x v="54"/>
    <x v="73"/>
  </r>
  <r>
    <x v="132"/>
    <x v="7"/>
    <x v="102"/>
    <x v="38"/>
    <x v="37"/>
    <x v="17"/>
    <x v="8"/>
    <x v="8"/>
  </r>
  <r>
    <x v="132"/>
    <x v="7"/>
    <x v="102"/>
    <x v="99"/>
    <x v="104"/>
    <x v="17"/>
    <x v="62"/>
    <x v="129"/>
  </r>
  <r>
    <x v="132"/>
    <x v="7"/>
    <x v="102"/>
    <x v="63"/>
    <x v="63"/>
    <x v="17"/>
    <x v="8"/>
    <x v="8"/>
  </r>
  <r>
    <x v="132"/>
    <x v="7"/>
    <x v="102"/>
    <x v="73"/>
    <x v="18"/>
    <x v="1"/>
    <x v="92"/>
    <x v="130"/>
  </r>
  <r>
    <x v="133"/>
    <x v="104"/>
    <x v="103"/>
    <x v="5"/>
    <x v="4"/>
    <x v="1"/>
    <x v="4"/>
    <x v="4"/>
  </r>
  <r>
    <x v="133"/>
    <x v="104"/>
    <x v="103"/>
    <x v="6"/>
    <x v="5"/>
    <x v="1"/>
    <x v="93"/>
    <x v="131"/>
  </r>
  <r>
    <x v="134"/>
    <x v="89"/>
    <x v="104"/>
    <x v="35"/>
    <x v="34"/>
    <x v="0"/>
    <x v="29"/>
    <x v="31"/>
  </r>
  <r>
    <x v="135"/>
    <x v="105"/>
    <x v="105"/>
    <x v="3"/>
    <x v="2"/>
    <x v="1"/>
    <x v="1"/>
    <x v="1"/>
  </r>
  <r>
    <x v="135"/>
    <x v="105"/>
    <x v="105"/>
    <x v="69"/>
    <x v="69"/>
    <x v="1"/>
    <x v="91"/>
    <x v="132"/>
  </r>
  <r>
    <x v="136"/>
    <x v="106"/>
    <x v="106"/>
    <x v="3"/>
    <x v="2"/>
    <x v="1"/>
    <x v="1"/>
    <x v="1"/>
  </r>
  <r>
    <x v="137"/>
    <x v="107"/>
    <x v="107"/>
    <x v="34"/>
    <x v="33"/>
    <x v="0"/>
    <x v="27"/>
    <x v="67"/>
  </r>
  <r>
    <x v="137"/>
    <x v="107"/>
    <x v="107"/>
    <x v="6"/>
    <x v="5"/>
    <x v="0"/>
    <x v="93"/>
    <x v="133"/>
  </r>
  <r>
    <x v="138"/>
    <x v="108"/>
    <x v="108"/>
    <x v="29"/>
    <x v="28"/>
    <x v="0"/>
    <x v="21"/>
    <x v="134"/>
  </r>
  <r>
    <x v="139"/>
    <x v="89"/>
    <x v="109"/>
    <x v="6"/>
    <x v="5"/>
    <x v="2"/>
    <x v="93"/>
    <x v="135"/>
  </r>
  <r>
    <x v="140"/>
    <x v="109"/>
    <x v="110"/>
    <x v="41"/>
    <x v="40"/>
    <x v="0"/>
    <x v="34"/>
    <x v="86"/>
  </r>
  <r>
    <x v="140"/>
    <x v="109"/>
    <x v="110"/>
    <x v="65"/>
    <x v="65"/>
    <x v="0"/>
    <x v="30"/>
    <x v="74"/>
  </r>
  <r>
    <x v="140"/>
    <x v="109"/>
    <x v="110"/>
    <x v="7"/>
    <x v="6"/>
    <x v="12"/>
    <x v="6"/>
    <x v="136"/>
  </r>
  <r>
    <x v="141"/>
    <x v="110"/>
    <x v="111"/>
    <x v="51"/>
    <x v="50"/>
    <x v="12"/>
    <x v="27"/>
    <x v="137"/>
  </r>
  <r>
    <x v="142"/>
    <x v="34"/>
    <x v="112"/>
    <x v="3"/>
    <x v="2"/>
    <x v="1"/>
    <x v="1"/>
    <x v="1"/>
  </r>
  <r>
    <x v="143"/>
    <x v="111"/>
    <x v="113"/>
    <x v="51"/>
    <x v="50"/>
    <x v="1"/>
    <x v="27"/>
    <x v="29"/>
  </r>
  <r>
    <x v="144"/>
    <x v="112"/>
    <x v="114"/>
    <x v="64"/>
    <x v="64"/>
    <x v="0"/>
    <x v="65"/>
    <x v="138"/>
  </r>
  <r>
    <x v="145"/>
    <x v="113"/>
    <x v="115"/>
    <x v="51"/>
    <x v="50"/>
    <x v="1"/>
    <x v="27"/>
    <x v="29"/>
  </r>
  <r>
    <x v="146"/>
    <x v="114"/>
    <x v="116"/>
    <x v="2"/>
    <x v="1"/>
    <x v="1"/>
    <x v="2"/>
    <x v="2"/>
  </r>
  <r>
    <x v="146"/>
    <x v="114"/>
    <x v="116"/>
    <x v="51"/>
    <x v="50"/>
    <x v="0"/>
    <x v="27"/>
    <x v="67"/>
  </r>
  <r>
    <x v="146"/>
    <x v="114"/>
    <x v="116"/>
    <x v="18"/>
    <x v="17"/>
    <x v="0"/>
    <x v="32"/>
    <x v="34"/>
  </r>
  <r>
    <x v="146"/>
    <x v="114"/>
    <x v="116"/>
    <x v="16"/>
    <x v="15"/>
    <x v="1"/>
    <x v="5"/>
    <x v="5"/>
  </r>
  <r>
    <x v="146"/>
    <x v="114"/>
    <x v="116"/>
    <x v="6"/>
    <x v="5"/>
    <x v="1"/>
    <x v="93"/>
    <x v="131"/>
  </r>
  <r>
    <x v="147"/>
    <x v="7"/>
    <x v="117"/>
    <x v="100"/>
    <x v="106"/>
    <x v="18"/>
    <x v="94"/>
    <x v="85"/>
  </r>
  <r>
    <x v="147"/>
    <x v="7"/>
    <x v="117"/>
    <x v="17"/>
    <x v="16"/>
    <x v="1"/>
    <x v="8"/>
    <x v="8"/>
  </r>
  <r>
    <x v="147"/>
    <x v="7"/>
    <x v="117"/>
    <x v="73"/>
    <x v="18"/>
    <x v="1"/>
    <x v="95"/>
    <x v="139"/>
  </r>
  <r>
    <x v="148"/>
    <x v="37"/>
    <x v="117"/>
    <x v="3"/>
    <x v="2"/>
    <x v="5"/>
    <x v="36"/>
    <x v="42"/>
  </r>
  <r>
    <x v="148"/>
    <x v="37"/>
    <x v="117"/>
    <x v="19"/>
    <x v="18"/>
    <x v="1"/>
    <x v="96"/>
    <x v="140"/>
  </r>
  <r>
    <x v="149"/>
    <x v="115"/>
    <x v="117"/>
    <x v="64"/>
    <x v="64"/>
    <x v="1"/>
    <x v="65"/>
    <x v="89"/>
  </r>
  <r>
    <x v="149"/>
    <x v="115"/>
    <x v="117"/>
    <x v="101"/>
    <x v="18"/>
    <x v="1"/>
    <x v="97"/>
    <x v="141"/>
  </r>
  <r>
    <x v="150"/>
    <x v="116"/>
    <x v="118"/>
    <x v="97"/>
    <x v="101"/>
    <x v="1"/>
    <x v="87"/>
    <x v="119"/>
  </r>
  <r>
    <x v="151"/>
    <x v="117"/>
    <x v="119"/>
    <x v="34"/>
    <x v="33"/>
    <x v="1"/>
    <x v="27"/>
    <x v="29"/>
  </r>
  <r>
    <x v="151"/>
    <x v="117"/>
    <x v="119"/>
    <x v="6"/>
    <x v="5"/>
    <x v="1"/>
    <x v="93"/>
    <x v="131"/>
  </r>
  <r>
    <x v="152"/>
    <x v="118"/>
    <x v="120"/>
    <x v="2"/>
    <x v="1"/>
    <x v="1"/>
    <x v="28"/>
    <x v="30"/>
  </r>
  <r>
    <x v="153"/>
    <x v="68"/>
    <x v="121"/>
    <x v="97"/>
    <x v="101"/>
    <x v="0"/>
    <x v="87"/>
    <x v="142"/>
  </r>
  <r>
    <x v="153"/>
    <x v="68"/>
    <x v="121"/>
    <x v="51"/>
    <x v="50"/>
    <x v="0"/>
    <x v="27"/>
    <x v="67"/>
  </r>
  <r>
    <x v="154"/>
    <x v="119"/>
    <x v="122"/>
    <x v="34"/>
    <x v="33"/>
    <x v="1"/>
    <x v="27"/>
    <x v="29"/>
  </r>
  <r>
    <x v="154"/>
    <x v="119"/>
    <x v="122"/>
    <x v="6"/>
    <x v="5"/>
    <x v="1"/>
    <x v="93"/>
    <x v="131"/>
  </r>
  <r>
    <x v="155"/>
    <x v="120"/>
    <x v="123"/>
    <x v="1"/>
    <x v="1"/>
    <x v="1"/>
    <x v="1"/>
    <x v="1"/>
  </r>
  <r>
    <x v="156"/>
    <x v="121"/>
    <x v="124"/>
    <x v="10"/>
    <x v="9"/>
    <x v="1"/>
    <x v="9"/>
    <x v="9"/>
  </r>
  <r>
    <x v="156"/>
    <x v="121"/>
    <x v="124"/>
    <x v="19"/>
    <x v="18"/>
    <x v="1"/>
    <x v="26"/>
    <x v="28"/>
  </r>
  <r>
    <x v="157"/>
    <x v="8"/>
    <x v="124"/>
    <x v="6"/>
    <x v="5"/>
    <x v="12"/>
    <x v="98"/>
    <x v="143"/>
  </r>
  <r>
    <x v="158"/>
    <x v="37"/>
    <x v="124"/>
    <x v="50"/>
    <x v="107"/>
    <x v="1"/>
    <x v="8"/>
    <x v="8"/>
  </r>
  <r>
    <x v="159"/>
    <x v="92"/>
    <x v="125"/>
    <x v="90"/>
    <x v="90"/>
    <x v="1"/>
    <x v="78"/>
    <x v="144"/>
  </r>
  <r>
    <x v="160"/>
    <x v="122"/>
    <x v="126"/>
    <x v="40"/>
    <x v="39"/>
    <x v="0"/>
    <x v="7"/>
    <x v="7"/>
  </r>
  <r>
    <x v="160"/>
    <x v="122"/>
    <x v="126"/>
    <x v="9"/>
    <x v="8"/>
    <x v="0"/>
    <x v="8"/>
    <x v="8"/>
  </r>
  <r>
    <x v="161"/>
    <x v="123"/>
    <x v="127"/>
    <x v="38"/>
    <x v="37"/>
    <x v="2"/>
    <x v="21"/>
    <x v="36"/>
  </r>
  <r>
    <x v="162"/>
    <x v="124"/>
    <x v="128"/>
    <x v="7"/>
    <x v="6"/>
    <x v="0"/>
    <x v="6"/>
    <x v="78"/>
  </r>
  <r>
    <x v="163"/>
    <x v="125"/>
    <x v="129"/>
    <x v="64"/>
    <x v="64"/>
    <x v="1"/>
    <x v="65"/>
    <x v="89"/>
  </r>
  <r>
    <x v="163"/>
    <x v="125"/>
    <x v="129"/>
    <x v="51"/>
    <x v="50"/>
    <x v="2"/>
    <x v="27"/>
    <x v="51"/>
  </r>
  <r>
    <x v="163"/>
    <x v="125"/>
    <x v="129"/>
    <x v="16"/>
    <x v="15"/>
    <x v="0"/>
    <x v="5"/>
    <x v="47"/>
  </r>
  <r>
    <x v="163"/>
    <x v="125"/>
    <x v="129"/>
    <x v="42"/>
    <x v="41"/>
    <x v="2"/>
    <x v="35"/>
    <x v="145"/>
  </r>
  <r>
    <x v="163"/>
    <x v="125"/>
    <x v="129"/>
    <x v="43"/>
    <x v="42"/>
    <x v="2"/>
    <x v="35"/>
    <x v="145"/>
  </r>
  <r>
    <x v="163"/>
    <x v="125"/>
    <x v="129"/>
    <x v="53"/>
    <x v="52"/>
    <x v="0"/>
    <x v="40"/>
    <x v="55"/>
  </r>
  <r>
    <x v="163"/>
    <x v="125"/>
    <x v="129"/>
    <x v="7"/>
    <x v="6"/>
    <x v="0"/>
    <x v="8"/>
    <x v="8"/>
  </r>
  <r>
    <x v="163"/>
    <x v="125"/>
    <x v="129"/>
    <x v="38"/>
    <x v="37"/>
    <x v="0"/>
    <x v="8"/>
    <x v="8"/>
  </r>
  <r>
    <x v="163"/>
    <x v="125"/>
    <x v="129"/>
    <x v="37"/>
    <x v="36"/>
    <x v="0"/>
    <x v="8"/>
    <x v="8"/>
  </r>
  <r>
    <x v="163"/>
    <x v="125"/>
    <x v="129"/>
    <x v="5"/>
    <x v="4"/>
    <x v="1"/>
    <x v="4"/>
    <x v="4"/>
  </r>
  <r>
    <x v="163"/>
    <x v="125"/>
    <x v="129"/>
    <x v="6"/>
    <x v="5"/>
    <x v="1"/>
    <x v="93"/>
    <x v="131"/>
  </r>
  <r>
    <x v="164"/>
    <x v="126"/>
    <x v="130"/>
    <x v="53"/>
    <x v="52"/>
    <x v="1"/>
    <x v="40"/>
    <x v="49"/>
  </r>
  <r>
    <x v="164"/>
    <x v="126"/>
    <x v="130"/>
    <x v="7"/>
    <x v="6"/>
    <x v="1"/>
    <x v="8"/>
    <x v="8"/>
  </r>
  <r>
    <x v="164"/>
    <x v="126"/>
    <x v="130"/>
    <x v="38"/>
    <x v="37"/>
    <x v="1"/>
    <x v="8"/>
    <x v="8"/>
  </r>
  <r>
    <x v="164"/>
    <x v="126"/>
    <x v="130"/>
    <x v="37"/>
    <x v="36"/>
    <x v="1"/>
    <x v="8"/>
    <x v="8"/>
  </r>
  <r>
    <x v="165"/>
    <x v="127"/>
    <x v="131"/>
    <x v="90"/>
    <x v="90"/>
    <x v="1"/>
    <x v="78"/>
    <x v="144"/>
  </r>
  <r>
    <x v="165"/>
    <x v="127"/>
    <x v="131"/>
    <x v="35"/>
    <x v="34"/>
    <x v="19"/>
    <x v="29"/>
    <x v="146"/>
  </r>
  <r>
    <x v="165"/>
    <x v="127"/>
    <x v="131"/>
    <x v="29"/>
    <x v="28"/>
    <x v="19"/>
    <x v="21"/>
    <x v="147"/>
  </r>
  <r>
    <x v="166"/>
    <x v="128"/>
    <x v="132"/>
    <x v="102"/>
    <x v="108"/>
    <x v="1"/>
    <x v="8"/>
    <x v="8"/>
  </r>
  <r>
    <x v="166"/>
    <x v="128"/>
    <x v="132"/>
    <x v="103"/>
    <x v="109"/>
    <x v="1"/>
    <x v="8"/>
    <x v="8"/>
  </r>
  <r>
    <x v="166"/>
    <x v="128"/>
    <x v="132"/>
    <x v="104"/>
    <x v="110"/>
    <x v="1"/>
    <x v="8"/>
    <x v="8"/>
  </r>
  <r>
    <x v="167"/>
    <x v="58"/>
    <x v="132"/>
    <x v="72"/>
    <x v="111"/>
    <x v="1"/>
    <x v="8"/>
    <x v="8"/>
  </r>
  <r>
    <x v="167"/>
    <x v="58"/>
    <x v="132"/>
    <x v="41"/>
    <x v="40"/>
    <x v="2"/>
    <x v="8"/>
    <x v="8"/>
  </r>
  <r>
    <x v="167"/>
    <x v="58"/>
    <x v="132"/>
    <x v="38"/>
    <x v="37"/>
    <x v="1"/>
    <x v="8"/>
    <x v="8"/>
  </r>
  <r>
    <x v="167"/>
    <x v="58"/>
    <x v="132"/>
    <x v="16"/>
    <x v="15"/>
    <x v="2"/>
    <x v="8"/>
    <x v="8"/>
  </r>
  <r>
    <x v="167"/>
    <x v="58"/>
    <x v="132"/>
    <x v="6"/>
    <x v="5"/>
    <x v="1"/>
    <x v="8"/>
    <x v="8"/>
  </r>
  <r>
    <x v="168"/>
    <x v="129"/>
    <x v="132"/>
    <x v="50"/>
    <x v="112"/>
    <x v="1"/>
    <x v="8"/>
    <x v="8"/>
  </r>
  <r>
    <x v="169"/>
    <x v="130"/>
    <x v="132"/>
    <x v="105"/>
    <x v="113"/>
    <x v="10"/>
    <x v="99"/>
    <x v="148"/>
  </r>
  <r>
    <x v="169"/>
    <x v="130"/>
    <x v="132"/>
    <x v="23"/>
    <x v="22"/>
    <x v="10"/>
    <x v="16"/>
    <x v="149"/>
  </r>
  <r>
    <x v="169"/>
    <x v="130"/>
    <x v="132"/>
    <x v="16"/>
    <x v="15"/>
    <x v="5"/>
    <x v="100"/>
    <x v="150"/>
  </r>
  <r>
    <x v="169"/>
    <x v="130"/>
    <x v="132"/>
    <x v="106"/>
    <x v="114"/>
    <x v="2"/>
    <x v="72"/>
    <x v="96"/>
  </r>
  <r>
    <x v="169"/>
    <x v="130"/>
    <x v="132"/>
    <x v="107"/>
    <x v="115"/>
    <x v="5"/>
    <x v="101"/>
    <x v="151"/>
  </r>
  <r>
    <x v="169"/>
    <x v="130"/>
    <x v="132"/>
    <x v="34"/>
    <x v="33"/>
    <x v="11"/>
    <x v="102"/>
    <x v="152"/>
  </r>
  <r>
    <x v="169"/>
    <x v="130"/>
    <x v="132"/>
    <x v="6"/>
    <x v="5"/>
    <x v="11"/>
    <x v="8"/>
    <x v="8"/>
  </r>
  <r>
    <x v="169"/>
    <x v="130"/>
    <x v="132"/>
    <x v="5"/>
    <x v="4"/>
    <x v="10"/>
    <x v="103"/>
    <x v="153"/>
  </r>
  <r>
    <x v="169"/>
    <x v="130"/>
    <x v="132"/>
    <x v="35"/>
    <x v="34"/>
    <x v="5"/>
    <x v="60"/>
    <x v="81"/>
  </r>
  <r>
    <x v="169"/>
    <x v="130"/>
    <x v="132"/>
    <x v="29"/>
    <x v="28"/>
    <x v="5"/>
    <x v="56"/>
    <x v="154"/>
  </r>
  <r>
    <x v="169"/>
    <x v="130"/>
    <x v="132"/>
    <x v="19"/>
    <x v="18"/>
    <x v="1"/>
    <x v="54"/>
    <x v="73"/>
  </r>
  <r>
    <x v="169"/>
    <x v="130"/>
    <x v="132"/>
    <x v="101"/>
    <x v="18"/>
    <x v="1"/>
    <x v="104"/>
    <x v="155"/>
  </r>
  <r>
    <x v="170"/>
    <x v="26"/>
    <x v="132"/>
    <x v="50"/>
    <x v="116"/>
    <x v="1"/>
    <x v="8"/>
    <x v="8"/>
  </r>
  <r>
    <x v="170"/>
    <x v="26"/>
    <x v="132"/>
    <x v="108"/>
    <x v="117"/>
    <x v="2"/>
    <x v="8"/>
    <x v="8"/>
  </r>
  <r>
    <x v="170"/>
    <x v="26"/>
    <x v="132"/>
    <x v="109"/>
    <x v="118"/>
    <x v="2"/>
    <x v="8"/>
    <x v="8"/>
  </r>
  <r>
    <x v="171"/>
    <x v="131"/>
    <x v="133"/>
    <x v="1"/>
    <x v="1"/>
    <x v="1"/>
    <x v="1"/>
    <x v="1"/>
  </r>
  <r>
    <x v="172"/>
    <x v="78"/>
    <x v="134"/>
    <x v="3"/>
    <x v="2"/>
    <x v="1"/>
    <x v="1"/>
    <x v="1"/>
  </r>
  <r>
    <x v="173"/>
    <x v="132"/>
    <x v="135"/>
    <x v="34"/>
    <x v="33"/>
    <x v="1"/>
    <x v="27"/>
    <x v="29"/>
  </r>
  <r>
    <x v="173"/>
    <x v="132"/>
    <x v="135"/>
    <x v="6"/>
    <x v="5"/>
    <x v="1"/>
    <x v="93"/>
    <x v="131"/>
  </r>
  <r>
    <x v="173"/>
    <x v="132"/>
    <x v="135"/>
    <x v="69"/>
    <x v="69"/>
    <x v="0"/>
    <x v="91"/>
    <x v="127"/>
  </r>
  <r>
    <x v="173"/>
    <x v="132"/>
    <x v="135"/>
    <x v="7"/>
    <x v="6"/>
    <x v="1"/>
    <x v="6"/>
    <x v="6"/>
  </r>
  <r>
    <x v="173"/>
    <x v="132"/>
    <x v="135"/>
    <x v="37"/>
    <x v="36"/>
    <x v="1"/>
    <x v="31"/>
    <x v="33"/>
  </r>
  <r>
    <x v="174"/>
    <x v="133"/>
    <x v="136"/>
    <x v="51"/>
    <x v="50"/>
    <x v="2"/>
    <x v="105"/>
    <x v="156"/>
  </r>
  <r>
    <x v="174"/>
    <x v="133"/>
    <x v="136"/>
    <x v="5"/>
    <x v="4"/>
    <x v="0"/>
    <x v="106"/>
    <x v="157"/>
  </r>
  <r>
    <x v="174"/>
    <x v="133"/>
    <x v="136"/>
    <x v="6"/>
    <x v="5"/>
    <x v="0"/>
    <x v="93"/>
    <x v="133"/>
  </r>
  <r>
    <x v="174"/>
    <x v="133"/>
    <x v="136"/>
    <x v="64"/>
    <x v="64"/>
    <x v="0"/>
    <x v="107"/>
    <x v="158"/>
  </r>
  <r>
    <x v="175"/>
    <x v="134"/>
    <x v="137"/>
    <x v="2"/>
    <x v="1"/>
    <x v="1"/>
    <x v="2"/>
    <x v="2"/>
  </r>
  <r>
    <x v="175"/>
    <x v="134"/>
    <x v="137"/>
    <x v="5"/>
    <x v="4"/>
    <x v="1"/>
    <x v="4"/>
    <x v="4"/>
  </r>
  <r>
    <x v="175"/>
    <x v="134"/>
    <x v="137"/>
    <x v="6"/>
    <x v="5"/>
    <x v="1"/>
    <x v="93"/>
    <x v="131"/>
  </r>
  <r>
    <x v="176"/>
    <x v="45"/>
    <x v="138"/>
    <x v="88"/>
    <x v="87"/>
    <x v="1"/>
    <x v="76"/>
    <x v="159"/>
  </r>
  <r>
    <x v="176"/>
    <x v="45"/>
    <x v="138"/>
    <x v="38"/>
    <x v="37"/>
    <x v="1"/>
    <x v="8"/>
    <x v="8"/>
  </r>
  <r>
    <x v="176"/>
    <x v="45"/>
    <x v="138"/>
    <x v="63"/>
    <x v="63"/>
    <x v="1"/>
    <x v="8"/>
    <x v="8"/>
  </r>
  <r>
    <x v="176"/>
    <x v="45"/>
    <x v="138"/>
    <x v="37"/>
    <x v="36"/>
    <x v="1"/>
    <x v="8"/>
    <x v="8"/>
  </r>
  <r>
    <x v="176"/>
    <x v="45"/>
    <x v="138"/>
    <x v="7"/>
    <x v="6"/>
    <x v="1"/>
    <x v="8"/>
    <x v="8"/>
  </r>
  <r>
    <x v="176"/>
    <x v="45"/>
    <x v="138"/>
    <x v="39"/>
    <x v="38"/>
    <x v="1"/>
    <x v="21"/>
    <x v="22"/>
  </r>
  <r>
    <x v="177"/>
    <x v="135"/>
    <x v="139"/>
    <x v="1"/>
    <x v="1"/>
    <x v="1"/>
    <x v="1"/>
    <x v="1"/>
  </r>
  <r>
    <x v="178"/>
    <x v="136"/>
    <x v="140"/>
    <x v="1"/>
    <x v="1"/>
    <x v="1"/>
    <x v="1"/>
    <x v="1"/>
  </r>
  <r>
    <x v="179"/>
    <x v="137"/>
    <x v="141"/>
    <x v="110"/>
    <x v="119"/>
    <x v="11"/>
    <x v="70"/>
    <x v="160"/>
  </r>
  <r>
    <x v="179"/>
    <x v="137"/>
    <x v="141"/>
    <x v="111"/>
    <x v="120"/>
    <x v="11"/>
    <x v="54"/>
    <x v="161"/>
  </r>
  <r>
    <x v="179"/>
    <x v="137"/>
    <x v="141"/>
    <x v="65"/>
    <x v="65"/>
    <x v="11"/>
    <x v="108"/>
    <x v="162"/>
  </r>
  <r>
    <x v="179"/>
    <x v="137"/>
    <x v="141"/>
    <x v="37"/>
    <x v="36"/>
    <x v="11"/>
    <x v="8"/>
    <x v="8"/>
  </r>
  <r>
    <x v="179"/>
    <x v="137"/>
    <x v="141"/>
    <x v="19"/>
    <x v="18"/>
    <x v="1"/>
    <x v="50"/>
    <x v="62"/>
  </r>
  <r>
    <x v="180"/>
    <x v="138"/>
    <x v="142"/>
    <x v="64"/>
    <x v="64"/>
    <x v="1"/>
    <x v="65"/>
    <x v="89"/>
  </r>
  <r>
    <x v="181"/>
    <x v="139"/>
    <x v="143"/>
    <x v="3"/>
    <x v="2"/>
    <x v="1"/>
    <x v="1"/>
    <x v="1"/>
  </r>
  <r>
    <x v="182"/>
    <x v="140"/>
    <x v="144"/>
    <x v="2"/>
    <x v="1"/>
    <x v="1"/>
    <x v="28"/>
    <x v="30"/>
  </r>
  <r>
    <x v="183"/>
    <x v="141"/>
    <x v="145"/>
    <x v="58"/>
    <x v="103"/>
    <x v="1"/>
    <x v="66"/>
    <x v="163"/>
  </r>
  <r>
    <x v="183"/>
    <x v="141"/>
    <x v="145"/>
    <x v="5"/>
    <x v="4"/>
    <x v="2"/>
    <x v="4"/>
    <x v="70"/>
  </r>
  <r>
    <x v="183"/>
    <x v="141"/>
    <x v="145"/>
    <x v="6"/>
    <x v="5"/>
    <x v="2"/>
    <x v="93"/>
    <x v="135"/>
  </r>
  <r>
    <x v="183"/>
    <x v="141"/>
    <x v="145"/>
    <x v="112"/>
    <x v="121"/>
    <x v="1"/>
    <x v="66"/>
    <x v="163"/>
  </r>
  <r>
    <x v="184"/>
    <x v="20"/>
    <x v="146"/>
    <x v="2"/>
    <x v="1"/>
    <x v="0"/>
    <x v="2"/>
    <x v="164"/>
  </r>
  <r>
    <x v="185"/>
    <x v="142"/>
    <x v="147"/>
    <x v="35"/>
    <x v="34"/>
    <x v="1"/>
    <x v="29"/>
    <x v="64"/>
  </r>
  <r>
    <x v="185"/>
    <x v="142"/>
    <x v="147"/>
    <x v="36"/>
    <x v="35"/>
    <x v="1"/>
    <x v="30"/>
    <x v="32"/>
  </r>
  <r>
    <x v="186"/>
    <x v="143"/>
    <x v="148"/>
    <x v="2"/>
    <x v="1"/>
    <x v="1"/>
    <x v="2"/>
    <x v="2"/>
  </r>
  <r>
    <x v="187"/>
    <x v="144"/>
    <x v="149"/>
    <x v="18"/>
    <x v="17"/>
    <x v="1"/>
    <x v="32"/>
    <x v="165"/>
  </r>
  <r>
    <x v="187"/>
    <x v="144"/>
    <x v="149"/>
    <x v="51"/>
    <x v="50"/>
    <x v="1"/>
    <x v="27"/>
    <x v="29"/>
  </r>
  <r>
    <x v="188"/>
    <x v="145"/>
    <x v="150"/>
    <x v="5"/>
    <x v="4"/>
    <x v="1"/>
    <x v="4"/>
    <x v="4"/>
  </r>
  <r>
    <x v="188"/>
    <x v="145"/>
    <x v="150"/>
    <x v="6"/>
    <x v="5"/>
    <x v="1"/>
    <x v="93"/>
    <x v="131"/>
  </r>
  <r>
    <x v="189"/>
    <x v="146"/>
    <x v="151"/>
    <x v="50"/>
    <x v="122"/>
    <x v="1"/>
    <x v="8"/>
    <x v="8"/>
  </r>
</pivotCacheRecords>
</file>

<file path=xl/pivotCache/pivotCacheRecords36.xml><?xml version="1.0" encoding="utf-8"?>
<pivotCacheRecords xmlns:r="http://schemas.openxmlformats.org/officeDocument/2006/relationships" xmlns="http://schemas.openxmlformats.org/spreadsheetml/2006/main" count="442">
  <r>
    <x v="0"/>
    <x v="0"/>
    <x v="0"/>
  </r>
  <r>
    <x v="1"/>
    <x v="1"/>
    <x v="1"/>
  </r>
  <r>
    <x v="2"/>
    <x v="1"/>
    <x v="1"/>
  </r>
  <r>
    <x v="3"/>
    <x v="2"/>
    <x v="1"/>
  </r>
  <r>
    <x v="4"/>
    <x v="3"/>
    <x v="1"/>
  </r>
  <r>
    <x v="5"/>
    <x v="4"/>
    <x v="1"/>
  </r>
  <r>
    <x v="6"/>
    <x v="5"/>
    <x v="1"/>
  </r>
  <r>
    <x v="7"/>
    <x v="6"/>
    <x v="1"/>
  </r>
  <r>
    <x v="8"/>
    <x v="7"/>
    <x v="0"/>
  </r>
  <r>
    <x v="9"/>
    <x v="8"/>
    <x v="0"/>
  </r>
  <r>
    <x v="3"/>
    <x v="2"/>
    <x v="1"/>
  </r>
  <r>
    <x v="10"/>
    <x v="9"/>
    <x v="1"/>
  </r>
  <r>
    <x v="5"/>
    <x v="4"/>
    <x v="1"/>
  </r>
  <r>
    <x v="11"/>
    <x v="10"/>
    <x v="1"/>
  </r>
  <r>
    <x v="12"/>
    <x v="11"/>
    <x v="1"/>
  </r>
  <r>
    <x v="13"/>
    <x v="12"/>
    <x v="1"/>
  </r>
  <r>
    <x v="14"/>
    <x v="13"/>
    <x v="1"/>
  </r>
  <r>
    <x v="15"/>
    <x v="14"/>
    <x v="0"/>
  </r>
  <r>
    <x v="6"/>
    <x v="5"/>
    <x v="0"/>
  </r>
  <r>
    <x v="16"/>
    <x v="15"/>
    <x v="0"/>
  </r>
  <r>
    <x v="17"/>
    <x v="16"/>
    <x v="1"/>
  </r>
  <r>
    <x v="18"/>
    <x v="17"/>
    <x v="2"/>
  </r>
  <r>
    <x v="19"/>
    <x v="18"/>
    <x v="1"/>
  </r>
  <r>
    <x v="8"/>
    <x v="7"/>
    <x v="3"/>
  </r>
  <r>
    <x v="20"/>
    <x v="19"/>
    <x v="2"/>
  </r>
  <r>
    <x v="21"/>
    <x v="20"/>
    <x v="2"/>
  </r>
  <r>
    <x v="22"/>
    <x v="21"/>
    <x v="4"/>
  </r>
  <r>
    <x v="23"/>
    <x v="22"/>
    <x v="2"/>
  </r>
  <r>
    <x v="24"/>
    <x v="23"/>
    <x v="2"/>
  </r>
  <r>
    <x v="15"/>
    <x v="14"/>
    <x v="2"/>
  </r>
  <r>
    <x v="25"/>
    <x v="24"/>
    <x v="2"/>
  </r>
  <r>
    <x v="19"/>
    <x v="18"/>
    <x v="1"/>
  </r>
  <r>
    <x v="26"/>
    <x v="25"/>
    <x v="1"/>
  </r>
  <r>
    <x v="27"/>
    <x v="26"/>
    <x v="5"/>
  </r>
  <r>
    <x v="28"/>
    <x v="27"/>
    <x v="5"/>
  </r>
  <r>
    <x v="13"/>
    <x v="12"/>
    <x v="6"/>
  </r>
  <r>
    <x v="3"/>
    <x v="2"/>
    <x v="1"/>
  </r>
  <r>
    <x v="26"/>
    <x v="25"/>
    <x v="1"/>
  </r>
  <r>
    <x v="2"/>
    <x v="1"/>
    <x v="1"/>
  </r>
  <r>
    <x v="3"/>
    <x v="2"/>
    <x v="1"/>
  </r>
  <r>
    <x v="2"/>
    <x v="1"/>
    <x v="1"/>
  </r>
  <r>
    <x v="3"/>
    <x v="2"/>
    <x v="1"/>
  </r>
  <r>
    <x v="8"/>
    <x v="7"/>
    <x v="3"/>
  </r>
  <r>
    <x v="29"/>
    <x v="28"/>
    <x v="2"/>
  </r>
  <r>
    <x v="15"/>
    <x v="14"/>
    <x v="2"/>
  </r>
  <r>
    <x v="3"/>
    <x v="2"/>
    <x v="1"/>
  </r>
  <r>
    <x v="2"/>
    <x v="1"/>
    <x v="1"/>
  </r>
  <r>
    <x v="16"/>
    <x v="15"/>
    <x v="1"/>
  </r>
  <r>
    <x v="5"/>
    <x v="4"/>
    <x v="1"/>
  </r>
  <r>
    <x v="6"/>
    <x v="5"/>
    <x v="1"/>
  </r>
  <r>
    <x v="29"/>
    <x v="28"/>
    <x v="1"/>
  </r>
  <r>
    <x v="3"/>
    <x v="2"/>
    <x v="1"/>
  </r>
  <r>
    <x v="30"/>
    <x v="29"/>
    <x v="7"/>
  </r>
  <r>
    <x v="31"/>
    <x v="30"/>
    <x v="1"/>
  </r>
  <r>
    <x v="19"/>
    <x v="18"/>
    <x v="1"/>
  </r>
  <r>
    <x v="32"/>
    <x v="31"/>
    <x v="8"/>
  </r>
  <r>
    <x v="33"/>
    <x v="32"/>
    <x v="9"/>
  </r>
  <r>
    <x v="19"/>
    <x v="18"/>
    <x v="1"/>
  </r>
  <r>
    <x v="34"/>
    <x v="33"/>
    <x v="1"/>
  </r>
  <r>
    <x v="6"/>
    <x v="5"/>
    <x v="1"/>
  </r>
  <r>
    <x v="2"/>
    <x v="1"/>
    <x v="1"/>
  </r>
  <r>
    <x v="2"/>
    <x v="1"/>
    <x v="1"/>
  </r>
  <r>
    <x v="35"/>
    <x v="34"/>
    <x v="0"/>
  </r>
  <r>
    <x v="36"/>
    <x v="35"/>
    <x v="1"/>
  </r>
  <r>
    <x v="37"/>
    <x v="36"/>
    <x v="1"/>
  </r>
  <r>
    <x v="18"/>
    <x v="17"/>
    <x v="0"/>
  </r>
  <r>
    <x v="16"/>
    <x v="15"/>
    <x v="1"/>
  </r>
  <r>
    <x v="34"/>
    <x v="33"/>
    <x v="1"/>
  </r>
  <r>
    <x v="6"/>
    <x v="5"/>
    <x v="1"/>
  </r>
  <r>
    <x v="7"/>
    <x v="6"/>
    <x v="1"/>
  </r>
  <r>
    <x v="37"/>
    <x v="36"/>
    <x v="1"/>
  </r>
  <r>
    <x v="3"/>
    <x v="2"/>
    <x v="1"/>
  </r>
  <r>
    <x v="38"/>
    <x v="37"/>
    <x v="4"/>
  </r>
  <r>
    <x v="2"/>
    <x v="1"/>
    <x v="1"/>
  </r>
  <r>
    <x v="39"/>
    <x v="38"/>
    <x v="2"/>
  </r>
  <r>
    <x v="6"/>
    <x v="5"/>
    <x v="5"/>
  </r>
  <r>
    <x v="38"/>
    <x v="37"/>
    <x v="2"/>
  </r>
  <r>
    <x v="5"/>
    <x v="4"/>
    <x v="2"/>
  </r>
  <r>
    <x v="2"/>
    <x v="1"/>
    <x v="1"/>
  </r>
  <r>
    <x v="1"/>
    <x v="1"/>
    <x v="1"/>
  </r>
  <r>
    <x v="2"/>
    <x v="1"/>
    <x v="1"/>
  </r>
  <r>
    <x v="1"/>
    <x v="1"/>
    <x v="1"/>
  </r>
  <r>
    <x v="40"/>
    <x v="39"/>
    <x v="1"/>
  </r>
  <r>
    <x v="39"/>
    <x v="38"/>
    <x v="1"/>
  </r>
  <r>
    <x v="41"/>
    <x v="40"/>
    <x v="1"/>
  </r>
  <r>
    <x v="37"/>
    <x v="36"/>
    <x v="1"/>
  </r>
  <r>
    <x v="5"/>
    <x v="4"/>
    <x v="1"/>
  </r>
  <r>
    <x v="6"/>
    <x v="5"/>
    <x v="1"/>
  </r>
  <r>
    <x v="29"/>
    <x v="28"/>
    <x v="1"/>
  </r>
  <r>
    <x v="42"/>
    <x v="41"/>
    <x v="0"/>
  </r>
  <r>
    <x v="43"/>
    <x v="42"/>
    <x v="0"/>
  </r>
  <r>
    <x v="44"/>
    <x v="43"/>
    <x v="1"/>
  </r>
  <r>
    <x v="37"/>
    <x v="36"/>
    <x v="1"/>
  </r>
  <r>
    <x v="3"/>
    <x v="2"/>
    <x v="5"/>
  </r>
  <r>
    <x v="45"/>
    <x v="44"/>
    <x v="1"/>
  </r>
  <r>
    <x v="19"/>
    <x v="18"/>
    <x v="1"/>
  </r>
  <r>
    <x v="46"/>
    <x v="45"/>
    <x v="1"/>
  </r>
  <r>
    <x v="47"/>
    <x v="46"/>
    <x v="1"/>
  </r>
  <r>
    <x v="48"/>
    <x v="47"/>
    <x v="1"/>
  </r>
  <r>
    <x v="49"/>
    <x v="48"/>
    <x v="1"/>
  </r>
  <r>
    <x v="50"/>
    <x v="49"/>
    <x v="1"/>
  </r>
  <r>
    <x v="17"/>
    <x v="16"/>
    <x v="0"/>
  </r>
  <r>
    <x v="51"/>
    <x v="50"/>
    <x v="1"/>
  </r>
  <r>
    <x v="16"/>
    <x v="15"/>
    <x v="1"/>
  </r>
  <r>
    <x v="6"/>
    <x v="5"/>
    <x v="6"/>
  </r>
  <r>
    <x v="3"/>
    <x v="2"/>
    <x v="1"/>
  </r>
  <r>
    <x v="34"/>
    <x v="33"/>
    <x v="1"/>
  </r>
  <r>
    <x v="6"/>
    <x v="5"/>
    <x v="1"/>
  </r>
  <r>
    <x v="16"/>
    <x v="15"/>
    <x v="0"/>
  </r>
  <r>
    <x v="39"/>
    <x v="38"/>
    <x v="10"/>
  </r>
  <r>
    <x v="52"/>
    <x v="51"/>
    <x v="10"/>
  </r>
  <r>
    <x v="1"/>
    <x v="1"/>
    <x v="0"/>
  </r>
  <r>
    <x v="53"/>
    <x v="52"/>
    <x v="1"/>
  </r>
  <r>
    <x v="41"/>
    <x v="40"/>
    <x v="1"/>
  </r>
  <r>
    <x v="54"/>
    <x v="53"/>
    <x v="1"/>
  </r>
  <r>
    <x v="38"/>
    <x v="37"/>
    <x v="1"/>
  </r>
  <r>
    <x v="37"/>
    <x v="36"/>
    <x v="1"/>
  </r>
  <r>
    <x v="3"/>
    <x v="2"/>
    <x v="1"/>
  </r>
  <r>
    <x v="3"/>
    <x v="2"/>
    <x v="1"/>
  </r>
  <r>
    <x v="7"/>
    <x v="6"/>
    <x v="1"/>
  </r>
  <r>
    <x v="55"/>
    <x v="54"/>
    <x v="2"/>
  </r>
  <r>
    <x v="29"/>
    <x v="28"/>
    <x v="11"/>
  </r>
  <r>
    <x v="17"/>
    <x v="16"/>
    <x v="12"/>
  </r>
  <r>
    <x v="19"/>
    <x v="18"/>
    <x v="1"/>
  </r>
  <r>
    <x v="56"/>
    <x v="55"/>
    <x v="1"/>
  </r>
  <r>
    <x v="57"/>
    <x v="56"/>
    <x v="1"/>
  </r>
  <r>
    <x v="53"/>
    <x v="52"/>
    <x v="0"/>
  </r>
  <r>
    <x v="37"/>
    <x v="36"/>
    <x v="0"/>
  </r>
  <r>
    <x v="0"/>
    <x v="57"/>
    <x v="1"/>
  </r>
  <r>
    <x v="58"/>
    <x v="58"/>
    <x v="1"/>
  </r>
  <r>
    <x v="3"/>
    <x v="2"/>
    <x v="1"/>
  </r>
  <r>
    <x v="59"/>
    <x v="59"/>
    <x v="0"/>
  </r>
  <r>
    <x v="38"/>
    <x v="37"/>
    <x v="0"/>
  </r>
  <r>
    <x v="19"/>
    <x v="18"/>
    <x v="1"/>
  </r>
  <r>
    <x v="23"/>
    <x v="22"/>
    <x v="10"/>
  </r>
  <r>
    <x v="60"/>
    <x v="60"/>
    <x v="2"/>
  </r>
  <r>
    <x v="61"/>
    <x v="61"/>
    <x v="2"/>
  </r>
  <r>
    <x v="38"/>
    <x v="37"/>
    <x v="2"/>
  </r>
  <r>
    <x v="62"/>
    <x v="62"/>
    <x v="2"/>
  </r>
  <r>
    <x v="19"/>
    <x v="18"/>
    <x v="1"/>
  </r>
  <r>
    <x v="35"/>
    <x v="34"/>
    <x v="12"/>
  </r>
  <r>
    <x v="63"/>
    <x v="63"/>
    <x v="1"/>
  </r>
  <r>
    <x v="64"/>
    <x v="64"/>
    <x v="1"/>
  </r>
  <r>
    <x v="51"/>
    <x v="50"/>
    <x v="1"/>
  </r>
  <r>
    <x v="51"/>
    <x v="50"/>
    <x v="0"/>
  </r>
  <r>
    <x v="65"/>
    <x v="65"/>
    <x v="1"/>
  </r>
  <r>
    <x v="41"/>
    <x v="40"/>
    <x v="11"/>
  </r>
  <r>
    <x v="37"/>
    <x v="36"/>
    <x v="11"/>
  </r>
  <r>
    <x v="5"/>
    <x v="4"/>
    <x v="2"/>
  </r>
  <r>
    <x v="6"/>
    <x v="5"/>
    <x v="2"/>
  </r>
  <r>
    <x v="2"/>
    <x v="1"/>
    <x v="1"/>
  </r>
  <r>
    <x v="66"/>
    <x v="66"/>
    <x v="10"/>
  </r>
  <r>
    <x v="67"/>
    <x v="67"/>
    <x v="1"/>
  </r>
  <r>
    <x v="68"/>
    <x v="68"/>
    <x v="1"/>
  </r>
  <r>
    <x v="69"/>
    <x v="69"/>
    <x v="1"/>
  </r>
  <r>
    <x v="70"/>
    <x v="70"/>
    <x v="5"/>
  </r>
  <r>
    <x v="71"/>
    <x v="70"/>
    <x v="5"/>
  </r>
  <r>
    <x v="19"/>
    <x v="18"/>
    <x v="1"/>
  </r>
  <r>
    <x v="3"/>
    <x v="2"/>
    <x v="1"/>
  </r>
  <r>
    <x v="65"/>
    <x v="65"/>
    <x v="0"/>
  </r>
  <r>
    <x v="65"/>
    <x v="65"/>
    <x v="1"/>
  </r>
  <r>
    <x v="37"/>
    <x v="36"/>
    <x v="1"/>
  </r>
  <r>
    <x v="2"/>
    <x v="1"/>
    <x v="1"/>
  </r>
  <r>
    <x v="16"/>
    <x v="15"/>
    <x v="2"/>
  </r>
  <r>
    <x v="5"/>
    <x v="4"/>
    <x v="1"/>
  </r>
  <r>
    <x v="6"/>
    <x v="5"/>
    <x v="1"/>
  </r>
  <r>
    <x v="42"/>
    <x v="41"/>
    <x v="1"/>
  </r>
  <r>
    <x v="64"/>
    <x v="64"/>
    <x v="1"/>
  </r>
  <r>
    <x v="51"/>
    <x v="50"/>
    <x v="1"/>
  </r>
  <r>
    <x v="72"/>
    <x v="71"/>
    <x v="2"/>
  </r>
  <r>
    <x v="38"/>
    <x v="72"/>
    <x v="2"/>
  </r>
  <r>
    <x v="29"/>
    <x v="28"/>
    <x v="13"/>
  </r>
  <r>
    <x v="73"/>
    <x v="18"/>
    <x v="1"/>
  </r>
  <r>
    <x v="51"/>
    <x v="50"/>
    <x v="0"/>
  </r>
  <r>
    <x v="74"/>
    <x v="73"/>
    <x v="1"/>
  </r>
  <r>
    <x v="7"/>
    <x v="6"/>
    <x v="0"/>
  </r>
  <r>
    <x v="16"/>
    <x v="15"/>
    <x v="1"/>
  </r>
  <r>
    <x v="75"/>
    <x v="74"/>
    <x v="1"/>
  </r>
  <r>
    <x v="76"/>
    <x v="75"/>
    <x v="1"/>
  </r>
  <r>
    <x v="35"/>
    <x v="34"/>
    <x v="5"/>
  </r>
  <r>
    <x v="19"/>
    <x v="18"/>
    <x v="1"/>
  </r>
  <r>
    <x v="77"/>
    <x v="76"/>
    <x v="12"/>
  </r>
  <r>
    <x v="38"/>
    <x v="37"/>
    <x v="12"/>
  </r>
  <r>
    <x v="19"/>
    <x v="18"/>
    <x v="1"/>
  </r>
  <r>
    <x v="78"/>
    <x v="77"/>
    <x v="2"/>
  </r>
  <r>
    <x v="79"/>
    <x v="78"/>
    <x v="2"/>
  </r>
  <r>
    <x v="80"/>
    <x v="79"/>
    <x v="10"/>
  </r>
  <r>
    <x v="81"/>
    <x v="80"/>
    <x v="2"/>
  </r>
  <r>
    <x v="19"/>
    <x v="18"/>
    <x v="1"/>
  </r>
  <r>
    <x v="16"/>
    <x v="15"/>
    <x v="1"/>
  </r>
  <r>
    <x v="51"/>
    <x v="50"/>
    <x v="1"/>
  </r>
  <r>
    <x v="41"/>
    <x v="40"/>
    <x v="0"/>
  </r>
  <r>
    <x v="37"/>
    <x v="36"/>
    <x v="0"/>
  </r>
  <r>
    <x v="3"/>
    <x v="2"/>
    <x v="1"/>
  </r>
  <r>
    <x v="5"/>
    <x v="4"/>
    <x v="0"/>
  </r>
  <r>
    <x v="6"/>
    <x v="5"/>
    <x v="0"/>
  </r>
  <r>
    <x v="3"/>
    <x v="2"/>
    <x v="1"/>
  </r>
  <r>
    <x v="17"/>
    <x v="16"/>
    <x v="1"/>
  </r>
  <r>
    <x v="82"/>
    <x v="81"/>
    <x v="1"/>
  </r>
  <r>
    <x v="41"/>
    <x v="40"/>
    <x v="1"/>
  </r>
  <r>
    <x v="37"/>
    <x v="36"/>
    <x v="1"/>
  </r>
  <r>
    <x v="64"/>
    <x v="64"/>
    <x v="1"/>
  </r>
  <r>
    <x v="51"/>
    <x v="50"/>
    <x v="1"/>
  </r>
  <r>
    <x v="3"/>
    <x v="2"/>
    <x v="1"/>
  </r>
  <r>
    <x v="83"/>
    <x v="82"/>
    <x v="2"/>
  </r>
  <r>
    <x v="5"/>
    <x v="4"/>
    <x v="0"/>
  </r>
  <r>
    <x v="6"/>
    <x v="5"/>
    <x v="0"/>
  </r>
  <r>
    <x v="72"/>
    <x v="71"/>
    <x v="0"/>
  </r>
  <r>
    <x v="38"/>
    <x v="37"/>
    <x v="0"/>
  </r>
  <r>
    <x v="4"/>
    <x v="3"/>
    <x v="10"/>
  </r>
  <r>
    <x v="16"/>
    <x v="15"/>
    <x v="10"/>
  </r>
  <r>
    <x v="6"/>
    <x v="5"/>
    <x v="10"/>
  </r>
  <r>
    <x v="19"/>
    <x v="18"/>
    <x v="1"/>
  </r>
  <r>
    <x v="84"/>
    <x v="83"/>
    <x v="14"/>
  </r>
  <r>
    <x v="85"/>
    <x v="84"/>
    <x v="15"/>
  </r>
  <r>
    <x v="86"/>
    <x v="85"/>
    <x v="15"/>
  </r>
  <r>
    <x v="87"/>
    <x v="86"/>
    <x v="16"/>
  </r>
  <r>
    <x v="61"/>
    <x v="52"/>
    <x v="2"/>
  </r>
  <r>
    <x v="41"/>
    <x v="40"/>
    <x v="2"/>
  </r>
  <r>
    <x v="40"/>
    <x v="39"/>
    <x v="2"/>
  </r>
  <r>
    <x v="9"/>
    <x v="8"/>
    <x v="2"/>
  </r>
  <r>
    <x v="41"/>
    <x v="40"/>
    <x v="2"/>
  </r>
  <r>
    <x v="3"/>
    <x v="2"/>
    <x v="0"/>
  </r>
  <r>
    <x v="88"/>
    <x v="87"/>
    <x v="2"/>
  </r>
  <r>
    <x v="41"/>
    <x v="40"/>
    <x v="2"/>
  </r>
  <r>
    <x v="26"/>
    <x v="88"/>
    <x v="1"/>
  </r>
  <r>
    <x v="35"/>
    <x v="34"/>
    <x v="3"/>
  </r>
  <r>
    <x v="29"/>
    <x v="28"/>
    <x v="3"/>
  </r>
  <r>
    <x v="73"/>
    <x v="18"/>
    <x v="1"/>
  </r>
  <r>
    <x v="3"/>
    <x v="2"/>
    <x v="1"/>
  </r>
  <r>
    <x v="44"/>
    <x v="43"/>
    <x v="1"/>
  </r>
  <r>
    <x v="88"/>
    <x v="87"/>
    <x v="2"/>
  </r>
  <r>
    <x v="38"/>
    <x v="37"/>
    <x v="2"/>
  </r>
  <r>
    <x v="63"/>
    <x v="63"/>
    <x v="2"/>
  </r>
  <r>
    <x v="37"/>
    <x v="36"/>
    <x v="2"/>
  </r>
  <r>
    <x v="7"/>
    <x v="6"/>
    <x v="2"/>
  </r>
  <r>
    <x v="3"/>
    <x v="2"/>
    <x v="0"/>
  </r>
  <r>
    <x v="26"/>
    <x v="88"/>
    <x v="1"/>
  </r>
  <r>
    <x v="89"/>
    <x v="89"/>
    <x v="2"/>
  </r>
  <r>
    <x v="90"/>
    <x v="90"/>
    <x v="0"/>
  </r>
  <r>
    <x v="91"/>
    <x v="91"/>
    <x v="10"/>
  </r>
  <r>
    <x v="92"/>
    <x v="92"/>
    <x v="2"/>
  </r>
  <r>
    <x v="16"/>
    <x v="15"/>
    <x v="0"/>
  </r>
  <r>
    <x v="51"/>
    <x v="50"/>
    <x v="1"/>
  </r>
  <r>
    <x v="26"/>
    <x v="88"/>
    <x v="1"/>
  </r>
  <r>
    <x v="3"/>
    <x v="2"/>
    <x v="1"/>
  </r>
  <r>
    <x v="90"/>
    <x v="90"/>
    <x v="12"/>
  </r>
  <r>
    <x v="5"/>
    <x v="4"/>
    <x v="1"/>
  </r>
  <r>
    <x v="6"/>
    <x v="5"/>
    <x v="1"/>
  </r>
  <r>
    <x v="51"/>
    <x v="50"/>
    <x v="1"/>
  </r>
  <r>
    <x v="88"/>
    <x v="87"/>
    <x v="2"/>
  </r>
  <r>
    <x v="38"/>
    <x v="37"/>
    <x v="2"/>
  </r>
  <r>
    <x v="63"/>
    <x v="63"/>
    <x v="2"/>
  </r>
  <r>
    <x v="93"/>
    <x v="93"/>
    <x v="2"/>
  </r>
  <r>
    <x v="39"/>
    <x v="38"/>
    <x v="2"/>
  </r>
  <r>
    <x v="19"/>
    <x v="18"/>
    <x v="1"/>
  </r>
  <r>
    <x v="77"/>
    <x v="94"/>
    <x v="10"/>
  </r>
  <r>
    <x v="19"/>
    <x v="18"/>
    <x v="1"/>
  </r>
  <r>
    <x v="88"/>
    <x v="87"/>
    <x v="2"/>
  </r>
  <r>
    <x v="38"/>
    <x v="37"/>
    <x v="2"/>
  </r>
  <r>
    <x v="63"/>
    <x v="63"/>
    <x v="2"/>
  </r>
  <r>
    <x v="93"/>
    <x v="93"/>
    <x v="2"/>
  </r>
  <r>
    <x v="46"/>
    <x v="95"/>
    <x v="4"/>
  </r>
  <r>
    <x v="39"/>
    <x v="38"/>
    <x v="2"/>
  </r>
  <r>
    <x v="19"/>
    <x v="18"/>
    <x v="1"/>
  </r>
  <r>
    <x v="46"/>
    <x v="95"/>
    <x v="10"/>
  </r>
  <r>
    <x v="19"/>
    <x v="18"/>
    <x v="1"/>
  </r>
  <r>
    <x v="94"/>
    <x v="96"/>
    <x v="4"/>
  </r>
  <r>
    <x v="95"/>
    <x v="97"/>
    <x v="4"/>
  </r>
  <r>
    <x v="96"/>
    <x v="98"/>
    <x v="4"/>
  </r>
  <r>
    <x v="46"/>
    <x v="99"/>
    <x v="0"/>
  </r>
  <r>
    <x v="50"/>
    <x v="100"/>
    <x v="1"/>
  </r>
  <r>
    <x v="97"/>
    <x v="101"/>
    <x v="1"/>
  </r>
  <r>
    <x v="26"/>
    <x v="88"/>
    <x v="1"/>
  </r>
  <r>
    <x v="61"/>
    <x v="52"/>
    <x v="0"/>
  </r>
  <r>
    <x v="41"/>
    <x v="40"/>
    <x v="0"/>
  </r>
  <r>
    <x v="38"/>
    <x v="37"/>
    <x v="0"/>
  </r>
  <r>
    <x v="37"/>
    <x v="36"/>
    <x v="0"/>
  </r>
  <r>
    <x v="41"/>
    <x v="40"/>
    <x v="1"/>
  </r>
  <r>
    <x v="3"/>
    <x v="2"/>
    <x v="1"/>
  </r>
  <r>
    <x v="98"/>
    <x v="102"/>
    <x v="1"/>
  </r>
  <r>
    <x v="5"/>
    <x v="4"/>
    <x v="2"/>
  </r>
  <r>
    <x v="6"/>
    <x v="5"/>
    <x v="2"/>
  </r>
  <r>
    <x v="3"/>
    <x v="2"/>
    <x v="1"/>
  </r>
  <r>
    <x v="88"/>
    <x v="87"/>
    <x v="0"/>
  </r>
  <r>
    <x v="38"/>
    <x v="37"/>
    <x v="0"/>
  </r>
  <r>
    <x v="63"/>
    <x v="63"/>
    <x v="0"/>
  </r>
  <r>
    <x v="37"/>
    <x v="36"/>
    <x v="0"/>
  </r>
  <r>
    <x v="7"/>
    <x v="6"/>
    <x v="0"/>
  </r>
  <r>
    <x v="3"/>
    <x v="2"/>
    <x v="1"/>
  </r>
  <r>
    <x v="41"/>
    <x v="40"/>
    <x v="2"/>
  </r>
  <r>
    <x v="37"/>
    <x v="36"/>
    <x v="2"/>
  </r>
  <r>
    <x v="58"/>
    <x v="103"/>
    <x v="2"/>
  </r>
  <r>
    <x v="37"/>
    <x v="36"/>
    <x v="2"/>
  </r>
  <r>
    <x v="97"/>
    <x v="101"/>
    <x v="1"/>
  </r>
  <r>
    <x v="3"/>
    <x v="2"/>
    <x v="11"/>
  </r>
  <r>
    <x v="97"/>
    <x v="101"/>
    <x v="1"/>
  </r>
  <r>
    <x v="18"/>
    <x v="17"/>
    <x v="12"/>
  </r>
  <r>
    <x v="19"/>
    <x v="18"/>
    <x v="1"/>
  </r>
  <r>
    <x v="38"/>
    <x v="37"/>
    <x v="12"/>
  </r>
  <r>
    <x v="69"/>
    <x v="69"/>
    <x v="0"/>
  </r>
  <r>
    <x v="99"/>
    <x v="104"/>
    <x v="5"/>
  </r>
  <r>
    <x v="38"/>
    <x v="37"/>
    <x v="5"/>
  </r>
  <r>
    <x v="63"/>
    <x v="105"/>
    <x v="5"/>
  </r>
  <r>
    <x v="73"/>
    <x v="18"/>
    <x v="1"/>
  </r>
  <r>
    <x v="38"/>
    <x v="37"/>
    <x v="17"/>
  </r>
  <r>
    <x v="99"/>
    <x v="104"/>
    <x v="17"/>
  </r>
  <r>
    <x v="63"/>
    <x v="63"/>
    <x v="17"/>
  </r>
  <r>
    <x v="73"/>
    <x v="18"/>
    <x v="1"/>
  </r>
  <r>
    <x v="5"/>
    <x v="4"/>
    <x v="1"/>
  </r>
  <r>
    <x v="6"/>
    <x v="5"/>
    <x v="1"/>
  </r>
  <r>
    <x v="35"/>
    <x v="34"/>
    <x v="0"/>
  </r>
  <r>
    <x v="3"/>
    <x v="2"/>
    <x v="1"/>
  </r>
  <r>
    <x v="69"/>
    <x v="69"/>
    <x v="1"/>
  </r>
  <r>
    <x v="3"/>
    <x v="2"/>
    <x v="1"/>
  </r>
  <r>
    <x v="34"/>
    <x v="33"/>
    <x v="0"/>
  </r>
  <r>
    <x v="6"/>
    <x v="5"/>
    <x v="0"/>
  </r>
  <r>
    <x v="29"/>
    <x v="28"/>
    <x v="0"/>
  </r>
  <r>
    <x v="6"/>
    <x v="5"/>
    <x v="2"/>
  </r>
  <r>
    <x v="41"/>
    <x v="40"/>
    <x v="0"/>
  </r>
  <r>
    <x v="65"/>
    <x v="65"/>
    <x v="0"/>
  </r>
  <r>
    <x v="7"/>
    <x v="6"/>
    <x v="12"/>
  </r>
  <r>
    <x v="51"/>
    <x v="50"/>
    <x v="12"/>
  </r>
  <r>
    <x v="3"/>
    <x v="2"/>
    <x v="1"/>
  </r>
  <r>
    <x v="51"/>
    <x v="50"/>
    <x v="1"/>
  </r>
  <r>
    <x v="64"/>
    <x v="64"/>
    <x v="0"/>
  </r>
  <r>
    <x v="51"/>
    <x v="50"/>
    <x v="1"/>
  </r>
  <r>
    <x v="2"/>
    <x v="1"/>
    <x v="1"/>
  </r>
  <r>
    <x v="51"/>
    <x v="50"/>
    <x v="0"/>
  </r>
  <r>
    <x v="18"/>
    <x v="17"/>
    <x v="0"/>
  </r>
  <r>
    <x v="16"/>
    <x v="15"/>
    <x v="1"/>
  </r>
  <r>
    <x v="6"/>
    <x v="5"/>
    <x v="1"/>
  </r>
  <r>
    <x v="100"/>
    <x v="106"/>
    <x v="18"/>
  </r>
  <r>
    <x v="17"/>
    <x v="16"/>
    <x v="1"/>
  </r>
  <r>
    <x v="73"/>
    <x v="18"/>
    <x v="1"/>
  </r>
  <r>
    <x v="3"/>
    <x v="2"/>
    <x v="5"/>
  </r>
  <r>
    <x v="19"/>
    <x v="18"/>
    <x v="1"/>
  </r>
  <r>
    <x v="64"/>
    <x v="64"/>
    <x v="1"/>
  </r>
  <r>
    <x v="101"/>
    <x v="18"/>
    <x v="1"/>
  </r>
  <r>
    <x v="97"/>
    <x v="101"/>
    <x v="1"/>
  </r>
  <r>
    <x v="34"/>
    <x v="33"/>
    <x v="1"/>
  </r>
  <r>
    <x v="6"/>
    <x v="5"/>
    <x v="1"/>
  </r>
  <r>
    <x v="2"/>
    <x v="1"/>
    <x v="1"/>
  </r>
  <r>
    <x v="97"/>
    <x v="101"/>
    <x v="0"/>
  </r>
  <r>
    <x v="51"/>
    <x v="50"/>
    <x v="0"/>
  </r>
  <r>
    <x v="34"/>
    <x v="33"/>
    <x v="1"/>
  </r>
  <r>
    <x v="6"/>
    <x v="5"/>
    <x v="1"/>
  </r>
  <r>
    <x v="1"/>
    <x v="1"/>
    <x v="1"/>
  </r>
  <r>
    <x v="10"/>
    <x v="9"/>
    <x v="1"/>
  </r>
  <r>
    <x v="19"/>
    <x v="18"/>
    <x v="1"/>
  </r>
  <r>
    <x v="6"/>
    <x v="5"/>
    <x v="12"/>
  </r>
  <r>
    <x v="50"/>
    <x v="107"/>
    <x v="1"/>
  </r>
  <r>
    <x v="90"/>
    <x v="90"/>
    <x v="1"/>
  </r>
  <r>
    <x v="40"/>
    <x v="39"/>
    <x v="0"/>
  </r>
  <r>
    <x v="9"/>
    <x v="8"/>
    <x v="0"/>
  </r>
  <r>
    <x v="38"/>
    <x v="37"/>
    <x v="2"/>
  </r>
  <r>
    <x v="7"/>
    <x v="6"/>
    <x v="0"/>
  </r>
  <r>
    <x v="64"/>
    <x v="64"/>
    <x v="1"/>
  </r>
  <r>
    <x v="51"/>
    <x v="50"/>
    <x v="2"/>
  </r>
  <r>
    <x v="16"/>
    <x v="15"/>
    <x v="0"/>
  </r>
  <r>
    <x v="42"/>
    <x v="41"/>
    <x v="2"/>
  </r>
  <r>
    <x v="43"/>
    <x v="42"/>
    <x v="2"/>
  </r>
  <r>
    <x v="53"/>
    <x v="52"/>
    <x v="0"/>
  </r>
  <r>
    <x v="7"/>
    <x v="6"/>
    <x v="0"/>
  </r>
  <r>
    <x v="38"/>
    <x v="37"/>
    <x v="0"/>
  </r>
  <r>
    <x v="37"/>
    <x v="36"/>
    <x v="0"/>
  </r>
  <r>
    <x v="5"/>
    <x v="4"/>
    <x v="1"/>
  </r>
  <r>
    <x v="6"/>
    <x v="5"/>
    <x v="1"/>
  </r>
  <r>
    <x v="53"/>
    <x v="52"/>
    <x v="1"/>
  </r>
  <r>
    <x v="7"/>
    <x v="6"/>
    <x v="1"/>
  </r>
  <r>
    <x v="38"/>
    <x v="37"/>
    <x v="1"/>
  </r>
  <r>
    <x v="37"/>
    <x v="36"/>
    <x v="1"/>
  </r>
  <r>
    <x v="90"/>
    <x v="90"/>
    <x v="1"/>
  </r>
  <r>
    <x v="35"/>
    <x v="34"/>
    <x v="19"/>
  </r>
  <r>
    <x v="29"/>
    <x v="28"/>
    <x v="19"/>
  </r>
  <r>
    <x v="102"/>
    <x v="108"/>
    <x v="1"/>
  </r>
  <r>
    <x v="103"/>
    <x v="109"/>
    <x v="1"/>
  </r>
  <r>
    <x v="104"/>
    <x v="110"/>
    <x v="1"/>
  </r>
  <r>
    <x v="72"/>
    <x v="111"/>
    <x v="1"/>
  </r>
  <r>
    <x v="41"/>
    <x v="40"/>
    <x v="2"/>
  </r>
  <r>
    <x v="38"/>
    <x v="37"/>
    <x v="1"/>
  </r>
  <r>
    <x v="16"/>
    <x v="15"/>
    <x v="2"/>
  </r>
  <r>
    <x v="6"/>
    <x v="5"/>
    <x v="1"/>
  </r>
  <r>
    <x v="50"/>
    <x v="112"/>
    <x v="1"/>
  </r>
  <r>
    <x v="105"/>
    <x v="113"/>
    <x v="10"/>
  </r>
  <r>
    <x v="23"/>
    <x v="22"/>
    <x v="10"/>
  </r>
  <r>
    <x v="16"/>
    <x v="15"/>
    <x v="5"/>
  </r>
  <r>
    <x v="106"/>
    <x v="114"/>
    <x v="2"/>
  </r>
  <r>
    <x v="107"/>
    <x v="115"/>
    <x v="5"/>
  </r>
  <r>
    <x v="34"/>
    <x v="33"/>
    <x v="11"/>
  </r>
  <r>
    <x v="6"/>
    <x v="5"/>
    <x v="11"/>
  </r>
  <r>
    <x v="5"/>
    <x v="4"/>
    <x v="10"/>
  </r>
  <r>
    <x v="35"/>
    <x v="34"/>
    <x v="5"/>
  </r>
  <r>
    <x v="29"/>
    <x v="28"/>
    <x v="5"/>
  </r>
  <r>
    <x v="19"/>
    <x v="18"/>
    <x v="1"/>
  </r>
  <r>
    <x v="101"/>
    <x v="18"/>
    <x v="1"/>
  </r>
  <r>
    <x v="50"/>
    <x v="116"/>
    <x v="1"/>
  </r>
  <r>
    <x v="108"/>
    <x v="117"/>
    <x v="2"/>
  </r>
  <r>
    <x v="109"/>
    <x v="118"/>
    <x v="2"/>
  </r>
  <r>
    <x v="1"/>
    <x v="1"/>
    <x v="1"/>
  </r>
  <r>
    <x v="3"/>
    <x v="2"/>
    <x v="1"/>
  </r>
  <r>
    <x v="34"/>
    <x v="33"/>
    <x v="1"/>
  </r>
  <r>
    <x v="6"/>
    <x v="5"/>
    <x v="1"/>
  </r>
  <r>
    <x v="69"/>
    <x v="69"/>
    <x v="0"/>
  </r>
  <r>
    <x v="7"/>
    <x v="6"/>
    <x v="1"/>
  </r>
  <r>
    <x v="37"/>
    <x v="36"/>
    <x v="1"/>
  </r>
  <r>
    <x v="51"/>
    <x v="50"/>
    <x v="2"/>
  </r>
  <r>
    <x v="5"/>
    <x v="4"/>
    <x v="0"/>
  </r>
  <r>
    <x v="6"/>
    <x v="5"/>
    <x v="0"/>
  </r>
  <r>
    <x v="64"/>
    <x v="64"/>
    <x v="0"/>
  </r>
  <r>
    <x v="2"/>
    <x v="1"/>
    <x v="1"/>
  </r>
  <r>
    <x v="5"/>
    <x v="4"/>
    <x v="1"/>
  </r>
  <r>
    <x v="6"/>
    <x v="5"/>
    <x v="1"/>
  </r>
  <r>
    <x v="88"/>
    <x v="87"/>
    <x v="1"/>
  </r>
  <r>
    <x v="38"/>
    <x v="37"/>
    <x v="1"/>
  </r>
  <r>
    <x v="63"/>
    <x v="63"/>
    <x v="1"/>
  </r>
  <r>
    <x v="37"/>
    <x v="36"/>
    <x v="1"/>
  </r>
  <r>
    <x v="7"/>
    <x v="6"/>
    <x v="1"/>
  </r>
  <r>
    <x v="39"/>
    <x v="38"/>
    <x v="1"/>
  </r>
  <r>
    <x v="1"/>
    <x v="1"/>
    <x v="1"/>
  </r>
  <r>
    <x v="1"/>
    <x v="1"/>
    <x v="1"/>
  </r>
  <r>
    <x v="110"/>
    <x v="119"/>
    <x v="11"/>
  </r>
  <r>
    <x v="111"/>
    <x v="120"/>
    <x v="11"/>
  </r>
  <r>
    <x v="65"/>
    <x v="65"/>
    <x v="11"/>
  </r>
  <r>
    <x v="37"/>
    <x v="36"/>
    <x v="11"/>
  </r>
  <r>
    <x v="19"/>
    <x v="18"/>
    <x v="1"/>
  </r>
  <r>
    <x v="64"/>
    <x v="64"/>
    <x v="1"/>
  </r>
  <r>
    <x v="3"/>
    <x v="2"/>
    <x v="1"/>
  </r>
  <r>
    <x v="2"/>
    <x v="1"/>
    <x v="1"/>
  </r>
  <r>
    <x v="58"/>
    <x v="103"/>
    <x v="1"/>
  </r>
  <r>
    <x v="5"/>
    <x v="4"/>
    <x v="2"/>
  </r>
  <r>
    <x v="6"/>
    <x v="5"/>
    <x v="2"/>
  </r>
  <r>
    <x v="112"/>
    <x v="121"/>
    <x v="1"/>
  </r>
  <r>
    <x v="2"/>
    <x v="1"/>
    <x v="0"/>
  </r>
  <r>
    <x v="35"/>
    <x v="34"/>
    <x v="1"/>
  </r>
  <r>
    <x v="36"/>
    <x v="35"/>
    <x v="1"/>
  </r>
  <r>
    <x v="2"/>
    <x v="1"/>
    <x v="1"/>
  </r>
  <r>
    <x v="18"/>
    <x v="17"/>
    <x v="1"/>
  </r>
  <r>
    <x v="51"/>
    <x v="50"/>
    <x v="1"/>
  </r>
  <r>
    <x v="5"/>
    <x v="4"/>
    <x v="1"/>
  </r>
  <r>
    <x v="6"/>
    <x v="5"/>
    <x v="1"/>
  </r>
  <r>
    <x v="50"/>
    <x v="122"/>
    <x v="1"/>
  </r>
</pivotCacheRecords>
</file>

<file path=xl/pivotCache/pivotCacheRecords37.xml><?xml version="1.0" encoding="utf-8"?>
<pivotCacheRecords xmlns:r="http://schemas.openxmlformats.org/officeDocument/2006/relationships" xmlns="http://schemas.openxmlformats.org/spreadsheetml/2006/main" count="442">
  <r>
    <x v="0"/>
    <x v="0"/>
    <x v="0"/>
    <x v="0"/>
    <x v="0"/>
  </r>
  <r>
    <x v="1"/>
    <x v="1"/>
    <x v="1"/>
    <x v="1"/>
    <x v="1"/>
  </r>
  <r>
    <x v="2"/>
    <x v="1"/>
    <x v="1"/>
    <x v="2"/>
    <x v="2"/>
  </r>
  <r>
    <x v="3"/>
    <x v="2"/>
    <x v="1"/>
    <x v="1"/>
    <x v="1"/>
  </r>
  <r>
    <x v="4"/>
    <x v="3"/>
    <x v="1"/>
    <x v="3"/>
    <x v="3"/>
  </r>
  <r>
    <x v="5"/>
    <x v="4"/>
    <x v="1"/>
    <x v="4"/>
    <x v="4"/>
  </r>
  <r>
    <x v="6"/>
    <x v="5"/>
    <x v="1"/>
    <x v="5"/>
    <x v="5"/>
  </r>
  <r>
    <x v="7"/>
    <x v="6"/>
    <x v="1"/>
    <x v="6"/>
    <x v="6"/>
  </r>
  <r>
    <x v="8"/>
    <x v="7"/>
    <x v="0"/>
    <x v="7"/>
    <x v="7"/>
  </r>
  <r>
    <x v="9"/>
    <x v="8"/>
    <x v="0"/>
    <x v="8"/>
    <x v="8"/>
  </r>
  <r>
    <x v="3"/>
    <x v="2"/>
    <x v="1"/>
    <x v="1"/>
    <x v="1"/>
  </r>
  <r>
    <x v="10"/>
    <x v="9"/>
    <x v="1"/>
    <x v="9"/>
    <x v="9"/>
  </r>
  <r>
    <x v="5"/>
    <x v="4"/>
    <x v="1"/>
    <x v="4"/>
    <x v="4"/>
  </r>
  <r>
    <x v="11"/>
    <x v="10"/>
    <x v="1"/>
    <x v="10"/>
    <x v="10"/>
  </r>
  <r>
    <x v="12"/>
    <x v="11"/>
    <x v="1"/>
    <x v="11"/>
    <x v="11"/>
  </r>
  <r>
    <x v="13"/>
    <x v="12"/>
    <x v="1"/>
    <x v="8"/>
    <x v="8"/>
  </r>
  <r>
    <x v="14"/>
    <x v="13"/>
    <x v="1"/>
    <x v="8"/>
    <x v="8"/>
  </r>
  <r>
    <x v="15"/>
    <x v="14"/>
    <x v="0"/>
    <x v="8"/>
    <x v="8"/>
  </r>
  <r>
    <x v="6"/>
    <x v="5"/>
    <x v="0"/>
    <x v="8"/>
    <x v="8"/>
  </r>
  <r>
    <x v="16"/>
    <x v="15"/>
    <x v="0"/>
    <x v="8"/>
    <x v="8"/>
  </r>
  <r>
    <x v="17"/>
    <x v="16"/>
    <x v="1"/>
    <x v="8"/>
    <x v="8"/>
  </r>
  <r>
    <x v="18"/>
    <x v="17"/>
    <x v="2"/>
    <x v="12"/>
    <x v="12"/>
  </r>
  <r>
    <x v="19"/>
    <x v="18"/>
    <x v="1"/>
    <x v="13"/>
    <x v="13"/>
  </r>
  <r>
    <x v="8"/>
    <x v="7"/>
    <x v="3"/>
    <x v="7"/>
    <x v="14"/>
  </r>
  <r>
    <x v="20"/>
    <x v="19"/>
    <x v="2"/>
    <x v="14"/>
    <x v="15"/>
  </r>
  <r>
    <x v="21"/>
    <x v="20"/>
    <x v="2"/>
    <x v="8"/>
    <x v="8"/>
  </r>
  <r>
    <x v="22"/>
    <x v="21"/>
    <x v="4"/>
    <x v="15"/>
    <x v="16"/>
  </r>
  <r>
    <x v="23"/>
    <x v="22"/>
    <x v="2"/>
    <x v="16"/>
    <x v="17"/>
  </r>
  <r>
    <x v="24"/>
    <x v="23"/>
    <x v="2"/>
    <x v="17"/>
    <x v="18"/>
  </r>
  <r>
    <x v="15"/>
    <x v="14"/>
    <x v="2"/>
    <x v="8"/>
    <x v="8"/>
  </r>
  <r>
    <x v="25"/>
    <x v="24"/>
    <x v="2"/>
    <x v="8"/>
    <x v="8"/>
  </r>
  <r>
    <x v="19"/>
    <x v="18"/>
    <x v="1"/>
    <x v="13"/>
    <x v="13"/>
  </r>
  <r>
    <x v="26"/>
    <x v="25"/>
    <x v="1"/>
    <x v="18"/>
    <x v="19"/>
  </r>
  <r>
    <x v="27"/>
    <x v="26"/>
    <x v="5"/>
    <x v="19"/>
    <x v="20"/>
  </r>
  <r>
    <x v="28"/>
    <x v="27"/>
    <x v="5"/>
    <x v="20"/>
    <x v="21"/>
  </r>
  <r>
    <x v="13"/>
    <x v="12"/>
    <x v="6"/>
    <x v="8"/>
    <x v="8"/>
  </r>
  <r>
    <x v="3"/>
    <x v="2"/>
    <x v="1"/>
    <x v="1"/>
    <x v="1"/>
  </r>
  <r>
    <x v="26"/>
    <x v="25"/>
    <x v="1"/>
    <x v="18"/>
    <x v="19"/>
  </r>
  <r>
    <x v="2"/>
    <x v="1"/>
    <x v="1"/>
    <x v="2"/>
    <x v="2"/>
  </r>
  <r>
    <x v="3"/>
    <x v="2"/>
    <x v="1"/>
    <x v="1"/>
    <x v="1"/>
  </r>
  <r>
    <x v="2"/>
    <x v="1"/>
    <x v="1"/>
    <x v="2"/>
    <x v="2"/>
  </r>
  <r>
    <x v="3"/>
    <x v="2"/>
    <x v="1"/>
    <x v="1"/>
    <x v="1"/>
  </r>
  <r>
    <x v="8"/>
    <x v="7"/>
    <x v="3"/>
    <x v="7"/>
    <x v="14"/>
  </r>
  <r>
    <x v="29"/>
    <x v="28"/>
    <x v="2"/>
    <x v="8"/>
    <x v="8"/>
  </r>
  <r>
    <x v="15"/>
    <x v="14"/>
    <x v="2"/>
    <x v="8"/>
    <x v="8"/>
  </r>
  <r>
    <x v="3"/>
    <x v="2"/>
    <x v="1"/>
    <x v="1"/>
    <x v="1"/>
  </r>
  <r>
    <x v="2"/>
    <x v="1"/>
    <x v="1"/>
    <x v="2"/>
    <x v="2"/>
  </r>
  <r>
    <x v="16"/>
    <x v="15"/>
    <x v="1"/>
    <x v="5"/>
    <x v="5"/>
  </r>
  <r>
    <x v="5"/>
    <x v="4"/>
    <x v="1"/>
    <x v="4"/>
    <x v="4"/>
  </r>
  <r>
    <x v="6"/>
    <x v="5"/>
    <x v="1"/>
    <x v="5"/>
    <x v="5"/>
  </r>
  <r>
    <x v="29"/>
    <x v="28"/>
    <x v="1"/>
    <x v="21"/>
    <x v="22"/>
  </r>
  <r>
    <x v="3"/>
    <x v="2"/>
    <x v="1"/>
    <x v="1"/>
    <x v="1"/>
  </r>
  <r>
    <x v="30"/>
    <x v="29"/>
    <x v="7"/>
    <x v="22"/>
    <x v="23"/>
  </r>
  <r>
    <x v="31"/>
    <x v="30"/>
    <x v="1"/>
    <x v="23"/>
    <x v="24"/>
  </r>
  <r>
    <x v="19"/>
    <x v="18"/>
    <x v="1"/>
    <x v="24"/>
    <x v="25"/>
  </r>
  <r>
    <x v="32"/>
    <x v="31"/>
    <x v="8"/>
    <x v="25"/>
    <x v="26"/>
  </r>
  <r>
    <x v="33"/>
    <x v="32"/>
    <x v="9"/>
    <x v="25"/>
    <x v="27"/>
  </r>
  <r>
    <x v="19"/>
    <x v="18"/>
    <x v="1"/>
    <x v="26"/>
    <x v="28"/>
  </r>
  <r>
    <x v="34"/>
    <x v="33"/>
    <x v="1"/>
    <x v="27"/>
    <x v="29"/>
  </r>
  <r>
    <x v="6"/>
    <x v="5"/>
    <x v="1"/>
    <x v="5"/>
    <x v="5"/>
  </r>
  <r>
    <x v="2"/>
    <x v="1"/>
    <x v="1"/>
    <x v="28"/>
    <x v="30"/>
  </r>
  <r>
    <x v="2"/>
    <x v="1"/>
    <x v="1"/>
    <x v="2"/>
    <x v="2"/>
  </r>
  <r>
    <x v="35"/>
    <x v="34"/>
    <x v="0"/>
    <x v="29"/>
    <x v="31"/>
  </r>
  <r>
    <x v="36"/>
    <x v="35"/>
    <x v="1"/>
    <x v="30"/>
    <x v="32"/>
  </r>
  <r>
    <x v="37"/>
    <x v="36"/>
    <x v="1"/>
    <x v="31"/>
    <x v="33"/>
  </r>
  <r>
    <x v="18"/>
    <x v="17"/>
    <x v="0"/>
    <x v="32"/>
    <x v="34"/>
  </r>
  <r>
    <x v="16"/>
    <x v="15"/>
    <x v="1"/>
    <x v="5"/>
    <x v="5"/>
  </r>
  <r>
    <x v="34"/>
    <x v="33"/>
    <x v="1"/>
    <x v="27"/>
    <x v="29"/>
  </r>
  <r>
    <x v="6"/>
    <x v="5"/>
    <x v="1"/>
    <x v="5"/>
    <x v="5"/>
  </r>
  <r>
    <x v="7"/>
    <x v="6"/>
    <x v="1"/>
    <x v="6"/>
    <x v="6"/>
  </r>
  <r>
    <x v="37"/>
    <x v="36"/>
    <x v="1"/>
    <x v="31"/>
    <x v="33"/>
  </r>
  <r>
    <x v="3"/>
    <x v="2"/>
    <x v="1"/>
    <x v="1"/>
    <x v="1"/>
  </r>
  <r>
    <x v="38"/>
    <x v="37"/>
    <x v="4"/>
    <x v="21"/>
    <x v="35"/>
  </r>
  <r>
    <x v="2"/>
    <x v="1"/>
    <x v="1"/>
    <x v="2"/>
    <x v="2"/>
  </r>
  <r>
    <x v="39"/>
    <x v="38"/>
    <x v="2"/>
    <x v="21"/>
    <x v="36"/>
  </r>
  <r>
    <x v="6"/>
    <x v="5"/>
    <x v="5"/>
    <x v="33"/>
    <x v="37"/>
  </r>
  <r>
    <x v="38"/>
    <x v="37"/>
    <x v="2"/>
    <x v="21"/>
    <x v="36"/>
  </r>
  <r>
    <x v="5"/>
    <x v="4"/>
    <x v="2"/>
    <x v="3"/>
    <x v="38"/>
  </r>
  <r>
    <x v="2"/>
    <x v="1"/>
    <x v="1"/>
    <x v="2"/>
    <x v="2"/>
  </r>
  <r>
    <x v="1"/>
    <x v="1"/>
    <x v="1"/>
    <x v="1"/>
    <x v="1"/>
  </r>
  <r>
    <x v="2"/>
    <x v="1"/>
    <x v="1"/>
    <x v="2"/>
    <x v="2"/>
  </r>
  <r>
    <x v="1"/>
    <x v="1"/>
    <x v="1"/>
    <x v="1"/>
    <x v="1"/>
  </r>
  <r>
    <x v="40"/>
    <x v="39"/>
    <x v="1"/>
    <x v="7"/>
    <x v="39"/>
  </r>
  <r>
    <x v="39"/>
    <x v="38"/>
    <x v="1"/>
    <x v="8"/>
    <x v="8"/>
  </r>
  <r>
    <x v="41"/>
    <x v="40"/>
    <x v="1"/>
    <x v="34"/>
    <x v="40"/>
  </r>
  <r>
    <x v="37"/>
    <x v="36"/>
    <x v="1"/>
    <x v="31"/>
    <x v="33"/>
  </r>
  <r>
    <x v="5"/>
    <x v="4"/>
    <x v="1"/>
    <x v="4"/>
    <x v="4"/>
  </r>
  <r>
    <x v="6"/>
    <x v="5"/>
    <x v="1"/>
    <x v="5"/>
    <x v="5"/>
  </r>
  <r>
    <x v="29"/>
    <x v="28"/>
    <x v="1"/>
    <x v="21"/>
    <x v="22"/>
  </r>
  <r>
    <x v="42"/>
    <x v="41"/>
    <x v="0"/>
    <x v="35"/>
    <x v="41"/>
  </r>
  <r>
    <x v="43"/>
    <x v="42"/>
    <x v="0"/>
    <x v="35"/>
    <x v="41"/>
  </r>
  <r>
    <x v="44"/>
    <x v="43"/>
    <x v="1"/>
    <x v="6"/>
    <x v="6"/>
  </r>
  <r>
    <x v="37"/>
    <x v="36"/>
    <x v="1"/>
    <x v="31"/>
    <x v="33"/>
  </r>
  <r>
    <x v="3"/>
    <x v="2"/>
    <x v="5"/>
    <x v="36"/>
    <x v="42"/>
  </r>
  <r>
    <x v="45"/>
    <x v="44"/>
    <x v="1"/>
    <x v="37"/>
    <x v="43"/>
  </r>
  <r>
    <x v="19"/>
    <x v="18"/>
    <x v="1"/>
    <x v="38"/>
    <x v="44"/>
  </r>
  <r>
    <x v="46"/>
    <x v="45"/>
    <x v="1"/>
    <x v="8"/>
    <x v="8"/>
  </r>
  <r>
    <x v="47"/>
    <x v="46"/>
    <x v="1"/>
    <x v="8"/>
    <x v="8"/>
  </r>
  <r>
    <x v="48"/>
    <x v="47"/>
    <x v="1"/>
    <x v="8"/>
    <x v="8"/>
  </r>
  <r>
    <x v="49"/>
    <x v="48"/>
    <x v="1"/>
    <x v="8"/>
    <x v="8"/>
  </r>
  <r>
    <x v="50"/>
    <x v="49"/>
    <x v="1"/>
    <x v="8"/>
    <x v="8"/>
  </r>
  <r>
    <x v="17"/>
    <x v="16"/>
    <x v="0"/>
    <x v="39"/>
    <x v="45"/>
  </r>
  <r>
    <x v="51"/>
    <x v="50"/>
    <x v="1"/>
    <x v="27"/>
    <x v="29"/>
  </r>
  <r>
    <x v="16"/>
    <x v="15"/>
    <x v="1"/>
    <x v="5"/>
    <x v="5"/>
  </r>
  <r>
    <x v="6"/>
    <x v="5"/>
    <x v="6"/>
    <x v="33"/>
    <x v="46"/>
  </r>
  <r>
    <x v="3"/>
    <x v="2"/>
    <x v="1"/>
    <x v="1"/>
    <x v="1"/>
  </r>
  <r>
    <x v="34"/>
    <x v="33"/>
    <x v="1"/>
    <x v="27"/>
    <x v="29"/>
  </r>
  <r>
    <x v="6"/>
    <x v="5"/>
    <x v="1"/>
    <x v="5"/>
    <x v="5"/>
  </r>
  <r>
    <x v="16"/>
    <x v="15"/>
    <x v="0"/>
    <x v="5"/>
    <x v="47"/>
  </r>
  <r>
    <x v="39"/>
    <x v="38"/>
    <x v="10"/>
    <x v="8"/>
    <x v="8"/>
  </r>
  <r>
    <x v="52"/>
    <x v="51"/>
    <x v="10"/>
    <x v="8"/>
    <x v="8"/>
  </r>
  <r>
    <x v="1"/>
    <x v="1"/>
    <x v="0"/>
    <x v="1"/>
    <x v="48"/>
  </r>
  <r>
    <x v="53"/>
    <x v="52"/>
    <x v="1"/>
    <x v="40"/>
    <x v="49"/>
  </r>
  <r>
    <x v="41"/>
    <x v="40"/>
    <x v="1"/>
    <x v="26"/>
    <x v="28"/>
  </r>
  <r>
    <x v="54"/>
    <x v="53"/>
    <x v="1"/>
    <x v="41"/>
    <x v="50"/>
  </r>
  <r>
    <x v="38"/>
    <x v="37"/>
    <x v="1"/>
    <x v="8"/>
    <x v="8"/>
  </r>
  <r>
    <x v="37"/>
    <x v="36"/>
    <x v="1"/>
    <x v="8"/>
    <x v="8"/>
  </r>
  <r>
    <x v="3"/>
    <x v="2"/>
    <x v="1"/>
    <x v="1"/>
    <x v="1"/>
  </r>
  <r>
    <x v="3"/>
    <x v="2"/>
    <x v="1"/>
    <x v="1"/>
    <x v="1"/>
  </r>
  <r>
    <x v="7"/>
    <x v="6"/>
    <x v="1"/>
    <x v="6"/>
    <x v="6"/>
  </r>
  <r>
    <x v="55"/>
    <x v="54"/>
    <x v="2"/>
    <x v="27"/>
    <x v="51"/>
  </r>
  <r>
    <x v="29"/>
    <x v="28"/>
    <x v="11"/>
    <x v="21"/>
    <x v="52"/>
  </r>
  <r>
    <x v="17"/>
    <x v="16"/>
    <x v="12"/>
    <x v="42"/>
    <x v="53"/>
  </r>
  <r>
    <x v="19"/>
    <x v="18"/>
    <x v="1"/>
    <x v="43"/>
    <x v="54"/>
  </r>
  <r>
    <x v="56"/>
    <x v="55"/>
    <x v="1"/>
    <x v="8"/>
    <x v="8"/>
  </r>
  <r>
    <x v="57"/>
    <x v="56"/>
    <x v="1"/>
    <x v="8"/>
    <x v="8"/>
  </r>
  <r>
    <x v="53"/>
    <x v="52"/>
    <x v="0"/>
    <x v="40"/>
    <x v="55"/>
  </r>
  <r>
    <x v="37"/>
    <x v="36"/>
    <x v="0"/>
    <x v="8"/>
    <x v="8"/>
  </r>
  <r>
    <x v="0"/>
    <x v="57"/>
    <x v="1"/>
    <x v="44"/>
    <x v="56"/>
  </r>
  <r>
    <x v="58"/>
    <x v="58"/>
    <x v="1"/>
    <x v="45"/>
    <x v="57"/>
  </r>
  <r>
    <x v="3"/>
    <x v="2"/>
    <x v="1"/>
    <x v="1"/>
    <x v="1"/>
  </r>
  <r>
    <x v="59"/>
    <x v="59"/>
    <x v="0"/>
    <x v="46"/>
    <x v="58"/>
  </r>
  <r>
    <x v="38"/>
    <x v="37"/>
    <x v="0"/>
    <x v="8"/>
    <x v="8"/>
  </r>
  <r>
    <x v="19"/>
    <x v="18"/>
    <x v="1"/>
    <x v="47"/>
    <x v="59"/>
  </r>
  <r>
    <x v="23"/>
    <x v="22"/>
    <x v="10"/>
    <x v="8"/>
    <x v="8"/>
  </r>
  <r>
    <x v="60"/>
    <x v="60"/>
    <x v="2"/>
    <x v="8"/>
    <x v="8"/>
  </r>
  <r>
    <x v="61"/>
    <x v="61"/>
    <x v="2"/>
    <x v="48"/>
    <x v="60"/>
  </r>
  <r>
    <x v="38"/>
    <x v="37"/>
    <x v="2"/>
    <x v="8"/>
    <x v="8"/>
  </r>
  <r>
    <x v="62"/>
    <x v="62"/>
    <x v="2"/>
    <x v="49"/>
    <x v="61"/>
  </r>
  <r>
    <x v="19"/>
    <x v="18"/>
    <x v="1"/>
    <x v="50"/>
    <x v="62"/>
  </r>
  <r>
    <x v="35"/>
    <x v="34"/>
    <x v="12"/>
    <x v="29"/>
    <x v="63"/>
  </r>
  <r>
    <x v="63"/>
    <x v="63"/>
    <x v="1"/>
    <x v="29"/>
    <x v="64"/>
  </r>
  <r>
    <x v="64"/>
    <x v="64"/>
    <x v="1"/>
    <x v="51"/>
    <x v="65"/>
  </r>
  <r>
    <x v="51"/>
    <x v="50"/>
    <x v="1"/>
    <x v="52"/>
    <x v="66"/>
  </r>
  <r>
    <x v="51"/>
    <x v="50"/>
    <x v="0"/>
    <x v="27"/>
    <x v="67"/>
  </r>
  <r>
    <x v="65"/>
    <x v="65"/>
    <x v="1"/>
    <x v="30"/>
    <x v="32"/>
  </r>
  <r>
    <x v="41"/>
    <x v="40"/>
    <x v="11"/>
    <x v="34"/>
    <x v="68"/>
  </r>
  <r>
    <x v="37"/>
    <x v="36"/>
    <x v="11"/>
    <x v="31"/>
    <x v="69"/>
  </r>
  <r>
    <x v="5"/>
    <x v="4"/>
    <x v="2"/>
    <x v="4"/>
    <x v="70"/>
  </r>
  <r>
    <x v="6"/>
    <x v="5"/>
    <x v="2"/>
    <x v="5"/>
    <x v="71"/>
  </r>
  <r>
    <x v="2"/>
    <x v="1"/>
    <x v="1"/>
    <x v="2"/>
    <x v="2"/>
  </r>
  <r>
    <x v="66"/>
    <x v="66"/>
    <x v="10"/>
    <x v="8"/>
    <x v="8"/>
  </r>
  <r>
    <x v="67"/>
    <x v="67"/>
    <x v="1"/>
    <x v="8"/>
    <x v="8"/>
  </r>
  <r>
    <x v="68"/>
    <x v="68"/>
    <x v="1"/>
    <x v="8"/>
    <x v="8"/>
  </r>
  <r>
    <x v="69"/>
    <x v="69"/>
    <x v="1"/>
    <x v="8"/>
    <x v="8"/>
  </r>
  <r>
    <x v="70"/>
    <x v="70"/>
    <x v="5"/>
    <x v="53"/>
    <x v="72"/>
  </r>
  <r>
    <x v="71"/>
    <x v="70"/>
    <x v="5"/>
    <x v="53"/>
    <x v="72"/>
  </r>
  <r>
    <x v="19"/>
    <x v="18"/>
    <x v="1"/>
    <x v="54"/>
    <x v="73"/>
  </r>
  <r>
    <x v="3"/>
    <x v="2"/>
    <x v="1"/>
    <x v="1"/>
    <x v="1"/>
  </r>
  <r>
    <x v="65"/>
    <x v="65"/>
    <x v="0"/>
    <x v="30"/>
    <x v="74"/>
  </r>
  <r>
    <x v="65"/>
    <x v="65"/>
    <x v="1"/>
    <x v="30"/>
    <x v="32"/>
  </r>
  <r>
    <x v="37"/>
    <x v="36"/>
    <x v="1"/>
    <x v="31"/>
    <x v="33"/>
  </r>
  <r>
    <x v="2"/>
    <x v="1"/>
    <x v="1"/>
    <x v="2"/>
    <x v="2"/>
  </r>
  <r>
    <x v="16"/>
    <x v="15"/>
    <x v="2"/>
    <x v="5"/>
    <x v="71"/>
  </r>
  <r>
    <x v="5"/>
    <x v="4"/>
    <x v="1"/>
    <x v="4"/>
    <x v="4"/>
  </r>
  <r>
    <x v="6"/>
    <x v="5"/>
    <x v="1"/>
    <x v="5"/>
    <x v="5"/>
  </r>
  <r>
    <x v="42"/>
    <x v="41"/>
    <x v="1"/>
    <x v="35"/>
    <x v="75"/>
  </r>
  <r>
    <x v="64"/>
    <x v="64"/>
    <x v="1"/>
    <x v="51"/>
    <x v="65"/>
  </r>
  <r>
    <x v="51"/>
    <x v="50"/>
    <x v="1"/>
    <x v="52"/>
    <x v="66"/>
  </r>
  <r>
    <x v="72"/>
    <x v="71"/>
    <x v="2"/>
    <x v="55"/>
    <x v="76"/>
  </r>
  <r>
    <x v="38"/>
    <x v="72"/>
    <x v="2"/>
    <x v="8"/>
    <x v="8"/>
  </r>
  <r>
    <x v="29"/>
    <x v="28"/>
    <x v="13"/>
    <x v="56"/>
    <x v="35"/>
  </r>
  <r>
    <x v="73"/>
    <x v="18"/>
    <x v="1"/>
    <x v="57"/>
    <x v="77"/>
  </r>
  <r>
    <x v="51"/>
    <x v="50"/>
    <x v="0"/>
    <x v="27"/>
    <x v="67"/>
  </r>
  <r>
    <x v="74"/>
    <x v="73"/>
    <x v="1"/>
    <x v="11"/>
    <x v="11"/>
  </r>
  <r>
    <x v="7"/>
    <x v="6"/>
    <x v="0"/>
    <x v="6"/>
    <x v="78"/>
  </r>
  <r>
    <x v="16"/>
    <x v="15"/>
    <x v="1"/>
    <x v="5"/>
    <x v="5"/>
  </r>
  <r>
    <x v="75"/>
    <x v="74"/>
    <x v="1"/>
    <x v="58"/>
    <x v="79"/>
  </r>
  <r>
    <x v="76"/>
    <x v="75"/>
    <x v="1"/>
    <x v="59"/>
    <x v="80"/>
  </r>
  <r>
    <x v="35"/>
    <x v="34"/>
    <x v="5"/>
    <x v="60"/>
    <x v="81"/>
  </r>
  <r>
    <x v="19"/>
    <x v="18"/>
    <x v="1"/>
    <x v="61"/>
    <x v="82"/>
  </r>
  <r>
    <x v="77"/>
    <x v="76"/>
    <x v="12"/>
    <x v="62"/>
    <x v="83"/>
  </r>
  <r>
    <x v="38"/>
    <x v="37"/>
    <x v="12"/>
    <x v="8"/>
    <x v="8"/>
  </r>
  <r>
    <x v="19"/>
    <x v="18"/>
    <x v="1"/>
    <x v="57"/>
    <x v="77"/>
  </r>
  <r>
    <x v="78"/>
    <x v="77"/>
    <x v="2"/>
    <x v="63"/>
    <x v="84"/>
  </r>
  <r>
    <x v="79"/>
    <x v="78"/>
    <x v="2"/>
    <x v="8"/>
    <x v="8"/>
  </r>
  <r>
    <x v="80"/>
    <x v="79"/>
    <x v="10"/>
    <x v="8"/>
    <x v="8"/>
  </r>
  <r>
    <x v="81"/>
    <x v="80"/>
    <x v="2"/>
    <x v="8"/>
    <x v="8"/>
  </r>
  <r>
    <x v="19"/>
    <x v="18"/>
    <x v="1"/>
    <x v="64"/>
    <x v="85"/>
  </r>
  <r>
    <x v="16"/>
    <x v="15"/>
    <x v="1"/>
    <x v="5"/>
    <x v="5"/>
  </r>
  <r>
    <x v="51"/>
    <x v="50"/>
    <x v="1"/>
    <x v="27"/>
    <x v="29"/>
  </r>
  <r>
    <x v="41"/>
    <x v="40"/>
    <x v="0"/>
    <x v="34"/>
    <x v="86"/>
  </r>
  <r>
    <x v="37"/>
    <x v="36"/>
    <x v="0"/>
    <x v="31"/>
    <x v="13"/>
  </r>
  <r>
    <x v="3"/>
    <x v="2"/>
    <x v="1"/>
    <x v="1"/>
    <x v="1"/>
  </r>
  <r>
    <x v="5"/>
    <x v="4"/>
    <x v="0"/>
    <x v="4"/>
    <x v="87"/>
  </r>
  <r>
    <x v="6"/>
    <x v="5"/>
    <x v="0"/>
    <x v="5"/>
    <x v="47"/>
  </r>
  <r>
    <x v="3"/>
    <x v="2"/>
    <x v="1"/>
    <x v="1"/>
    <x v="1"/>
  </r>
  <r>
    <x v="17"/>
    <x v="16"/>
    <x v="1"/>
    <x v="39"/>
    <x v="88"/>
  </r>
  <r>
    <x v="82"/>
    <x v="81"/>
    <x v="1"/>
    <x v="39"/>
    <x v="88"/>
  </r>
  <r>
    <x v="41"/>
    <x v="40"/>
    <x v="1"/>
    <x v="34"/>
    <x v="40"/>
  </r>
  <r>
    <x v="37"/>
    <x v="36"/>
    <x v="1"/>
    <x v="31"/>
    <x v="33"/>
  </r>
  <r>
    <x v="64"/>
    <x v="64"/>
    <x v="1"/>
    <x v="65"/>
    <x v="89"/>
  </r>
  <r>
    <x v="51"/>
    <x v="50"/>
    <x v="1"/>
    <x v="27"/>
    <x v="29"/>
  </r>
  <r>
    <x v="3"/>
    <x v="2"/>
    <x v="1"/>
    <x v="1"/>
    <x v="1"/>
  </r>
  <r>
    <x v="83"/>
    <x v="82"/>
    <x v="2"/>
    <x v="66"/>
    <x v="90"/>
  </r>
  <r>
    <x v="5"/>
    <x v="4"/>
    <x v="0"/>
    <x v="4"/>
    <x v="87"/>
  </r>
  <r>
    <x v="6"/>
    <x v="5"/>
    <x v="0"/>
    <x v="5"/>
    <x v="47"/>
  </r>
  <r>
    <x v="72"/>
    <x v="71"/>
    <x v="0"/>
    <x v="67"/>
    <x v="91"/>
  </r>
  <r>
    <x v="38"/>
    <x v="37"/>
    <x v="0"/>
    <x v="8"/>
    <x v="8"/>
  </r>
  <r>
    <x v="4"/>
    <x v="3"/>
    <x v="10"/>
    <x v="8"/>
    <x v="8"/>
  </r>
  <r>
    <x v="16"/>
    <x v="15"/>
    <x v="10"/>
    <x v="8"/>
    <x v="8"/>
  </r>
  <r>
    <x v="6"/>
    <x v="5"/>
    <x v="10"/>
    <x v="8"/>
    <x v="8"/>
  </r>
  <r>
    <x v="19"/>
    <x v="18"/>
    <x v="1"/>
    <x v="26"/>
    <x v="28"/>
  </r>
  <r>
    <x v="84"/>
    <x v="83"/>
    <x v="14"/>
    <x v="68"/>
    <x v="92"/>
  </r>
  <r>
    <x v="85"/>
    <x v="84"/>
    <x v="15"/>
    <x v="8"/>
    <x v="8"/>
  </r>
  <r>
    <x v="86"/>
    <x v="85"/>
    <x v="15"/>
    <x v="8"/>
    <x v="8"/>
  </r>
  <r>
    <x v="87"/>
    <x v="86"/>
    <x v="16"/>
    <x v="8"/>
    <x v="8"/>
  </r>
  <r>
    <x v="61"/>
    <x v="52"/>
    <x v="2"/>
    <x v="69"/>
    <x v="93"/>
  </r>
  <r>
    <x v="41"/>
    <x v="40"/>
    <x v="2"/>
    <x v="70"/>
    <x v="94"/>
  </r>
  <r>
    <x v="40"/>
    <x v="39"/>
    <x v="2"/>
    <x v="71"/>
    <x v="95"/>
  </r>
  <r>
    <x v="9"/>
    <x v="8"/>
    <x v="2"/>
    <x v="8"/>
    <x v="8"/>
  </r>
  <r>
    <x v="41"/>
    <x v="40"/>
    <x v="2"/>
    <x v="72"/>
    <x v="96"/>
  </r>
  <r>
    <x v="3"/>
    <x v="2"/>
    <x v="0"/>
    <x v="36"/>
    <x v="97"/>
  </r>
  <r>
    <x v="88"/>
    <x v="87"/>
    <x v="2"/>
    <x v="73"/>
    <x v="98"/>
  </r>
  <r>
    <x v="41"/>
    <x v="40"/>
    <x v="2"/>
    <x v="70"/>
    <x v="94"/>
  </r>
  <r>
    <x v="26"/>
    <x v="88"/>
    <x v="1"/>
    <x v="18"/>
    <x v="19"/>
  </r>
  <r>
    <x v="35"/>
    <x v="34"/>
    <x v="3"/>
    <x v="60"/>
    <x v="99"/>
  </r>
  <r>
    <x v="29"/>
    <x v="28"/>
    <x v="3"/>
    <x v="56"/>
    <x v="100"/>
  </r>
  <r>
    <x v="73"/>
    <x v="18"/>
    <x v="1"/>
    <x v="74"/>
    <x v="101"/>
  </r>
  <r>
    <x v="3"/>
    <x v="2"/>
    <x v="1"/>
    <x v="75"/>
    <x v="102"/>
  </r>
  <r>
    <x v="44"/>
    <x v="43"/>
    <x v="1"/>
    <x v="6"/>
    <x v="6"/>
  </r>
  <r>
    <x v="88"/>
    <x v="87"/>
    <x v="2"/>
    <x v="76"/>
    <x v="103"/>
  </r>
  <r>
    <x v="38"/>
    <x v="37"/>
    <x v="2"/>
    <x v="8"/>
    <x v="8"/>
  </r>
  <r>
    <x v="63"/>
    <x v="63"/>
    <x v="2"/>
    <x v="8"/>
    <x v="8"/>
  </r>
  <r>
    <x v="37"/>
    <x v="36"/>
    <x v="2"/>
    <x v="8"/>
    <x v="8"/>
  </r>
  <r>
    <x v="7"/>
    <x v="6"/>
    <x v="2"/>
    <x v="8"/>
    <x v="8"/>
  </r>
  <r>
    <x v="3"/>
    <x v="2"/>
    <x v="0"/>
    <x v="1"/>
    <x v="48"/>
  </r>
  <r>
    <x v="26"/>
    <x v="88"/>
    <x v="1"/>
    <x v="77"/>
    <x v="104"/>
  </r>
  <r>
    <x v="89"/>
    <x v="89"/>
    <x v="2"/>
    <x v="6"/>
    <x v="105"/>
  </r>
  <r>
    <x v="90"/>
    <x v="90"/>
    <x v="0"/>
    <x v="78"/>
    <x v="106"/>
  </r>
  <r>
    <x v="91"/>
    <x v="91"/>
    <x v="10"/>
    <x v="79"/>
    <x v="107"/>
  </r>
  <r>
    <x v="92"/>
    <x v="92"/>
    <x v="2"/>
    <x v="80"/>
    <x v="108"/>
  </r>
  <r>
    <x v="16"/>
    <x v="15"/>
    <x v="0"/>
    <x v="5"/>
    <x v="47"/>
  </r>
  <r>
    <x v="51"/>
    <x v="50"/>
    <x v="1"/>
    <x v="27"/>
    <x v="29"/>
  </r>
  <r>
    <x v="26"/>
    <x v="88"/>
    <x v="1"/>
    <x v="77"/>
    <x v="104"/>
  </r>
  <r>
    <x v="3"/>
    <x v="2"/>
    <x v="1"/>
    <x v="1"/>
    <x v="1"/>
  </r>
  <r>
    <x v="90"/>
    <x v="90"/>
    <x v="12"/>
    <x v="78"/>
    <x v="109"/>
  </r>
  <r>
    <x v="5"/>
    <x v="4"/>
    <x v="1"/>
    <x v="4"/>
    <x v="4"/>
  </r>
  <r>
    <x v="6"/>
    <x v="5"/>
    <x v="1"/>
    <x v="5"/>
    <x v="5"/>
  </r>
  <r>
    <x v="51"/>
    <x v="50"/>
    <x v="1"/>
    <x v="27"/>
    <x v="29"/>
  </r>
  <r>
    <x v="88"/>
    <x v="87"/>
    <x v="2"/>
    <x v="73"/>
    <x v="98"/>
  </r>
  <r>
    <x v="38"/>
    <x v="37"/>
    <x v="2"/>
    <x v="8"/>
    <x v="8"/>
  </r>
  <r>
    <x v="63"/>
    <x v="63"/>
    <x v="2"/>
    <x v="8"/>
    <x v="8"/>
  </r>
  <r>
    <x v="93"/>
    <x v="93"/>
    <x v="2"/>
    <x v="81"/>
    <x v="110"/>
  </r>
  <r>
    <x v="39"/>
    <x v="38"/>
    <x v="2"/>
    <x v="56"/>
    <x v="111"/>
  </r>
  <r>
    <x v="19"/>
    <x v="18"/>
    <x v="1"/>
    <x v="82"/>
    <x v="112"/>
  </r>
  <r>
    <x v="77"/>
    <x v="94"/>
    <x v="10"/>
    <x v="73"/>
    <x v="113"/>
  </r>
  <r>
    <x v="19"/>
    <x v="18"/>
    <x v="1"/>
    <x v="83"/>
    <x v="114"/>
  </r>
  <r>
    <x v="88"/>
    <x v="87"/>
    <x v="2"/>
    <x v="73"/>
    <x v="98"/>
  </r>
  <r>
    <x v="38"/>
    <x v="37"/>
    <x v="2"/>
    <x v="8"/>
    <x v="8"/>
  </r>
  <r>
    <x v="63"/>
    <x v="63"/>
    <x v="2"/>
    <x v="8"/>
    <x v="8"/>
  </r>
  <r>
    <x v="93"/>
    <x v="93"/>
    <x v="2"/>
    <x v="81"/>
    <x v="110"/>
  </r>
  <r>
    <x v="46"/>
    <x v="95"/>
    <x v="4"/>
    <x v="84"/>
    <x v="115"/>
  </r>
  <r>
    <x v="39"/>
    <x v="38"/>
    <x v="2"/>
    <x v="56"/>
    <x v="111"/>
  </r>
  <r>
    <x v="19"/>
    <x v="18"/>
    <x v="1"/>
    <x v="44"/>
    <x v="56"/>
  </r>
  <r>
    <x v="46"/>
    <x v="95"/>
    <x v="10"/>
    <x v="84"/>
    <x v="116"/>
  </r>
  <r>
    <x v="19"/>
    <x v="18"/>
    <x v="1"/>
    <x v="85"/>
    <x v="117"/>
  </r>
  <r>
    <x v="94"/>
    <x v="96"/>
    <x v="4"/>
    <x v="8"/>
    <x v="8"/>
  </r>
  <r>
    <x v="95"/>
    <x v="97"/>
    <x v="4"/>
    <x v="8"/>
    <x v="8"/>
  </r>
  <r>
    <x v="96"/>
    <x v="98"/>
    <x v="4"/>
    <x v="8"/>
    <x v="8"/>
  </r>
  <r>
    <x v="46"/>
    <x v="99"/>
    <x v="0"/>
    <x v="86"/>
    <x v="118"/>
  </r>
  <r>
    <x v="50"/>
    <x v="100"/>
    <x v="1"/>
    <x v="8"/>
    <x v="8"/>
  </r>
  <r>
    <x v="97"/>
    <x v="101"/>
    <x v="1"/>
    <x v="87"/>
    <x v="119"/>
  </r>
  <r>
    <x v="26"/>
    <x v="88"/>
    <x v="1"/>
    <x v="77"/>
    <x v="104"/>
  </r>
  <r>
    <x v="61"/>
    <x v="52"/>
    <x v="0"/>
    <x v="88"/>
    <x v="120"/>
  </r>
  <r>
    <x v="41"/>
    <x v="40"/>
    <x v="0"/>
    <x v="26"/>
    <x v="56"/>
  </r>
  <r>
    <x v="38"/>
    <x v="37"/>
    <x v="0"/>
    <x v="8"/>
    <x v="8"/>
  </r>
  <r>
    <x v="37"/>
    <x v="36"/>
    <x v="0"/>
    <x v="8"/>
    <x v="8"/>
  </r>
  <r>
    <x v="41"/>
    <x v="40"/>
    <x v="1"/>
    <x v="34"/>
    <x v="40"/>
  </r>
  <r>
    <x v="3"/>
    <x v="2"/>
    <x v="1"/>
    <x v="1"/>
    <x v="1"/>
  </r>
  <r>
    <x v="98"/>
    <x v="102"/>
    <x v="1"/>
    <x v="89"/>
    <x v="121"/>
  </r>
  <r>
    <x v="5"/>
    <x v="4"/>
    <x v="2"/>
    <x v="4"/>
    <x v="70"/>
  </r>
  <r>
    <x v="6"/>
    <x v="5"/>
    <x v="2"/>
    <x v="5"/>
    <x v="71"/>
  </r>
  <r>
    <x v="3"/>
    <x v="2"/>
    <x v="1"/>
    <x v="1"/>
    <x v="1"/>
  </r>
  <r>
    <x v="88"/>
    <x v="87"/>
    <x v="0"/>
    <x v="76"/>
    <x v="122"/>
  </r>
  <r>
    <x v="38"/>
    <x v="37"/>
    <x v="0"/>
    <x v="8"/>
    <x v="8"/>
  </r>
  <r>
    <x v="63"/>
    <x v="63"/>
    <x v="0"/>
    <x v="8"/>
    <x v="8"/>
  </r>
  <r>
    <x v="37"/>
    <x v="36"/>
    <x v="0"/>
    <x v="8"/>
    <x v="8"/>
  </r>
  <r>
    <x v="7"/>
    <x v="6"/>
    <x v="0"/>
    <x v="8"/>
    <x v="8"/>
  </r>
  <r>
    <x v="3"/>
    <x v="2"/>
    <x v="1"/>
    <x v="1"/>
    <x v="1"/>
  </r>
  <r>
    <x v="41"/>
    <x v="40"/>
    <x v="2"/>
    <x v="34"/>
    <x v="123"/>
  </r>
  <r>
    <x v="37"/>
    <x v="36"/>
    <x v="2"/>
    <x v="31"/>
    <x v="77"/>
  </r>
  <r>
    <x v="58"/>
    <x v="103"/>
    <x v="2"/>
    <x v="66"/>
    <x v="90"/>
  </r>
  <r>
    <x v="37"/>
    <x v="36"/>
    <x v="2"/>
    <x v="31"/>
    <x v="77"/>
  </r>
  <r>
    <x v="97"/>
    <x v="101"/>
    <x v="1"/>
    <x v="87"/>
    <x v="119"/>
  </r>
  <r>
    <x v="3"/>
    <x v="2"/>
    <x v="11"/>
    <x v="1"/>
    <x v="124"/>
  </r>
  <r>
    <x v="97"/>
    <x v="101"/>
    <x v="1"/>
    <x v="87"/>
    <x v="119"/>
  </r>
  <r>
    <x v="18"/>
    <x v="17"/>
    <x v="12"/>
    <x v="12"/>
    <x v="125"/>
  </r>
  <r>
    <x v="19"/>
    <x v="18"/>
    <x v="1"/>
    <x v="90"/>
    <x v="126"/>
  </r>
  <r>
    <x v="38"/>
    <x v="37"/>
    <x v="12"/>
    <x v="21"/>
    <x v="111"/>
  </r>
  <r>
    <x v="69"/>
    <x v="69"/>
    <x v="0"/>
    <x v="91"/>
    <x v="127"/>
  </r>
  <r>
    <x v="99"/>
    <x v="104"/>
    <x v="5"/>
    <x v="62"/>
    <x v="128"/>
  </r>
  <r>
    <x v="38"/>
    <x v="37"/>
    <x v="5"/>
    <x v="8"/>
    <x v="8"/>
  </r>
  <r>
    <x v="63"/>
    <x v="105"/>
    <x v="5"/>
    <x v="8"/>
    <x v="8"/>
  </r>
  <r>
    <x v="73"/>
    <x v="18"/>
    <x v="1"/>
    <x v="54"/>
    <x v="73"/>
  </r>
  <r>
    <x v="38"/>
    <x v="37"/>
    <x v="17"/>
    <x v="8"/>
    <x v="8"/>
  </r>
  <r>
    <x v="99"/>
    <x v="104"/>
    <x v="17"/>
    <x v="62"/>
    <x v="129"/>
  </r>
  <r>
    <x v="63"/>
    <x v="63"/>
    <x v="17"/>
    <x v="8"/>
    <x v="8"/>
  </r>
  <r>
    <x v="73"/>
    <x v="18"/>
    <x v="1"/>
    <x v="92"/>
    <x v="130"/>
  </r>
  <r>
    <x v="5"/>
    <x v="4"/>
    <x v="1"/>
    <x v="4"/>
    <x v="4"/>
  </r>
  <r>
    <x v="6"/>
    <x v="5"/>
    <x v="1"/>
    <x v="93"/>
    <x v="131"/>
  </r>
  <r>
    <x v="35"/>
    <x v="34"/>
    <x v="0"/>
    <x v="29"/>
    <x v="31"/>
  </r>
  <r>
    <x v="3"/>
    <x v="2"/>
    <x v="1"/>
    <x v="1"/>
    <x v="1"/>
  </r>
  <r>
    <x v="69"/>
    <x v="69"/>
    <x v="1"/>
    <x v="91"/>
    <x v="132"/>
  </r>
  <r>
    <x v="3"/>
    <x v="2"/>
    <x v="1"/>
    <x v="1"/>
    <x v="1"/>
  </r>
  <r>
    <x v="34"/>
    <x v="33"/>
    <x v="0"/>
    <x v="27"/>
    <x v="67"/>
  </r>
  <r>
    <x v="6"/>
    <x v="5"/>
    <x v="0"/>
    <x v="93"/>
    <x v="133"/>
  </r>
  <r>
    <x v="29"/>
    <x v="28"/>
    <x v="0"/>
    <x v="21"/>
    <x v="134"/>
  </r>
  <r>
    <x v="6"/>
    <x v="5"/>
    <x v="2"/>
    <x v="93"/>
    <x v="135"/>
  </r>
  <r>
    <x v="41"/>
    <x v="40"/>
    <x v="0"/>
    <x v="34"/>
    <x v="86"/>
  </r>
  <r>
    <x v="65"/>
    <x v="65"/>
    <x v="0"/>
    <x v="30"/>
    <x v="74"/>
  </r>
  <r>
    <x v="7"/>
    <x v="6"/>
    <x v="12"/>
    <x v="6"/>
    <x v="136"/>
  </r>
  <r>
    <x v="51"/>
    <x v="50"/>
    <x v="12"/>
    <x v="27"/>
    <x v="137"/>
  </r>
  <r>
    <x v="3"/>
    <x v="2"/>
    <x v="1"/>
    <x v="1"/>
    <x v="1"/>
  </r>
  <r>
    <x v="51"/>
    <x v="50"/>
    <x v="1"/>
    <x v="27"/>
    <x v="29"/>
  </r>
  <r>
    <x v="64"/>
    <x v="64"/>
    <x v="0"/>
    <x v="65"/>
    <x v="138"/>
  </r>
  <r>
    <x v="51"/>
    <x v="50"/>
    <x v="1"/>
    <x v="27"/>
    <x v="29"/>
  </r>
  <r>
    <x v="2"/>
    <x v="1"/>
    <x v="1"/>
    <x v="2"/>
    <x v="2"/>
  </r>
  <r>
    <x v="51"/>
    <x v="50"/>
    <x v="0"/>
    <x v="27"/>
    <x v="67"/>
  </r>
  <r>
    <x v="18"/>
    <x v="17"/>
    <x v="0"/>
    <x v="32"/>
    <x v="34"/>
  </r>
  <r>
    <x v="16"/>
    <x v="15"/>
    <x v="1"/>
    <x v="5"/>
    <x v="5"/>
  </r>
  <r>
    <x v="6"/>
    <x v="5"/>
    <x v="1"/>
    <x v="93"/>
    <x v="131"/>
  </r>
  <r>
    <x v="100"/>
    <x v="106"/>
    <x v="18"/>
    <x v="94"/>
    <x v="85"/>
  </r>
  <r>
    <x v="17"/>
    <x v="16"/>
    <x v="1"/>
    <x v="8"/>
    <x v="8"/>
  </r>
  <r>
    <x v="73"/>
    <x v="18"/>
    <x v="1"/>
    <x v="95"/>
    <x v="139"/>
  </r>
  <r>
    <x v="3"/>
    <x v="2"/>
    <x v="5"/>
    <x v="36"/>
    <x v="42"/>
  </r>
  <r>
    <x v="19"/>
    <x v="18"/>
    <x v="1"/>
    <x v="96"/>
    <x v="140"/>
  </r>
  <r>
    <x v="64"/>
    <x v="64"/>
    <x v="1"/>
    <x v="65"/>
    <x v="89"/>
  </r>
  <r>
    <x v="101"/>
    <x v="18"/>
    <x v="1"/>
    <x v="97"/>
    <x v="141"/>
  </r>
  <r>
    <x v="97"/>
    <x v="101"/>
    <x v="1"/>
    <x v="87"/>
    <x v="119"/>
  </r>
  <r>
    <x v="34"/>
    <x v="33"/>
    <x v="1"/>
    <x v="27"/>
    <x v="29"/>
  </r>
  <r>
    <x v="6"/>
    <x v="5"/>
    <x v="1"/>
    <x v="93"/>
    <x v="131"/>
  </r>
  <r>
    <x v="2"/>
    <x v="1"/>
    <x v="1"/>
    <x v="28"/>
    <x v="30"/>
  </r>
  <r>
    <x v="97"/>
    <x v="101"/>
    <x v="0"/>
    <x v="87"/>
    <x v="142"/>
  </r>
  <r>
    <x v="51"/>
    <x v="50"/>
    <x v="0"/>
    <x v="27"/>
    <x v="67"/>
  </r>
  <r>
    <x v="34"/>
    <x v="33"/>
    <x v="1"/>
    <x v="27"/>
    <x v="29"/>
  </r>
  <r>
    <x v="6"/>
    <x v="5"/>
    <x v="1"/>
    <x v="93"/>
    <x v="131"/>
  </r>
  <r>
    <x v="1"/>
    <x v="1"/>
    <x v="1"/>
    <x v="1"/>
    <x v="1"/>
  </r>
  <r>
    <x v="10"/>
    <x v="9"/>
    <x v="1"/>
    <x v="9"/>
    <x v="9"/>
  </r>
  <r>
    <x v="19"/>
    <x v="18"/>
    <x v="1"/>
    <x v="26"/>
    <x v="28"/>
  </r>
  <r>
    <x v="6"/>
    <x v="5"/>
    <x v="12"/>
    <x v="98"/>
    <x v="143"/>
  </r>
  <r>
    <x v="50"/>
    <x v="107"/>
    <x v="1"/>
    <x v="8"/>
    <x v="8"/>
  </r>
  <r>
    <x v="90"/>
    <x v="90"/>
    <x v="1"/>
    <x v="78"/>
    <x v="144"/>
  </r>
  <r>
    <x v="40"/>
    <x v="39"/>
    <x v="0"/>
    <x v="7"/>
    <x v="7"/>
  </r>
  <r>
    <x v="9"/>
    <x v="8"/>
    <x v="0"/>
    <x v="8"/>
    <x v="8"/>
  </r>
  <r>
    <x v="38"/>
    <x v="37"/>
    <x v="2"/>
    <x v="21"/>
    <x v="36"/>
  </r>
  <r>
    <x v="7"/>
    <x v="6"/>
    <x v="0"/>
    <x v="6"/>
    <x v="78"/>
  </r>
  <r>
    <x v="64"/>
    <x v="64"/>
    <x v="1"/>
    <x v="65"/>
    <x v="89"/>
  </r>
  <r>
    <x v="51"/>
    <x v="50"/>
    <x v="2"/>
    <x v="27"/>
    <x v="51"/>
  </r>
  <r>
    <x v="16"/>
    <x v="15"/>
    <x v="0"/>
    <x v="5"/>
    <x v="47"/>
  </r>
  <r>
    <x v="42"/>
    <x v="41"/>
    <x v="2"/>
    <x v="35"/>
    <x v="145"/>
  </r>
  <r>
    <x v="43"/>
    <x v="42"/>
    <x v="2"/>
    <x v="35"/>
    <x v="145"/>
  </r>
  <r>
    <x v="53"/>
    <x v="52"/>
    <x v="0"/>
    <x v="40"/>
    <x v="55"/>
  </r>
  <r>
    <x v="7"/>
    <x v="6"/>
    <x v="0"/>
    <x v="8"/>
    <x v="8"/>
  </r>
  <r>
    <x v="38"/>
    <x v="37"/>
    <x v="0"/>
    <x v="8"/>
    <x v="8"/>
  </r>
  <r>
    <x v="37"/>
    <x v="36"/>
    <x v="0"/>
    <x v="8"/>
    <x v="8"/>
  </r>
  <r>
    <x v="5"/>
    <x v="4"/>
    <x v="1"/>
    <x v="4"/>
    <x v="4"/>
  </r>
  <r>
    <x v="6"/>
    <x v="5"/>
    <x v="1"/>
    <x v="93"/>
    <x v="131"/>
  </r>
  <r>
    <x v="53"/>
    <x v="52"/>
    <x v="1"/>
    <x v="40"/>
    <x v="49"/>
  </r>
  <r>
    <x v="7"/>
    <x v="6"/>
    <x v="1"/>
    <x v="8"/>
    <x v="8"/>
  </r>
  <r>
    <x v="38"/>
    <x v="37"/>
    <x v="1"/>
    <x v="8"/>
    <x v="8"/>
  </r>
  <r>
    <x v="37"/>
    <x v="36"/>
    <x v="1"/>
    <x v="8"/>
    <x v="8"/>
  </r>
  <r>
    <x v="90"/>
    <x v="90"/>
    <x v="1"/>
    <x v="78"/>
    <x v="144"/>
  </r>
  <r>
    <x v="35"/>
    <x v="34"/>
    <x v="19"/>
    <x v="29"/>
    <x v="146"/>
  </r>
  <r>
    <x v="29"/>
    <x v="28"/>
    <x v="19"/>
    <x v="21"/>
    <x v="147"/>
  </r>
  <r>
    <x v="102"/>
    <x v="108"/>
    <x v="1"/>
    <x v="8"/>
    <x v="8"/>
  </r>
  <r>
    <x v="103"/>
    <x v="109"/>
    <x v="1"/>
    <x v="8"/>
    <x v="8"/>
  </r>
  <r>
    <x v="104"/>
    <x v="110"/>
    <x v="1"/>
    <x v="8"/>
    <x v="8"/>
  </r>
  <r>
    <x v="72"/>
    <x v="111"/>
    <x v="1"/>
    <x v="8"/>
    <x v="8"/>
  </r>
  <r>
    <x v="41"/>
    <x v="40"/>
    <x v="2"/>
    <x v="8"/>
    <x v="8"/>
  </r>
  <r>
    <x v="38"/>
    <x v="37"/>
    <x v="1"/>
    <x v="8"/>
    <x v="8"/>
  </r>
  <r>
    <x v="16"/>
    <x v="15"/>
    <x v="2"/>
    <x v="8"/>
    <x v="8"/>
  </r>
  <r>
    <x v="6"/>
    <x v="5"/>
    <x v="1"/>
    <x v="8"/>
    <x v="8"/>
  </r>
  <r>
    <x v="50"/>
    <x v="112"/>
    <x v="1"/>
    <x v="8"/>
    <x v="8"/>
  </r>
  <r>
    <x v="105"/>
    <x v="113"/>
    <x v="10"/>
    <x v="99"/>
    <x v="148"/>
  </r>
  <r>
    <x v="23"/>
    <x v="22"/>
    <x v="10"/>
    <x v="16"/>
    <x v="149"/>
  </r>
  <r>
    <x v="16"/>
    <x v="15"/>
    <x v="5"/>
    <x v="100"/>
    <x v="150"/>
  </r>
  <r>
    <x v="106"/>
    <x v="114"/>
    <x v="2"/>
    <x v="72"/>
    <x v="96"/>
  </r>
  <r>
    <x v="107"/>
    <x v="115"/>
    <x v="5"/>
    <x v="101"/>
    <x v="151"/>
  </r>
  <r>
    <x v="34"/>
    <x v="33"/>
    <x v="11"/>
    <x v="102"/>
    <x v="152"/>
  </r>
  <r>
    <x v="6"/>
    <x v="5"/>
    <x v="11"/>
    <x v="8"/>
    <x v="8"/>
  </r>
  <r>
    <x v="5"/>
    <x v="4"/>
    <x v="10"/>
    <x v="103"/>
    <x v="153"/>
  </r>
  <r>
    <x v="35"/>
    <x v="34"/>
    <x v="5"/>
    <x v="60"/>
    <x v="81"/>
  </r>
  <r>
    <x v="29"/>
    <x v="28"/>
    <x v="5"/>
    <x v="56"/>
    <x v="154"/>
  </r>
  <r>
    <x v="19"/>
    <x v="18"/>
    <x v="1"/>
    <x v="54"/>
    <x v="73"/>
  </r>
  <r>
    <x v="101"/>
    <x v="18"/>
    <x v="1"/>
    <x v="104"/>
    <x v="155"/>
  </r>
  <r>
    <x v="50"/>
    <x v="116"/>
    <x v="1"/>
    <x v="8"/>
    <x v="8"/>
  </r>
  <r>
    <x v="108"/>
    <x v="117"/>
    <x v="2"/>
    <x v="8"/>
    <x v="8"/>
  </r>
  <r>
    <x v="109"/>
    <x v="118"/>
    <x v="2"/>
    <x v="8"/>
    <x v="8"/>
  </r>
  <r>
    <x v="1"/>
    <x v="1"/>
    <x v="1"/>
    <x v="1"/>
    <x v="1"/>
  </r>
  <r>
    <x v="3"/>
    <x v="2"/>
    <x v="1"/>
    <x v="1"/>
    <x v="1"/>
  </r>
  <r>
    <x v="34"/>
    <x v="33"/>
    <x v="1"/>
    <x v="27"/>
    <x v="29"/>
  </r>
  <r>
    <x v="6"/>
    <x v="5"/>
    <x v="1"/>
    <x v="93"/>
    <x v="131"/>
  </r>
  <r>
    <x v="69"/>
    <x v="69"/>
    <x v="0"/>
    <x v="91"/>
    <x v="127"/>
  </r>
  <r>
    <x v="7"/>
    <x v="6"/>
    <x v="1"/>
    <x v="6"/>
    <x v="6"/>
  </r>
  <r>
    <x v="37"/>
    <x v="36"/>
    <x v="1"/>
    <x v="31"/>
    <x v="33"/>
  </r>
  <r>
    <x v="51"/>
    <x v="50"/>
    <x v="2"/>
    <x v="105"/>
    <x v="156"/>
  </r>
  <r>
    <x v="5"/>
    <x v="4"/>
    <x v="0"/>
    <x v="106"/>
    <x v="157"/>
  </r>
  <r>
    <x v="6"/>
    <x v="5"/>
    <x v="0"/>
    <x v="93"/>
    <x v="133"/>
  </r>
  <r>
    <x v="64"/>
    <x v="64"/>
    <x v="0"/>
    <x v="107"/>
    <x v="158"/>
  </r>
  <r>
    <x v="2"/>
    <x v="1"/>
    <x v="1"/>
    <x v="2"/>
    <x v="2"/>
  </r>
  <r>
    <x v="5"/>
    <x v="4"/>
    <x v="1"/>
    <x v="4"/>
    <x v="4"/>
  </r>
  <r>
    <x v="6"/>
    <x v="5"/>
    <x v="1"/>
    <x v="93"/>
    <x v="131"/>
  </r>
  <r>
    <x v="88"/>
    <x v="87"/>
    <x v="1"/>
    <x v="76"/>
    <x v="159"/>
  </r>
  <r>
    <x v="38"/>
    <x v="37"/>
    <x v="1"/>
    <x v="8"/>
    <x v="8"/>
  </r>
  <r>
    <x v="63"/>
    <x v="63"/>
    <x v="1"/>
    <x v="8"/>
    <x v="8"/>
  </r>
  <r>
    <x v="37"/>
    <x v="36"/>
    <x v="1"/>
    <x v="8"/>
    <x v="8"/>
  </r>
  <r>
    <x v="7"/>
    <x v="6"/>
    <x v="1"/>
    <x v="8"/>
    <x v="8"/>
  </r>
  <r>
    <x v="39"/>
    <x v="38"/>
    <x v="1"/>
    <x v="21"/>
    <x v="22"/>
  </r>
  <r>
    <x v="1"/>
    <x v="1"/>
    <x v="1"/>
    <x v="1"/>
    <x v="1"/>
  </r>
  <r>
    <x v="1"/>
    <x v="1"/>
    <x v="1"/>
    <x v="1"/>
    <x v="1"/>
  </r>
  <r>
    <x v="110"/>
    <x v="119"/>
    <x v="11"/>
    <x v="70"/>
    <x v="160"/>
  </r>
  <r>
    <x v="111"/>
    <x v="120"/>
    <x v="11"/>
    <x v="54"/>
    <x v="161"/>
  </r>
  <r>
    <x v="65"/>
    <x v="65"/>
    <x v="11"/>
    <x v="108"/>
    <x v="162"/>
  </r>
  <r>
    <x v="37"/>
    <x v="36"/>
    <x v="11"/>
    <x v="8"/>
    <x v="8"/>
  </r>
  <r>
    <x v="19"/>
    <x v="18"/>
    <x v="1"/>
    <x v="50"/>
    <x v="62"/>
  </r>
  <r>
    <x v="64"/>
    <x v="64"/>
    <x v="1"/>
    <x v="65"/>
    <x v="89"/>
  </r>
  <r>
    <x v="3"/>
    <x v="2"/>
    <x v="1"/>
    <x v="1"/>
    <x v="1"/>
  </r>
  <r>
    <x v="2"/>
    <x v="1"/>
    <x v="1"/>
    <x v="28"/>
    <x v="30"/>
  </r>
  <r>
    <x v="58"/>
    <x v="103"/>
    <x v="1"/>
    <x v="66"/>
    <x v="163"/>
  </r>
  <r>
    <x v="5"/>
    <x v="4"/>
    <x v="2"/>
    <x v="4"/>
    <x v="70"/>
  </r>
  <r>
    <x v="6"/>
    <x v="5"/>
    <x v="2"/>
    <x v="93"/>
    <x v="135"/>
  </r>
  <r>
    <x v="112"/>
    <x v="121"/>
    <x v="1"/>
    <x v="66"/>
    <x v="163"/>
  </r>
  <r>
    <x v="2"/>
    <x v="1"/>
    <x v="0"/>
    <x v="2"/>
    <x v="164"/>
  </r>
  <r>
    <x v="35"/>
    <x v="34"/>
    <x v="1"/>
    <x v="29"/>
    <x v="64"/>
  </r>
  <r>
    <x v="36"/>
    <x v="35"/>
    <x v="1"/>
    <x v="30"/>
    <x v="32"/>
  </r>
  <r>
    <x v="2"/>
    <x v="1"/>
    <x v="1"/>
    <x v="2"/>
    <x v="2"/>
  </r>
  <r>
    <x v="18"/>
    <x v="17"/>
    <x v="1"/>
    <x v="32"/>
    <x v="165"/>
  </r>
  <r>
    <x v="51"/>
    <x v="50"/>
    <x v="1"/>
    <x v="27"/>
    <x v="29"/>
  </r>
  <r>
    <x v="5"/>
    <x v="4"/>
    <x v="1"/>
    <x v="4"/>
    <x v="4"/>
  </r>
  <r>
    <x v="6"/>
    <x v="5"/>
    <x v="1"/>
    <x v="93"/>
    <x v="131"/>
  </r>
  <r>
    <x v="50"/>
    <x v="122"/>
    <x v="1"/>
    <x v="8"/>
    <x v="8"/>
  </r>
</pivotCacheRecords>
</file>

<file path=xl/pivotCache/pivotCacheRecords38.xml><?xml version="1.0" encoding="utf-8"?>
<pivotCacheRecords xmlns:r="http://schemas.openxmlformats.org/officeDocument/2006/relationships" xmlns="http://schemas.openxmlformats.org/spreadsheetml/2006/main" count="482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0"/>
    <x v="2"/>
    <x v="2"/>
  </r>
  <r>
    <x v="2"/>
    <x v="2"/>
    <x v="2"/>
    <x v="3"/>
    <x v="3"/>
    <x v="0"/>
    <x v="3"/>
    <x v="3"/>
  </r>
  <r>
    <x v="2"/>
    <x v="2"/>
    <x v="2"/>
    <x v="4"/>
    <x v="4"/>
    <x v="0"/>
    <x v="4"/>
    <x v="4"/>
  </r>
  <r>
    <x v="2"/>
    <x v="2"/>
    <x v="2"/>
    <x v="5"/>
    <x v="5"/>
    <x v="0"/>
    <x v="5"/>
    <x v="5"/>
  </r>
  <r>
    <x v="2"/>
    <x v="2"/>
    <x v="2"/>
    <x v="1"/>
    <x v="1"/>
    <x v="0"/>
    <x v="1"/>
    <x v="6"/>
  </r>
  <r>
    <x v="3"/>
    <x v="3"/>
    <x v="3"/>
    <x v="6"/>
    <x v="6"/>
    <x v="0"/>
    <x v="6"/>
    <x v="7"/>
  </r>
  <r>
    <x v="4"/>
    <x v="4"/>
    <x v="4"/>
    <x v="2"/>
    <x v="2"/>
    <x v="0"/>
    <x v="2"/>
    <x v="2"/>
  </r>
  <r>
    <x v="4"/>
    <x v="4"/>
    <x v="4"/>
    <x v="7"/>
    <x v="7"/>
    <x v="0"/>
    <x v="7"/>
    <x v="8"/>
  </r>
  <r>
    <x v="4"/>
    <x v="4"/>
    <x v="4"/>
    <x v="6"/>
    <x v="6"/>
    <x v="0"/>
    <x v="6"/>
    <x v="7"/>
  </r>
  <r>
    <x v="4"/>
    <x v="4"/>
    <x v="4"/>
    <x v="1"/>
    <x v="1"/>
    <x v="2"/>
    <x v="1"/>
    <x v="9"/>
  </r>
  <r>
    <x v="5"/>
    <x v="5"/>
    <x v="5"/>
    <x v="1"/>
    <x v="1"/>
    <x v="2"/>
    <x v="1"/>
    <x v="9"/>
  </r>
  <r>
    <x v="5"/>
    <x v="5"/>
    <x v="5"/>
    <x v="6"/>
    <x v="6"/>
    <x v="0"/>
    <x v="6"/>
    <x v="7"/>
  </r>
  <r>
    <x v="6"/>
    <x v="6"/>
    <x v="6"/>
    <x v="8"/>
    <x v="8"/>
    <x v="0"/>
    <x v="8"/>
    <x v="10"/>
  </r>
  <r>
    <x v="7"/>
    <x v="7"/>
    <x v="7"/>
    <x v="9"/>
    <x v="9"/>
    <x v="0"/>
    <x v="9"/>
    <x v="11"/>
  </r>
  <r>
    <x v="7"/>
    <x v="7"/>
    <x v="7"/>
    <x v="10"/>
    <x v="10"/>
    <x v="2"/>
    <x v="10"/>
    <x v="12"/>
  </r>
  <r>
    <x v="7"/>
    <x v="7"/>
    <x v="7"/>
    <x v="11"/>
    <x v="11"/>
    <x v="2"/>
    <x v="4"/>
    <x v="4"/>
  </r>
  <r>
    <x v="7"/>
    <x v="7"/>
    <x v="7"/>
    <x v="12"/>
    <x v="12"/>
    <x v="2"/>
    <x v="4"/>
    <x v="4"/>
  </r>
  <r>
    <x v="7"/>
    <x v="7"/>
    <x v="7"/>
    <x v="13"/>
    <x v="13"/>
    <x v="2"/>
    <x v="4"/>
    <x v="4"/>
  </r>
  <r>
    <x v="7"/>
    <x v="7"/>
    <x v="7"/>
    <x v="5"/>
    <x v="5"/>
    <x v="2"/>
    <x v="4"/>
    <x v="4"/>
  </r>
  <r>
    <x v="7"/>
    <x v="7"/>
    <x v="7"/>
    <x v="14"/>
    <x v="14"/>
    <x v="0"/>
    <x v="11"/>
    <x v="13"/>
  </r>
  <r>
    <x v="7"/>
    <x v="7"/>
    <x v="7"/>
    <x v="15"/>
    <x v="15"/>
    <x v="2"/>
    <x v="12"/>
    <x v="14"/>
  </r>
  <r>
    <x v="7"/>
    <x v="7"/>
    <x v="7"/>
    <x v="16"/>
    <x v="16"/>
    <x v="3"/>
    <x v="13"/>
    <x v="15"/>
  </r>
  <r>
    <x v="7"/>
    <x v="7"/>
    <x v="7"/>
    <x v="17"/>
    <x v="17"/>
    <x v="3"/>
    <x v="14"/>
    <x v="16"/>
  </r>
  <r>
    <x v="7"/>
    <x v="7"/>
    <x v="7"/>
    <x v="2"/>
    <x v="2"/>
    <x v="0"/>
    <x v="2"/>
    <x v="2"/>
  </r>
  <r>
    <x v="8"/>
    <x v="8"/>
    <x v="8"/>
    <x v="0"/>
    <x v="0"/>
    <x v="4"/>
    <x v="15"/>
    <x v="17"/>
  </r>
  <r>
    <x v="8"/>
    <x v="8"/>
    <x v="8"/>
    <x v="18"/>
    <x v="18"/>
    <x v="0"/>
    <x v="16"/>
    <x v="18"/>
  </r>
  <r>
    <x v="9"/>
    <x v="9"/>
    <x v="9"/>
    <x v="19"/>
    <x v="19"/>
    <x v="3"/>
    <x v="0"/>
    <x v="19"/>
  </r>
  <r>
    <x v="9"/>
    <x v="9"/>
    <x v="9"/>
    <x v="6"/>
    <x v="6"/>
    <x v="3"/>
    <x v="6"/>
    <x v="20"/>
  </r>
  <r>
    <x v="10"/>
    <x v="10"/>
    <x v="10"/>
    <x v="0"/>
    <x v="0"/>
    <x v="3"/>
    <x v="0"/>
    <x v="19"/>
  </r>
  <r>
    <x v="11"/>
    <x v="11"/>
    <x v="11"/>
    <x v="7"/>
    <x v="7"/>
    <x v="0"/>
    <x v="7"/>
    <x v="8"/>
  </r>
  <r>
    <x v="11"/>
    <x v="11"/>
    <x v="11"/>
    <x v="6"/>
    <x v="6"/>
    <x v="0"/>
    <x v="6"/>
    <x v="7"/>
  </r>
  <r>
    <x v="11"/>
    <x v="11"/>
    <x v="11"/>
    <x v="1"/>
    <x v="1"/>
    <x v="0"/>
    <x v="1"/>
    <x v="6"/>
  </r>
  <r>
    <x v="11"/>
    <x v="11"/>
    <x v="11"/>
    <x v="20"/>
    <x v="20"/>
    <x v="0"/>
    <x v="17"/>
    <x v="21"/>
  </r>
  <r>
    <x v="12"/>
    <x v="12"/>
    <x v="12"/>
    <x v="0"/>
    <x v="0"/>
    <x v="0"/>
    <x v="0"/>
    <x v="0"/>
  </r>
  <r>
    <x v="13"/>
    <x v="13"/>
    <x v="13"/>
    <x v="9"/>
    <x v="9"/>
    <x v="0"/>
    <x v="9"/>
    <x v="11"/>
  </r>
  <r>
    <x v="14"/>
    <x v="14"/>
    <x v="14"/>
    <x v="6"/>
    <x v="6"/>
    <x v="5"/>
    <x v="6"/>
    <x v="22"/>
  </r>
  <r>
    <x v="15"/>
    <x v="15"/>
    <x v="15"/>
    <x v="1"/>
    <x v="1"/>
    <x v="0"/>
    <x v="1"/>
    <x v="6"/>
  </r>
  <r>
    <x v="15"/>
    <x v="15"/>
    <x v="15"/>
    <x v="6"/>
    <x v="6"/>
    <x v="0"/>
    <x v="6"/>
    <x v="7"/>
  </r>
  <r>
    <x v="16"/>
    <x v="16"/>
    <x v="16"/>
    <x v="9"/>
    <x v="9"/>
    <x v="0"/>
    <x v="9"/>
    <x v="11"/>
  </r>
  <r>
    <x v="17"/>
    <x v="17"/>
    <x v="17"/>
    <x v="0"/>
    <x v="0"/>
    <x v="0"/>
    <x v="0"/>
    <x v="0"/>
  </r>
  <r>
    <x v="18"/>
    <x v="18"/>
    <x v="18"/>
    <x v="2"/>
    <x v="2"/>
    <x v="0"/>
    <x v="2"/>
    <x v="2"/>
  </r>
  <r>
    <x v="19"/>
    <x v="19"/>
    <x v="19"/>
    <x v="10"/>
    <x v="10"/>
    <x v="0"/>
    <x v="10"/>
    <x v="23"/>
  </r>
  <r>
    <x v="19"/>
    <x v="19"/>
    <x v="19"/>
    <x v="11"/>
    <x v="11"/>
    <x v="0"/>
    <x v="4"/>
    <x v="4"/>
  </r>
  <r>
    <x v="19"/>
    <x v="19"/>
    <x v="19"/>
    <x v="12"/>
    <x v="12"/>
    <x v="0"/>
    <x v="4"/>
    <x v="4"/>
  </r>
  <r>
    <x v="19"/>
    <x v="19"/>
    <x v="19"/>
    <x v="13"/>
    <x v="13"/>
    <x v="0"/>
    <x v="4"/>
    <x v="4"/>
  </r>
  <r>
    <x v="19"/>
    <x v="19"/>
    <x v="19"/>
    <x v="5"/>
    <x v="5"/>
    <x v="0"/>
    <x v="4"/>
    <x v="4"/>
  </r>
  <r>
    <x v="19"/>
    <x v="19"/>
    <x v="19"/>
    <x v="21"/>
    <x v="21"/>
    <x v="0"/>
    <x v="18"/>
    <x v="24"/>
  </r>
  <r>
    <x v="19"/>
    <x v="19"/>
    <x v="19"/>
    <x v="10"/>
    <x v="10"/>
    <x v="0"/>
    <x v="10"/>
    <x v="23"/>
  </r>
  <r>
    <x v="19"/>
    <x v="19"/>
    <x v="19"/>
    <x v="11"/>
    <x v="11"/>
    <x v="0"/>
    <x v="4"/>
    <x v="4"/>
  </r>
  <r>
    <x v="19"/>
    <x v="19"/>
    <x v="19"/>
    <x v="12"/>
    <x v="12"/>
    <x v="0"/>
    <x v="4"/>
    <x v="4"/>
  </r>
  <r>
    <x v="19"/>
    <x v="19"/>
    <x v="19"/>
    <x v="13"/>
    <x v="13"/>
    <x v="0"/>
    <x v="4"/>
    <x v="4"/>
  </r>
  <r>
    <x v="19"/>
    <x v="19"/>
    <x v="19"/>
    <x v="22"/>
    <x v="22"/>
    <x v="0"/>
    <x v="19"/>
    <x v="25"/>
  </r>
  <r>
    <x v="19"/>
    <x v="19"/>
    <x v="19"/>
    <x v="23"/>
    <x v="23"/>
    <x v="0"/>
    <x v="20"/>
    <x v="26"/>
  </r>
  <r>
    <x v="19"/>
    <x v="19"/>
    <x v="19"/>
    <x v="24"/>
    <x v="24"/>
    <x v="0"/>
    <x v="21"/>
    <x v="27"/>
  </r>
  <r>
    <x v="20"/>
    <x v="20"/>
    <x v="20"/>
    <x v="2"/>
    <x v="2"/>
    <x v="0"/>
    <x v="2"/>
    <x v="2"/>
  </r>
  <r>
    <x v="21"/>
    <x v="21"/>
    <x v="21"/>
    <x v="5"/>
    <x v="5"/>
    <x v="3"/>
    <x v="5"/>
    <x v="28"/>
  </r>
  <r>
    <x v="21"/>
    <x v="21"/>
    <x v="21"/>
    <x v="13"/>
    <x v="13"/>
    <x v="3"/>
    <x v="22"/>
    <x v="29"/>
  </r>
  <r>
    <x v="21"/>
    <x v="21"/>
    <x v="21"/>
    <x v="19"/>
    <x v="19"/>
    <x v="3"/>
    <x v="0"/>
    <x v="19"/>
  </r>
  <r>
    <x v="21"/>
    <x v="21"/>
    <x v="21"/>
    <x v="6"/>
    <x v="6"/>
    <x v="3"/>
    <x v="6"/>
    <x v="20"/>
  </r>
  <r>
    <x v="21"/>
    <x v="21"/>
    <x v="21"/>
    <x v="2"/>
    <x v="2"/>
    <x v="0"/>
    <x v="2"/>
    <x v="2"/>
  </r>
  <r>
    <x v="22"/>
    <x v="22"/>
    <x v="22"/>
    <x v="25"/>
    <x v="25"/>
    <x v="2"/>
    <x v="23"/>
    <x v="30"/>
  </r>
  <r>
    <x v="23"/>
    <x v="23"/>
    <x v="22"/>
    <x v="23"/>
    <x v="23"/>
    <x v="6"/>
    <x v="24"/>
    <x v="31"/>
  </r>
  <r>
    <x v="23"/>
    <x v="23"/>
    <x v="22"/>
    <x v="26"/>
    <x v="26"/>
    <x v="2"/>
    <x v="25"/>
    <x v="32"/>
  </r>
  <r>
    <x v="23"/>
    <x v="23"/>
    <x v="22"/>
    <x v="27"/>
    <x v="27"/>
    <x v="7"/>
    <x v="4"/>
    <x v="4"/>
  </r>
  <r>
    <x v="23"/>
    <x v="23"/>
    <x v="22"/>
    <x v="18"/>
    <x v="18"/>
    <x v="0"/>
    <x v="26"/>
    <x v="33"/>
  </r>
  <r>
    <x v="24"/>
    <x v="8"/>
    <x v="22"/>
    <x v="28"/>
    <x v="28"/>
    <x v="6"/>
    <x v="4"/>
    <x v="4"/>
  </r>
  <r>
    <x v="25"/>
    <x v="22"/>
    <x v="22"/>
    <x v="10"/>
    <x v="10"/>
    <x v="2"/>
    <x v="27"/>
    <x v="34"/>
  </r>
  <r>
    <x v="25"/>
    <x v="22"/>
    <x v="22"/>
    <x v="29"/>
    <x v="29"/>
    <x v="2"/>
    <x v="4"/>
    <x v="4"/>
  </r>
  <r>
    <x v="25"/>
    <x v="22"/>
    <x v="22"/>
    <x v="11"/>
    <x v="11"/>
    <x v="2"/>
    <x v="4"/>
    <x v="4"/>
  </r>
  <r>
    <x v="25"/>
    <x v="22"/>
    <x v="22"/>
    <x v="12"/>
    <x v="12"/>
    <x v="2"/>
    <x v="4"/>
    <x v="4"/>
  </r>
  <r>
    <x v="25"/>
    <x v="22"/>
    <x v="22"/>
    <x v="6"/>
    <x v="6"/>
    <x v="2"/>
    <x v="4"/>
    <x v="4"/>
  </r>
  <r>
    <x v="25"/>
    <x v="22"/>
    <x v="22"/>
    <x v="1"/>
    <x v="1"/>
    <x v="2"/>
    <x v="4"/>
    <x v="4"/>
  </r>
  <r>
    <x v="25"/>
    <x v="22"/>
    <x v="22"/>
    <x v="18"/>
    <x v="18"/>
    <x v="0"/>
    <x v="28"/>
    <x v="35"/>
  </r>
  <r>
    <x v="26"/>
    <x v="24"/>
    <x v="23"/>
    <x v="5"/>
    <x v="5"/>
    <x v="0"/>
    <x v="5"/>
    <x v="5"/>
  </r>
  <r>
    <x v="26"/>
    <x v="24"/>
    <x v="23"/>
    <x v="13"/>
    <x v="13"/>
    <x v="0"/>
    <x v="22"/>
    <x v="36"/>
  </r>
  <r>
    <x v="27"/>
    <x v="25"/>
    <x v="24"/>
    <x v="0"/>
    <x v="0"/>
    <x v="0"/>
    <x v="0"/>
    <x v="0"/>
  </r>
  <r>
    <x v="28"/>
    <x v="26"/>
    <x v="25"/>
    <x v="30"/>
    <x v="30"/>
    <x v="0"/>
    <x v="29"/>
    <x v="37"/>
  </r>
  <r>
    <x v="29"/>
    <x v="27"/>
    <x v="26"/>
    <x v="31"/>
    <x v="8"/>
    <x v="3"/>
    <x v="2"/>
    <x v="38"/>
  </r>
  <r>
    <x v="30"/>
    <x v="28"/>
    <x v="27"/>
    <x v="2"/>
    <x v="2"/>
    <x v="0"/>
    <x v="2"/>
    <x v="2"/>
  </r>
  <r>
    <x v="31"/>
    <x v="29"/>
    <x v="28"/>
    <x v="5"/>
    <x v="5"/>
    <x v="0"/>
    <x v="5"/>
    <x v="5"/>
  </r>
  <r>
    <x v="31"/>
    <x v="29"/>
    <x v="28"/>
    <x v="23"/>
    <x v="23"/>
    <x v="3"/>
    <x v="20"/>
    <x v="39"/>
  </r>
  <r>
    <x v="31"/>
    <x v="29"/>
    <x v="28"/>
    <x v="19"/>
    <x v="19"/>
    <x v="3"/>
    <x v="0"/>
    <x v="19"/>
  </r>
  <r>
    <x v="31"/>
    <x v="29"/>
    <x v="28"/>
    <x v="6"/>
    <x v="6"/>
    <x v="3"/>
    <x v="6"/>
    <x v="20"/>
  </r>
  <r>
    <x v="31"/>
    <x v="29"/>
    <x v="28"/>
    <x v="21"/>
    <x v="21"/>
    <x v="3"/>
    <x v="18"/>
    <x v="40"/>
  </r>
  <r>
    <x v="32"/>
    <x v="30"/>
    <x v="29"/>
    <x v="30"/>
    <x v="30"/>
    <x v="0"/>
    <x v="29"/>
    <x v="37"/>
  </r>
  <r>
    <x v="33"/>
    <x v="31"/>
    <x v="30"/>
    <x v="10"/>
    <x v="10"/>
    <x v="6"/>
    <x v="27"/>
    <x v="41"/>
  </r>
  <r>
    <x v="33"/>
    <x v="31"/>
    <x v="30"/>
    <x v="5"/>
    <x v="5"/>
    <x v="6"/>
    <x v="4"/>
    <x v="4"/>
  </r>
  <r>
    <x v="33"/>
    <x v="31"/>
    <x v="30"/>
    <x v="13"/>
    <x v="13"/>
    <x v="6"/>
    <x v="4"/>
    <x v="4"/>
  </r>
  <r>
    <x v="33"/>
    <x v="31"/>
    <x v="30"/>
    <x v="11"/>
    <x v="11"/>
    <x v="6"/>
    <x v="4"/>
    <x v="4"/>
  </r>
  <r>
    <x v="33"/>
    <x v="31"/>
    <x v="30"/>
    <x v="25"/>
    <x v="25"/>
    <x v="6"/>
    <x v="23"/>
    <x v="42"/>
  </r>
  <r>
    <x v="33"/>
    <x v="31"/>
    <x v="30"/>
    <x v="23"/>
    <x v="23"/>
    <x v="6"/>
    <x v="24"/>
    <x v="31"/>
  </r>
  <r>
    <x v="33"/>
    <x v="31"/>
    <x v="30"/>
    <x v="30"/>
    <x v="30"/>
    <x v="0"/>
    <x v="30"/>
    <x v="43"/>
  </r>
  <r>
    <x v="33"/>
    <x v="31"/>
    <x v="30"/>
    <x v="7"/>
    <x v="7"/>
    <x v="1"/>
    <x v="31"/>
    <x v="44"/>
  </r>
  <r>
    <x v="33"/>
    <x v="31"/>
    <x v="30"/>
    <x v="6"/>
    <x v="6"/>
    <x v="1"/>
    <x v="4"/>
    <x v="4"/>
  </r>
  <r>
    <x v="33"/>
    <x v="31"/>
    <x v="30"/>
    <x v="32"/>
    <x v="31"/>
    <x v="3"/>
    <x v="32"/>
    <x v="45"/>
  </r>
  <r>
    <x v="33"/>
    <x v="31"/>
    <x v="30"/>
    <x v="33"/>
    <x v="32"/>
    <x v="6"/>
    <x v="33"/>
    <x v="46"/>
  </r>
  <r>
    <x v="33"/>
    <x v="31"/>
    <x v="30"/>
    <x v="18"/>
    <x v="18"/>
    <x v="0"/>
    <x v="34"/>
    <x v="47"/>
  </r>
  <r>
    <x v="33"/>
    <x v="31"/>
    <x v="30"/>
    <x v="34"/>
    <x v="18"/>
    <x v="0"/>
    <x v="35"/>
    <x v="48"/>
  </r>
  <r>
    <x v="34"/>
    <x v="32"/>
    <x v="31"/>
    <x v="2"/>
    <x v="2"/>
    <x v="0"/>
    <x v="2"/>
    <x v="2"/>
  </r>
  <r>
    <x v="35"/>
    <x v="33"/>
    <x v="32"/>
    <x v="8"/>
    <x v="8"/>
    <x v="3"/>
    <x v="8"/>
    <x v="49"/>
  </r>
  <r>
    <x v="35"/>
    <x v="33"/>
    <x v="32"/>
    <x v="19"/>
    <x v="19"/>
    <x v="0"/>
    <x v="0"/>
    <x v="0"/>
  </r>
  <r>
    <x v="35"/>
    <x v="33"/>
    <x v="32"/>
    <x v="6"/>
    <x v="6"/>
    <x v="0"/>
    <x v="6"/>
    <x v="7"/>
  </r>
  <r>
    <x v="36"/>
    <x v="34"/>
    <x v="33"/>
    <x v="2"/>
    <x v="2"/>
    <x v="0"/>
    <x v="2"/>
    <x v="2"/>
  </r>
  <r>
    <x v="36"/>
    <x v="34"/>
    <x v="33"/>
    <x v="25"/>
    <x v="25"/>
    <x v="3"/>
    <x v="36"/>
    <x v="50"/>
  </r>
  <r>
    <x v="37"/>
    <x v="35"/>
    <x v="34"/>
    <x v="26"/>
    <x v="26"/>
    <x v="0"/>
    <x v="37"/>
    <x v="51"/>
  </r>
  <r>
    <x v="38"/>
    <x v="36"/>
    <x v="35"/>
    <x v="31"/>
    <x v="8"/>
    <x v="0"/>
    <x v="38"/>
    <x v="52"/>
  </r>
  <r>
    <x v="39"/>
    <x v="37"/>
    <x v="36"/>
    <x v="2"/>
    <x v="2"/>
    <x v="3"/>
    <x v="2"/>
    <x v="38"/>
  </r>
  <r>
    <x v="40"/>
    <x v="38"/>
    <x v="37"/>
    <x v="2"/>
    <x v="2"/>
    <x v="0"/>
    <x v="2"/>
    <x v="2"/>
  </r>
  <r>
    <x v="41"/>
    <x v="39"/>
    <x v="38"/>
    <x v="8"/>
    <x v="8"/>
    <x v="0"/>
    <x v="8"/>
    <x v="10"/>
  </r>
  <r>
    <x v="42"/>
    <x v="40"/>
    <x v="39"/>
    <x v="22"/>
    <x v="22"/>
    <x v="0"/>
    <x v="13"/>
    <x v="53"/>
  </r>
  <r>
    <x v="42"/>
    <x v="40"/>
    <x v="39"/>
    <x v="13"/>
    <x v="13"/>
    <x v="0"/>
    <x v="22"/>
    <x v="36"/>
  </r>
  <r>
    <x v="43"/>
    <x v="41"/>
    <x v="40"/>
    <x v="7"/>
    <x v="7"/>
    <x v="3"/>
    <x v="7"/>
    <x v="54"/>
  </r>
  <r>
    <x v="43"/>
    <x v="41"/>
    <x v="40"/>
    <x v="6"/>
    <x v="6"/>
    <x v="3"/>
    <x v="6"/>
    <x v="20"/>
  </r>
  <r>
    <x v="44"/>
    <x v="42"/>
    <x v="41"/>
    <x v="35"/>
    <x v="33"/>
    <x v="0"/>
    <x v="20"/>
    <x v="26"/>
  </r>
  <r>
    <x v="44"/>
    <x v="42"/>
    <x v="41"/>
    <x v="13"/>
    <x v="13"/>
    <x v="0"/>
    <x v="22"/>
    <x v="36"/>
  </r>
  <r>
    <x v="45"/>
    <x v="43"/>
    <x v="42"/>
    <x v="36"/>
    <x v="34"/>
    <x v="8"/>
    <x v="39"/>
    <x v="55"/>
  </r>
  <r>
    <x v="45"/>
    <x v="43"/>
    <x v="42"/>
    <x v="25"/>
    <x v="25"/>
    <x v="6"/>
    <x v="4"/>
    <x v="4"/>
  </r>
  <r>
    <x v="45"/>
    <x v="43"/>
    <x v="42"/>
    <x v="4"/>
    <x v="4"/>
    <x v="4"/>
    <x v="4"/>
    <x v="4"/>
  </r>
  <r>
    <x v="45"/>
    <x v="43"/>
    <x v="42"/>
    <x v="18"/>
    <x v="18"/>
    <x v="0"/>
    <x v="40"/>
    <x v="56"/>
  </r>
  <r>
    <x v="46"/>
    <x v="44"/>
    <x v="43"/>
    <x v="37"/>
    <x v="35"/>
    <x v="3"/>
    <x v="41"/>
    <x v="57"/>
  </r>
  <r>
    <x v="47"/>
    <x v="45"/>
    <x v="44"/>
    <x v="31"/>
    <x v="8"/>
    <x v="0"/>
    <x v="2"/>
    <x v="2"/>
  </r>
  <r>
    <x v="48"/>
    <x v="46"/>
    <x v="45"/>
    <x v="2"/>
    <x v="2"/>
    <x v="5"/>
    <x v="2"/>
    <x v="58"/>
  </r>
  <r>
    <x v="49"/>
    <x v="47"/>
    <x v="46"/>
    <x v="10"/>
    <x v="10"/>
    <x v="3"/>
    <x v="10"/>
    <x v="59"/>
  </r>
  <r>
    <x v="49"/>
    <x v="47"/>
    <x v="46"/>
    <x v="11"/>
    <x v="11"/>
    <x v="3"/>
    <x v="4"/>
    <x v="4"/>
  </r>
  <r>
    <x v="49"/>
    <x v="47"/>
    <x v="46"/>
    <x v="12"/>
    <x v="12"/>
    <x v="3"/>
    <x v="4"/>
    <x v="4"/>
  </r>
  <r>
    <x v="49"/>
    <x v="47"/>
    <x v="46"/>
    <x v="13"/>
    <x v="13"/>
    <x v="3"/>
    <x v="4"/>
    <x v="4"/>
  </r>
  <r>
    <x v="49"/>
    <x v="47"/>
    <x v="46"/>
    <x v="26"/>
    <x v="26"/>
    <x v="3"/>
    <x v="42"/>
    <x v="60"/>
  </r>
  <r>
    <x v="49"/>
    <x v="47"/>
    <x v="46"/>
    <x v="23"/>
    <x v="23"/>
    <x v="3"/>
    <x v="20"/>
    <x v="39"/>
  </r>
  <r>
    <x v="49"/>
    <x v="47"/>
    <x v="46"/>
    <x v="7"/>
    <x v="7"/>
    <x v="3"/>
    <x v="7"/>
    <x v="54"/>
  </r>
  <r>
    <x v="49"/>
    <x v="47"/>
    <x v="46"/>
    <x v="6"/>
    <x v="6"/>
    <x v="3"/>
    <x v="6"/>
    <x v="20"/>
  </r>
  <r>
    <x v="49"/>
    <x v="47"/>
    <x v="46"/>
    <x v="2"/>
    <x v="2"/>
    <x v="0"/>
    <x v="2"/>
    <x v="2"/>
  </r>
  <r>
    <x v="50"/>
    <x v="48"/>
    <x v="47"/>
    <x v="2"/>
    <x v="2"/>
    <x v="0"/>
    <x v="2"/>
    <x v="2"/>
  </r>
  <r>
    <x v="51"/>
    <x v="49"/>
    <x v="48"/>
    <x v="19"/>
    <x v="19"/>
    <x v="0"/>
    <x v="0"/>
    <x v="0"/>
  </r>
  <r>
    <x v="51"/>
    <x v="49"/>
    <x v="48"/>
    <x v="6"/>
    <x v="6"/>
    <x v="0"/>
    <x v="6"/>
    <x v="7"/>
  </r>
  <r>
    <x v="52"/>
    <x v="50"/>
    <x v="49"/>
    <x v="8"/>
    <x v="8"/>
    <x v="0"/>
    <x v="43"/>
    <x v="61"/>
  </r>
  <r>
    <x v="52"/>
    <x v="50"/>
    <x v="49"/>
    <x v="0"/>
    <x v="0"/>
    <x v="0"/>
    <x v="44"/>
    <x v="62"/>
  </r>
  <r>
    <x v="53"/>
    <x v="51"/>
    <x v="50"/>
    <x v="3"/>
    <x v="3"/>
    <x v="4"/>
    <x v="3"/>
    <x v="63"/>
  </r>
  <r>
    <x v="53"/>
    <x v="51"/>
    <x v="50"/>
    <x v="25"/>
    <x v="25"/>
    <x v="4"/>
    <x v="4"/>
    <x v="4"/>
  </r>
  <r>
    <x v="53"/>
    <x v="51"/>
    <x v="50"/>
    <x v="26"/>
    <x v="26"/>
    <x v="4"/>
    <x v="37"/>
    <x v="64"/>
  </r>
  <r>
    <x v="53"/>
    <x v="51"/>
    <x v="50"/>
    <x v="38"/>
    <x v="36"/>
    <x v="4"/>
    <x v="37"/>
    <x v="64"/>
  </r>
  <r>
    <x v="53"/>
    <x v="51"/>
    <x v="50"/>
    <x v="2"/>
    <x v="2"/>
    <x v="0"/>
    <x v="2"/>
    <x v="2"/>
  </r>
  <r>
    <x v="53"/>
    <x v="51"/>
    <x v="50"/>
    <x v="39"/>
    <x v="37"/>
    <x v="3"/>
    <x v="45"/>
    <x v="65"/>
  </r>
  <r>
    <x v="53"/>
    <x v="51"/>
    <x v="50"/>
    <x v="6"/>
    <x v="6"/>
    <x v="2"/>
    <x v="4"/>
    <x v="4"/>
  </r>
  <r>
    <x v="53"/>
    <x v="51"/>
    <x v="50"/>
    <x v="1"/>
    <x v="1"/>
    <x v="4"/>
    <x v="4"/>
    <x v="4"/>
  </r>
  <r>
    <x v="54"/>
    <x v="52"/>
    <x v="50"/>
    <x v="40"/>
    <x v="38"/>
    <x v="0"/>
    <x v="46"/>
    <x v="66"/>
  </r>
  <r>
    <x v="54"/>
    <x v="52"/>
    <x v="50"/>
    <x v="26"/>
    <x v="26"/>
    <x v="2"/>
    <x v="42"/>
    <x v="67"/>
  </r>
  <r>
    <x v="54"/>
    <x v="52"/>
    <x v="50"/>
    <x v="19"/>
    <x v="19"/>
    <x v="3"/>
    <x v="0"/>
    <x v="19"/>
  </r>
  <r>
    <x v="54"/>
    <x v="52"/>
    <x v="50"/>
    <x v="25"/>
    <x v="25"/>
    <x v="3"/>
    <x v="36"/>
    <x v="50"/>
  </r>
  <r>
    <x v="54"/>
    <x v="52"/>
    <x v="50"/>
    <x v="11"/>
    <x v="11"/>
    <x v="0"/>
    <x v="4"/>
    <x v="4"/>
  </r>
  <r>
    <x v="54"/>
    <x v="52"/>
    <x v="50"/>
    <x v="41"/>
    <x v="39"/>
    <x v="3"/>
    <x v="4"/>
    <x v="4"/>
  </r>
  <r>
    <x v="54"/>
    <x v="52"/>
    <x v="50"/>
    <x v="13"/>
    <x v="13"/>
    <x v="2"/>
    <x v="4"/>
    <x v="4"/>
  </r>
  <r>
    <x v="54"/>
    <x v="52"/>
    <x v="50"/>
    <x v="18"/>
    <x v="18"/>
    <x v="0"/>
    <x v="34"/>
    <x v="47"/>
  </r>
  <r>
    <x v="55"/>
    <x v="52"/>
    <x v="50"/>
    <x v="40"/>
    <x v="38"/>
    <x v="0"/>
    <x v="46"/>
    <x v="66"/>
  </r>
  <r>
    <x v="55"/>
    <x v="52"/>
    <x v="50"/>
    <x v="26"/>
    <x v="26"/>
    <x v="2"/>
    <x v="42"/>
    <x v="67"/>
  </r>
  <r>
    <x v="55"/>
    <x v="52"/>
    <x v="50"/>
    <x v="25"/>
    <x v="25"/>
    <x v="3"/>
    <x v="36"/>
    <x v="50"/>
  </r>
  <r>
    <x v="55"/>
    <x v="52"/>
    <x v="50"/>
    <x v="11"/>
    <x v="11"/>
    <x v="0"/>
    <x v="4"/>
    <x v="4"/>
  </r>
  <r>
    <x v="55"/>
    <x v="52"/>
    <x v="50"/>
    <x v="41"/>
    <x v="39"/>
    <x v="3"/>
    <x v="4"/>
    <x v="4"/>
  </r>
  <r>
    <x v="55"/>
    <x v="52"/>
    <x v="50"/>
    <x v="13"/>
    <x v="13"/>
    <x v="2"/>
    <x v="4"/>
    <x v="4"/>
  </r>
  <r>
    <x v="55"/>
    <x v="52"/>
    <x v="50"/>
    <x v="42"/>
    <x v="40"/>
    <x v="4"/>
    <x v="4"/>
    <x v="4"/>
  </r>
  <r>
    <x v="55"/>
    <x v="52"/>
    <x v="50"/>
    <x v="18"/>
    <x v="18"/>
    <x v="0"/>
    <x v="47"/>
    <x v="68"/>
  </r>
  <r>
    <x v="56"/>
    <x v="53"/>
    <x v="51"/>
    <x v="30"/>
    <x v="30"/>
    <x v="0"/>
    <x v="29"/>
    <x v="37"/>
  </r>
  <r>
    <x v="57"/>
    <x v="54"/>
    <x v="52"/>
    <x v="7"/>
    <x v="7"/>
    <x v="8"/>
    <x v="7"/>
    <x v="69"/>
  </r>
  <r>
    <x v="57"/>
    <x v="54"/>
    <x v="52"/>
    <x v="6"/>
    <x v="6"/>
    <x v="8"/>
    <x v="48"/>
    <x v="70"/>
  </r>
  <r>
    <x v="58"/>
    <x v="55"/>
    <x v="53"/>
    <x v="12"/>
    <x v="12"/>
    <x v="3"/>
    <x v="12"/>
    <x v="71"/>
  </r>
  <r>
    <x v="59"/>
    <x v="56"/>
    <x v="54"/>
    <x v="31"/>
    <x v="8"/>
    <x v="3"/>
    <x v="49"/>
    <x v="72"/>
  </r>
  <r>
    <x v="60"/>
    <x v="57"/>
    <x v="55"/>
    <x v="43"/>
    <x v="41"/>
    <x v="1"/>
    <x v="12"/>
    <x v="73"/>
  </r>
  <r>
    <x v="60"/>
    <x v="57"/>
    <x v="55"/>
    <x v="21"/>
    <x v="21"/>
    <x v="3"/>
    <x v="18"/>
    <x v="40"/>
  </r>
  <r>
    <x v="60"/>
    <x v="57"/>
    <x v="55"/>
    <x v="13"/>
    <x v="13"/>
    <x v="3"/>
    <x v="22"/>
    <x v="29"/>
  </r>
  <r>
    <x v="61"/>
    <x v="58"/>
    <x v="56"/>
    <x v="7"/>
    <x v="7"/>
    <x v="6"/>
    <x v="7"/>
    <x v="74"/>
  </r>
  <r>
    <x v="61"/>
    <x v="58"/>
    <x v="56"/>
    <x v="6"/>
    <x v="6"/>
    <x v="6"/>
    <x v="6"/>
    <x v="75"/>
  </r>
  <r>
    <x v="62"/>
    <x v="59"/>
    <x v="57"/>
    <x v="44"/>
    <x v="42"/>
    <x v="0"/>
    <x v="50"/>
    <x v="76"/>
  </r>
  <r>
    <x v="62"/>
    <x v="59"/>
    <x v="57"/>
    <x v="11"/>
    <x v="11"/>
    <x v="0"/>
    <x v="36"/>
    <x v="77"/>
  </r>
  <r>
    <x v="62"/>
    <x v="59"/>
    <x v="57"/>
    <x v="20"/>
    <x v="20"/>
    <x v="0"/>
    <x v="17"/>
    <x v="21"/>
  </r>
  <r>
    <x v="63"/>
    <x v="60"/>
    <x v="58"/>
    <x v="2"/>
    <x v="2"/>
    <x v="0"/>
    <x v="2"/>
    <x v="2"/>
  </r>
  <r>
    <x v="64"/>
    <x v="61"/>
    <x v="59"/>
    <x v="45"/>
    <x v="43"/>
    <x v="3"/>
    <x v="51"/>
    <x v="78"/>
  </r>
  <r>
    <x v="64"/>
    <x v="61"/>
    <x v="59"/>
    <x v="5"/>
    <x v="5"/>
    <x v="3"/>
    <x v="4"/>
    <x v="4"/>
  </r>
  <r>
    <x v="64"/>
    <x v="61"/>
    <x v="59"/>
    <x v="11"/>
    <x v="11"/>
    <x v="3"/>
    <x v="4"/>
    <x v="4"/>
  </r>
  <r>
    <x v="64"/>
    <x v="61"/>
    <x v="59"/>
    <x v="13"/>
    <x v="13"/>
    <x v="3"/>
    <x v="4"/>
    <x v="4"/>
  </r>
  <r>
    <x v="64"/>
    <x v="61"/>
    <x v="59"/>
    <x v="2"/>
    <x v="2"/>
    <x v="0"/>
    <x v="52"/>
    <x v="79"/>
  </r>
  <r>
    <x v="64"/>
    <x v="61"/>
    <x v="59"/>
    <x v="46"/>
    <x v="44"/>
    <x v="0"/>
    <x v="53"/>
    <x v="80"/>
  </r>
  <r>
    <x v="64"/>
    <x v="61"/>
    <x v="59"/>
    <x v="47"/>
    <x v="18"/>
    <x v="0"/>
    <x v="54"/>
    <x v="81"/>
  </r>
  <r>
    <x v="65"/>
    <x v="62"/>
    <x v="59"/>
    <x v="48"/>
    <x v="45"/>
    <x v="9"/>
    <x v="55"/>
    <x v="82"/>
  </r>
  <r>
    <x v="65"/>
    <x v="62"/>
    <x v="59"/>
    <x v="49"/>
    <x v="46"/>
    <x v="10"/>
    <x v="55"/>
    <x v="83"/>
  </r>
  <r>
    <x v="65"/>
    <x v="62"/>
    <x v="59"/>
    <x v="18"/>
    <x v="18"/>
    <x v="0"/>
    <x v="56"/>
    <x v="84"/>
  </r>
  <r>
    <x v="66"/>
    <x v="63"/>
    <x v="60"/>
    <x v="0"/>
    <x v="0"/>
    <x v="0"/>
    <x v="0"/>
    <x v="0"/>
  </r>
  <r>
    <x v="67"/>
    <x v="64"/>
    <x v="61"/>
    <x v="8"/>
    <x v="8"/>
    <x v="0"/>
    <x v="8"/>
    <x v="10"/>
  </r>
  <r>
    <x v="68"/>
    <x v="65"/>
    <x v="62"/>
    <x v="1"/>
    <x v="1"/>
    <x v="3"/>
    <x v="1"/>
    <x v="85"/>
  </r>
  <r>
    <x v="69"/>
    <x v="66"/>
    <x v="63"/>
    <x v="50"/>
    <x v="47"/>
    <x v="11"/>
    <x v="15"/>
    <x v="86"/>
  </r>
  <r>
    <x v="69"/>
    <x v="66"/>
    <x v="63"/>
    <x v="18"/>
    <x v="18"/>
    <x v="0"/>
    <x v="57"/>
    <x v="87"/>
  </r>
  <r>
    <x v="70"/>
    <x v="67"/>
    <x v="64"/>
    <x v="0"/>
    <x v="0"/>
    <x v="3"/>
    <x v="0"/>
    <x v="19"/>
  </r>
  <r>
    <x v="70"/>
    <x v="67"/>
    <x v="64"/>
    <x v="43"/>
    <x v="41"/>
    <x v="0"/>
    <x v="12"/>
    <x v="88"/>
  </r>
  <r>
    <x v="70"/>
    <x v="67"/>
    <x v="64"/>
    <x v="51"/>
    <x v="48"/>
    <x v="0"/>
    <x v="36"/>
    <x v="77"/>
  </r>
  <r>
    <x v="70"/>
    <x v="67"/>
    <x v="64"/>
    <x v="1"/>
    <x v="1"/>
    <x v="0"/>
    <x v="1"/>
    <x v="6"/>
  </r>
  <r>
    <x v="70"/>
    <x v="67"/>
    <x v="64"/>
    <x v="27"/>
    <x v="27"/>
    <x v="0"/>
    <x v="17"/>
    <x v="21"/>
  </r>
  <r>
    <x v="71"/>
    <x v="68"/>
    <x v="65"/>
    <x v="52"/>
    <x v="49"/>
    <x v="0"/>
    <x v="58"/>
    <x v="89"/>
  </r>
  <r>
    <x v="72"/>
    <x v="69"/>
    <x v="66"/>
    <x v="19"/>
    <x v="19"/>
    <x v="12"/>
    <x v="0"/>
    <x v="90"/>
  </r>
  <r>
    <x v="72"/>
    <x v="69"/>
    <x v="66"/>
    <x v="6"/>
    <x v="6"/>
    <x v="12"/>
    <x v="48"/>
    <x v="91"/>
  </r>
  <r>
    <x v="73"/>
    <x v="70"/>
    <x v="67"/>
    <x v="19"/>
    <x v="19"/>
    <x v="0"/>
    <x v="0"/>
    <x v="0"/>
  </r>
  <r>
    <x v="73"/>
    <x v="70"/>
    <x v="67"/>
    <x v="6"/>
    <x v="6"/>
    <x v="0"/>
    <x v="6"/>
    <x v="7"/>
  </r>
  <r>
    <x v="74"/>
    <x v="17"/>
    <x v="68"/>
    <x v="30"/>
    <x v="30"/>
    <x v="0"/>
    <x v="29"/>
    <x v="37"/>
  </r>
  <r>
    <x v="75"/>
    <x v="71"/>
    <x v="69"/>
    <x v="2"/>
    <x v="2"/>
    <x v="0"/>
    <x v="2"/>
    <x v="2"/>
  </r>
  <r>
    <x v="76"/>
    <x v="72"/>
    <x v="70"/>
    <x v="8"/>
    <x v="8"/>
    <x v="0"/>
    <x v="8"/>
    <x v="10"/>
  </r>
  <r>
    <x v="76"/>
    <x v="72"/>
    <x v="70"/>
    <x v="0"/>
    <x v="0"/>
    <x v="0"/>
    <x v="0"/>
    <x v="0"/>
  </r>
  <r>
    <x v="77"/>
    <x v="73"/>
    <x v="71"/>
    <x v="30"/>
    <x v="30"/>
    <x v="0"/>
    <x v="29"/>
    <x v="37"/>
  </r>
  <r>
    <x v="78"/>
    <x v="74"/>
    <x v="72"/>
    <x v="8"/>
    <x v="8"/>
    <x v="0"/>
    <x v="8"/>
    <x v="10"/>
  </r>
  <r>
    <x v="79"/>
    <x v="75"/>
    <x v="73"/>
    <x v="2"/>
    <x v="2"/>
    <x v="0"/>
    <x v="59"/>
    <x v="92"/>
  </r>
  <r>
    <x v="80"/>
    <x v="43"/>
    <x v="73"/>
    <x v="53"/>
    <x v="50"/>
    <x v="13"/>
    <x v="60"/>
    <x v="93"/>
  </r>
  <r>
    <x v="80"/>
    <x v="43"/>
    <x v="73"/>
    <x v="11"/>
    <x v="11"/>
    <x v="13"/>
    <x v="4"/>
    <x v="4"/>
  </r>
  <r>
    <x v="80"/>
    <x v="43"/>
    <x v="73"/>
    <x v="18"/>
    <x v="18"/>
    <x v="0"/>
    <x v="61"/>
    <x v="94"/>
  </r>
  <r>
    <x v="81"/>
    <x v="76"/>
    <x v="74"/>
    <x v="0"/>
    <x v="0"/>
    <x v="5"/>
    <x v="0"/>
    <x v="95"/>
  </r>
  <r>
    <x v="82"/>
    <x v="77"/>
    <x v="75"/>
    <x v="54"/>
    <x v="51"/>
    <x v="0"/>
    <x v="62"/>
    <x v="96"/>
  </r>
  <r>
    <x v="83"/>
    <x v="78"/>
    <x v="76"/>
    <x v="31"/>
    <x v="8"/>
    <x v="0"/>
    <x v="2"/>
    <x v="2"/>
  </r>
  <r>
    <x v="84"/>
    <x v="79"/>
    <x v="77"/>
    <x v="31"/>
    <x v="8"/>
    <x v="0"/>
    <x v="2"/>
    <x v="2"/>
  </r>
  <r>
    <x v="85"/>
    <x v="80"/>
    <x v="78"/>
    <x v="19"/>
    <x v="19"/>
    <x v="3"/>
    <x v="0"/>
    <x v="19"/>
  </r>
  <r>
    <x v="85"/>
    <x v="80"/>
    <x v="78"/>
    <x v="6"/>
    <x v="6"/>
    <x v="3"/>
    <x v="6"/>
    <x v="20"/>
  </r>
  <r>
    <x v="86"/>
    <x v="81"/>
    <x v="79"/>
    <x v="7"/>
    <x v="7"/>
    <x v="3"/>
    <x v="7"/>
    <x v="54"/>
  </r>
  <r>
    <x v="86"/>
    <x v="81"/>
    <x v="79"/>
    <x v="6"/>
    <x v="6"/>
    <x v="3"/>
    <x v="6"/>
    <x v="20"/>
  </r>
  <r>
    <x v="87"/>
    <x v="82"/>
    <x v="80"/>
    <x v="37"/>
    <x v="35"/>
    <x v="0"/>
    <x v="41"/>
    <x v="97"/>
  </r>
  <r>
    <x v="87"/>
    <x v="82"/>
    <x v="80"/>
    <x v="0"/>
    <x v="0"/>
    <x v="0"/>
    <x v="0"/>
    <x v="0"/>
  </r>
  <r>
    <x v="87"/>
    <x v="82"/>
    <x v="80"/>
    <x v="1"/>
    <x v="1"/>
    <x v="0"/>
    <x v="1"/>
    <x v="6"/>
  </r>
  <r>
    <x v="88"/>
    <x v="83"/>
    <x v="81"/>
    <x v="36"/>
    <x v="34"/>
    <x v="12"/>
    <x v="63"/>
    <x v="98"/>
  </r>
  <r>
    <x v="88"/>
    <x v="83"/>
    <x v="81"/>
    <x v="4"/>
    <x v="4"/>
    <x v="12"/>
    <x v="4"/>
    <x v="4"/>
  </r>
  <r>
    <x v="88"/>
    <x v="83"/>
    <x v="81"/>
    <x v="18"/>
    <x v="18"/>
    <x v="0"/>
    <x v="42"/>
    <x v="99"/>
  </r>
  <r>
    <x v="89"/>
    <x v="84"/>
    <x v="81"/>
    <x v="52"/>
    <x v="49"/>
    <x v="0"/>
    <x v="58"/>
    <x v="89"/>
  </r>
  <r>
    <x v="89"/>
    <x v="84"/>
    <x v="81"/>
    <x v="9"/>
    <x v="9"/>
    <x v="0"/>
    <x v="9"/>
    <x v="11"/>
  </r>
  <r>
    <x v="89"/>
    <x v="84"/>
    <x v="81"/>
    <x v="18"/>
    <x v="18"/>
    <x v="0"/>
    <x v="64"/>
    <x v="100"/>
  </r>
  <r>
    <x v="90"/>
    <x v="85"/>
    <x v="81"/>
    <x v="55"/>
    <x v="52"/>
    <x v="3"/>
    <x v="4"/>
    <x v="4"/>
  </r>
  <r>
    <x v="90"/>
    <x v="85"/>
    <x v="81"/>
    <x v="56"/>
    <x v="53"/>
    <x v="3"/>
    <x v="4"/>
    <x v="4"/>
  </r>
  <r>
    <x v="90"/>
    <x v="85"/>
    <x v="81"/>
    <x v="57"/>
    <x v="54"/>
    <x v="3"/>
    <x v="4"/>
    <x v="4"/>
  </r>
  <r>
    <x v="91"/>
    <x v="77"/>
    <x v="82"/>
    <x v="58"/>
    <x v="55"/>
    <x v="0"/>
    <x v="65"/>
    <x v="101"/>
  </r>
  <r>
    <x v="91"/>
    <x v="77"/>
    <x v="82"/>
    <x v="35"/>
    <x v="33"/>
    <x v="0"/>
    <x v="20"/>
    <x v="26"/>
  </r>
  <r>
    <x v="91"/>
    <x v="77"/>
    <x v="82"/>
    <x v="1"/>
    <x v="1"/>
    <x v="0"/>
    <x v="1"/>
    <x v="6"/>
  </r>
  <r>
    <x v="92"/>
    <x v="86"/>
    <x v="83"/>
    <x v="31"/>
    <x v="8"/>
    <x v="0"/>
    <x v="2"/>
    <x v="2"/>
  </r>
  <r>
    <x v="93"/>
    <x v="87"/>
    <x v="84"/>
    <x v="8"/>
    <x v="8"/>
    <x v="0"/>
    <x v="8"/>
    <x v="10"/>
  </r>
  <r>
    <x v="94"/>
    <x v="88"/>
    <x v="85"/>
    <x v="2"/>
    <x v="2"/>
    <x v="0"/>
    <x v="2"/>
    <x v="2"/>
  </r>
  <r>
    <x v="94"/>
    <x v="88"/>
    <x v="85"/>
    <x v="5"/>
    <x v="5"/>
    <x v="0"/>
    <x v="5"/>
    <x v="5"/>
  </r>
  <r>
    <x v="94"/>
    <x v="88"/>
    <x v="85"/>
    <x v="7"/>
    <x v="7"/>
    <x v="0"/>
    <x v="7"/>
    <x v="8"/>
  </r>
  <r>
    <x v="94"/>
    <x v="88"/>
    <x v="85"/>
    <x v="6"/>
    <x v="6"/>
    <x v="0"/>
    <x v="6"/>
    <x v="7"/>
  </r>
  <r>
    <x v="94"/>
    <x v="88"/>
    <x v="85"/>
    <x v="19"/>
    <x v="19"/>
    <x v="0"/>
    <x v="0"/>
    <x v="0"/>
  </r>
  <r>
    <x v="94"/>
    <x v="88"/>
    <x v="85"/>
    <x v="6"/>
    <x v="6"/>
    <x v="0"/>
    <x v="6"/>
    <x v="7"/>
  </r>
  <r>
    <x v="94"/>
    <x v="88"/>
    <x v="85"/>
    <x v="11"/>
    <x v="11"/>
    <x v="3"/>
    <x v="36"/>
    <x v="50"/>
  </r>
  <r>
    <x v="94"/>
    <x v="88"/>
    <x v="85"/>
    <x v="22"/>
    <x v="22"/>
    <x v="0"/>
    <x v="13"/>
    <x v="53"/>
  </r>
  <r>
    <x v="95"/>
    <x v="89"/>
    <x v="86"/>
    <x v="7"/>
    <x v="7"/>
    <x v="3"/>
    <x v="7"/>
    <x v="54"/>
  </r>
  <r>
    <x v="95"/>
    <x v="89"/>
    <x v="86"/>
    <x v="19"/>
    <x v="19"/>
    <x v="0"/>
    <x v="0"/>
    <x v="0"/>
  </r>
  <r>
    <x v="95"/>
    <x v="89"/>
    <x v="86"/>
    <x v="6"/>
    <x v="6"/>
    <x v="0"/>
    <x v="6"/>
    <x v="7"/>
  </r>
  <r>
    <x v="95"/>
    <x v="89"/>
    <x v="86"/>
    <x v="6"/>
    <x v="6"/>
    <x v="0"/>
    <x v="6"/>
    <x v="7"/>
  </r>
  <r>
    <x v="96"/>
    <x v="90"/>
    <x v="87"/>
    <x v="5"/>
    <x v="5"/>
    <x v="3"/>
    <x v="5"/>
    <x v="28"/>
  </r>
  <r>
    <x v="96"/>
    <x v="90"/>
    <x v="87"/>
    <x v="15"/>
    <x v="15"/>
    <x v="0"/>
    <x v="12"/>
    <x v="88"/>
  </r>
  <r>
    <x v="97"/>
    <x v="91"/>
    <x v="88"/>
    <x v="8"/>
    <x v="8"/>
    <x v="0"/>
    <x v="8"/>
    <x v="10"/>
  </r>
  <r>
    <x v="98"/>
    <x v="92"/>
    <x v="89"/>
    <x v="7"/>
    <x v="7"/>
    <x v="2"/>
    <x v="7"/>
    <x v="102"/>
  </r>
  <r>
    <x v="98"/>
    <x v="92"/>
    <x v="89"/>
    <x v="6"/>
    <x v="6"/>
    <x v="2"/>
    <x v="6"/>
    <x v="103"/>
  </r>
  <r>
    <x v="99"/>
    <x v="93"/>
    <x v="90"/>
    <x v="59"/>
    <x v="56"/>
    <x v="3"/>
    <x v="13"/>
    <x v="15"/>
  </r>
  <r>
    <x v="99"/>
    <x v="93"/>
    <x v="90"/>
    <x v="60"/>
    <x v="57"/>
    <x v="3"/>
    <x v="4"/>
    <x v="4"/>
  </r>
  <r>
    <x v="99"/>
    <x v="93"/>
    <x v="90"/>
    <x v="18"/>
    <x v="18"/>
    <x v="0"/>
    <x v="47"/>
    <x v="68"/>
  </r>
  <r>
    <x v="100"/>
    <x v="43"/>
    <x v="90"/>
    <x v="61"/>
    <x v="58"/>
    <x v="3"/>
    <x v="66"/>
    <x v="104"/>
  </r>
  <r>
    <x v="100"/>
    <x v="43"/>
    <x v="90"/>
    <x v="11"/>
    <x v="11"/>
    <x v="3"/>
    <x v="4"/>
    <x v="4"/>
  </r>
  <r>
    <x v="100"/>
    <x v="43"/>
    <x v="90"/>
    <x v="18"/>
    <x v="18"/>
    <x v="0"/>
    <x v="67"/>
    <x v="105"/>
  </r>
  <r>
    <x v="101"/>
    <x v="62"/>
    <x v="90"/>
    <x v="48"/>
    <x v="59"/>
    <x v="10"/>
    <x v="55"/>
    <x v="83"/>
  </r>
  <r>
    <x v="101"/>
    <x v="62"/>
    <x v="90"/>
    <x v="18"/>
    <x v="18"/>
    <x v="0"/>
    <x v="68"/>
    <x v="106"/>
  </r>
  <r>
    <x v="102"/>
    <x v="94"/>
    <x v="91"/>
    <x v="6"/>
    <x v="6"/>
    <x v="3"/>
    <x v="6"/>
    <x v="20"/>
  </r>
  <r>
    <x v="103"/>
    <x v="95"/>
    <x v="92"/>
    <x v="10"/>
    <x v="10"/>
    <x v="0"/>
    <x v="10"/>
    <x v="23"/>
  </r>
  <r>
    <x v="103"/>
    <x v="95"/>
    <x v="92"/>
    <x v="11"/>
    <x v="11"/>
    <x v="0"/>
    <x v="4"/>
    <x v="4"/>
  </r>
  <r>
    <x v="103"/>
    <x v="95"/>
    <x v="92"/>
    <x v="12"/>
    <x v="12"/>
    <x v="0"/>
    <x v="4"/>
    <x v="4"/>
  </r>
  <r>
    <x v="103"/>
    <x v="95"/>
    <x v="92"/>
    <x v="13"/>
    <x v="13"/>
    <x v="0"/>
    <x v="4"/>
    <x v="4"/>
  </r>
  <r>
    <x v="103"/>
    <x v="95"/>
    <x v="92"/>
    <x v="5"/>
    <x v="5"/>
    <x v="0"/>
    <x v="4"/>
    <x v="4"/>
  </r>
  <r>
    <x v="103"/>
    <x v="95"/>
    <x v="92"/>
    <x v="23"/>
    <x v="23"/>
    <x v="0"/>
    <x v="20"/>
    <x v="26"/>
  </r>
  <r>
    <x v="104"/>
    <x v="95"/>
    <x v="92"/>
    <x v="10"/>
    <x v="10"/>
    <x v="0"/>
    <x v="4"/>
    <x v="4"/>
  </r>
  <r>
    <x v="104"/>
    <x v="95"/>
    <x v="92"/>
    <x v="11"/>
    <x v="11"/>
    <x v="0"/>
    <x v="4"/>
    <x v="4"/>
  </r>
  <r>
    <x v="104"/>
    <x v="95"/>
    <x v="92"/>
    <x v="12"/>
    <x v="12"/>
    <x v="0"/>
    <x v="4"/>
    <x v="4"/>
  </r>
  <r>
    <x v="104"/>
    <x v="95"/>
    <x v="92"/>
    <x v="13"/>
    <x v="13"/>
    <x v="0"/>
    <x v="4"/>
    <x v="4"/>
  </r>
  <r>
    <x v="104"/>
    <x v="95"/>
    <x v="92"/>
    <x v="5"/>
    <x v="5"/>
    <x v="0"/>
    <x v="4"/>
    <x v="4"/>
  </r>
  <r>
    <x v="104"/>
    <x v="95"/>
    <x v="92"/>
    <x v="23"/>
    <x v="23"/>
    <x v="0"/>
    <x v="4"/>
    <x v="4"/>
  </r>
  <r>
    <x v="105"/>
    <x v="96"/>
    <x v="93"/>
    <x v="2"/>
    <x v="2"/>
    <x v="0"/>
    <x v="2"/>
    <x v="2"/>
  </r>
  <r>
    <x v="106"/>
    <x v="97"/>
    <x v="94"/>
    <x v="2"/>
    <x v="2"/>
    <x v="0"/>
    <x v="2"/>
    <x v="2"/>
  </r>
  <r>
    <x v="107"/>
    <x v="98"/>
    <x v="95"/>
    <x v="62"/>
    <x v="60"/>
    <x v="3"/>
    <x v="18"/>
    <x v="40"/>
  </r>
  <r>
    <x v="108"/>
    <x v="99"/>
    <x v="95"/>
    <x v="63"/>
    <x v="61"/>
    <x v="14"/>
    <x v="4"/>
    <x v="4"/>
  </r>
  <r>
    <x v="108"/>
    <x v="99"/>
    <x v="95"/>
    <x v="64"/>
    <x v="62"/>
    <x v="14"/>
    <x v="4"/>
    <x v="4"/>
  </r>
  <r>
    <x v="108"/>
    <x v="99"/>
    <x v="95"/>
    <x v="65"/>
    <x v="63"/>
    <x v="14"/>
    <x v="4"/>
    <x v="4"/>
  </r>
  <r>
    <x v="108"/>
    <x v="99"/>
    <x v="95"/>
    <x v="66"/>
    <x v="64"/>
    <x v="14"/>
    <x v="4"/>
    <x v="4"/>
  </r>
  <r>
    <x v="108"/>
    <x v="99"/>
    <x v="95"/>
    <x v="67"/>
    <x v="65"/>
    <x v="14"/>
    <x v="4"/>
    <x v="4"/>
  </r>
  <r>
    <x v="109"/>
    <x v="100"/>
    <x v="96"/>
    <x v="44"/>
    <x v="42"/>
    <x v="3"/>
    <x v="50"/>
    <x v="107"/>
  </r>
  <r>
    <x v="109"/>
    <x v="100"/>
    <x v="96"/>
    <x v="19"/>
    <x v="19"/>
    <x v="3"/>
    <x v="0"/>
    <x v="19"/>
  </r>
  <r>
    <x v="109"/>
    <x v="100"/>
    <x v="96"/>
    <x v="6"/>
    <x v="6"/>
    <x v="3"/>
    <x v="6"/>
    <x v="20"/>
  </r>
  <r>
    <x v="109"/>
    <x v="100"/>
    <x v="96"/>
    <x v="54"/>
    <x v="51"/>
    <x v="0"/>
    <x v="62"/>
    <x v="96"/>
  </r>
  <r>
    <x v="109"/>
    <x v="100"/>
    <x v="96"/>
    <x v="20"/>
    <x v="20"/>
    <x v="5"/>
    <x v="17"/>
    <x v="108"/>
  </r>
  <r>
    <x v="109"/>
    <x v="100"/>
    <x v="96"/>
    <x v="1"/>
    <x v="1"/>
    <x v="3"/>
    <x v="1"/>
    <x v="85"/>
  </r>
  <r>
    <x v="109"/>
    <x v="100"/>
    <x v="96"/>
    <x v="6"/>
    <x v="6"/>
    <x v="3"/>
    <x v="6"/>
    <x v="20"/>
  </r>
  <r>
    <x v="109"/>
    <x v="100"/>
    <x v="96"/>
    <x v="68"/>
    <x v="66"/>
    <x v="3"/>
    <x v="69"/>
    <x v="109"/>
  </r>
  <r>
    <x v="109"/>
    <x v="100"/>
    <x v="96"/>
    <x v="5"/>
    <x v="5"/>
    <x v="0"/>
    <x v="5"/>
    <x v="5"/>
  </r>
  <r>
    <x v="110"/>
    <x v="101"/>
    <x v="97"/>
    <x v="69"/>
    <x v="67"/>
    <x v="0"/>
    <x v="70"/>
    <x v="110"/>
  </r>
  <r>
    <x v="111"/>
    <x v="102"/>
    <x v="98"/>
    <x v="22"/>
    <x v="22"/>
    <x v="2"/>
    <x v="13"/>
    <x v="111"/>
  </r>
  <r>
    <x v="111"/>
    <x v="102"/>
    <x v="98"/>
    <x v="31"/>
    <x v="8"/>
    <x v="0"/>
    <x v="2"/>
    <x v="2"/>
  </r>
  <r>
    <x v="112"/>
    <x v="103"/>
    <x v="99"/>
    <x v="1"/>
    <x v="1"/>
    <x v="3"/>
    <x v="1"/>
    <x v="85"/>
  </r>
  <r>
    <x v="112"/>
    <x v="103"/>
    <x v="99"/>
    <x v="6"/>
    <x v="6"/>
    <x v="0"/>
    <x v="6"/>
    <x v="7"/>
  </r>
  <r>
    <x v="113"/>
    <x v="104"/>
    <x v="100"/>
    <x v="2"/>
    <x v="2"/>
    <x v="0"/>
    <x v="2"/>
    <x v="2"/>
  </r>
  <r>
    <x v="114"/>
    <x v="105"/>
    <x v="101"/>
    <x v="8"/>
    <x v="8"/>
    <x v="0"/>
    <x v="8"/>
    <x v="10"/>
  </r>
  <r>
    <x v="115"/>
    <x v="106"/>
    <x v="102"/>
    <x v="19"/>
    <x v="19"/>
    <x v="0"/>
    <x v="0"/>
    <x v="0"/>
  </r>
  <r>
    <x v="115"/>
    <x v="106"/>
    <x v="102"/>
    <x v="6"/>
    <x v="6"/>
    <x v="0"/>
    <x v="6"/>
    <x v="7"/>
  </r>
  <r>
    <x v="116"/>
    <x v="107"/>
    <x v="103"/>
    <x v="3"/>
    <x v="3"/>
    <x v="0"/>
    <x v="3"/>
    <x v="3"/>
  </r>
  <r>
    <x v="116"/>
    <x v="107"/>
    <x v="103"/>
    <x v="5"/>
    <x v="5"/>
    <x v="0"/>
    <x v="5"/>
    <x v="5"/>
  </r>
  <r>
    <x v="116"/>
    <x v="107"/>
    <x v="103"/>
    <x v="13"/>
    <x v="13"/>
    <x v="0"/>
    <x v="4"/>
    <x v="4"/>
  </r>
  <r>
    <x v="116"/>
    <x v="107"/>
    <x v="103"/>
    <x v="70"/>
    <x v="68"/>
    <x v="0"/>
    <x v="4"/>
    <x v="4"/>
  </r>
  <r>
    <x v="116"/>
    <x v="107"/>
    <x v="103"/>
    <x v="34"/>
    <x v="18"/>
    <x v="0"/>
    <x v="71"/>
    <x v="112"/>
  </r>
  <r>
    <x v="117"/>
    <x v="85"/>
    <x v="103"/>
    <x v="10"/>
    <x v="69"/>
    <x v="15"/>
    <x v="60"/>
    <x v="113"/>
  </r>
  <r>
    <x v="117"/>
    <x v="85"/>
    <x v="103"/>
    <x v="71"/>
    <x v="70"/>
    <x v="16"/>
    <x v="23"/>
    <x v="114"/>
  </r>
  <r>
    <x v="117"/>
    <x v="85"/>
    <x v="103"/>
    <x v="12"/>
    <x v="12"/>
    <x v="15"/>
    <x v="4"/>
    <x v="4"/>
  </r>
  <r>
    <x v="117"/>
    <x v="85"/>
    <x v="103"/>
    <x v="11"/>
    <x v="11"/>
    <x v="15"/>
    <x v="4"/>
    <x v="4"/>
  </r>
  <r>
    <x v="118"/>
    <x v="83"/>
    <x v="103"/>
    <x v="72"/>
    <x v="71"/>
    <x v="7"/>
    <x v="4"/>
    <x v="4"/>
  </r>
  <r>
    <x v="118"/>
    <x v="83"/>
    <x v="103"/>
    <x v="64"/>
    <x v="62"/>
    <x v="17"/>
    <x v="4"/>
    <x v="4"/>
  </r>
  <r>
    <x v="118"/>
    <x v="83"/>
    <x v="103"/>
    <x v="63"/>
    <x v="61"/>
    <x v="17"/>
    <x v="4"/>
    <x v="4"/>
  </r>
  <r>
    <x v="118"/>
    <x v="83"/>
    <x v="103"/>
    <x v="65"/>
    <x v="63"/>
    <x v="17"/>
    <x v="4"/>
    <x v="4"/>
  </r>
  <r>
    <x v="119"/>
    <x v="108"/>
    <x v="103"/>
    <x v="6"/>
    <x v="6"/>
    <x v="5"/>
    <x v="4"/>
    <x v="4"/>
  </r>
  <r>
    <x v="120"/>
    <x v="108"/>
    <x v="103"/>
    <x v="3"/>
    <x v="3"/>
    <x v="4"/>
    <x v="3"/>
    <x v="63"/>
  </r>
  <r>
    <x v="120"/>
    <x v="108"/>
    <x v="103"/>
    <x v="25"/>
    <x v="25"/>
    <x v="4"/>
    <x v="4"/>
    <x v="4"/>
  </r>
  <r>
    <x v="121"/>
    <x v="109"/>
    <x v="103"/>
    <x v="6"/>
    <x v="6"/>
    <x v="6"/>
    <x v="4"/>
    <x v="4"/>
  </r>
  <r>
    <x v="122"/>
    <x v="110"/>
    <x v="103"/>
    <x v="73"/>
    <x v="72"/>
    <x v="0"/>
    <x v="72"/>
    <x v="115"/>
  </r>
  <r>
    <x v="123"/>
    <x v="111"/>
    <x v="103"/>
    <x v="52"/>
    <x v="49"/>
    <x v="2"/>
    <x v="46"/>
    <x v="116"/>
  </r>
  <r>
    <x v="123"/>
    <x v="111"/>
    <x v="103"/>
    <x v="18"/>
    <x v="18"/>
    <x v="0"/>
    <x v="73"/>
    <x v="117"/>
  </r>
  <r>
    <x v="124"/>
    <x v="111"/>
    <x v="103"/>
    <x v="74"/>
    <x v="73"/>
    <x v="0"/>
    <x v="4"/>
    <x v="4"/>
  </r>
  <r>
    <x v="125"/>
    <x v="112"/>
    <x v="104"/>
    <x v="31"/>
    <x v="8"/>
    <x v="3"/>
    <x v="2"/>
    <x v="38"/>
  </r>
  <r>
    <x v="126"/>
    <x v="113"/>
    <x v="105"/>
    <x v="1"/>
    <x v="1"/>
    <x v="7"/>
    <x v="1"/>
    <x v="118"/>
  </r>
  <r>
    <x v="127"/>
    <x v="114"/>
    <x v="106"/>
    <x v="8"/>
    <x v="8"/>
    <x v="0"/>
    <x v="8"/>
    <x v="10"/>
  </r>
  <r>
    <x v="128"/>
    <x v="115"/>
    <x v="107"/>
    <x v="0"/>
    <x v="0"/>
    <x v="0"/>
    <x v="0"/>
    <x v="0"/>
  </r>
  <r>
    <x v="129"/>
    <x v="116"/>
    <x v="108"/>
    <x v="30"/>
    <x v="30"/>
    <x v="0"/>
    <x v="29"/>
    <x v="37"/>
  </r>
  <r>
    <x v="130"/>
    <x v="117"/>
    <x v="109"/>
    <x v="30"/>
    <x v="30"/>
    <x v="0"/>
    <x v="29"/>
    <x v="37"/>
  </r>
  <r>
    <x v="131"/>
    <x v="118"/>
    <x v="110"/>
    <x v="31"/>
    <x v="8"/>
    <x v="0"/>
    <x v="2"/>
    <x v="2"/>
  </r>
  <r>
    <x v="132"/>
    <x v="93"/>
    <x v="111"/>
    <x v="43"/>
    <x v="41"/>
    <x v="3"/>
    <x v="12"/>
    <x v="71"/>
  </r>
  <r>
    <x v="133"/>
    <x v="119"/>
    <x v="112"/>
    <x v="51"/>
    <x v="48"/>
    <x v="5"/>
    <x v="23"/>
    <x v="119"/>
  </r>
  <r>
    <x v="133"/>
    <x v="119"/>
    <x v="112"/>
    <x v="75"/>
    <x v="74"/>
    <x v="5"/>
    <x v="74"/>
    <x v="120"/>
  </r>
  <r>
    <x v="133"/>
    <x v="119"/>
    <x v="112"/>
    <x v="18"/>
    <x v="18"/>
    <x v="0"/>
    <x v="22"/>
    <x v="36"/>
  </r>
  <r>
    <x v="134"/>
    <x v="120"/>
    <x v="113"/>
    <x v="37"/>
    <x v="35"/>
    <x v="3"/>
    <x v="41"/>
    <x v="57"/>
  </r>
  <r>
    <x v="135"/>
    <x v="121"/>
    <x v="114"/>
    <x v="44"/>
    <x v="42"/>
    <x v="3"/>
    <x v="50"/>
    <x v="107"/>
  </r>
  <r>
    <x v="136"/>
    <x v="122"/>
    <x v="115"/>
    <x v="30"/>
    <x v="30"/>
    <x v="0"/>
    <x v="29"/>
    <x v="37"/>
  </r>
  <r>
    <x v="137"/>
    <x v="99"/>
    <x v="116"/>
    <x v="76"/>
    <x v="75"/>
    <x v="18"/>
    <x v="75"/>
    <x v="121"/>
  </r>
  <r>
    <x v="137"/>
    <x v="99"/>
    <x v="116"/>
    <x v="77"/>
    <x v="76"/>
    <x v="19"/>
    <x v="32"/>
    <x v="122"/>
  </r>
  <r>
    <x v="137"/>
    <x v="99"/>
    <x v="116"/>
    <x v="78"/>
    <x v="77"/>
    <x v="17"/>
    <x v="76"/>
    <x v="123"/>
  </r>
  <r>
    <x v="137"/>
    <x v="99"/>
    <x v="116"/>
    <x v="79"/>
    <x v="78"/>
    <x v="19"/>
    <x v="77"/>
    <x v="124"/>
  </r>
  <r>
    <x v="137"/>
    <x v="99"/>
    <x v="116"/>
    <x v="80"/>
    <x v="79"/>
    <x v="2"/>
    <x v="32"/>
    <x v="125"/>
  </r>
  <r>
    <x v="137"/>
    <x v="99"/>
    <x v="116"/>
    <x v="38"/>
    <x v="36"/>
    <x v="0"/>
    <x v="25"/>
    <x v="126"/>
  </r>
  <r>
    <x v="137"/>
    <x v="99"/>
    <x v="116"/>
    <x v="81"/>
    <x v="80"/>
    <x v="2"/>
    <x v="78"/>
    <x v="127"/>
  </r>
  <r>
    <x v="137"/>
    <x v="99"/>
    <x v="116"/>
    <x v="47"/>
    <x v="18"/>
    <x v="0"/>
    <x v="79"/>
    <x v="128"/>
  </r>
  <r>
    <x v="138"/>
    <x v="43"/>
    <x v="116"/>
    <x v="82"/>
    <x v="81"/>
    <x v="0"/>
    <x v="4"/>
    <x v="4"/>
  </r>
  <r>
    <x v="139"/>
    <x v="123"/>
    <x v="116"/>
    <x v="83"/>
    <x v="82"/>
    <x v="0"/>
    <x v="4"/>
    <x v="4"/>
  </r>
  <r>
    <x v="140"/>
    <x v="124"/>
    <x v="116"/>
    <x v="83"/>
    <x v="83"/>
    <x v="0"/>
    <x v="4"/>
    <x v="4"/>
  </r>
  <r>
    <x v="141"/>
    <x v="125"/>
    <x v="117"/>
    <x v="8"/>
    <x v="8"/>
    <x v="0"/>
    <x v="8"/>
    <x v="10"/>
  </r>
  <r>
    <x v="142"/>
    <x v="126"/>
    <x v="118"/>
    <x v="45"/>
    <x v="43"/>
    <x v="2"/>
    <x v="80"/>
    <x v="129"/>
  </r>
  <r>
    <x v="142"/>
    <x v="126"/>
    <x v="118"/>
    <x v="84"/>
    <x v="84"/>
    <x v="2"/>
    <x v="2"/>
    <x v="130"/>
  </r>
  <r>
    <x v="142"/>
    <x v="126"/>
    <x v="118"/>
    <x v="13"/>
    <x v="13"/>
    <x v="2"/>
    <x v="4"/>
    <x v="4"/>
  </r>
  <r>
    <x v="142"/>
    <x v="126"/>
    <x v="118"/>
    <x v="20"/>
    <x v="20"/>
    <x v="4"/>
    <x v="4"/>
    <x v="4"/>
  </r>
  <r>
    <x v="142"/>
    <x v="126"/>
    <x v="118"/>
    <x v="11"/>
    <x v="11"/>
    <x v="2"/>
    <x v="4"/>
    <x v="4"/>
  </r>
  <r>
    <x v="142"/>
    <x v="126"/>
    <x v="118"/>
    <x v="25"/>
    <x v="25"/>
    <x v="4"/>
    <x v="36"/>
    <x v="131"/>
  </r>
  <r>
    <x v="142"/>
    <x v="126"/>
    <x v="118"/>
    <x v="47"/>
    <x v="18"/>
    <x v="0"/>
    <x v="81"/>
    <x v="132"/>
  </r>
  <r>
    <x v="143"/>
    <x v="127"/>
    <x v="118"/>
    <x v="31"/>
    <x v="8"/>
    <x v="0"/>
    <x v="82"/>
    <x v="133"/>
  </r>
  <r>
    <x v="143"/>
    <x v="127"/>
    <x v="118"/>
    <x v="18"/>
    <x v="18"/>
    <x v="0"/>
    <x v="83"/>
    <x v="134"/>
  </r>
  <r>
    <x v="144"/>
    <x v="128"/>
    <x v="119"/>
    <x v="32"/>
    <x v="31"/>
    <x v="0"/>
    <x v="14"/>
    <x v="135"/>
  </r>
  <r>
    <x v="144"/>
    <x v="128"/>
    <x v="119"/>
    <x v="26"/>
    <x v="26"/>
    <x v="0"/>
    <x v="37"/>
    <x v="51"/>
  </r>
  <r>
    <x v="145"/>
    <x v="129"/>
    <x v="120"/>
    <x v="1"/>
    <x v="1"/>
    <x v="0"/>
    <x v="1"/>
    <x v="6"/>
  </r>
  <r>
    <x v="145"/>
    <x v="129"/>
    <x v="120"/>
    <x v="19"/>
    <x v="19"/>
    <x v="0"/>
    <x v="0"/>
    <x v="0"/>
  </r>
  <r>
    <x v="145"/>
    <x v="129"/>
    <x v="120"/>
    <x v="6"/>
    <x v="6"/>
    <x v="0"/>
    <x v="6"/>
    <x v="7"/>
  </r>
  <r>
    <x v="146"/>
    <x v="130"/>
    <x v="121"/>
    <x v="6"/>
    <x v="6"/>
    <x v="0"/>
    <x v="6"/>
    <x v="7"/>
  </r>
  <r>
    <x v="146"/>
    <x v="130"/>
    <x v="121"/>
    <x v="2"/>
    <x v="2"/>
    <x v="0"/>
    <x v="2"/>
    <x v="2"/>
  </r>
  <r>
    <x v="147"/>
    <x v="131"/>
    <x v="122"/>
    <x v="7"/>
    <x v="7"/>
    <x v="3"/>
    <x v="7"/>
    <x v="54"/>
  </r>
  <r>
    <x v="147"/>
    <x v="131"/>
    <x v="122"/>
    <x v="6"/>
    <x v="6"/>
    <x v="3"/>
    <x v="6"/>
    <x v="20"/>
  </r>
  <r>
    <x v="148"/>
    <x v="132"/>
    <x v="123"/>
    <x v="85"/>
    <x v="85"/>
    <x v="0"/>
    <x v="84"/>
    <x v="136"/>
  </r>
  <r>
    <x v="148"/>
    <x v="132"/>
    <x v="123"/>
    <x v="18"/>
    <x v="18"/>
    <x v="0"/>
    <x v="85"/>
    <x v="137"/>
  </r>
  <r>
    <x v="149"/>
    <x v="133"/>
    <x v="123"/>
    <x v="86"/>
    <x v="43"/>
    <x v="6"/>
    <x v="86"/>
    <x v="138"/>
  </r>
  <r>
    <x v="149"/>
    <x v="133"/>
    <x v="123"/>
    <x v="5"/>
    <x v="86"/>
    <x v="6"/>
    <x v="4"/>
    <x v="4"/>
  </r>
  <r>
    <x v="149"/>
    <x v="133"/>
    <x v="123"/>
    <x v="26"/>
    <x v="86"/>
    <x v="3"/>
    <x v="87"/>
    <x v="139"/>
  </r>
  <r>
    <x v="149"/>
    <x v="133"/>
    <x v="123"/>
    <x v="13"/>
    <x v="13"/>
    <x v="6"/>
    <x v="4"/>
    <x v="4"/>
  </r>
  <r>
    <x v="149"/>
    <x v="133"/>
    <x v="123"/>
    <x v="28"/>
    <x v="28"/>
    <x v="2"/>
    <x v="4"/>
    <x v="4"/>
  </r>
  <r>
    <x v="149"/>
    <x v="133"/>
    <x v="123"/>
    <x v="11"/>
    <x v="11"/>
    <x v="6"/>
    <x v="4"/>
    <x v="4"/>
  </r>
  <r>
    <x v="149"/>
    <x v="133"/>
    <x v="123"/>
    <x v="7"/>
    <x v="7"/>
    <x v="4"/>
    <x v="88"/>
    <x v="140"/>
  </r>
  <r>
    <x v="149"/>
    <x v="133"/>
    <x v="123"/>
    <x v="6"/>
    <x v="87"/>
    <x v="4"/>
    <x v="4"/>
    <x v="4"/>
  </r>
  <r>
    <x v="149"/>
    <x v="133"/>
    <x v="123"/>
    <x v="47"/>
    <x v="18"/>
    <x v="0"/>
    <x v="89"/>
    <x v="141"/>
  </r>
  <r>
    <x v="150"/>
    <x v="134"/>
    <x v="124"/>
    <x v="10"/>
    <x v="10"/>
    <x v="3"/>
    <x v="10"/>
    <x v="59"/>
  </r>
  <r>
    <x v="150"/>
    <x v="134"/>
    <x v="124"/>
    <x v="11"/>
    <x v="11"/>
    <x v="3"/>
    <x v="4"/>
    <x v="4"/>
  </r>
  <r>
    <x v="150"/>
    <x v="134"/>
    <x v="124"/>
    <x v="12"/>
    <x v="12"/>
    <x v="3"/>
    <x v="4"/>
    <x v="4"/>
  </r>
  <r>
    <x v="150"/>
    <x v="134"/>
    <x v="124"/>
    <x v="13"/>
    <x v="13"/>
    <x v="3"/>
    <x v="4"/>
    <x v="4"/>
  </r>
  <r>
    <x v="150"/>
    <x v="134"/>
    <x v="124"/>
    <x v="5"/>
    <x v="5"/>
    <x v="3"/>
    <x v="4"/>
    <x v="4"/>
  </r>
  <r>
    <x v="150"/>
    <x v="134"/>
    <x v="124"/>
    <x v="7"/>
    <x v="7"/>
    <x v="2"/>
    <x v="7"/>
    <x v="102"/>
  </r>
  <r>
    <x v="150"/>
    <x v="134"/>
    <x v="124"/>
    <x v="6"/>
    <x v="6"/>
    <x v="2"/>
    <x v="6"/>
    <x v="103"/>
  </r>
  <r>
    <x v="151"/>
    <x v="131"/>
    <x v="125"/>
    <x v="33"/>
    <x v="32"/>
    <x v="2"/>
    <x v="21"/>
    <x v="142"/>
  </r>
  <r>
    <x v="151"/>
    <x v="131"/>
    <x v="125"/>
    <x v="19"/>
    <x v="19"/>
    <x v="3"/>
    <x v="0"/>
    <x v="19"/>
  </r>
  <r>
    <x v="151"/>
    <x v="131"/>
    <x v="125"/>
    <x v="6"/>
    <x v="6"/>
    <x v="3"/>
    <x v="6"/>
    <x v="20"/>
  </r>
  <r>
    <x v="152"/>
    <x v="135"/>
    <x v="126"/>
    <x v="2"/>
    <x v="2"/>
    <x v="0"/>
    <x v="2"/>
    <x v="2"/>
  </r>
  <r>
    <x v="153"/>
    <x v="136"/>
    <x v="127"/>
    <x v="31"/>
    <x v="8"/>
    <x v="0"/>
    <x v="2"/>
    <x v="2"/>
  </r>
  <r>
    <x v="154"/>
    <x v="137"/>
    <x v="128"/>
    <x v="1"/>
    <x v="1"/>
    <x v="0"/>
    <x v="1"/>
    <x v="6"/>
  </r>
  <r>
    <x v="155"/>
    <x v="138"/>
    <x v="129"/>
    <x v="30"/>
    <x v="30"/>
    <x v="0"/>
    <x v="29"/>
    <x v="37"/>
  </r>
  <r>
    <x v="156"/>
    <x v="139"/>
    <x v="130"/>
    <x v="43"/>
    <x v="41"/>
    <x v="6"/>
    <x v="90"/>
    <x v="143"/>
  </r>
  <r>
    <x v="156"/>
    <x v="139"/>
    <x v="130"/>
    <x v="18"/>
    <x v="18"/>
    <x v="0"/>
    <x v="91"/>
    <x v="144"/>
  </r>
  <r>
    <x v="157"/>
    <x v="140"/>
    <x v="130"/>
    <x v="33"/>
    <x v="32"/>
    <x v="4"/>
    <x v="33"/>
    <x v="145"/>
  </r>
  <r>
    <x v="157"/>
    <x v="140"/>
    <x v="130"/>
    <x v="18"/>
    <x v="18"/>
    <x v="0"/>
    <x v="16"/>
    <x v="18"/>
  </r>
  <r>
    <x v="158"/>
    <x v="8"/>
    <x v="130"/>
    <x v="87"/>
    <x v="88"/>
    <x v="20"/>
    <x v="4"/>
    <x v="4"/>
  </r>
  <r>
    <x v="159"/>
    <x v="8"/>
    <x v="130"/>
    <x v="1"/>
    <x v="1"/>
    <x v="6"/>
    <x v="4"/>
    <x v="4"/>
  </r>
  <r>
    <x v="160"/>
    <x v="29"/>
    <x v="131"/>
    <x v="19"/>
    <x v="19"/>
    <x v="3"/>
    <x v="0"/>
    <x v="19"/>
  </r>
  <r>
    <x v="160"/>
    <x v="29"/>
    <x v="131"/>
    <x v="6"/>
    <x v="6"/>
    <x v="3"/>
    <x v="6"/>
    <x v="20"/>
  </r>
  <r>
    <x v="161"/>
    <x v="141"/>
    <x v="132"/>
    <x v="37"/>
    <x v="35"/>
    <x v="3"/>
    <x v="41"/>
    <x v="57"/>
  </r>
  <r>
    <x v="162"/>
    <x v="142"/>
    <x v="133"/>
    <x v="50"/>
    <x v="47"/>
    <x v="0"/>
    <x v="0"/>
    <x v="0"/>
  </r>
  <r>
    <x v="163"/>
    <x v="143"/>
    <x v="134"/>
    <x v="58"/>
    <x v="55"/>
    <x v="3"/>
    <x v="65"/>
    <x v="146"/>
  </r>
  <r>
    <x v="164"/>
    <x v="89"/>
    <x v="135"/>
    <x v="5"/>
    <x v="5"/>
    <x v="3"/>
    <x v="5"/>
    <x v="28"/>
  </r>
  <r>
    <x v="164"/>
    <x v="89"/>
    <x v="135"/>
    <x v="19"/>
    <x v="19"/>
    <x v="0"/>
    <x v="0"/>
    <x v="0"/>
  </r>
  <r>
    <x v="164"/>
    <x v="89"/>
    <x v="135"/>
    <x v="6"/>
    <x v="6"/>
    <x v="0"/>
    <x v="6"/>
    <x v="7"/>
  </r>
  <r>
    <x v="164"/>
    <x v="89"/>
    <x v="135"/>
    <x v="33"/>
    <x v="32"/>
    <x v="3"/>
    <x v="21"/>
    <x v="147"/>
  </r>
  <r>
    <x v="164"/>
    <x v="89"/>
    <x v="135"/>
    <x v="1"/>
    <x v="1"/>
    <x v="0"/>
    <x v="1"/>
    <x v="6"/>
  </r>
  <r>
    <x v="164"/>
    <x v="89"/>
    <x v="135"/>
    <x v="7"/>
    <x v="7"/>
    <x v="0"/>
    <x v="7"/>
    <x v="8"/>
  </r>
  <r>
    <x v="164"/>
    <x v="89"/>
    <x v="135"/>
    <x v="6"/>
    <x v="6"/>
    <x v="0"/>
    <x v="6"/>
    <x v="7"/>
  </r>
  <r>
    <x v="165"/>
    <x v="80"/>
    <x v="136"/>
    <x v="19"/>
    <x v="19"/>
    <x v="3"/>
    <x v="0"/>
    <x v="19"/>
  </r>
  <r>
    <x v="165"/>
    <x v="80"/>
    <x v="136"/>
    <x v="6"/>
    <x v="6"/>
    <x v="3"/>
    <x v="6"/>
    <x v="20"/>
  </r>
  <r>
    <x v="165"/>
    <x v="80"/>
    <x v="136"/>
    <x v="38"/>
    <x v="36"/>
    <x v="0"/>
    <x v="37"/>
    <x v="51"/>
  </r>
  <r>
    <x v="166"/>
    <x v="144"/>
    <x v="137"/>
    <x v="37"/>
    <x v="35"/>
    <x v="3"/>
    <x v="41"/>
    <x v="57"/>
  </r>
  <r>
    <x v="167"/>
    <x v="145"/>
    <x v="138"/>
    <x v="40"/>
    <x v="38"/>
    <x v="0"/>
    <x v="46"/>
    <x v="66"/>
  </r>
  <r>
    <x v="167"/>
    <x v="145"/>
    <x v="138"/>
    <x v="5"/>
    <x v="5"/>
    <x v="2"/>
    <x v="4"/>
    <x v="4"/>
  </r>
  <r>
    <x v="167"/>
    <x v="145"/>
    <x v="138"/>
    <x v="11"/>
    <x v="11"/>
    <x v="0"/>
    <x v="4"/>
    <x v="4"/>
  </r>
  <r>
    <x v="167"/>
    <x v="145"/>
    <x v="138"/>
    <x v="1"/>
    <x v="1"/>
    <x v="2"/>
    <x v="4"/>
    <x v="4"/>
  </r>
  <r>
    <x v="167"/>
    <x v="145"/>
    <x v="138"/>
    <x v="6"/>
    <x v="6"/>
    <x v="6"/>
    <x v="4"/>
    <x v="4"/>
  </r>
  <r>
    <x v="167"/>
    <x v="145"/>
    <x v="138"/>
    <x v="19"/>
    <x v="19"/>
    <x v="3"/>
    <x v="0"/>
    <x v="19"/>
  </r>
  <r>
    <x v="167"/>
    <x v="145"/>
    <x v="138"/>
    <x v="34"/>
    <x v="18"/>
    <x v="0"/>
    <x v="92"/>
    <x v="148"/>
  </r>
  <r>
    <x v="168"/>
    <x v="146"/>
    <x v="138"/>
    <x v="83"/>
    <x v="89"/>
    <x v="0"/>
    <x v="4"/>
    <x v="4"/>
  </r>
  <r>
    <x v="169"/>
    <x v="147"/>
    <x v="139"/>
    <x v="31"/>
    <x v="8"/>
    <x v="0"/>
    <x v="2"/>
    <x v="2"/>
  </r>
  <r>
    <x v="170"/>
    <x v="148"/>
    <x v="140"/>
    <x v="2"/>
    <x v="2"/>
    <x v="0"/>
    <x v="2"/>
    <x v="2"/>
  </r>
  <r>
    <x v="170"/>
    <x v="148"/>
    <x v="140"/>
    <x v="45"/>
    <x v="43"/>
    <x v="2"/>
    <x v="80"/>
    <x v="129"/>
  </r>
  <r>
    <x v="170"/>
    <x v="148"/>
    <x v="140"/>
    <x v="5"/>
    <x v="5"/>
    <x v="2"/>
    <x v="4"/>
    <x v="4"/>
  </r>
  <r>
    <x v="170"/>
    <x v="148"/>
    <x v="140"/>
    <x v="25"/>
    <x v="25"/>
    <x v="4"/>
    <x v="36"/>
    <x v="131"/>
  </r>
  <r>
    <x v="170"/>
    <x v="148"/>
    <x v="140"/>
    <x v="88"/>
    <x v="90"/>
    <x v="2"/>
    <x v="93"/>
    <x v="149"/>
  </r>
  <r>
    <x v="170"/>
    <x v="148"/>
    <x v="140"/>
    <x v="11"/>
    <x v="11"/>
    <x v="2"/>
    <x v="4"/>
    <x v="4"/>
  </r>
  <r>
    <x v="170"/>
    <x v="148"/>
    <x v="140"/>
    <x v="13"/>
    <x v="13"/>
    <x v="2"/>
    <x v="4"/>
    <x v="4"/>
  </r>
  <r>
    <x v="171"/>
    <x v="149"/>
    <x v="141"/>
    <x v="89"/>
    <x v="91"/>
    <x v="0"/>
    <x v="4"/>
    <x v="4"/>
  </r>
  <r>
    <x v="171"/>
    <x v="149"/>
    <x v="141"/>
    <x v="90"/>
    <x v="92"/>
    <x v="3"/>
    <x v="4"/>
    <x v="4"/>
  </r>
  <r>
    <x v="172"/>
    <x v="150"/>
    <x v="142"/>
    <x v="30"/>
    <x v="30"/>
    <x v="0"/>
    <x v="29"/>
    <x v="37"/>
  </r>
  <r>
    <x v="173"/>
    <x v="151"/>
    <x v="143"/>
    <x v="8"/>
    <x v="8"/>
    <x v="0"/>
    <x v="8"/>
    <x v="10"/>
  </r>
  <r>
    <x v="174"/>
    <x v="152"/>
    <x v="144"/>
    <x v="19"/>
    <x v="19"/>
    <x v="0"/>
    <x v="0"/>
    <x v="0"/>
  </r>
  <r>
    <x v="174"/>
    <x v="152"/>
    <x v="144"/>
    <x v="6"/>
    <x v="87"/>
    <x v="0"/>
    <x v="6"/>
    <x v="7"/>
  </r>
  <r>
    <x v="175"/>
    <x v="153"/>
    <x v="145"/>
    <x v="8"/>
    <x v="8"/>
    <x v="0"/>
    <x v="8"/>
    <x v="10"/>
  </r>
  <r>
    <x v="176"/>
    <x v="154"/>
    <x v="146"/>
    <x v="2"/>
    <x v="2"/>
    <x v="5"/>
    <x v="52"/>
    <x v="150"/>
  </r>
  <r>
    <x v="176"/>
    <x v="154"/>
    <x v="146"/>
    <x v="9"/>
    <x v="9"/>
    <x v="0"/>
    <x v="94"/>
    <x v="151"/>
  </r>
  <r>
    <x v="176"/>
    <x v="154"/>
    <x v="146"/>
    <x v="30"/>
    <x v="30"/>
    <x v="12"/>
    <x v="30"/>
    <x v="152"/>
  </r>
  <r>
    <x v="176"/>
    <x v="154"/>
    <x v="146"/>
    <x v="86"/>
    <x v="43"/>
    <x v="12"/>
    <x v="95"/>
    <x v="153"/>
  </r>
  <r>
    <x v="176"/>
    <x v="154"/>
    <x v="146"/>
    <x v="10"/>
    <x v="10"/>
    <x v="12"/>
    <x v="27"/>
    <x v="154"/>
  </r>
  <r>
    <x v="176"/>
    <x v="154"/>
    <x v="146"/>
    <x v="1"/>
    <x v="1"/>
    <x v="10"/>
    <x v="4"/>
    <x v="4"/>
  </r>
  <r>
    <x v="176"/>
    <x v="154"/>
    <x v="146"/>
    <x v="6"/>
    <x v="87"/>
    <x v="10"/>
    <x v="4"/>
    <x v="4"/>
  </r>
  <r>
    <x v="176"/>
    <x v="154"/>
    <x v="146"/>
    <x v="5"/>
    <x v="93"/>
    <x v="10"/>
    <x v="4"/>
    <x v="4"/>
  </r>
  <r>
    <x v="176"/>
    <x v="154"/>
    <x v="146"/>
    <x v="5"/>
    <x v="5"/>
    <x v="12"/>
    <x v="77"/>
    <x v="155"/>
  </r>
  <r>
    <x v="176"/>
    <x v="154"/>
    <x v="146"/>
    <x v="26"/>
    <x v="26"/>
    <x v="12"/>
    <x v="25"/>
    <x v="156"/>
  </r>
  <r>
    <x v="176"/>
    <x v="154"/>
    <x v="146"/>
    <x v="11"/>
    <x v="11"/>
    <x v="10"/>
    <x v="4"/>
    <x v="4"/>
  </r>
  <r>
    <x v="176"/>
    <x v="154"/>
    <x v="146"/>
    <x v="18"/>
    <x v="18"/>
    <x v="0"/>
    <x v="96"/>
    <x v="157"/>
  </r>
  <r>
    <x v="177"/>
    <x v="155"/>
    <x v="146"/>
    <x v="91"/>
    <x v="94"/>
    <x v="10"/>
    <x v="97"/>
    <x v="158"/>
  </r>
  <r>
    <x v="177"/>
    <x v="155"/>
    <x v="146"/>
    <x v="18"/>
    <x v="18"/>
    <x v="0"/>
    <x v="98"/>
    <x v="29"/>
  </r>
  <r>
    <x v="178"/>
    <x v="156"/>
    <x v="146"/>
    <x v="92"/>
    <x v="95"/>
    <x v="5"/>
    <x v="27"/>
    <x v="159"/>
  </r>
  <r>
    <x v="178"/>
    <x v="156"/>
    <x v="146"/>
    <x v="93"/>
    <x v="96"/>
    <x v="5"/>
    <x v="99"/>
    <x v="160"/>
  </r>
  <r>
    <x v="178"/>
    <x v="156"/>
    <x v="146"/>
    <x v="11"/>
    <x v="11"/>
    <x v="5"/>
    <x v="4"/>
    <x v="4"/>
  </r>
  <r>
    <x v="178"/>
    <x v="156"/>
    <x v="146"/>
    <x v="18"/>
    <x v="18"/>
    <x v="0"/>
    <x v="97"/>
    <x v="161"/>
  </r>
  <r>
    <x v="179"/>
    <x v="66"/>
    <x v="146"/>
    <x v="40"/>
    <x v="38"/>
    <x v="2"/>
    <x v="100"/>
    <x v="162"/>
  </r>
  <r>
    <x v="179"/>
    <x v="66"/>
    <x v="146"/>
    <x v="11"/>
    <x v="11"/>
    <x v="2"/>
    <x v="4"/>
    <x v="4"/>
  </r>
  <r>
    <x v="179"/>
    <x v="66"/>
    <x v="146"/>
    <x v="5"/>
    <x v="86"/>
    <x v="11"/>
    <x v="4"/>
    <x v="4"/>
  </r>
  <r>
    <x v="179"/>
    <x v="66"/>
    <x v="146"/>
    <x v="1"/>
    <x v="1"/>
    <x v="11"/>
    <x v="4"/>
    <x v="4"/>
  </r>
  <r>
    <x v="179"/>
    <x v="66"/>
    <x v="146"/>
    <x v="87"/>
    <x v="88"/>
    <x v="21"/>
    <x v="4"/>
    <x v="4"/>
  </r>
  <r>
    <x v="179"/>
    <x v="66"/>
    <x v="146"/>
    <x v="9"/>
    <x v="9"/>
    <x v="0"/>
    <x v="94"/>
    <x v="151"/>
  </r>
  <r>
    <x v="179"/>
    <x v="66"/>
    <x v="146"/>
    <x v="47"/>
    <x v="18"/>
    <x v="0"/>
    <x v="101"/>
    <x v="163"/>
  </r>
  <r>
    <x v="180"/>
    <x v="157"/>
    <x v="147"/>
    <x v="7"/>
    <x v="7"/>
    <x v="0"/>
    <x v="7"/>
    <x v="8"/>
  </r>
  <r>
    <x v="180"/>
    <x v="157"/>
    <x v="147"/>
    <x v="6"/>
    <x v="87"/>
    <x v="0"/>
    <x v="6"/>
    <x v="7"/>
  </r>
  <r>
    <x v="180"/>
    <x v="157"/>
    <x v="147"/>
    <x v="0"/>
    <x v="0"/>
    <x v="3"/>
    <x v="0"/>
    <x v="19"/>
  </r>
  <r>
    <x v="180"/>
    <x v="157"/>
    <x v="147"/>
    <x v="6"/>
    <x v="87"/>
    <x v="0"/>
    <x v="6"/>
    <x v="7"/>
  </r>
  <r>
    <x v="180"/>
    <x v="157"/>
    <x v="147"/>
    <x v="1"/>
    <x v="1"/>
    <x v="0"/>
    <x v="1"/>
    <x v="6"/>
  </r>
  <r>
    <x v="181"/>
    <x v="158"/>
    <x v="148"/>
    <x v="26"/>
    <x v="86"/>
    <x v="3"/>
    <x v="37"/>
    <x v="164"/>
  </r>
  <r>
    <x v="181"/>
    <x v="158"/>
    <x v="148"/>
    <x v="2"/>
    <x v="2"/>
    <x v="0"/>
    <x v="2"/>
    <x v="2"/>
  </r>
  <r>
    <x v="182"/>
    <x v="158"/>
    <x v="148"/>
    <x v="2"/>
    <x v="2"/>
    <x v="0"/>
    <x v="4"/>
    <x v="4"/>
  </r>
  <r>
    <x v="183"/>
    <x v="85"/>
    <x v="149"/>
    <x v="94"/>
    <x v="97"/>
    <x v="20"/>
    <x v="102"/>
    <x v="165"/>
  </r>
  <r>
    <x v="183"/>
    <x v="85"/>
    <x v="149"/>
    <x v="95"/>
    <x v="98"/>
    <x v="22"/>
    <x v="103"/>
    <x v="166"/>
  </r>
  <r>
    <x v="183"/>
    <x v="85"/>
    <x v="149"/>
    <x v="47"/>
    <x v="18"/>
    <x v="0"/>
    <x v="85"/>
    <x v="137"/>
  </r>
  <r>
    <x v="184"/>
    <x v="132"/>
    <x v="149"/>
    <x v="96"/>
    <x v="99"/>
    <x v="23"/>
    <x v="104"/>
    <x v="167"/>
  </r>
  <r>
    <x v="184"/>
    <x v="132"/>
    <x v="149"/>
    <x v="97"/>
    <x v="100"/>
    <x v="24"/>
    <x v="105"/>
    <x v="168"/>
  </r>
  <r>
    <x v="184"/>
    <x v="132"/>
    <x v="149"/>
    <x v="98"/>
    <x v="101"/>
    <x v="3"/>
    <x v="4"/>
    <x v="4"/>
  </r>
  <r>
    <x v="184"/>
    <x v="132"/>
    <x v="149"/>
    <x v="47"/>
    <x v="18"/>
    <x v="0"/>
    <x v="106"/>
    <x v="169"/>
  </r>
  <r>
    <x v="185"/>
    <x v="159"/>
    <x v="149"/>
    <x v="99"/>
    <x v="102"/>
    <x v="0"/>
    <x v="4"/>
    <x v="4"/>
  </r>
  <r>
    <x v="185"/>
    <x v="159"/>
    <x v="149"/>
    <x v="100"/>
    <x v="103"/>
    <x v="0"/>
    <x v="4"/>
    <x v="4"/>
  </r>
  <r>
    <x v="186"/>
    <x v="160"/>
    <x v="149"/>
    <x v="52"/>
    <x v="49"/>
    <x v="0"/>
    <x v="58"/>
    <x v="89"/>
  </r>
  <r>
    <x v="186"/>
    <x v="160"/>
    <x v="149"/>
    <x v="18"/>
    <x v="18"/>
    <x v="0"/>
    <x v="107"/>
    <x v="170"/>
  </r>
  <r>
    <x v="187"/>
    <x v="161"/>
    <x v="149"/>
    <x v="16"/>
    <x v="86"/>
    <x v="4"/>
    <x v="108"/>
    <x v="171"/>
  </r>
  <r>
    <x v="187"/>
    <x v="161"/>
    <x v="149"/>
    <x v="18"/>
    <x v="18"/>
    <x v="0"/>
    <x v="109"/>
    <x v="172"/>
  </r>
  <r>
    <x v="188"/>
    <x v="162"/>
    <x v="149"/>
    <x v="21"/>
    <x v="86"/>
    <x v="4"/>
    <x v="18"/>
    <x v="173"/>
  </r>
</pivotCacheRecords>
</file>

<file path=xl/pivotCache/pivotCacheRecords39.xml><?xml version="1.0" encoding="utf-8"?>
<pivotCacheRecords xmlns:r="http://schemas.openxmlformats.org/officeDocument/2006/relationships" xmlns="http://schemas.openxmlformats.org/spreadsheetml/2006/main" count="482">
  <r>
    <x v="0"/>
    <x v="0"/>
    <x v="0"/>
  </r>
  <r>
    <x v="1"/>
    <x v="1"/>
    <x v="1"/>
  </r>
  <r>
    <x v="2"/>
    <x v="2"/>
    <x v="0"/>
  </r>
  <r>
    <x v="3"/>
    <x v="3"/>
    <x v="0"/>
  </r>
  <r>
    <x v="4"/>
    <x v="4"/>
    <x v="0"/>
  </r>
  <r>
    <x v="5"/>
    <x v="5"/>
    <x v="0"/>
  </r>
  <r>
    <x v="1"/>
    <x v="1"/>
    <x v="0"/>
  </r>
  <r>
    <x v="6"/>
    <x v="6"/>
    <x v="0"/>
  </r>
  <r>
    <x v="2"/>
    <x v="2"/>
    <x v="0"/>
  </r>
  <r>
    <x v="7"/>
    <x v="7"/>
    <x v="0"/>
  </r>
  <r>
    <x v="6"/>
    <x v="6"/>
    <x v="0"/>
  </r>
  <r>
    <x v="1"/>
    <x v="1"/>
    <x v="2"/>
  </r>
  <r>
    <x v="1"/>
    <x v="1"/>
    <x v="2"/>
  </r>
  <r>
    <x v="6"/>
    <x v="6"/>
    <x v="0"/>
  </r>
  <r>
    <x v="8"/>
    <x v="8"/>
    <x v="0"/>
  </r>
  <r>
    <x v="9"/>
    <x v="9"/>
    <x v="0"/>
  </r>
  <r>
    <x v="10"/>
    <x v="10"/>
    <x v="2"/>
  </r>
  <r>
    <x v="11"/>
    <x v="11"/>
    <x v="2"/>
  </r>
  <r>
    <x v="12"/>
    <x v="12"/>
    <x v="2"/>
  </r>
  <r>
    <x v="13"/>
    <x v="13"/>
    <x v="2"/>
  </r>
  <r>
    <x v="5"/>
    <x v="5"/>
    <x v="2"/>
  </r>
  <r>
    <x v="14"/>
    <x v="14"/>
    <x v="0"/>
  </r>
  <r>
    <x v="15"/>
    <x v="15"/>
    <x v="2"/>
  </r>
  <r>
    <x v="16"/>
    <x v="16"/>
    <x v="3"/>
  </r>
  <r>
    <x v="17"/>
    <x v="17"/>
    <x v="3"/>
  </r>
  <r>
    <x v="2"/>
    <x v="2"/>
    <x v="0"/>
  </r>
  <r>
    <x v="0"/>
    <x v="0"/>
    <x v="4"/>
  </r>
  <r>
    <x v="18"/>
    <x v="18"/>
    <x v="0"/>
  </r>
  <r>
    <x v="19"/>
    <x v="19"/>
    <x v="3"/>
  </r>
  <r>
    <x v="6"/>
    <x v="6"/>
    <x v="3"/>
  </r>
  <r>
    <x v="0"/>
    <x v="0"/>
    <x v="3"/>
  </r>
  <r>
    <x v="7"/>
    <x v="7"/>
    <x v="0"/>
  </r>
  <r>
    <x v="6"/>
    <x v="6"/>
    <x v="0"/>
  </r>
  <r>
    <x v="1"/>
    <x v="1"/>
    <x v="0"/>
  </r>
  <r>
    <x v="20"/>
    <x v="20"/>
    <x v="0"/>
  </r>
  <r>
    <x v="0"/>
    <x v="0"/>
    <x v="0"/>
  </r>
  <r>
    <x v="9"/>
    <x v="9"/>
    <x v="0"/>
  </r>
  <r>
    <x v="6"/>
    <x v="6"/>
    <x v="5"/>
  </r>
  <r>
    <x v="1"/>
    <x v="1"/>
    <x v="0"/>
  </r>
  <r>
    <x v="6"/>
    <x v="6"/>
    <x v="0"/>
  </r>
  <r>
    <x v="9"/>
    <x v="9"/>
    <x v="0"/>
  </r>
  <r>
    <x v="0"/>
    <x v="0"/>
    <x v="0"/>
  </r>
  <r>
    <x v="2"/>
    <x v="2"/>
    <x v="0"/>
  </r>
  <r>
    <x v="10"/>
    <x v="10"/>
    <x v="0"/>
  </r>
  <r>
    <x v="11"/>
    <x v="11"/>
    <x v="0"/>
  </r>
  <r>
    <x v="12"/>
    <x v="12"/>
    <x v="0"/>
  </r>
  <r>
    <x v="13"/>
    <x v="13"/>
    <x v="0"/>
  </r>
  <r>
    <x v="5"/>
    <x v="5"/>
    <x v="0"/>
  </r>
  <r>
    <x v="21"/>
    <x v="21"/>
    <x v="0"/>
  </r>
  <r>
    <x v="10"/>
    <x v="10"/>
    <x v="0"/>
  </r>
  <r>
    <x v="11"/>
    <x v="11"/>
    <x v="0"/>
  </r>
  <r>
    <x v="12"/>
    <x v="12"/>
    <x v="0"/>
  </r>
  <r>
    <x v="13"/>
    <x v="13"/>
    <x v="0"/>
  </r>
  <r>
    <x v="22"/>
    <x v="22"/>
    <x v="0"/>
  </r>
  <r>
    <x v="23"/>
    <x v="23"/>
    <x v="0"/>
  </r>
  <r>
    <x v="24"/>
    <x v="24"/>
    <x v="0"/>
  </r>
  <r>
    <x v="2"/>
    <x v="2"/>
    <x v="0"/>
  </r>
  <r>
    <x v="5"/>
    <x v="5"/>
    <x v="3"/>
  </r>
  <r>
    <x v="13"/>
    <x v="13"/>
    <x v="3"/>
  </r>
  <r>
    <x v="19"/>
    <x v="19"/>
    <x v="3"/>
  </r>
  <r>
    <x v="6"/>
    <x v="6"/>
    <x v="3"/>
  </r>
  <r>
    <x v="2"/>
    <x v="2"/>
    <x v="0"/>
  </r>
  <r>
    <x v="25"/>
    <x v="25"/>
    <x v="2"/>
  </r>
  <r>
    <x v="23"/>
    <x v="23"/>
    <x v="6"/>
  </r>
  <r>
    <x v="26"/>
    <x v="26"/>
    <x v="2"/>
  </r>
  <r>
    <x v="27"/>
    <x v="27"/>
    <x v="7"/>
  </r>
  <r>
    <x v="18"/>
    <x v="18"/>
    <x v="0"/>
  </r>
  <r>
    <x v="28"/>
    <x v="28"/>
    <x v="6"/>
  </r>
  <r>
    <x v="10"/>
    <x v="10"/>
    <x v="2"/>
  </r>
  <r>
    <x v="29"/>
    <x v="29"/>
    <x v="2"/>
  </r>
  <r>
    <x v="11"/>
    <x v="11"/>
    <x v="2"/>
  </r>
  <r>
    <x v="12"/>
    <x v="12"/>
    <x v="2"/>
  </r>
  <r>
    <x v="6"/>
    <x v="6"/>
    <x v="2"/>
  </r>
  <r>
    <x v="1"/>
    <x v="1"/>
    <x v="2"/>
  </r>
  <r>
    <x v="18"/>
    <x v="18"/>
    <x v="0"/>
  </r>
  <r>
    <x v="5"/>
    <x v="5"/>
    <x v="0"/>
  </r>
  <r>
    <x v="13"/>
    <x v="13"/>
    <x v="0"/>
  </r>
  <r>
    <x v="0"/>
    <x v="0"/>
    <x v="0"/>
  </r>
  <r>
    <x v="30"/>
    <x v="30"/>
    <x v="0"/>
  </r>
  <r>
    <x v="31"/>
    <x v="8"/>
    <x v="3"/>
  </r>
  <r>
    <x v="2"/>
    <x v="2"/>
    <x v="0"/>
  </r>
  <r>
    <x v="5"/>
    <x v="5"/>
    <x v="0"/>
  </r>
  <r>
    <x v="23"/>
    <x v="23"/>
    <x v="3"/>
  </r>
  <r>
    <x v="19"/>
    <x v="19"/>
    <x v="3"/>
  </r>
  <r>
    <x v="6"/>
    <x v="6"/>
    <x v="3"/>
  </r>
  <r>
    <x v="21"/>
    <x v="21"/>
    <x v="3"/>
  </r>
  <r>
    <x v="30"/>
    <x v="30"/>
    <x v="0"/>
  </r>
  <r>
    <x v="10"/>
    <x v="10"/>
    <x v="6"/>
  </r>
  <r>
    <x v="5"/>
    <x v="5"/>
    <x v="6"/>
  </r>
  <r>
    <x v="13"/>
    <x v="13"/>
    <x v="6"/>
  </r>
  <r>
    <x v="11"/>
    <x v="11"/>
    <x v="6"/>
  </r>
  <r>
    <x v="25"/>
    <x v="25"/>
    <x v="6"/>
  </r>
  <r>
    <x v="23"/>
    <x v="23"/>
    <x v="6"/>
  </r>
  <r>
    <x v="30"/>
    <x v="30"/>
    <x v="0"/>
  </r>
  <r>
    <x v="7"/>
    <x v="7"/>
    <x v="1"/>
  </r>
  <r>
    <x v="6"/>
    <x v="6"/>
    <x v="1"/>
  </r>
  <r>
    <x v="32"/>
    <x v="31"/>
    <x v="3"/>
  </r>
  <r>
    <x v="33"/>
    <x v="32"/>
    <x v="6"/>
  </r>
  <r>
    <x v="18"/>
    <x v="18"/>
    <x v="0"/>
  </r>
  <r>
    <x v="34"/>
    <x v="18"/>
    <x v="0"/>
  </r>
  <r>
    <x v="2"/>
    <x v="2"/>
    <x v="0"/>
  </r>
  <r>
    <x v="8"/>
    <x v="8"/>
    <x v="3"/>
  </r>
  <r>
    <x v="19"/>
    <x v="19"/>
    <x v="0"/>
  </r>
  <r>
    <x v="6"/>
    <x v="6"/>
    <x v="0"/>
  </r>
  <r>
    <x v="2"/>
    <x v="2"/>
    <x v="0"/>
  </r>
  <r>
    <x v="25"/>
    <x v="25"/>
    <x v="3"/>
  </r>
  <r>
    <x v="26"/>
    <x v="26"/>
    <x v="0"/>
  </r>
  <r>
    <x v="31"/>
    <x v="8"/>
    <x v="0"/>
  </r>
  <r>
    <x v="2"/>
    <x v="2"/>
    <x v="3"/>
  </r>
  <r>
    <x v="2"/>
    <x v="2"/>
    <x v="0"/>
  </r>
  <r>
    <x v="8"/>
    <x v="8"/>
    <x v="0"/>
  </r>
  <r>
    <x v="22"/>
    <x v="22"/>
    <x v="0"/>
  </r>
  <r>
    <x v="13"/>
    <x v="13"/>
    <x v="0"/>
  </r>
  <r>
    <x v="7"/>
    <x v="7"/>
    <x v="3"/>
  </r>
  <r>
    <x v="6"/>
    <x v="6"/>
    <x v="3"/>
  </r>
  <r>
    <x v="35"/>
    <x v="33"/>
    <x v="0"/>
  </r>
  <r>
    <x v="13"/>
    <x v="13"/>
    <x v="0"/>
  </r>
  <r>
    <x v="36"/>
    <x v="34"/>
    <x v="8"/>
  </r>
  <r>
    <x v="25"/>
    <x v="25"/>
    <x v="6"/>
  </r>
  <r>
    <x v="4"/>
    <x v="4"/>
    <x v="4"/>
  </r>
  <r>
    <x v="18"/>
    <x v="18"/>
    <x v="0"/>
  </r>
  <r>
    <x v="37"/>
    <x v="35"/>
    <x v="3"/>
  </r>
  <r>
    <x v="31"/>
    <x v="8"/>
    <x v="0"/>
  </r>
  <r>
    <x v="2"/>
    <x v="2"/>
    <x v="5"/>
  </r>
  <r>
    <x v="10"/>
    <x v="10"/>
    <x v="3"/>
  </r>
  <r>
    <x v="11"/>
    <x v="11"/>
    <x v="3"/>
  </r>
  <r>
    <x v="12"/>
    <x v="12"/>
    <x v="3"/>
  </r>
  <r>
    <x v="13"/>
    <x v="13"/>
    <x v="3"/>
  </r>
  <r>
    <x v="26"/>
    <x v="26"/>
    <x v="3"/>
  </r>
  <r>
    <x v="23"/>
    <x v="23"/>
    <x v="3"/>
  </r>
  <r>
    <x v="7"/>
    <x v="7"/>
    <x v="3"/>
  </r>
  <r>
    <x v="6"/>
    <x v="6"/>
    <x v="3"/>
  </r>
  <r>
    <x v="2"/>
    <x v="2"/>
    <x v="0"/>
  </r>
  <r>
    <x v="2"/>
    <x v="2"/>
    <x v="0"/>
  </r>
  <r>
    <x v="19"/>
    <x v="19"/>
    <x v="0"/>
  </r>
  <r>
    <x v="6"/>
    <x v="6"/>
    <x v="0"/>
  </r>
  <r>
    <x v="8"/>
    <x v="8"/>
    <x v="0"/>
  </r>
  <r>
    <x v="0"/>
    <x v="0"/>
    <x v="0"/>
  </r>
  <r>
    <x v="3"/>
    <x v="3"/>
    <x v="4"/>
  </r>
  <r>
    <x v="25"/>
    <x v="25"/>
    <x v="4"/>
  </r>
  <r>
    <x v="26"/>
    <x v="26"/>
    <x v="4"/>
  </r>
  <r>
    <x v="38"/>
    <x v="36"/>
    <x v="4"/>
  </r>
  <r>
    <x v="2"/>
    <x v="2"/>
    <x v="0"/>
  </r>
  <r>
    <x v="39"/>
    <x v="37"/>
    <x v="3"/>
  </r>
  <r>
    <x v="6"/>
    <x v="6"/>
    <x v="2"/>
  </r>
  <r>
    <x v="1"/>
    <x v="1"/>
    <x v="4"/>
  </r>
  <r>
    <x v="40"/>
    <x v="38"/>
    <x v="0"/>
  </r>
  <r>
    <x v="26"/>
    <x v="26"/>
    <x v="2"/>
  </r>
  <r>
    <x v="19"/>
    <x v="19"/>
    <x v="3"/>
  </r>
  <r>
    <x v="25"/>
    <x v="25"/>
    <x v="3"/>
  </r>
  <r>
    <x v="11"/>
    <x v="11"/>
    <x v="0"/>
  </r>
  <r>
    <x v="41"/>
    <x v="39"/>
    <x v="3"/>
  </r>
  <r>
    <x v="13"/>
    <x v="13"/>
    <x v="2"/>
  </r>
  <r>
    <x v="18"/>
    <x v="18"/>
    <x v="0"/>
  </r>
  <r>
    <x v="40"/>
    <x v="38"/>
    <x v="0"/>
  </r>
  <r>
    <x v="26"/>
    <x v="26"/>
    <x v="2"/>
  </r>
  <r>
    <x v="25"/>
    <x v="25"/>
    <x v="3"/>
  </r>
  <r>
    <x v="11"/>
    <x v="11"/>
    <x v="0"/>
  </r>
  <r>
    <x v="41"/>
    <x v="39"/>
    <x v="3"/>
  </r>
  <r>
    <x v="13"/>
    <x v="13"/>
    <x v="2"/>
  </r>
  <r>
    <x v="42"/>
    <x v="40"/>
    <x v="4"/>
  </r>
  <r>
    <x v="18"/>
    <x v="18"/>
    <x v="0"/>
  </r>
  <r>
    <x v="30"/>
    <x v="30"/>
    <x v="0"/>
  </r>
  <r>
    <x v="7"/>
    <x v="7"/>
    <x v="8"/>
  </r>
  <r>
    <x v="6"/>
    <x v="6"/>
    <x v="8"/>
  </r>
  <r>
    <x v="12"/>
    <x v="12"/>
    <x v="3"/>
  </r>
  <r>
    <x v="31"/>
    <x v="8"/>
    <x v="3"/>
  </r>
  <r>
    <x v="43"/>
    <x v="41"/>
    <x v="1"/>
  </r>
  <r>
    <x v="21"/>
    <x v="21"/>
    <x v="3"/>
  </r>
  <r>
    <x v="13"/>
    <x v="13"/>
    <x v="3"/>
  </r>
  <r>
    <x v="7"/>
    <x v="7"/>
    <x v="6"/>
  </r>
  <r>
    <x v="6"/>
    <x v="6"/>
    <x v="6"/>
  </r>
  <r>
    <x v="44"/>
    <x v="42"/>
    <x v="0"/>
  </r>
  <r>
    <x v="11"/>
    <x v="11"/>
    <x v="0"/>
  </r>
  <r>
    <x v="20"/>
    <x v="20"/>
    <x v="0"/>
  </r>
  <r>
    <x v="2"/>
    <x v="2"/>
    <x v="0"/>
  </r>
  <r>
    <x v="45"/>
    <x v="43"/>
    <x v="3"/>
  </r>
  <r>
    <x v="5"/>
    <x v="5"/>
    <x v="3"/>
  </r>
  <r>
    <x v="11"/>
    <x v="11"/>
    <x v="3"/>
  </r>
  <r>
    <x v="13"/>
    <x v="13"/>
    <x v="3"/>
  </r>
  <r>
    <x v="2"/>
    <x v="2"/>
    <x v="0"/>
  </r>
  <r>
    <x v="46"/>
    <x v="44"/>
    <x v="0"/>
  </r>
  <r>
    <x v="47"/>
    <x v="18"/>
    <x v="0"/>
  </r>
  <r>
    <x v="48"/>
    <x v="45"/>
    <x v="9"/>
  </r>
  <r>
    <x v="49"/>
    <x v="46"/>
    <x v="10"/>
  </r>
  <r>
    <x v="18"/>
    <x v="18"/>
    <x v="0"/>
  </r>
  <r>
    <x v="0"/>
    <x v="0"/>
    <x v="0"/>
  </r>
  <r>
    <x v="8"/>
    <x v="8"/>
    <x v="0"/>
  </r>
  <r>
    <x v="1"/>
    <x v="1"/>
    <x v="3"/>
  </r>
  <r>
    <x v="50"/>
    <x v="47"/>
    <x v="11"/>
  </r>
  <r>
    <x v="18"/>
    <x v="18"/>
    <x v="0"/>
  </r>
  <r>
    <x v="0"/>
    <x v="0"/>
    <x v="3"/>
  </r>
  <r>
    <x v="43"/>
    <x v="41"/>
    <x v="0"/>
  </r>
  <r>
    <x v="51"/>
    <x v="48"/>
    <x v="0"/>
  </r>
  <r>
    <x v="1"/>
    <x v="1"/>
    <x v="0"/>
  </r>
  <r>
    <x v="27"/>
    <x v="27"/>
    <x v="0"/>
  </r>
  <r>
    <x v="52"/>
    <x v="49"/>
    <x v="0"/>
  </r>
  <r>
    <x v="19"/>
    <x v="19"/>
    <x v="12"/>
  </r>
  <r>
    <x v="6"/>
    <x v="6"/>
    <x v="12"/>
  </r>
  <r>
    <x v="19"/>
    <x v="19"/>
    <x v="0"/>
  </r>
  <r>
    <x v="6"/>
    <x v="6"/>
    <x v="0"/>
  </r>
  <r>
    <x v="30"/>
    <x v="30"/>
    <x v="0"/>
  </r>
  <r>
    <x v="2"/>
    <x v="2"/>
    <x v="0"/>
  </r>
  <r>
    <x v="8"/>
    <x v="8"/>
    <x v="0"/>
  </r>
  <r>
    <x v="0"/>
    <x v="0"/>
    <x v="0"/>
  </r>
  <r>
    <x v="30"/>
    <x v="30"/>
    <x v="0"/>
  </r>
  <r>
    <x v="8"/>
    <x v="8"/>
    <x v="0"/>
  </r>
  <r>
    <x v="2"/>
    <x v="2"/>
    <x v="0"/>
  </r>
  <r>
    <x v="53"/>
    <x v="50"/>
    <x v="13"/>
  </r>
  <r>
    <x v="11"/>
    <x v="11"/>
    <x v="13"/>
  </r>
  <r>
    <x v="18"/>
    <x v="18"/>
    <x v="0"/>
  </r>
  <r>
    <x v="0"/>
    <x v="0"/>
    <x v="5"/>
  </r>
  <r>
    <x v="54"/>
    <x v="51"/>
    <x v="0"/>
  </r>
  <r>
    <x v="31"/>
    <x v="8"/>
    <x v="0"/>
  </r>
  <r>
    <x v="31"/>
    <x v="8"/>
    <x v="0"/>
  </r>
  <r>
    <x v="19"/>
    <x v="19"/>
    <x v="3"/>
  </r>
  <r>
    <x v="6"/>
    <x v="6"/>
    <x v="3"/>
  </r>
  <r>
    <x v="7"/>
    <x v="7"/>
    <x v="3"/>
  </r>
  <r>
    <x v="6"/>
    <x v="6"/>
    <x v="3"/>
  </r>
  <r>
    <x v="37"/>
    <x v="35"/>
    <x v="0"/>
  </r>
  <r>
    <x v="0"/>
    <x v="0"/>
    <x v="0"/>
  </r>
  <r>
    <x v="1"/>
    <x v="1"/>
    <x v="0"/>
  </r>
  <r>
    <x v="36"/>
    <x v="34"/>
    <x v="12"/>
  </r>
  <r>
    <x v="4"/>
    <x v="4"/>
    <x v="12"/>
  </r>
  <r>
    <x v="18"/>
    <x v="18"/>
    <x v="0"/>
  </r>
  <r>
    <x v="52"/>
    <x v="49"/>
    <x v="0"/>
  </r>
  <r>
    <x v="9"/>
    <x v="9"/>
    <x v="0"/>
  </r>
  <r>
    <x v="18"/>
    <x v="18"/>
    <x v="0"/>
  </r>
  <r>
    <x v="55"/>
    <x v="52"/>
    <x v="3"/>
  </r>
  <r>
    <x v="56"/>
    <x v="53"/>
    <x v="3"/>
  </r>
  <r>
    <x v="57"/>
    <x v="54"/>
    <x v="3"/>
  </r>
  <r>
    <x v="58"/>
    <x v="55"/>
    <x v="0"/>
  </r>
  <r>
    <x v="35"/>
    <x v="33"/>
    <x v="0"/>
  </r>
  <r>
    <x v="1"/>
    <x v="1"/>
    <x v="0"/>
  </r>
  <r>
    <x v="31"/>
    <x v="8"/>
    <x v="0"/>
  </r>
  <r>
    <x v="8"/>
    <x v="8"/>
    <x v="0"/>
  </r>
  <r>
    <x v="2"/>
    <x v="2"/>
    <x v="0"/>
  </r>
  <r>
    <x v="5"/>
    <x v="5"/>
    <x v="0"/>
  </r>
  <r>
    <x v="7"/>
    <x v="7"/>
    <x v="0"/>
  </r>
  <r>
    <x v="6"/>
    <x v="6"/>
    <x v="0"/>
  </r>
  <r>
    <x v="19"/>
    <x v="19"/>
    <x v="0"/>
  </r>
  <r>
    <x v="6"/>
    <x v="6"/>
    <x v="0"/>
  </r>
  <r>
    <x v="11"/>
    <x v="11"/>
    <x v="3"/>
  </r>
  <r>
    <x v="22"/>
    <x v="22"/>
    <x v="0"/>
  </r>
  <r>
    <x v="7"/>
    <x v="7"/>
    <x v="3"/>
  </r>
  <r>
    <x v="19"/>
    <x v="19"/>
    <x v="0"/>
  </r>
  <r>
    <x v="6"/>
    <x v="6"/>
    <x v="0"/>
  </r>
  <r>
    <x v="6"/>
    <x v="6"/>
    <x v="0"/>
  </r>
  <r>
    <x v="5"/>
    <x v="5"/>
    <x v="3"/>
  </r>
  <r>
    <x v="15"/>
    <x v="15"/>
    <x v="0"/>
  </r>
  <r>
    <x v="8"/>
    <x v="8"/>
    <x v="0"/>
  </r>
  <r>
    <x v="7"/>
    <x v="7"/>
    <x v="2"/>
  </r>
  <r>
    <x v="6"/>
    <x v="6"/>
    <x v="2"/>
  </r>
  <r>
    <x v="59"/>
    <x v="56"/>
    <x v="3"/>
  </r>
  <r>
    <x v="60"/>
    <x v="57"/>
    <x v="3"/>
  </r>
  <r>
    <x v="18"/>
    <x v="18"/>
    <x v="0"/>
  </r>
  <r>
    <x v="61"/>
    <x v="58"/>
    <x v="3"/>
  </r>
  <r>
    <x v="11"/>
    <x v="11"/>
    <x v="3"/>
  </r>
  <r>
    <x v="18"/>
    <x v="18"/>
    <x v="0"/>
  </r>
  <r>
    <x v="48"/>
    <x v="59"/>
    <x v="10"/>
  </r>
  <r>
    <x v="18"/>
    <x v="18"/>
    <x v="0"/>
  </r>
  <r>
    <x v="6"/>
    <x v="6"/>
    <x v="3"/>
  </r>
  <r>
    <x v="10"/>
    <x v="10"/>
    <x v="0"/>
  </r>
  <r>
    <x v="11"/>
    <x v="11"/>
    <x v="0"/>
  </r>
  <r>
    <x v="12"/>
    <x v="12"/>
    <x v="0"/>
  </r>
  <r>
    <x v="13"/>
    <x v="13"/>
    <x v="0"/>
  </r>
  <r>
    <x v="5"/>
    <x v="5"/>
    <x v="0"/>
  </r>
  <r>
    <x v="23"/>
    <x v="23"/>
    <x v="0"/>
  </r>
  <r>
    <x v="10"/>
    <x v="10"/>
    <x v="0"/>
  </r>
  <r>
    <x v="11"/>
    <x v="11"/>
    <x v="0"/>
  </r>
  <r>
    <x v="12"/>
    <x v="12"/>
    <x v="0"/>
  </r>
  <r>
    <x v="13"/>
    <x v="13"/>
    <x v="0"/>
  </r>
  <r>
    <x v="5"/>
    <x v="5"/>
    <x v="0"/>
  </r>
  <r>
    <x v="23"/>
    <x v="23"/>
    <x v="0"/>
  </r>
  <r>
    <x v="2"/>
    <x v="2"/>
    <x v="0"/>
  </r>
  <r>
    <x v="2"/>
    <x v="2"/>
    <x v="0"/>
  </r>
  <r>
    <x v="62"/>
    <x v="60"/>
    <x v="3"/>
  </r>
  <r>
    <x v="63"/>
    <x v="61"/>
    <x v="14"/>
  </r>
  <r>
    <x v="64"/>
    <x v="62"/>
    <x v="14"/>
  </r>
  <r>
    <x v="65"/>
    <x v="63"/>
    <x v="14"/>
  </r>
  <r>
    <x v="66"/>
    <x v="64"/>
    <x v="14"/>
  </r>
  <r>
    <x v="67"/>
    <x v="65"/>
    <x v="14"/>
  </r>
  <r>
    <x v="44"/>
    <x v="42"/>
    <x v="3"/>
  </r>
  <r>
    <x v="19"/>
    <x v="19"/>
    <x v="3"/>
  </r>
  <r>
    <x v="6"/>
    <x v="6"/>
    <x v="3"/>
  </r>
  <r>
    <x v="54"/>
    <x v="51"/>
    <x v="0"/>
  </r>
  <r>
    <x v="20"/>
    <x v="20"/>
    <x v="5"/>
  </r>
  <r>
    <x v="1"/>
    <x v="1"/>
    <x v="3"/>
  </r>
  <r>
    <x v="6"/>
    <x v="6"/>
    <x v="3"/>
  </r>
  <r>
    <x v="68"/>
    <x v="66"/>
    <x v="3"/>
  </r>
  <r>
    <x v="5"/>
    <x v="5"/>
    <x v="0"/>
  </r>
  <r>
    <x v="69"/>
    <x v="67"/>
    <x v="0"/>
  </r>
  <r>
    <x v="22"/>
    <x v="22"/>
    <x v="2"/>
  </r>
  <r>
    <x v="31"/>
    <x v="8"/>
    <x v="0"/>
  </r>
  <r>
    <x v="1"/>
    <x v="1"/>
    <x v="3"/>
  </r>
  <r>
    <x v="6"/>
    <x v="6"/>
    <x v="0"/>
  </r>
  <r>
    <x v="2"/>
    <x v="2"/>
    <x v="0"/>
  </r>
  <r>
    <x v="8"/>
    <x v="8"/>
    <x v="0"/>
  </r>
  <r>
    <x v="19"/>
    <x v="19"/>
    <x v="0"/>
  </r>
  <r>
    <x v="6"/>
    <x v="6"/>
    <x v="0"/>
  </r>
  <r>
    <x v="3"/>
    <x v="3"/>
    <x v="0"/>
  </r>
  <r>
    <x v="5"/>
    <x v="5"/>
    <x v="0"/>
  </r>
  <r>
    <x v="13"/>
    <x v="13"/>
    <x v="0"/>
  </r>
  <r>
    <x v="70"/>
    <x v="68"/>
    <x v="0"/>
  </r>
  <r>
    <x v="34"/>
    <x v="18"/>
    <x v="0"/>
  </r>
  <r>
    <x v="10"/>
    <x v="69"/>
    <x v="15"/>
  </r>
  <r>
    <x v="71"/>
    <x v="70"/>
    <x v="16"/>
  </r>
  <r>
    <x v="12"/>
    <x v="12"/>
    <x v="15"/>
  </r>
  <r>
    <x v="11"/>
    <x v="11"/>
    <x v="15"/>
  </r>
  <r>
    <x v="72"/>
    <x v="71"/>
    <x v="7"/>
  </r>
  <r>
    <x v="64"/>
    <x v="62"/>
    <x v="17"/>
  </r>
  <r>
    <x v="63"/>
    <x v="61"/>
    <x v="17"/>
  </r>
  <r>
    <x v="65"/>
    <x v="63"/>
    <x v="17"/>
  </r>
  <r>
    <x v="6"/>
    <x v="6"/>
    <x v="5"/>
  </r>
  <r>
    <x v="3"/>
    <x v="3"/>
    <x v="4"/>
  </r>
  <r>
    <x v="25"/>
    <x v="25"/>
    <x v="4"/>
  </r>
  <r>
    <x v="6"/>
    <x v="6"/>
    <x v="6"/>
  </r>
  <r>
    <x v="73"/>
    <x v="72"/>
    <x v="0"/>
  </r>
  <r>
    <x v="52"/>
    <x v="49"/>
    <x v="2"/>
  </r>
  <r>
    <x v="18"/>
    <x v="18"/>
    <x v="0"/>
  </r>
  <r>
    <x v="74"/>
    <x v="73"/>
    <x v="0"/>
  </r>
  <r>
    <x v="31"/>
    <x v="8"/>
    <x v="3"/>
  </r>
  <r>
    <x v="1"/>
    <x v="1"/>
    <x v="7"/>
  </r>
  <r>
    <x v="8"/>
    <x v="8"/>
    <x v="0"/>
  </r>
  <r>
    <x v="0"/>
    <x v="0"/>
    <x v="0"/>
  </r>
  <r>
    <x v="30"/>
    <x v="30"/>
    <x v="0"/>
  </r>
  <r>
    <x v="30"/>
    <x v="30"/>
    <x v="0"/>
  </r>
  <r>
    <x v="31"/>
    <x v="8"/>
    <x v="0"/>
  </r>
  <r>
    <x v="43"/>
    <x v="41"/>
    <x v="3"/>
  </r>
  <r>
    <x v="51"/>
    <x v="48"/>
    <x v="5"/>
  </r>
  <r>
    <x v="75"/>
    <x v="74"/>
    <x v="5"/>
  </r>
  <r>
    <x v="18"/>
    <x v="18"/>
    <x v="0"/>
  </r>
  <r>
    <x v="37"/>
    <x v="35"/>
    <x v="3"/>
  </r>
  <r>
    <x v="44"/>
    <x v="42"/>
    <x v="3"/>
  </r>
  <r>
    <x v="30"/>
    <x v="30"/>
    <x v="0"/>
  </r>
  <r>
    <x v="76"/>
    <x v="75"/>
    <x v="18"/>
  </r>
  <r>
    <x v="77"/>
    <x v="76"/>
    <x v="19"/>
  </r>
  <r>
    <x v="78"/>
    <x v="77"/>
    <x v="17"/>
  </r>
  <r>
    <x v="79"/>
    <x v="78"/>
    <x v="19"/>
  </r>
  <r>
    <x v="80"/>
    <x v="79"/>
    <x v="2"/>
  </r>
  <r>
    <x v="38"/>
    <x v="36"/>
    <x v="0"/>
  </r>
  <r>
    <x v="81"/>
    <x v="80"/>
    <x v="2"/>
  </r>
  <r>
    <x v="47"/>
    <x v="18"/>
    <x v="0"/>
  </r>
  <r>
    <x v="82"/>
    <x v="81"/>
    <x v="0"/>
  </r>
  <r>
    <x v="83"/>
    <x v="82"/>
    <x v="0"/>
  </r>
  <r>
    <x v="83"/>
    <x v="83"/>
    <x v="0"/>
  </r>
  <r>
    <x v="8"/>
    <x v="8"/>
    <x v="0"/>
  </r>
  <r>
    <x v="45"/>
    <x v="43"/>
    <x v="2"/>
  </r>
  <r>
    <x v="84"/>
    <x v="84"/>
    <x v="2"/>
  </r>
  <r>
    <x v="13"/>
    <x v="13"/>
    <x v="2"/>
  </r>
  <r>
    <x v="20"/>
    <x v="20"/>
    <x v="4"/>
  </r>
  <r>
    <x v="11"/>
    <x v="11"/>
    <x v="2"/>
  </r>
  <r>
    <x v="25"/>
    <x v="25"/>
    <x v="4"/>
  </r>
  <r>
    <x v="47"/>
    <x v="18"/>
    <x v="0"/>
  </r>
  <r>
    <x v="31"/>
    <x v="8"/>
    <x v="0"/>
  </r>
  <r>
    <x v="18"/>
    <x v="18"/>
    <x v="0"/>
  </r>
  <r>
    <x v="32"/>
    <x v="31"/>
    <x v="0"/>
  </r>
  <r>
    <x v="26"/>
    <x v="26"/>
    <x v="0"/>
  </r>
  <r>
    <x v="1"/>
    <x v="1"/>
    <x v="0"/>
  </r>
  <r>
    <x v="19"/>
    <x v="19"/>
    <x v="0"/>
  </r>
  <r>
    <x v="6"/>
    <x v="6"/>
    <x v="0"/>
  </r>
  <r>
    <x v="6"/>
    <x v="6"/>
    <x v="0"/>
  </r>
  <r>
    <x v="2"/>
    <x v="2"/>
    <x v="0"/>
  </r>
  <r>
    <x v="7"/>
    <x v="7"/>
    <x v="3"/>
  </r>
  <r>
    <x v="6"/>
    <x v="6"/>
    <x v="3"/>
  </r>
  <r>
    <x v="85"/>
    <x v="85"/>
    <x v="0"/>
  </r>
  <r>
    <x v="18"/>
    <x v="18"/>
    <x v="0"/>
  </r>
  <r>
    <x v="86"/>
    <x v="43"/>
    <x v="6"/>
  </r>
  <r>
    <x v="5"/>
    <x v="86"/>
    <x v="6"/>
  </r>
  <r>
    <x v="26"/>
    <x v="86"/>
    <x v="3"/>
  </r>
  <r>
    <x v="13"/>
    <x v="13"/>
    <x v="6"/>
  </r>
  <r>
    <x v="28"/>
    <x v="28"/>
    <x v="2"/>
  </r>
  <r>
    <x v="11"/>
    <x v="11"/>
    <x v="6"/>
  </r>
  <r>
    <x v="7"/>
    <x v="7"/>
    <x v="4"/>
  </r>
  <r>
    <x v="6"/>
    <x v="87"/>
    <x v="4"/>
  </r>
  <r>
    <x v="47"/>
    <x v="18"/>
    <x v="0"/>
  </r>
  <r>
    <x v="10"/>
    <x v="10"/>
    <x v="3"/>
  </r>
  <r>
    <x v="11"/>
    <x v="11"/>
    <x v="3"/>
  </r>
  <r>
    <x v="12"/>
    <x v="12"/>
    <x v="3"/>
  </r>
  <r>
    <x v="13"/>
    <x v="13"/>
    <x v="3"/>
  </r>
  <r>
    <x v="5"/>
    <x v="5"/>
    <x v="3"/>
  </r>
  <r>
    <x v="7"/>
    <x v="7"/>
    <x v="2"/>
  </r>
  <r>
    <x v="6"/>
    <x v="6"/>
    <x v="2"/>
  </r>
  <r>
    <x v="33"/>
    <x v="32"/>
    <x v="2"/>
  </r>
  <r>
    <x v="19"/>
    <x v="19"/>
    <x v="3"/>
  </r>
  <r>
    <x v="6"/>
    <x v="6"/>
    <x v="3"/>
  </r>
  <r>
    <x v="2"/>
    <x v="2"/>
    <x v="0"/>
  </r>
  <r>
    <x v="31"/>
    <x v="8"/>
    <x v="0"/>
  </r>
  <r>
    <x v="1"/>
    <x v="1"/>
    <x v="0"/>
  </r>
  <r>
    <x v="30"/>
    <x v="30"/>
    <x v="0"/>
  </r>
  <r>
    <x v="43"/>
    <x v="41"/>
    <x v="6"/>
  </r>
  <r>
    <x v="18"/>
    <x v="18"/>
    <x v="0"/>
  </r>
  <r>
    <x v="33"/>
    <x v="32"/>
    <x v="4"/>
  </r>
  <r>
    <x v="18"/>
    <x v="18"/>
    <x v="0"/>
  </r>
  <r>
    <x v="87"/>
    <x v="88"/>
    <x v="20"/>
  </r>
  <r>
    <x v="1"/>
    <x v="1"/>
    <x v="6"/>
  </r>
  <r>
    <x v="19"/>
    <x v="19"/>
    <x v="3"/>
  </r>
  <r>
    <x v="6"/>
    <x v="6"/>
    <x v="3"/>
  </r>
  <r>
    <x v="37"/>
    <x v="35"/>
    <x v="3"/>
  </r>
  <r>
    <x v="50"/>
    <x v="47"/>
    <x v="0"/>
  </r>
  <r>
    <x v="58"/>
    <x v="55"/>
    <x v="3"/>
  </r>
  <r>
    <x v="5"/>
    <x v="5"/>
    <x v="3"/>
  </r>
  <r>
    <x v="19"/>
    <x v="19"/>
    <x v="0"/>
  </r>
  <r>
    <x v="6"/>
    <x v="6"/>
    <x v="0"/>
  </r>
  <r>
    <x v="33"/>
    <x v="32"/>
    <x v="3"/>
  </r>
  <r>
    <x v="1"/>
    <x v="1"/>
    <x v="0"/>
  </r>
  <r>
    <x v="7"/>
    <x v="7"/>
    <x v="0"/>
  </r>
  <r>
    <x v="6"/>
    <x v="6"/>
    <x v="0"/>
  </r>
  <r>
    <x v="19"/>
    <x v="19"/>
    <x v="3"/>
  </r>
  <r>
    <x v="6"/>
    <x v="6"/>
    <x v="3"/>
  </r>
  <r>
    <x v="38"/>
    <x v="36"/>
    <x v="0"/>
  </r>
  <r>
    <x v="37"/>
    <x v="35"/>
    <x v="3"/>
  </r>
  <r>
    <x v="40"/>
    <x v="38"/>
    <x v="0"/>
  </r>
  <r>
    <x v="5"/>
    <x v="5"/>
    <x v="2"/>
  </r>
  <r>
    <x v="11"/>
    <x v="11"/>
    <x v="0"/>
  </r>
  <r>
    <x v="1"/>
    <x v="1"/>
    <x v="2"/>
  </r>
  <r>
    <x v="6"/>
    <x v="6"/>
    <x v="6"/>
  </r>
  <r>
    <x v="19"/>
    <x v="19"/>
    <x v="3"/>
  </r>
  <r>
    <x v="34"/>
    <x v="18"/>
    <x v="0"/>
  </r>
  <r>
    <x v="83"/>
    <x v="89"/>
    <x v="0"/>
  </r>
  <r>
    <x v="31"/>
    <x v="8"/>
    <x v="0"/>
  </r>
  <r>
    <x v="2"/>
    <x v="2"/>
    <x v="0"/>
  </r>
  <r>
    <x v="45"/>
    <x v="43"/>
    <x v="2"/>
  </r>
  <r>
    <x v="5"/>
    <x v="5"/>
    <x v="2"/>
  </r>
  <r>
    <x v="25"/>
    <x v="25"/>
    <x v="4"/>
  </r>
  <r>
    <x v="88"/>
    <x v="90"/>
    <x v="2"/>
  </r>
  <r>
    <x v="11"/>
    <x v="11"/>
    <x v="2"/>
  </r>
  <r>
    <x v="13"/>
    <x v="13"/>
    <x v="2"/>
  </r>
  <r>
    <x v="89"/>
    <x v="91"/>
    <x v="0"/>
  </r>
  <r>
    <x v="90"/>
    <x v="92"/>
    <x v="3"/>
  </r>
  <r>
    <x v="30"/>
    <x v="30"/>
    <x v="0"/>
  </r>
  <r>
    <x v="8"/>
    <x v="8"/>
    <x v="0"/>
  </r>
  <r>
    <x v="19"/>
    <x v="19"/>
    <x v="0"/>
  </r>
  <r>
    <x v="6"/>
    <x v="87"/>
    <x v="0"/>
  </r>
  <r>
    <x v="8"/>
    <x v="8"/>
    <x v="0"/>
  </r>
  <r>
    <x v="2"/>
    <x v="2"/>
    <x v="5"/>
  </r>
  <r>
    <x v="9"/>
    <x v="9"/>
    <x v="0"/>
  </r>
  <r>
    <x v="30"/>
    <x v="30"/>
    <x v="12"/>
  </r>
  <r>
    <x v="86"/>
    <x v="43"/>
    <x v="12"/>
  </r>
  <r>
    <x v="10"/>
    <x v="10"/>
    <x v="12"/>
  </r>
  <r>
    <x v="1"/>
    <x v="1"/>
    <x v="10"/>
  </r>
  <r>
    <x v="6"/>
    <x v="87"/>
    <x v="10"/>
  </r>
  <r>
    <x v="5"/>
    <x v="93"/>
    <x v="10"/>
  </r>
  <r>
    <x v="5"/>
    <x v="5"/>
    <x v="12"/>
  </r>
  <r>
    <x v="26"/>
    <x v="26"/>
    <x v="12"/>
  </r>
  <r>
    <x v="11"/>
    <x v="11"/>
    <x v="10"/>
  </r>
  <r>
    <x v="18"/>
    <x v="18"/>
    <x v="0"/>
  </r>
  <r>
    <x v="91"/>
    <x v="94"/>
    <x v="10"/>
  </r>
  <r>
    <x v="18"/>
    <x v="18"/>
    <x v="0"/>
  </r>
  <r>
    <x v="92"/>
    <x v="95"/>
    <x v="5"/>
  </r>
  <r>
    <x v="93"/>
    <x v="96"/>
    <x v="5"/>
  </r>
  <r>
    <x v="11"/>
    <x v="11"/>
    <x v="5"/>
  </r>
  <r>
    <x v="18"/>
    <x v="18"/>
    <x v="0"/>
  </r>
  <r>
    <x v="40"/>
    <x v="38"/>
    <x v="2"/>
  </r>
  <r>
    <x v="11"/>
    <x v="11"/>
    <x v="2"/>
  </r>
  <r>
    <x v="5"/>
    <x v="86"/>
    <x v="11"/>
  </r>
  <r>
    <x v="1"/>
    <x v="1"/>
    <x v="11"/>
  </r>
  <r>
    <x v="87"/>
    <x v="88"/>
    <x v="21"/>
  </r>
  <r>
    <x v="9"/>
    <x v="9"/>
    <x v="0"/>
  </r>
  <r>
    <x v="47"/>
    <x v="18"/>
    <x v="0"/>
  </r>
  <r>
    <x v="7"/>
    <x v="7"/>
    <x v="0"/>
  </r>
  <r>
    <x v="6"/>
    <x v="87"/>
    <x v="0"/>
  </r>
  <r>
    <x v="0"/>
    <x v="0"/>
    <x v="3"/>
  </r>
  <r>
    <x v="6"/>
    <x v="87"/>
    <x v="0"/>
  </r>
  <r>
    <x v="1"/>
    <x v="1"/>
    <x v="0"/>
  </r>
  <r>
    <x v="26"/>
    <x v="86"/>
    <x v="3"/>
  </r>
  <r>
    <x v="2"/>
    <x v="2"/>
    <x v="0"/>
  </r>
  <r>
    <x v="2"/>
    <x v="2"/>
    <x v="0"/>
  </r>
  <r>
    <x v="94"/>
    <x v="97"/>
    <x v="20"/>
  </r>
  <r>
    <x v="95"/>
    <x v="98"/>
    <x v="22"/>
  </r>
  <r>
    <x v="47"/>
    <x v="18"/>
    <x v="0"/>
  </r>
  <r>
    <x v="96"/>
    <x v="99"/>
    <x v="23"/>
  </r>
  <r>
    <x v="97"/>
    <x v="100"/>
    <x v="24"/>
  </r>
  <r>
    <x v="98"/>
    <x v="101"/>
    <x v="3"/>
  </r>
  <r>
    <x v="47"/>
    <x v="18"/>
    <x v="0"/>
  </r>
  <r>
    <x v="99"/>
    <x v="102"/>
    <x v="0"/>
  </r>
  <r>
    <x v="100"/>
    <x v="103"/>
    <x v="0"/>
  </r>
  <r>
    <x v="52"/>
    <x v="49"/>
    <x v="0"/>
  </r>
  <r>
    <x v="18"/>
    <x v="18"/>
    <x v="0"/>
  </r>
  <r>
    <x v="16"/>
    <x v="86"/>
    <x v="4"/>
  </r>
  <r>
    <x v="18"/>
    <x v="18"/>
    <x v="0"/>
  </r>
  <r>
    <x v="21"/>
    <x v="86"/>
    <x v="4"/>
  </r>
</pivotCacheRecords>
</file>

<file path=xl/pivotCache/pivotCacheRecords40.xml><?xml version="1.0" encoding="utf-8"?>
<pivotCacheRecords xmlns:r="http://schemas.openxmlformats.org/officeDocument/2006/relationships" xmlns="http://schemas.openxmlformats.org/spreadsheetml/2006/main" count="482">
  <r>
    <x v="0"/>
    <x v="0"/>
    <x v="0"/>
    <x v="0"/>
    <x v="0"/>
  </r>
  <r>
    <x v="1"/>
    <x v="1"/>
    <x v="1"/>
    <x v="1"/>
    <x v="1"/>
  </r>
  <r>
    <x v="2"/>
    <x v="2"/>
    <x v="0"/>
    <x v="2"/>
    <x v="2"/>
  </r>
  <r>
    <x v="3"/>
    <x v="3"/>
    <x v="0"/>
    <x v="3"/>
    <x v="3"/>
  </r>
  <r>
    <x v="4"/>
    <x v="4"/>
    <x v="0"/>
    <x v="4"/>
    <x v="4"/>
  </r>
  <r>
    <x v="5"/>
    <x v="5"/>
    <x v="0"/>
    <x v="5"/>
    <x v="5"/>
  </r>
  <r>
    <x v="1"/>
    <x v="1"/>
    <x v="0"/>
    <x v="1"/>
    <x v="6"/>
  </r>
  <r>
    <x v="6"/>
    <x v="6"/>
    <x v="0"/>
    <x v="6"/>
    <x v="7"/>
  </r>
  <r>
    <x v="2"/>
    <x v="2"/>
    <x v="0"/>
    <x v="2"/>
    <x v="2"/>
  </r>
  <r>
    <x v="7"/>
    <x v="7"/>
    <x v="0"/>
    <x v="7"/>
    <x v="8"/>
  </r>
  <r>
    <x v="6"/>
    <x v="6"/>
    <x v="0"/>
    <x v="6"/>
    <x v="7"/>
  </r>
  <r>
    <x v="1"/>
    <x v="1"/>
    <x v="2"/>
    <x v="1"/>
    <x v="9"/>
  </r>
  <r>
    <x v="1"/>
    <x v="1"/>
    <x v="2"/>
    <x v="1"/>
    <x v="9"/>
  </r>
  <r>
    <x v="6"/>
    <x v="6"/>
    <x v="0"/>
    <x v="6"/>
    <x v="7"/>
  </r>
  <r>
    <x v="8"/>
    <x v="8"/>
    <x v="0"/>
    <x v="8"/>
    <x v="10"/>
  </r>
  <r>
    <x v="9"/>
    <x v="9"/>
    <x v="0"/>
    <x v="9"/>
    <x v="11"/>
  </r>
  <r>
    <x v="10"/>
    <x v="10"/>
    <x v="2"/>
    <x v="10"/>
    <x v="12"/>
  </r>
  <r>
    <x v="11"/>
    <x v="11"/>
    <x v="2"/>
    <x v="4"/>
    <x v="4"/>
  </r>
  <r>
    <x v="12"/>
    <x v="12"/>
    <x v="2"/>
    <x v="4"/>
    <x v="4"/>
  </r>
  <r>
    <x v="13"/>
    <x v="13"/>
    <x v="2"/>
    <x v="4"/>
    <x v="4"/>
  </r>
  <r>
    <x v="5"/>
    <x v="5"/>
    <x v="2"/>
    <x v="4"/>
    <x v="4"/>
  </r>
  <r>
    <x v="14"/>
    <x v="14"/>
    <x v="0"/>
    <x v="11"/>
    <x v="13"/>
  </r>
  <r>
    <x v="15"/>
    <x v="15"/>
    <x v="2"/>
    <x v="12"/>
    <x v="14"/>
  </r>
  <r>
    <x v="16"/>
    <x v="16"/>
    <x v="3"/>
    <x v="13"/>
    <x v="15"/>
  </r>
  <r>
    <x v="17"/>
    <x v="17"/>
    <x v="3"/>
    <x v="14"/>
    <x v="16"/>
  </r>
  <r>
    <x v="2"/>
    <x v="2"/>
    <x v="0"/>
    <x v="2"/>
    <x v="2"/>
  </r>
  <r>
    <x v="0"/>
    <x v="0"/>
    <x v="4"/>
    <x v="15"/>
    <x v="17"/>
  </r>
  <r>
    <x v="18"/>
    <x v="18"/>
    <x v="0"/>
    <x v="16"/>
    <x v="18"/>
  </r>
  <r>
    <x v="19"/>
    <x v="19"/>
    <x v="3"/>
    <x v="0"/>
    <x v="19"/>
  </r>
  <r>
    <x v="6"/>
    <x v="6"/>
    <x v="3"/>
    <x v="6"/>
    <x v="20"/>
  </r>
  <r>
    <x v="0"/>
    <x v="0"/>
    <x v="3"/>
    <x v="0"/>
    <x v="19"/>
  </r>
  <r>
    <x v="7"/>
    <x v="7"/>
    <x v="0"/>
    <x v="7"/>
    <x v="8"/>
  </r>
  <r>
    <x v="6"/>
    <x v="6"/>
    <x v="0"/>
    <x v="6"/>
    <x v="7"/>
  </r>
  <r>
    <x v="1"/>
    <x v="1"/>
    <x v="0"/>
    <x v="1"/>
    <x v="6"/>
  </r>
  <r>
    <x v="20"/>
    <x v="20"/>
    <x v="0"/>
    <x v="17"/>
    <x v="21"/>
  </r>
  <r>
    <x v="0"/>
    <x v="0"/>
    <x v="0"/>
    <x v="0"/>
    <x v="0"/>
  </r>
  <r>
    <x v="9"/>
    <x v="9"/>
    <x v="0"/>
    <x v="9"/>
    <x v="11"/>
  </r>
  <r>
    <x v="6"/>
    <x v="6"/>
    <x v="5"/>
    <x v="6"/>
    <x v="22"/>
  </r>
  <r>
    <x v="1"/>
    <x v="1"/>
    <x v="0"/>
    <x v="1"/>
    <x v="6"/>
  </r>
  <r>
    <x v="6"/>
    <x v="6"/>
    <x v="0"/>
    <x v="6"/>
    <x v="7"/>
  </r>
  <r>
    <x v="9"/>
    <x v="9"/>
    <x v="0"/>
    <x v="9"/>
    <x v="11"/>
  </r>
  <r>
    <x v="0"/>
    <x v="0"/>
    <x v="0"/>
    <x v="0"/>
    <x v="0"/>
  </r>
  <r>
    <x v="2"/>
    <x v="2"/>
    <x v="0"/>
    <x v="2"/>
    <x v="2"/>
  </r>
  <r>
    <x v="10"/>
    <x v="10"/>
    <x v="0"/>
    <x v="10"/>
    <x v="23"/>
  </r>
  <r>
    <x v="11"/>
    <x v="11"/>
    <x v="0"/>
    <x v="4"/>
    <x v="4"/>
  </r>
  <r>
    <x v="12"/>
    <x v="12"/>
    <x v="0"/>
    <x v="4"/>
    <x v="4"/>
  </r>
  <r>
    <x v="13"/>
    <x v="13"/>
    <x v="0"/>
    <x v="4"/>
    <x v="4"/>
  </r>
  <r>
    <x v="5"/>
    <x v="5"/>
    <x v="0"/>
    <x v="4"/>
    <x v="4"/>
  </r>
  <r>
    <x v="21"/>
    <x v="21"/>
    <x v="0"/>
    <x v="18"/>
    <x v="24"/>
  </r>
  <r>
    <x v="10"/>
    <x v="10"/>
    <x v="0"/>
    <x v="10"/>
    <x v="23"/>
  </r>
  <r>
    <x v="11"/>
    <x v="11"/>
    <x v="0"/>
    <x v="4"/>
    <x v="4"/>
  </r>
  <r>
    <x v="12"/>
    <x v="12"/>
    <x v="0"/>
    <x v="4"/>
    <x v="4"/>
  </r>
  <r>
    <x v="13"/>
    <x v="13"/>
    <x v="0"/>
    <x v="4"/>
    <x v="4"/>
  </r>
  <r>
    <x v="22"/>
    <x v="22"/>
    <x v="0"/>
    <x v="19"/>
    <x v="25"/>
  </r>
  <r>
    <x v="23"/>
    <x v="23"/>
    <x v="0"/>
    <x v="20"/>
    <x v="26"/>
  </r>
  <r>
    <x v="24"/>
    <x v="24"/>
    <x v="0"/>
    <x v="21"/>
    <x v="27"/>
  </r>
  <r>
    <x v="2"/>
    <x v="2"/>
    <x v="0"/>
    <x v="2"/>
    <x v="2"/>
  </r>
  <r>
    <x v="5"/>
    <x v="5"/>
    <x v="3"/>
    <x v="5"/>
    <x v="28"/>
  </r>
  <r>
    <x v="13"/>
    <x v="13"/>
    <x v="3"/>
    <x v="22"/>
    <x v="29"/>
  </r>
  <r>
    <x v="19"/>
    <x v="19"/>
    <x v="3"/>
    <x v="0"/>
    <x v="19"/>
  </r>
  <r>
    <x v="6"/>
    <x v="6"/>
    <x v="3"/>
    <x v="6"/>
    <x v="20"/>
  </r>
  <r>
    <x v="2"/>
    <x v="2"/>
    <x v="0"/>
    <x v="2"/>
    <x v="2"/>
  </r>
  <r>
    <x v="25"/>
    <x v="25"/>
    <x v="2"/>
    <x v="23"/>
    <x v="30"/>
  </r>
  <r>
    <x v="23"/>
    <x v="23"/>
    <x v="6"/>
    <x v="24"/>
    <x v="31"/>
  </r>
  <r>
    <x v="26"/>
    <x v="26"/>
    <x v="2"/>
    <x v="25"/>
    <x v="32"/>
  </r>
  <r>
    <x v="27"/>
    <x v="27"/>
    <x v="7"/>
    <x v="4"/>
    <x v="4"/>
  </r>
  <r>
    <x v="18"/>
    <x v="18"/>
    <x v="0"/>
    <x v="26"/>
    <x v="33"/>
  </r>
  <r>
    <x v="28"/>
    <x v="28"/>
    <x v="6"/>
    <x v="4"/>
    <x v="4"/>
  </r>
  <r>
    <x v="10"/>
    <x v="10"/>
    <x v="2"/>
    <x v="27"/>
    <x v="34"/>
  </r>
  <r>
    <x v="29"/>
    <x v="29"/>
    <x v="2"/>
    <x v="4"/>
    <x v="4"/>
  </r>
  <r>
    <x v="11"/>
    <x v="11"/>
    <x v="2"/>
    <x v="4"/>
    <x v="4"/>
  </r>
  <r>
    <x v="12"/>
    <x v="12"/>
    <x v="2"/>
    <x v="4"/>
    <x v="4"/>
  </r>
  <r>
    <x v="6"/>
    <x v="6"/>
    <x v="2"/>
    <x v="4"/>
    <x v="4"/>
  </r>
  <r>
    <x v="1"/>
    <x v="1"/>
    <x v="2"/>
    <x v="4"/>
    <x v="4"/>
  </r>
  <r>
    <x v="18"/>
    <x v="18"/>
    <x v="0"/>
    <x v="28"/>
    <x v="35"/>
  </r>
  <r>
    <x v="5"/>
    <x v="5"/>
    <x v="0"/>
    <x v="5"/>
    <x v="5"/>
  </r>
  <r>
    <x v="13"/>
    <x v="13"/>
    <x v="0"/>
    <x v="22"/>
    <x v="36"/>
  </r>
  <r>
    <x v="0"/>
    <x v="0"/>
    <x v="0"/>
    <x v="0"/>
    <x v="0"/>
  </r>
  <r>
    <x v="30"/>
    <x v="30"/>
    <x v="0"/>
    <x v="29"/>
    <x v="37"/>
  </r>
  <r>
    <x v="31"/>
    <x v="8"/>
    <x v="3"/>
    <x v="2"/>
    <x v="38"/>
  </r>
  <r>
    <x v="2"/>
    <x v="2"/>
    <x v="0"/>
    <x v="2"/>
    <x v="2"/>
  </r>
  <r>
    <x v="5"/>
    <x v="5"/>
    <x v="0"/>
    <x v="5"/>
    <x v="5"/>
  </r>
  <r>
    <x v="23"/>
    <x v="23"/>
    <x v="3"/>
    <x v="20"/>
    <x v="39"/>
  </r>
  <r>
    <x v="19"/>
    <x v="19"/>
    <x v="3"/>
    <x v="0"/>
    <x v="19"/>
  </r>
  <r>
    <x v="6"/>
    <x v="6"/>
    <x v="3"/>
    <x v="6"/>
    <x v="20"/>
  </r>
  <r>
    <x v="21"/>
    <x v="21"/>
    <x v="3"/>
    <x v="18"/>
    <x v="40"/>
  </r>
  <r>
    <x v="30"/>
    <x v="30"/>
    <x v="0"/>
    <x v="29"/>
    <x v="37"/>
  </r>
  <r>
    <x v="10"/>
    <x v="10"/>
    <x v="6"/>
    <x v="27"/>
    <x v="41"/>
  </r>
  <r>
    <x v="5"/>
    <x v="5"/>
    <x v="6"/>
    <x v="4"/>
    <x v="4"/>
  </r>
  <r>
    <x v="13"/>
    <x v="13"/>
    <x v="6"/>
    <x v="4"/>
    <x v="4"/>
  </r>
  <r>
    <x v="11"/>
    <x v="11"/>
    <x v="6"/>
    <x v="4"/>
    <x v="4"/>
  </r>
  <r>
    <x v="25"/>
    <x v="25"/>
    <x v="6"/>
    <x v="23"/>
    <x v="42"/>
  </r>
  <r>
    <x v="23"/>
    <x v="23"/>
    <x v="6"/>
    <x v="24"/>
    <x v="31"/>
  </r>
  <r>
    <x v="30"/>
    <x v="30"/>
    <x v="0"/>
    <x v="30"/>
    <x v="43"/>
  </r>
  <r>
    <x v="7"/>
    <x v="7"/>
    <x v="1"/>
    <x v="31"/>
    <x v="44"/>
  </r>
  <r>
    <x v="6"/>
    <x v="6"/>
    <x v="1"/>
    <x v="4"/>
    <x v="4"/>
  </r>
  <r>
    <x v="32"/>
    <x v="31"/>
    <x v="3"/>
    <x v="32"/>
    <x v="45"/>
  </r>
  <r>
    <x v="33"/>
    <x v="32"/>
    <x v="6"/>
    <x v="33"/>
    <x v="46"/>
  </r>
  <r>
    <x v="18"/>
    <x v="18"/>
    <x v="0"/>
    <x v="34"/>
    <x v="47"/>
  </r>
  <r>
    <x v="34"/>
    <x v="18"/>
    <x v="0"/>
    <x v="35"/>
    <x v="48"/>
  </r>
  <r>
    <x v="2"/>
    <x v="2"/>
    <x v="0"/>
    <x v="2"/>
    <x v="2"/>
  </r>
  <r>
    <x v="8"/>
    <x v="8"/>
    <x v="3"/>
    <x v="8"/>
    <x v="49"/>
  </r>
  <r>
    <x v="19"/>
    <x v="19"/>
    <x v="0"/>
    <x v="0"/>
    <x v="0"/>
  </r>
  <r>
    <x v="6"/>
    <x v="6"/>
    <x v="0"/>
    <x v="6"/>
    <x v="7"/>
  </r>
  <r>
    <x v="2"/>
    <x v="2"/>
    <x v="0"/>
    <x v="2"/>
    <x v="2"/>
  </r>
  <r>
    <x v="25"/>
    <x v="25"/>
    <x v="3"/>
    <x v="36"/>
    <x v="50"/>
  </r>
  <r>
    <x v="26"/>
    <x v="26"/>
    <x v="0"/>
    <x v="37"/>
    <x v="51"/>
  </r>
  <r>
    <x v="31"/>
    <x v="8"/>
    <x v="0"/>
    <x v="38"/>
    <x v="52"/>
  </r>
  <r>
    <x v="2"/>
    <x v="2"/>
    <x v="3"/>
    <x v="2"/>
    <x v="38"/>
  </r>
  <r>
    <x v="2"/>
    <x v="2"/>
    <x v="0"/>
    <x v="2"/>
    <x v="2"/>
  </r>
  <r>
    <x v="8"/>
    <x v="8"/>
    <x v="0"/>
    <x v="8"/>
    <x v="10"/>
  </r>
  <r>
    <x v="22"/>
    <x v="22"/>
    <x v="0"/>
    <x v="13"/>
    <x v="53"/>
  </r>
  <r>
    <x v="13"/>
    <x v="13"/>
    <x v="0"/>
    <x v="22"/>
    <x v="36"/>
  </r>
  <r>
    <x v="7"/>
    <x v="7"/>
    <x v="3"/>
    <x v="7"/>
    <x v="54"/>
  </r>
  <r>
    <x v="6"/>
    <x v="6"/>
    <x v="3"/>
    <x v="6"/>
    <x v="20"/>
  </r>
  <r>
    <x v="35"/>
    <x v="33"/>
    <x v="0"/>
    <x v="20"/>
    <x v="26"/>
  </r>
  <r>
    <x v="13"/>
    <x v="13"/>
    <x v="0"/>
    <x v="22"/>
    <x v="36"/>
  </r>
  <r>
    <x v="36"/>
    <x v="34"/>
    <x v="8"/>
    <x v="39"/>
    <x v="55"/>
  </r>
  <r>
    <x v="25"/>
    <x v="25"/>
    <x v="6"/>
    <x v="4"/>
    <x v="4"/>
  </r>
  <r>
    <x v="4"/>
    <x v="4"/>
    <x v="4"/>
    <x v="4"/>
    <x v="4"/>
  </r>
  <r>
    <x v="18"/>
    <x v="18"/>
    <x v="0"/>
    <x v="40"/>
    <x v="56"/>
  </r>
  <r>
    <x v="37"/>
    <x v="35"/>
    <x v="3"/>
    <x v="41"/>
    <x v="57"/>
  </r>
  <r>
    <x v="31"/>
    <x v="8"/>
    <x v="0"/>
    <x v="2"/>
    <x v="2"/>
  </r>
  <r>
    <x v="2"/>
    <x v="2"/>
    <x v="5"/>
    <x v="2"/>
    <x v="58"/>
  </r>
  <r>
    <x v="10"/>
    <x v="10"/>
    <x v="3"/>
    <x v="10"/>
    <x v="59"/>
  </r>
  <r>
    <x v="11"/>
    <x v="11"/>
    <x v="3"/>
    <x v="4"/>
    <x v="4"/>
  </r>
  <r>
    <x v="12"/>
    <x v="12"/>
    <x v="3"/>
    <x v="4"/>
    <x v="4"/>
  </r>
  <r>
    <x v="13"/>
    <x v="13"/>
    <x v="3"/>
    <x v="4"/>
    <x v="4"/>
  </r>
  <r>
    <x v="26"/>
    <x v="26"/>
    <x v="3"/>
    <x v="42"/>
    <x v="60"/>
  </r>
  <r>
    <x v="23"/>
    <x v="23"/>
    <x v="3"/>
    <x v="20"/>
    <x v="39"/>
  </r>
  <r>
    <x v="7"/>
    <x v="7"/>
    <x v="3"/>
    <x v="7"/>
    <x v="54"/>
  </r>
  <r>
    <x v="6"/>
    <x v="6"/>
    <x v="3"/>
    <x v="6"/>
    <x v="20"/>
  </r>
  <r>
    <x v="2"/>
    <x v="2"/>
    <x v="0"/>
    <x v="2"/>
    <x v="2"/>
  </r>
  <r>
    <x v="2"/>
    <x v="2"/>
    <x v="0"/>
    <x v="2"/>
    <x v="2"/>
  </r>
  <r>
    <x v="19"/>
    <x v="19"/>
    <x v="0"/>
    <x v="0"/>
    <x v="0"/>
  </r>
  <r>
    <x v="6"/>
    <x v="6"/>
    <x v="0"/>
    <x v="6"/>
    <x v="7"/>
  </r>
  <r>
    <x v="8"/>
    <x v="8"/>
    <x v="0"/>
    <x v="43"/>
    <x v="61"/>
  </r>
  <r>
    <x v="0"/>
    <x v="0"/>
    <x v="0"/>
    <x v="44"/>
    <x v="62"/>
  </r>
  <r>
    <x v="3"/>
    <x v="3"/>
    <x v="4"/>
    <x v="3"/>
    <x v="63"/>
  </r>
  <r>
    <x v="25"/>
    <x v="25"/>
    <x v="4"/>
    <x v="4"/>
    <x v="4"/>
  </r>
  <r>
    <x v="26"/>
    <x v="26"/>
    <x v="4"/>
    <x v="37"/>
    <x v="64"/>
  </r>
  <r>
    <x v="38"/>
    <x v="36"/>
    <x v="4"/>
    <x v="37"/>
    <x v="64"/>
  </r>
  <r>
    <x v="2"/>
    <x v="2"/>
    <x v="0"/>
    <x v="2"/>
    <x v="2"/>
  </r>
  <r>
    <x v="39"/>
    <x v="37"/>
    <x v="3"/>
    <x v="45"/>
    <x v="65"/>
  </r>
  <r>
    <x v="6"/>
    <x v="6"/>
    <x v="2"/>
    <x v="4"/>
    <x v="4"/>
  </r>
  <r>
    <x v="1"/>
    <x v="1"/>
    <x v="4"/>
    <x v="4"/>
    <x v="4"/>
  </r>
  <r>
    <x v="40"/>
    <x v="38"/>
    <x v="0"/>
    <x v="46"/>
    <x v="66"/>
  </r>
  <r>
    <x v="26"/>
    <x v="26"/>
    <x v="2"/>
    <x v="42"/>
    <x v="67"/>
  </r>
  <r>
    <x v="19"/>
    <x v="19"/>
    <x v="3"/>
    <x v="0"/>
    <x v="19"/>
  </r>
  <r>
    <x v="25"/>
    <x v="25"/>
    <x v="3"/>
    <x v="36"/>
    <x v="50"/>
  </r>
  <r>
    <x v="11"/>
    <x v="11"/>
    <x v="0"/>
    <x v="4"/>
    <x v="4"/>
  </r>
  <r>
    <x v="41"/>
    <x v="39"/>
    <x v="3"/>
    <x v="4"/>
    <x v="4"/>
  </r>
  <r>
    <x v="13"/>
    <x v="13"/>
    <x v="2"/>
    <x v="4"/>
    <x v="4"/>
  </r>
  <r>
    <x v="18"/>
    <x v="18"/>
    <x v="0"/>
    <x v="34"/>
    <x v="47"/>
  </r>
  <r>
    <x v="40"/>
    <x v="38"/>
    <x v="0"/>
    <x v="46"/>
    <x v="66"/>
  </r>
  <r>
    <x v="26"/>
    <x v="26"/>
    <x v="2"/>
    <x v="42"/>
    <x v="67"/>
  </r>
  <r>
    <x v="25"/>
    <x v="25"/>
    <x v="3"/>
    <x v="36"/>
    <x v="50"/>
  </r>
  <r>
    <x v="11"/>
    <x v="11"/>
    <x v="0"/>
    <x v="4"/>
    <x v="4"/>
  </r>
  <r>
    <x v="41"/>
    <x v="39"/>
    <x v="3"/>
    <x v="4"/>
    <x v="4"/>
  </r>
  <r>
    <x v="13"/>
    <x v="13"/>
    <x v="2"/>
    <x v="4"/>
    <x v="4"/>
  </r>
  <r>
    <x v="42"/>
    <x v="40"/>
    <x v="4"/>
    <x v="4"/>
    <x v="4"/>
  </r>
  <r>
    <x v="18"/>
    <x v="18"/>
    <x v="0"/>
    <x v="47"/>
    <x v="68"/>
  </r>
  <r>
    <x v="30"/>
    <x v="30"/>
    <x v="0"/>
    <x v="29"/>
    <x v="37"/>
  </r>
  <r>
    <x v="7"/>
    <x v="7"/>
    <x v="8"/>
    <x v="7"/>
    <x v="69"/>
  </r>
  <r>
    <x v="6"/>
    <x v="6"/>
    <x v="8"/>
    <x v="48"/>
    <x v="70"/>
  </r>
  <r>
    <x v="12"/>
    <x v="12"/>
    <x v="3"/>
    <x v="12"/>
    <x v="71"/>
  </r>
  <r>
    <x v="31"/>
    <x v="8"/>
    <x v="3"/>
    <x v="49"/>
    <x v="72"/>
  </r>
  <r>
    <x v="43"/>
    <x v="41"/>
    <x v="1"/>
    <x v="12"/>
    <x v="73"/>
  </r>
  <r>
    <x v="21"/>
    <x v="21"/>
    <x v="3"/>
    <x v="18"/>
    <x v="40"/>
  </r>
  <r>
    <x v="13"/>
    <x v="13"/>
    <x v="3"/>
    <x v="22"/>
    <x v="29"/>
  </r>
  <r>
    <x v="7"/>
    <x v="7"/>
    <x v="6"/>
    <x v="7"/>
    <x v="74"/>
  </r>
  <r>
    <x v="6"/>
    <x v="6"/>
    <x v="6"/>
    <x v="6"/>
    <x v="75"/>
  </r>
  <r>
    <x v="44"/>
    <x v="42"/>
    <x v="0"/>
    <x v="50"/>
    <x v="76"/>
  </r>
  <r>
    <x v="11"/>
    <x v="11"/>
    <x v="0"/>
    <x v="36"/>
    <x v="77"/>
  </r>
  <r>
    <x v="20"/>
    <x v="20"/>
    <x v="0"/>
    <x v="17"/>
    <x v="21"/>
  </r>
  <r>
    <x v="2"/>
    <x v="2"/>
    <x v="0"/>
    <x v="2"/>
    <x v="2"/>
  </r>
  <r>
    <x v="45"/>
    <x v="43"/>
    <x v="3"/>
    <x v="51"/>
    <x v="78"/>
  </r>
  <r>
    <x v="5"/>
    <x v="5"/>
    <x v="3"/>
    <x v="4"/>
    <x v="4"/>
  </r>
  <r>
    <x v="11"/>
    <x v="11"/>
    <x v="3"/>
    <x v="4"/>
    <x v="4"/>
  </r>
  <r>
    <x v="13"/>
    <x v="13"/>
    <x v="3"/>
    <x v="4"/>
    <x v="4"/>
  </r>
  <r>
    <x v="2"/>
    <x v="2"/>
    <x v="0"/>
    <x v="52"/>
    <x v="79"/>
  </r>
  <r>
    <x v="46"/>
    <x v="44"/>
    <x v="0"/>
    <x v="53"/>
    <x v="80"/>
  </r>
  <r>
    <x v="47"/>
    <x v="18"/>
    <x v="0"/>
    <x v="54"/>
    <x v="81"/>
  </r>
  <r>
    <x v="48"/>
    <x v="45"/>
    <x v="9"/>
    <x v="55"/>
    <x v="82"/>
  </r>
  <r>
    <x v="49"/>
    <x v="46"/>
    <x v="10"/>
    <x v="55"/>
    <x v="83"/>
  </r>
  <r>
    <x v="18"/>
    <x v="18"/>
    <x v="0"/>
    <x v="56"/>
    <x v="84"/>
  </r>
  <r>
    <x v="0"/>
    <x v="0"/>
    <x v="0"/>
    <x v="0"/>
    <x v="0"/>
  </r>
  <r>
    <x v="8"/>
    <x v="8"/>
    <x v="0"/>
    <x v="8"/>
    <x v="10"/>
  </r>
  <r>
    <x v="1"/>
    <x v="1"/>
    <x v="3"/>
    <x v="1"/>
    <x v="85"/>
  </r>
  <r>
    <x v="50"/>
    <x v="47"/>
    <x v="11"/>
    <x v="15"/>
    <x v="86"/>
  </r>
  <r>
    <x v="18"/>
    <x v="18"/>
    <x v="0"/>
    <x v="57"/>
    <x v="87"/>
  </r>
  <r>
    <x v="0"/>
    <x v="0"/>
    <x v="3"/>
    <x v="0"/>
    <x v="19"/>
  </r>
  <r>
    <x v="43"/>
    <x v="41"/>
    <x v="0"/>
    <x v="12"/>
    <x v="88"/>
  </r>
  <r>
    <x v="51"/>
    <x v="48"/>
    <x v="0"/>
    <x v="36"/>
    <x v="77"/>
  </r>
  <r>
    <x v="1"/>
    <x v="1"/>
    <x v="0"/>
    <x v="1"/>
    <x v="6"/>
  </r>
  <r>
    <x v="27"/>
    <x v="27"/>
    <x v="0"/>
    <x v="17"/>
    <x v="21"/>
  </r>
  <r>
    <x v="52"/>
    <x v="49"/>
    <x v="0"/>
    <x v="58"/>
    <x v="89"/>
  </r>
  <r>
    <x v="19"/>
    <x v="19"/>
    <x v="12"/>
    <x v="0"/>
    <x v="90"/>
  </r>
  <r>
    <x v="6"/>
    <x v="6"/>
    <x v="12"/>
    <x v="48"/>
    <x v="91"/>
  </r>
  <r>
    <x v="19"/>
    <x v="19"/>
    <x v="0"/>
    <x v="0"/>
    <x v="0"/>
  </r>
  <r>
    <x v="6"/>
    <x v="6"/>
    <x v="0"/>
    <x v="6"/>
    <x v="7"/>
  </r>
  <r>
    <x v="30"/>
    <x v="30"/>
    <x v="0"/>
    <x v="29"/>
    <x v="37"/>
  </r>
  <r>
    <x v="2"/>
    <x v="2"/>
    <x v="0"/>
    <x v="2"/>
    <x v="2"/>
  </r>
  <r>
    <x v="8"/>
    <x v="8"/>
    <x v="0"/>
    <x v="8"/>
    <x v="10"/>
  </r>
  <r>
    <x v="0"/>
    <x v="0"/>
    <x v="0"/>
    <x v="0"/>
    <x v="0"/>
  </r>
  <r>
    <x v="30"/>
    <x v="30"/>
    <x v="0"/>
    <x v="29"/>
    <x v="37"/>
  </r>
  <r>
    <x v="8"/>
    <x v="8"/>
    <x v="0"/>
    <x v="8"/>
    <x v="10"/>
  </r>
  <r>
    <x v="2"/>
    <x v="2"/>
    <x v="0"/>
    <x v="59"/>
    <x v="92"/>
  </r>
  <r>
    <x v="53"/>
    <x v="50"/>
    <x v="13"/>
    <x v="60"/>
    <x v="93"/>
  </r>
  <r>
    <x v="11"/>
    <x v="11"/>
    <x v="13"/>
    <x v="4"/>
    <x v="4"/>
  </r>
  <r>
    <x v="18"/>
    <x v="18"/>
    <x v="0"/>
    <x v="61"/>
    <x v="94"/>
  </r>
  <r>
    <x v="0"/>
    <x v="0"/>
    <x v="5"/>
    <x v="0"/>
    <x v="95"/>
  </r>
  <r>
    <x v="54"/>
    <x v="51"/>
    <x v="0"/>
    <x v="62"/>
    <x v="96"/>
  </r>
  <r>
    <x v="31"/>
    <x v="8"/>
    <x v="0"/>
    <x v="2"/>
    <x v="2"/>
  </r>
  <r>
    <x v="31"/>
    <x v="8"/>
    <x v="0"/>
    <x v="2"/>
    <x v="2"/>
  </r>
  <r>
    <x v="19"/>
    <x v="19"/>
    <x v="3"/>
    <x v="0"/>
    <x v="19"/>
  </r>
  <r>
    <x v="6"/>
    <x v="6"/>
    <x v="3"/>
    <x v="6"/>
    <x v="20"/>
  </r>
  <r>
    <x v="7"/>
    <x v="7"/>
    <x v="3"/>
    <x v="7"/>
    <x v="54"/>
  </r>
  <r>
    <x v="6"/>
    <x v="6"/>
    <x v="3"/>
    <x v="6"/>
    <x v="20"/>
  </r>
  <r>
    <x v="37"/>
    <x v="35"/>
    <x v="0"/>
    <x v="41"/>
    <x v="97"/>
  </r>
  <r>
    <x v="0"/>
    <x v="0"/>
    <x v="0"/>
    <x v="0"/>
    <x v="0"/>
  </r>
  <r>
    <x v="1"/>
    <x v="1"/>
    <x v="0"/>
    <x v="1"/>
    <x v="6"/>
  </r>
  <r>
    <x v="36"/>
    <x v="34"/>
    <x v="12"/>
    <x v="63"/>
    <x v="98"/>
  </r>
  <r>
    <x v="4"/>
    <x v="4"/>
    <x v="12"/>
    <x v="4"/>
    <x v="4"/>
  </r>
  <r>
    <x v="18"/>
    <x v="18"/>
    <x v="0"/>
    <x v="42"/>
    <x v="99"/>
  </r>
  <r>
    <x v="52"/>
    <x v="49"/>
    <x v="0"/>
    <x v="58"/>
    <x v="89"/>
  </r>
  <r>
    <x v="9"/>
    <x v="9"/>
    <x v="0"/>
    <x v="9"/>
    <x v="11"/>
  </r>
  <r>
    <x v="18"/>
    <x v="18"/>
    <x v="0"/>
    <x v="64"/>
    <x v="100"/>
  </r>
  <r>
    <x v="55"/>
    <x v="52"/>
    <x v="3"/>
    <x v="4"/>
    <x v="4"/>
  </r>
  <r>
    <x v="56"/>
    <x v="53"/>
    <x v="3"/>
    <x v="4"/>
    <x v="4"/>
  </r>
  <r>
    <x v="57"/>
    <x v="54"/>
    <x v="3"/>
    <x v="4"/>
    <x v="4"/>
  </r>
  <r>
    <x v="58"/>
    <x v="55"/>
    <x v="0"/>
    <x v="65"/>
    <x v="101"/>
  </r>
  <r>
    <x v="35"/>
    <x v="33"/>
    <x v="0"/>
    <x v="20"/>
    <x v="26"/>
  </r>
  <r>
    <x v="1"/>
    <x v="1"/>
    <x v="0"/>
    <x v="1"/>
    <x v="6"/>
  </r>
  <r>
    <x v="31"/>
    <x v="8"/>
    <x v="0"/>
    <x v="2"/>
    <x v="2"/>
  </r>
  <r>
    <x v="8"/>
    <x v="8"/>
    <x v="0"/>
    <x v="8"/>
    <x v="10"/>
  </r>
  <r>
    <x v="2"/>
    <x v="2"/>
    <x v="0"/>
    <x v="2"/>
    <x v="2"/>
  </r>
  <r>
    <x v="5"/>
    <x v="5"/>
    <x v="0"/>
    <x v="5"/>
    <x v="5"/>
  </r>
  <r>
    <x v="7"/>
    <x v="7"/>
    <x v="0"/>
    <x v="7"/>
    <x v="8"/>
  </r>
  <r>
    <x v="6"/>
    <x v="6"/>
    <x v="0"/>
    <x v="6"/>
    <x v="7"/>
  </r>
  <r>
    <x v="19"/>
    <x v="19"/>
    <x v="0"/>
    <x v="0"/>
    <x v="0"/>
  </r>
  <r>
    <x v="6"/>
    <x v="6"/>
    <x v="0"/>
    <x v="6"/>
    <x v="7"/>
  </r>
  <r>
    <x v="11"/>
    <x v="11"/>
    <x v="3"/>
    <x v="36"/>
    <x v="50"/>
  </r>
  <r>
    <x v="22"/>
    <x v="22"/>
    <x v="0"/>
    <x v="13"/>
    <x v="53"/>
  </r>
  <r>
    <x v="7"/>
    <x v="7"/>
    <x v="3"/>
    <x v="7"/>
    <x v="54"/>
  </r>
  <r>
    <x v="19"/>
    <x v="19"/>
    <x v="0"/>
    <x v="0"/>
    <x v="0"/>
  </r>
  <r>
    <x v="6"/>
    <x v="6"/>
    <x v="0"/>
    <x v="6"/>
    <x v="7"/>
  </r>
  <r>
    <x v="6"/>
    <x v="6"/>
    <x v="0"/>
    <x v="6"/>
    <x v="7"/>
  </r>
  <r>
    <x v="5"/>
    <x v="5"/>
    <x v="3"/>
    <x v="5"/>
    <x v="28"/>
  </r>
  <r>
    <x v="15"/>
    <x v="15"/>
    <x v="0"/>
    <x v="12"/>
    <x v="88"/>
  </r>
  <r>
    <x v="8"/>
    <x v="8"/>
    <x v="0"/>
    <x v="8"/>
    <x v="10"/>
  </r>
  <r>
    <x v="7"/>
    <x v="7"/>
    <x v="2"/>
    <x v="7"/>
    <x v="102"/>
  </r>
  <r>
    <x v="6"/>
    <x v="6"/>
    <x v="2"/>
    <x v="6"/>
    <x v="103"/>
  </r>
  <r>
    <x v="59"/>
    <x v="56"/>
    <x v="3"/>
    <x v="13"/>
    <x v="15"/>
  </r>
  <r>
    <x v="60"/>
    <x v="57"/>
    <x v="3"/>
    <x v="4"/>
    <x v="4"/>
  </r>
  <r>
    <x v="18"/>
    <x v="18"/>
    <x v="0"/>
    <x v="47"/>
    <x v="68"/>
  </r>
  <r>
    <x v="61"/>
    <x v="58"/>
    <x v="3"/>
    <x v="66"/>
    <x v="104"/>
  </r>
  <r>
    <x v="11"/>
    <x v="11"/>
    <x v="3"/>
    <x v="4"/>
    <x v="4"/>
  </r>
  <r>
    <x v="18"/>
    <x v="18"/>
    <x v="0"/>
    <x v="67"/>
    <x v="105"/>
  </r>
  <r>
    <x v="48"/>
    <x v="59"/>
    <x v="10"/>
    <x v="55"/>
    <x v="83"/>
  </r>
  <r>
    <x v="18"/>
    <x v="18"/>
    <x v="0"/>
    <x v="68"/>
    <x v="106"/>
  </r>
  <r>
    <x v="6"/>
    <x v="6"/>
    <x v="3"/>
    <x v="6"/>
    <x v="20"/>
  </r>
  <r>
    <x v="10"/>
    <x v="10"/>
    <x v="0"/>
    <x v="10"/>
    <x v="23"/>
  </r>
  <r>
    <x v="11"/>
    <x v="11"/>
    <x v="0"/>
    <x v="4"/>
    <x v="4"/>
  </r>
  <r>
    <x v="12"/>
    <x v="12"/>
    <x v="0"/>
    <x v="4"/>
    <x v="4"/>
  </r>
  <r>
    <x v="13"/>
    <x v="13"/>
    <x v="0"/>
    <x v="4"/>
    <x v="4"/>
  </r>
  <r>
    <x v="5"/>
    <x v="5"/>
    <x v="0"/>
    <x v="4"/>
    <x v="4"/>
  </r>
  <r>
    <x v="23"/>
    <x v="23"/>
    <x v="0"/>
    <x v="20"/>
    <x v="26"/>
  </r>
  <r>
    <x v="10"/>
    <x v="10"/>
    <x v="0"/>
    <x v="4"/>
    <x v="4"/>
  </r>
  <r>
    <x v="11"/>
    <x v="11"/>
    <x v="0"/>
    <x v="4"/>
    <x v="4"/>
  </r>
  <r>
    <x v="12"/>
    <x v="12"/>
    <x v="0"/>
    <x v="4"/>
    <x v="4"/>
  </r>
  <r>
    <x v="13"/>
    <x v="13"/>
    <x v="0"/>
    <x v="4"/>
    <x v="4"/>
  </r>
  <r>
    <x v="5"/>
    <x v="5"/>
    <x v="0"/>
    <x v="4"/>
    <x v="4"/>
  </r>
  <r>
    <x v="23"/>
    <x v="23"/>
    <x v="0"/>
    <x v="4"/>
    <x v="4"/>
  </r>
  <r>
    <x v="2"/>
    <x v="2"/>
    <x v="0"/>
    <x v="2"/>
    <x v="2"/>
  </r>
  <r>
    <x v="2"/>
    <x v="2"/>
    <x v="0"/>
    <x v="2"/>
    <x v="2"/>
  </r>
  <r>
    <x v="62"/>
    <x v="60"/>
    <x v="3"/>
    <x v="18"/>
    <x v="40"/>
  </r>
  <r>
    <x v="63"/>
    <x v="61"/>
    <x v="14"/>
    <x v="4"/>
    <x v="4"/>
  </r>
  <r>
    <x v="64"/>
    <x v="62"/>
    <x v="14"/>
    <x v="4"/>
    <x v="4"/>
  </r>
  <r>
    <x v="65"/>
    <x v="63"/>
    <x v="14"/>
    <x v="4"/>
    <x v="4"/>
  </r>
  <r>
    <x v="66"/>
    <x v="64"/>
    <x v="14"/>
    <x v="4"/>
    <x v="4"/>
  </r>
  <r>
    <x v="67"/>
    <x v="65"/>
    <x v="14"/>
    <x v="4"/>
    <x v="4"/>
  </r>
  <r>
    <x v="44"/>
    <x v="42"/>
    <x v="3"/>
    <x v="50"/>
    <x v="107"/>
  </r>
  <r>
    <x v="19"/>
    <x v="19"/>
    <x v="3"/>
    <x v="0"/>
    <x v="19"/>
  </r>
  <r>
    <x v="6"/>
    <x v="6"/>
    <x v="3"/>
    <x v="6"/>
    <x v="20"/>
  </r>
  <r>
    <x v="54"/>
    <x v="51"/>
    <x v="0"/>
    <x v="62"/>
    <x v="96"/>
  </r>
  <r>
    <x v="20"/>
    <x v="20"/>
    <x v="5"/>
    <x v="17"/>
    <x v="108"/>
  </r>
  <r>
    <x v="1"/>
    <x v="1"/>
    <x v="3"/>
    <x v="1"/>
    <x v="85"/>
  </r>
  <r>
    <x v="6"/>
    <x v="6"/>
    <x v="3"/>
    <x v="6"/>
    <x v="20"/>
  </r>
  <r>
    <x v="68"/>
    <x v="66"/>
    <x v="3"/>
    <x v="69"/>
    <x v="109"/>
  </r>
  <r>
    <x v="5"/>
    <x v="5"/>
    <x v="0"/>
    <x v="5"/>
    <x v="5"/>
  </r>
  <r>
    <x v="69"/>
    <x v="67"/>
    <x v="0"/>
    <x v="70"/>
    <x v="110"/>
  </r>
  <r>
    <x v="22"/>
    <x v="22"/>
    <x v="2"/>
    <x v="13"/>
    <x v="111"/>
  </r>
  <r>
    <x v="31"/>
    <x v="8"/>
    <x v="0"/>
    <x v="2"/>
    <x v="2"/>
  </r>
  <r>
    <x v="1"/>
    <x v="1"/>
    <x v="3"/>
    <x v="1"/>
    <x v="85"/>
  </r>
  <r>
    <x v="6"/>
    <x v="6"/>
    <x v="0"/>
    <x v="6"/>
    <x v="7"/>
  </r>
  <r>
    <x v="2"/>
    <x v="2"/>
    <x v="0"/>
    <x v="2"/>
    <x v="2"/>
  </r>
  <r>
    <x v="8"/>
    <x v="8"/>
    <x v="0"/>
    <x v="8"/>
    <x v="10"/>
  </r>
  <r>
    <x v="19"/>
    <x v="19"/>
    <x v="0"/>
    <x v="0"/>
    <x v="0"/>
  </r>
  <r>
    <x v="6"/>
    <x v="6"/>
    <x v="0"/>
    <x v="6"/>
    <x v="7"/>
  </r>
  <r>
    <x v="3"/>
    <x v="3"/>
    <x v="0"/>
    <x v="3"/>
    <x v="3"/>
  </r>
  <r>
    <x v="5"/>
    <x v="5"/>
    <x v="0"/>
    <x v="5"/>
    <x v="5"/>
  </r>
  <r>
    <x v="13"/>
    <x v="13"/>
    <x v="0"/>
    <x v="4"/>
    <x v="4"/>
  </r>
  <r>
    <x v="70"/>
    <x v="68"/>
    <x v="0"/>
    <x v="4"/>
    <x v="4"/>
  </r>
  <r>
    <x v="34"/>
    <x v="18"/>
    <x v="0"/>
    <x v="71"/>
    <x v="112"/>
  </r>
  <r>
    <x v="10"/>
    <x v="69"/>
    <x v="15"/>
    <x v="60"/>
    <x v="113"/>
  </r>
  <r>
    <x v="71"/>
    <x v="70"/>
    <x v="16"/>
    <x v="23"/>
    <x v="114"/>
  </r>
  <r>
    <x v="12"/>
    <x v="12"/>
    <x v="15"/>
    <x v="4"/>
    <x v="4"/>
  </r>
  <r>
    <x v="11"/>
    <x v="11"/>
    <x v="15"/>
    <x v="4"/>
    <x v="4"/>
  </r>
  <r>
    <x v="72"/>
    <x v="71"/>
    <x v="7"/>
    <x v="4"/>
    <x v="4"/>
  </r>
  <r>
    <x v="64"/>
    <x v="62"/>
    <x v="17"/>
    <x v="4"/>
    <x v="4"/>
  </r>
  <r>
    <x v="63"/>
    <x v="61"/>
    <x v="17"/>
    <x v="4"/>
    <x v="4"/>
  </r>
  <r>
    <x v="65"/>
    <x v="63"/>
    <x v="17"/>
    <x v="4"/>
    <x v="4"/>
  </r>
  <r>
    <x v="6"/>
    <x v="6"/>
    <x v="5"/>
    <x v="4"/>
    <x v="4"/>
  </r>
  <r>
    <x v="3"/>
    <x v="3"/>
    <x v="4"/>
    <x v="3"/>
    <x v="63"/>
  </r>
  <r>
    <x v="25"/>
    <x v="25"/>
    <x v="4"/>
    <x v="4"/>
    <x v="4"/>
  </r>
  <r>
    <x v="6"/>
    <x v="6"/>
    <x v="6"/>
    <x v="4"/>
    <x v="4"/>
  </r>
  <r>
    <x v="73"/>
    <x v="72"/>
    <x v="0"/>
    <x v="72"/>
    <x v="115"/>
  </r>
  <r>
    <x v="52"/>
    <x v="49"/>
    <x v="2"/>
    <x v="46"/>
    <x v="116"/>
  </r>
  <r>
    <x v="18"/>
    <x v="18"/>
    <x v="0"/>
    <x v="73"/>
    <x v="117"/>
  </r>
  <r>
    <x v="74"/>
    <x v="73"/>
    <x v="0"/>
    <x v="4"/>
    <x v="4"/>
  </r>
  <r>
    <x v="31"/>
    <x v="8"/>
    <x v="3"/>
    <x v="2"/>
    <x v="38"/>
  </r>
  <r>
    <x v="1"/>
    <x v="1"/>
    <x v="7"/>
    <x v="1"/>
    <x v="118"/>
  </r>
  <r>
    <x v="8"/>
    <x v="8"/>
    <x v="0"/>
    <x v="8"/>
    <x v="10"/>
  </r>
  <r>
    <x v="0"/>
    <x v="0"/>
    <x v="0"/>
    <x v="0"/>
    <x v="0"/>
  </r>
  <r>
    <x v="30"/>
    <x v="30"/>
    <x v="0"/>
    <x v="29"/>
    <x v="37"/>
  </r>
  <r>
    <x v="30"/>
    <x v="30"/>
    <x v="0"/>
    <x v="29"/>
    <x v="37"/>
  </r>
  <r>
    <x v="31"/>
    <x v="8"/>
    <x v="0"/>
    <x v="2"/>
    <x v="2"/>
  </r>
  <r>
    <x v="43"/>
    <x v="41"/>
    <x v="3"/>
    <x v="12"/>
    <x v="71"/>
  </r>
  <r>
    <x v="51"/>
    <x v="48"/>
    <x v="5"/>
    <x v="23"/>
    <x v="119"/>
  </r>
  <r>
    <x v="75"/>
    <x v="74"/>
    <x v="5"/>
    <x v="74"/>
    <x v="120"/>
  </r>
  <r>
    <x v="18"/>
    <x v="18"/>
    <x v="0"/>
    <x v="22"/>
    <x v="36"/>
  </r>
  <r>
    <x v="37"/>
    <x v="35"/>
    <x v="3"/>
    <x v="41"/>
    <x v="57"/>
  </r>
  <r>
    <x v="44"/>
    <x v="42"/>
    <x v="3"/>
    <x v="50"/>
    <x v="107"/>
  </r>
  <r>
    <x v="30"/>
    <x v="30"/>
    <x v="0"/>
    <x v="29"/>
    <x v="37"/>
  </r>
  <r>
    <x v="76"/>
    <x v="75"/>
    <x v="18"/>
    <x v="75"/>
    <x v="121"/>
  </r>
  <r>
    <x v="77"/>
    <x v="76"/>
    <x v="19"/>
    <x v="32"/>
    <x v="122"/>
  </r>
  <r>
    <x v="78"/>
    <x v="77"/>
    <x v="17"/>
    <x v="76"/>
    <x v="123"/>
  </r>
  <r>
    <x v="79"/>
    <x v="78"/>
    <x v="19"/>
    <x v="77"/>
    <x v="124"/>
  </r>
  <r>
    <x v="80"/>
    <x v="79"/>
    <x v="2"/>
    <x v="32"/>
    <x v="125"/>
  </r>
  <r>
    <x v="38"/>
    <x v="36"/>
    <x v="0"/>
    <x v="25"/>
    <x v="126"/>
  </r>
  <r>
    <x v="81"/>
    <x v="80"/>
    <x v="2"/>
    <x v="78"/>
    <x v="127"/>
  </r>
  <r>
    <x v="47"/>
    <x v="18"/>
    <x v="0"/>
    <x v="79"/>
    <x v="128"/>
  </r>
  <r>
    <x v="82"/>
    <x v="81"/>
    <x v="0"/>
    <x v="4"/>
    <x v="4"/>
  </r>
  <r>
    <x v="83"/>
    <x v="82"/>
    <x v="0"/>
    <x v="4"/>
    <x v="4"/>
  </r>
  <r>
    <x v="83"/>
    <x v="83"/>
    <x v="0"/>
    <x v="4"/>
    <x v="4"/>
  </r>
  <r>
    <x v="8"/>
    <x v="8"/>
    <x v="0"/>
    <x v="8"/>
    <x v="10"/>
  </r>
  <r>
    <x v="45"/>
    <x v="43"/>
    <x v="2"/>
    <x v="80"/>
    <x v="129"/>
  </r>
  <r>
    <x v="84"/>
    <x v="84"/>
    <x v="2"/>
    <x v="2"/>
    <x v="130"/>
  </r>
  <r>
    <x v="13"/>
    <x v="13"/>
    <x v="2"/>
    <x v="4"/>
    <x v="4"/>
  </r>
  <r>
    <x v="20"/>
    <x v="20"/>
    <x v="4"/>
    <x v="4"/>
    <x v="4"/>
  </r>
  <r>
    <x v="11"/>
    <x v="11"/>
    <x v="2"/>
    <x v="4"/>
    <x v="4"/>
  </r>
  <r>
    <x v="25"/>
    <x v="25"/>
    <x v="4"/>
    <x v="36"/>
    <x v="131"/>
  </r>
  <r>
    <x v="47"/>
    <x v="18"/>
    <x v="0"/>
    <x v="81"/>
    <x v="132"/>
  </r>
  <r>
    <x v="31"/>
    <x v="8"/>
    <x v="0"/>
    <x v="82"/>
    <x v="133"/>
  </r>
  <r>
    <x v="18"/>
    <x v="18"/>
    <x v="0"/>
    <x v="83"/>
    <x v="134"/>
  </r>
  <r>
    <x v="32"/>
    <x v="31"/>
    <x v="0"/>
    <x v="14"/>
    <x v="135"/>
  </r>
  <r>
    <x v="26"/>
    <x v="26"/>
    <x v="0"/>
    <x v="37"/>
    <x v="51"/>
  </r>
  <r>
    <x v="1"/>
    <x v="1"/>
    <x v="0"/>
    <x v="1"/>
    <x v="6"/>
  </r>
  <r>
    <x v="19"/>
    <x v="19"/>
    <x v="0"/>
    <x v="0"/>
    <x v="0"/>
  </r>
  <r>
    <x v="6"/>
    <x v="6"/>
    <x v="0"/>
    <x v="6"/>
    <x v="7"/>
  </r>
  <r>
    <x v="6"/>
    <x v="6"/>
    <x v="0"/>
    <x v="6"/>
    <x v="7"/>
  </r>
  <r>
    <x v="2"/>
    <x v="2"/>
    <x v="0"/>
    <x v="2"/>
    <x v="2"/>
  </r>
  <r>
    <x v="7"/>
    <x v="7"/>
    <x v="3"/>
    <x v="7"/>
    <x v="54"/>
  </r>
  <r>
    <x v="6"/>
    <x v="6"/>
    <x v="3"/>
    <x v="6"/>
    <x v="20"/>
  </r>
  <r>
    <x v="85"/>
    <x v="85"/>
    <x v="0"/>
    <x v="84"/>
    <x v="136"/>
  </r>
  <r>
    <x v="18"/>
    <x v="18"/>
    <x v="0"/>
    <x v="85"/>
    <x v="137"/>
  </r>
  <r>
    <x v="86"/>
    <x v="43"/>
    <x v="6"/>
    <x v="86"/>
    <x v="138"/>
  </r>
  <r>
    <x v="5"/>
    <x v="86"/>
    <x v="6"/>
    <x v="4"/>
    <x v="4"/>
  </r>
  <r>
    <x v="26"/>
    <x v="86"/>
    <x v="3"/>
    <x v="87"/>
    <x v="139"/>
  </r>
  <r>
    <x v="13"/>
    <x v="13"/>
    <x v="6"/>
    <x v="4"/>
    <x v="4"/>
  </r>
  <r>
    <x v="28"/>
    <x v="28"/>
    <x v="2"/>
    <x v="4"/>
    <x v="4"/>
  </r>
  <r>
    <x v="11"/>
    <x v="11"/>
    <x v="6"/>
    <x v="4"/>
    <x v="4"/>
  </r>
  <r>
    <x v="7"/>
    <x v="7"/>
    <x v="4"/>
    <x v="88"/>
    <x v="140"/>
  </r>
  <r>
    <x v="6"/>
    <x v="87"/>
    <x v="4"/>
    <x v="4"/>
    <x v="4"/>
  </r>
  <r>
    <x v="47"/>
    <x v="18"/>
    <x v="0"/>
    <x v="89"/>
    <x v="141"/>
  </r>
  <r>
    <x v="10"/>
    <x v="10"/>
    <x v="3"/>
    <x v="10"/>
    <x v="59"/>
  </r>
  <r>
    <x v="11"/>
    <x v="11"/>
    <x v="3"/>
    <x v="4"/>
    <x v="4"/>
  </r>
  <r>
    <x v="12"/>
    <x v="12"/>
    <x v="3"/>
    <x v="4"/>
    <x v="4"/>
  </r>
  <r>
    <x v="13"/>
    <x v="13"/>
    <x v="3"/>
    <x v="4"/>
    <x v="4"/>
  </r>
  <r>
    <x v="5"/>
    <x v="5"/>
    <x v="3"/>
    <x v="4"/>
    <x v="4"/>
  </r>
  <r>
    <x v="7"/>
    <x v="7"/>
    <x v="2"/>
    <x v="7"/>
    <x v="102"/>
  </r>
  <r>
    <x v="6"/>
    <x v="6"/>
    <x v="2"/>
    <x v="6"/>
    <x v="103"/>
  </r>
  <r>
    <x v="33"/>
    <x v="32"/>
    <x v="2"/>
    <x v="21"/>
    <x v="142"/>
  </r>
  <r>
    <x v="19"/>
    <x v="19"/>
    <x v="3"/>
    <x v="0"/>
    <x v="19"/>
  </r>
  <r>
    <x v="6"/>
    <x v="6"/>
    <x v="3"/>
    <x v="6"/>
    <x v="20"/>
  </r>
  <r>
    <x v="2"/>
    <x v="2"/>
    <x v="0"/>
    <x v="2"/>
    <x v="2"/>
  </r>
  <r>
    <x v="31"/>
    <x v="8"/>
    <x v="0"/>
    <x v="2"/>
    <x v="2"/>
  </r>
  <r>
    <x v="1"/>
    <x v="1"/>
    <x v="0"/>
    <x v="1"/>
    <x v="6"/>
  </r>
  <r>
    <x v="30"/>
    <x v="30"/>
    <x v="0"/>
    <x v="29"/>
    <x v="37"/>
  </r>
  <r>
    <x v="43"/>
    <x v="41"/>
    <x v="6"/>
    <x v="90"/>
    <x v="143"/>
  </r>
  <r>
    <x v="18"/>
    <x v="18"/>
    <x v="0"/>
    <x v="91"/>
    <x v="144"/>
  </r>
  <r>
    <x v="33"/>
    <x v="32"/>
    <x v="4"/>
    <x v="33"/>
    <x v="145"/>
  </r>
  <r>
    <x v="18"/>
    <x v="18"/>
    <x v="0"/>
    <x v="16"/>
    <x v="18"/>
  </r>
  <r>
    <x v="87"/>
    <x v="88"/>
    <x v="20"/>
    <x v="4"/>
    <x v="4"/>
  </r>
  <r>
    <x v="1"/>
    <x v="1"/>
    <x v="6"/>
    <x v="4"/>
    <x v="4"/>
  </r>
  <r>
    <x v="19"/>
    <x v="19"/>
    <x v="3"/>
    <x v="0"/>
    <x v="19"/>
  </r>
  <r>
    <x v="6"/>
    <x v="6"/>
    <x v="3"/>
    <x v="6"/>
    <x v="20"/>
  </r>
  <r>
    <x v="37"/>
    <x v="35"/>
    <x v="3"/>
    <x v="41"/>
    <x v="57"/>
  </r>
  <r>
    <x v="50"/>
    <x v="47"/>
    <x v="0"/>
    <x v="0"/>
    <x v="0"/>
  </r>
  <r>
    <x v="58"/>
    <x v="55"/>
    <x v="3"/>
    <x v="65"/>
    <x v="146"/>
  </r>
  <r>
    <x v="5"/>
    <x v="5"/>
    <x v="3"/>
    <x v="5"/>
    <x v="28"/>
  </r>
  <r>
    <x v="19"/>
    <x v="19"/>
    <x v="0"/>
    <x v="0"/>
    <x v="0"/>
  </r>
  <r>
    <x v="6"/>
    <x v="6"/>
    <x v="0"/>
    <x v="6"/>
    <x v="7"/>
  </r>
  <r>
    <x v="33"/>
    <x v="32"/>
    <x v="3"/>
    <x v="21"/>
    <x v="147"/>
  </r>
  <r>
    <x v="1"/>
    <x v="1"/>
    <x v="0"/>
    <x v="1"/>
    <x v="6"/>
  </r>
  <r>
    <x v="7"/>
    <x v="7"/>
    <x v="0"/>
    <x v="7"/>
    <x v="8"/>
  </r>
  <r>
    <x v="6"/>
    <x v="6"/>
    <x v="0"/>
    <x v="6"/>
    <x v="7"/>
  </r>
  <r>
    <x v="19"/>
    <x v="19"/>
    <x v="3"/>
    <x v="0"/>
    <x v="19"/>
  </r>
  <r>
    <x v="6"/>
    <x v="6"/>
    <x v="3"/>
    <x v="6"/>
    <x v="20"/>
  </r>
  <r>
    <x v="38"/>
    <x v="36"/>
    <x v="0"/>
    <x v="37"/>
    <x v="51"/>
  </r>
  <r>
    <x v="37"/>
    <x v="35"/>
    <x v="3"/>
    <x v="41"/>
    <x v="57"/>
  </r>
  <r>
    <x v="40"/>
    <x v="38"/>
    <x v="0"/>
    <x v="46"/>
    <x v="66"/>
  </r>
  <r>
    <x v="5"/>
    <x v="5"/>
    <x v="2"/>
    <x v="4"/>
    <x v="4"/>
  </r>
  <r>
    <x v="11"/>
    <x v="11"/>
    <x v="0"/>
    <x v="4"/>
    <x v="4"/>
  </r>
  <r>
    <x v="1"/>
    <x v="1"/>
    <x v="2"/>
    <x v="4"/>
    <x v="4"/>
  </r>
  <r>
    <x v="6"/>
    <x v="6"/>
    <x v="6"/>
    <x v="4"/>
    <x v="4"/>
  </r>
  <r>
    <x v="19"/>
    <x v="19"/>
    <x v="3"/>
    <x v="0"/>
    <x v="19"/>
  </r>
  <r>
    <x v="34"/>
    <x v="18"/>
    <x v="0"/>
    <x v="92"/>
    <x v="148"/>
  </r>
  <r>
    <x v="83"/>
    <x v="89"/>
    <x v="0"/>
    <x v="4"/>
    <x v="4"/>
  </r>
  <r>
    <x v="31"/>
    <x v="8"/>
    <x v="0"/>
    <x v="2"/>
    <x v="2"/>
  </r>
  <r>
    <x v="2"/>
    <x v="2"/>
    <x v="0"/>
    <x v="2"/>
    <x v="2"/>
  </r>
  <r>
    <x v="45"/>
    <x v="43"/>
    <x v="2"/>
    <x v="80"/>
    <x v="129"/>
  </r>
  <r>
    <x v="5"/>
    <x v="5"/>
    <x v="2"/>
    <x v="4"/>
    <x v="4"/>
  </r>
  <r>
    <x v="25"/>
    <x v="25"/>
    <x v="4"/>
    <x v="36"/>
    <x v="131"/>
  </r>
  <r>
    <x v="88"/>
    <x v="90"/>
    <x v="2"/>
    <x v="93"/>
    <x v="149"/>
  </r>
  <r>
    <x v="11"/>
    <x v="11"/>
    <x v="2"/>
    <x v="4"/>
    <x v="4"/>
  </r>
  <r>
    <x v="13"/>
    <x v="13"/>
    <x v="2"/>
    <x v="4"/>
    <x v="4"/>
  </r>
  <r>
    <x v="89"/>
    <x v="91"/>
    <x v="0"/>
    <x v="4"/>
    <x v="4"/>
  </r>
  <r>
    <x v="90"/>
    <x v="92"/>
    <x v="3"/>
    <x v="4"/>
    <x v="4"/>
  </r>
  <r>
    <x v="30"/>
    <x v="30"/>
    <x v="0"/>
    <x v="29"/>
    <x v="37"/>
  </r>
  <r>
    <x v="8"/>
    <x v="8"/>
    <x v="0"/>
    <x v="8"/>
    <x v="10"/>
  </r>
  <r>
    <x v="19"/>
    <x v="19"/>
    <x v="0"/>
    <x v="0"/>
    <x v="0"/>
  </r>
  <r>
    <x v="6"/>
    <x v="87"/>
    <x v="0"/>
    <x v="6"/>
    <x v="7"/>
  </r>
  <r>
    <x v="8"/>
    <x v="8"/>
    <x v="0"/>
    <x v="8"/>
    <x v="10"/>
  </r>
  <r>
    <x v="2"/>
    <x v="2"/>
    <x v="5"/>
    <x v="52"/>
    <x v="150"/>
  </r>
  <r>
    <x v="9"/>
    <x v="9"/>
    <x v="0"/>
    <x v="94"/>
    <x v="151"/>
  </r>
  <r>
    <x v="30"/>
    <x v="30"/>
    <x v="12"/>
    <x v="30"/>
    <x v="152"/>
  </r>
  <r>
    <x v="86"/>
    <x v="43"/>
    <x v="12"/>
    <x v="95"/>
    <x v="153"/>
  </r>
  <r>
    <x v="10"/>
    <x v="10"/>
    <x v="12"/>
    <x v="27"/>
    <x v="154"/>
  </r>
  <r>
    <x v="1"/>
    <x v="1"/>
    <x v="10"/>
    <x v="4"/>
    <x v="4"/>
  </r>
  <r>
    <x v="6"/>
    <x v="87"/>
    <x v="10"/>
    <x v="4"/>
    <x v="4"/>
  </r>
  <r>
    <x v="5"/>
    <x v="93"/>
    <x v="10"/>
    <x v="4"/>
    <x v="4"/>
  </r>
  <r>
    <x v="5"/>
    <x v="5"/>
    <x v="12"/>
    <x v="77"/>
    <x v="155"/>
  </r>
  <r>
    <x v="26"/>
    <x v="26"/>
    <x v="12"/>
    <x v="25"/>
    <x v="156"/>
  </r>
  <r>
    <x v="11"/>
    <x v="11"/>
    <x v="10"/>
    <x v="4"/>
    <x v="4"/>
  </r>
  <r>
    <x v="18"/>
    <x v="18"/>
    <x v="0"/>
    <x v="96"/>
    <x v="157"/>
  </r>
  <r>
    <x v="91"/>
    <x v="94"/>
    <x v="10"/>
    <x v="97"/>
    <x v="158"/>
  </r>
  <r>
    <x v="18"/>
    <x v="18"/>
    <x v="0"/>
    <x v="98"/>
    <x v="29"/>
  </r>
  <r>
    <x v="92"/>
    <x v="95"/>
    <x v="5"/>
    <x v="27"/>
    <x v="159"/>
  </r>
  <r>
    <x v="93"/>
    <x v="96"/>
    <x v="5"/>
    <x v="99"/>
    <x v="160"/>
  </r>
  <r>
    <x v="11"/>
    <x v="11"/>
    <x v="5"/>
    <x v="4"/>
    <x v="4"/>
  </r>
  <r>
    <x v="18"/>
    <x v="18"/>
    <x v="0"/>
    <x v="97"/>
    <x v="161"/>
  </r>
  <r>
    <x v="40"/>
    <x v="38"/>
    <x v="2"/>
    <x v="100"/>
    <x v="162"/>
  </r>
  <r>
    <x v="11"/>
    <x v="11"/>
    <x v="2"/>
    <x v="4"/>
    <x v="4"/>
  </r>
  <r>
    <x v="5"/>
    <x v="86"/>
    <x v="11"/>
    <x v="4"/>
    <x v="4"/>
  </r>
  <r>
    <x v="1"/>
    <x v="1"/>
    <x v="11"/>
    <x v="4"/>
    <x v="4"/>
  </r>
  <r>
    <x v="87"/>
    <x v="88"/>
    <x v="21"/>
    <x v="4"/>
    <x v="4"/>
  </r>
  <r>
    <x v="9"/>
    <x v="9"/>
    <x v="0"/>
    <x v="94"/>
    <x v="151"/>
  </r>
  <r>
    <x v="47"/>
    <x v="18"/>
    <x v="0"/>
    <x v="101"/>
    <x v="163"/>
  </r>
  <r>
    <x v="7"/>
    <x v="7"/>
    <x v="0"/>
    <x v="7"/>
    <x v="8"/>
  </r>
  <r>
    <x v="6"/>
    <x v="87"/>
    <x v="0"/>
    <x v="6"/>
    <x v="7"/>
  </r>
  <r>
    <x v="0"/>
    <x v="0"/>
    <x v="3"/>
    <x v="0"/>
    <x v="19"/>
  </r>
  <r>
    <x v="6"/>
    <x v="87"/>
    <x v="0"/>
    <x v="6"/>
    <x v="7"/>
  </r>
  <r>
    <x v="1"/>
    <x v="1"/>
    <x v="0"/>
    <x v="1"/>
    <x v="6"/>
  </r>
  <r>
    <x v="26"/>
    <x v="86"/>
    <x v="3"/>
    <x v="37"/>
    <x v="164"/>
  </r>
  <r>
    <x v="2"/>
    <x v="2"/>
    <x v="0"/>
    <x v="2"/>
    <x v="2"/>
  </r>
  <r>
    <x v="2"/>
    <x v="2"/>
    <x v="0"/>
    <x v="4"/>
    <x v="4"/>
  </r>
  <r>
    <x v="94"/>
    <x v="97"/>
    <x v="20"/>
    <x v="102"/>
    <x v="165"/>
  </r>
  <r>
    <x v="95"/>
    <x v="98"/>
    <x v="22"/>
    <x v="103"/>
    <x v="166"/>
  </r>
  <r>
    <x v="47"/>
    <x v="18"/>
    <x v="0"/>
    <x v="85"/>
    <x v="137"/>
  </r>
  <r>
    <x v="96"/>
    <x v="99"/>
    <x v="23"/>
    <x v="104"/>
    <x v="167"/>
  </r>
  <r>
    <x v="97"/>
    <x v="100"/>
    <x v="24"/>
    <x v="105"/>
    <x v="168"/>
  </r>
  <r>
    <x v="98"/>
    <x v="101"/>
    <x v="3"/>
    <x v="4"/>
    <x v="4"/>
  </r>
  <r>
    <x v="47"/>
    <x v="18"/>
    <x v="0"/>
    <x v="106"/>
    <x v="169"/>
  </r>
  <r>
    <x v="99"/>
    <x v="102"/>
    <x v="0"/>
    <x v="4"/>
    <x v="4"/>
  </r>
  <r>
    <x v="100"/>
    <x v="103"/>
    <x v="0"/>
    <x v="4"/>
    <x v="4"/>
  </r>
  <r>
    <x v="52"/>
    <x v="49"/>
    <x v="0"/>
    <x v="58"/>
    <x v="89"/>
  </r>
  <r>
    <x v="18"/>
    <x v="18"/>
    <x v="0"/>
    <x v="107"/>
    <x v="170"/>
  </r>
  <r>
    <x v="16"/>
    <x v="86"/>
    <x v="4"/>
    <x v="108"/>
    <x v="171"/>
  </r>
  <r>
    <x v="18"/>
    <x v="18"/>
    <x v="0"/>
    <x v="109"/>
    <x v="172"/>
  </r>
  <r>
    <x v="21"/>
    <x v="86"/>
    <x v="4"/>
    <x v="18"/>
    <x v="173"/>
  </r>
</pivotCacheRecords>
</file>

<file path=xl/pivotCache/pivotCacheRecords41.xml><?xml version="1.0" encoding="utf-8"?>
<pivotCacheRecords xmlns:r="http://schemas.openxmlformats.org/officeDocument/2006/relationships" xmlns="http://schemas.openxmlformats.org/spreadsheetml/2006/main" count="326">
  <r>
    <x v="0"/>
    <x v="0"/>
    <x v="0"/>
  </r>
  <r>
    <x v="1"/>
    <x v="1"/>
    <x v="0"/>
  </r>
  <r>
    <x v="2"/>
    <x v="2"/>
    <x v="0"/>
  </r>
  <r>
    <x v="3"/>
    <x v="3"/>
    <x v="1"/>
  </r>
  <r>
    <x v="4"/>
    <x v="4"/>
    <x v="0"/>
  </r>
  <r>
    <x v="5"/>
    <x v="5"/>
    <x v="2"/>
  </r>
  <r>
    <x v="6"/>
    <x v="6"/>
    <x v="2"/>
  </r>
  <r>
    <x v="7"/>
    <x v="7"/>
    <x v="3"/>
  </r>
  <r>
    <x v="6"/>
    <x v="8"/>
    <x v="0"/>
  </r>
  <r>
    <x v="8"/>
    <x v="9"/>
    <x v="2"/>
  </r>
  <r>
    <x v="9"/>
    <x v="10"/>
    <x v="0"/>
  </r>
  <r>
    <x v="10"/>
    <x v="11"/>
    <x v="0"/>
  </r>
  <r>
    <x v="11"/>
    <x v="12"/>
    <x v="4"/>
  </r>
  <r>
    <x v="12"/>
    <x v="13"/>
    <x v="0"/>
  </r>
  <r>
    <x v="13"/>
    <x v="14"/>
    <x v="0"/>
  </r>
  <r>
    <x v="14"/>
    <x v="15"/>
    <x v="0"/>
  </r>
  <r>
    <x v="15"/>
    <x v="16"/>
    <x v="2"/>
  </r>
  <r>
    <x v="1"/>
    <x v="1"/>
    <x v="5"/>
  </r>
  <r>
    <x v="6"/>
    <x v="6"/>
    <x v="2"/>
  </r>
  <r>
    <x v="1"/>
    <x v="1"/>
    <x v="4"/>
  </r>
  <r>
    <x v="16"/>
    <x v="17"/>
    <x v="0"/>
  </r>
  <r>
    <x v="17"/>
    <x v="18"/>
    <x v="0"/>
  </r>
  <r>
    <x v="18"/>
    <x v="19"/>
    <x v="4"/>
  </r>
  <r>
    <x v="19"/>
    <x v="20"/>
    <x v="0"/>
  </r>
  <r>
    <x v="17"/>
    <x v="18"/>
    <x v="0"/>
  </r>
  <r>
    <x v="20"/>
    <x v="21"/>
    <x v="0"/>
  </r>
  <r>
    <x v="13"/>
    <x v="14"/>
    <x v="0"/>
  </r>
  <r>
    <x v="8"/>
    <x v="9"/>
    <x v="2"/>
  </r>
  <r>
    <x v="18"/>
    <x v="19"/>
    <x v="0"/>
  </r>
  <r>
    <x v="17"/>
    <x v="18"/>
    <x v="0"/>
  </r>
  <r>
    <x v="21"/>
    <x v="22"/>
    <x v="5"/>
  </r>
  <r>
    <x v="17"/>
    <x v="18"/>
    <x v="0"/>
  </r>
  <r>
    <x v="22"/>
    <x v="23"/>
    <x v="0"/>
  </r>
  <r>
    <x v="23"/>
    <x v="24"/>
    <x v="2"/>
  </r>
  <r>
    <x v="1"/>
    <x v="1"/>
    <x v="0"/>
  </r>
  <r>
    <x v="24"/>
    <x v="25"/>
    <x v="2"/>
  </r>
  <r>
    <x v="6"/>
    <x v="6"/>
    <x v="2"/>
  </r>
  <r>
    <x v="25"/>
    <x v="26"/>
    <x v="2"/>
  </r>
  <r>
    <x v="15"/>
    <x v="16"/>
    <x v="2"/>
  </r>
  <r>
    <x v="26"/>
    <x v="27"/>
    <x v="0"/>
  </r>
  <r>
    <x v="11"/>
    <x v="12"/>
    <x v="0"/>
  </r>
  <r>
    <x v="11"/>
    <x v="12"/>
    <x v="0"/>
  </r>
  <r>
    <x v="0"/>
    <x v="0"/>
    <x v="0"/>
  </r>
  <r>
    <x v="16"/>
    <x v="17"/>
    <x v="2"/>
  </r>
  <r>
    <x v="17"/>
    <x v="18"/>
    <x v="2"/>
  </r>
  <r>
    <x v="10"/>
    <x v="11"/>
    <x v="2"/>
  </r>
  <r>
    <x v="14"/>
    <x v="15"/>
    <x v="2"/>
  </r>
  <r>
    <x v="27"/>
    <x v="28"/>
    <x v="2"/>
  </r>
  <r>
    <x v="16"/>
    <x v="17"/>
    <x v="2"/>
  </r>
  <r>
    <x v="17"/>
    <x v="18"/>
    <x v="2"/>
  </r>
  <r>
    <x v="17"/>
    <x v="18"/>
    <x v="2"/>
  </r>
  <r>
    <x v="21"/>
    <x v="22"/>
    <x v="2"/>
  </r>
  <r>
    <x v="28"/>
    <x v="29"/>
    <x v="6"/>
  </r>
  <r>
    <x v="29"/>
    <x v="30"/>
    <x v="6"/>
  </r>
  <r>
    <x v="30"/>
    <x v="31"/>
    <x v="6"/>
  </r>
  <r>
    <x v="3"/>
    <x v="3"/>
    <x v="7"/>
  </r>
  <r>
    <x v="31"/>
    <x v="32"/>
    <x v="8"/>
  </r>
  <r>
    <x v="32"/>
    <x v="33"/>
    <x v="9"/>
  </r>
  <r>
    <x v="23"/>
    <x v="24"/>
    <x v="2"/>
  </r>
  <r>
    <x v="13"/>
    <x v="14"/>
    <x v="1"/>
  </r>
  <r>
    <x v="8"/>
    <x v="9"/>
    <x v="2"/>
  </r>
  <r>
    <x v="33"/>
    <x v="34"/>
    <x v="0"/>
  </r>
  <r>
    <x v="5"/>
    <x v="5"/>
    <x v="0"/>
  </r>
  <r>
    <x v="31"/>
    <x v="32"/>
    <x v="8"/>
  </r>
  <r>
    <x v="13"/>
    <x v="14"/>
    <x v="8"/>
  </r>
  <r>
    <x v="23"/>
    <x v="24"/>
    <x v="2"/>
  </r>
  <r>
    <x v="8"/>
    <x v="9"/>
    <x v="2"/>
  </r>
  <r>
    <x v="10"/>
    <x v="11"/>
    <x v="2"/>
  </r>
  <r>
    <x v="19"/>
    <x v="20"/>
    <x v="2"/>
  </r>
  <r>
    <x v="17"/>
    <x v="18"/>
    <x v="2"/>
  </r>
  <r>
    <x v="23"/>
    <x v="24"/>
    <x v="2"/>
  </r>
  <r>
    <x v="34"/>
    <x v="35"/>
    <x v="0"/>
  </r>
  <r>
    <x v="35"/>
    <x v="36"/>
    <x v="0"/>
  </r>
  <r>
    <x v="36"/>
    <x v="37"/>
    <x v="0"/>
  </r>
  <r>
    <x v="11"/>
    <x v="12"/>
    <x v="0"/>
  </r>
  <r>
    <x v="37"/>
    <x v="38"/>
    <x v="1"/>
  </r>
  <r>
    <x v="38"/>
    <x v="39"/>
    <x v="1"/>
  </r>
  <r>
    <x v="8"/>
    <x v="9"/>
    <x v="2"/>
  </r>
  <r>
    <x v="39"/>
    <x v="40"/>
    <x v="10"/>
  </r>
  <r>
    <x v="40"/>
    <x v="11"/>
    <x v="2"/>
  </r>
  <r>
    <x v="41"/>
    <x v="11"/>
    <x v="4"/>
  </r>
  <r>
    <x v="42"/>
    <x v="11"/>
    <x v="2"/>
  </r>
  <r>
    <x v="6"/>
    <x v="6"/>
    <x v="2"/>
  </r>
  <r>
    <x v="43"/>
    <x v="41"/>
    <x v="2"/>
  </r>
  <r>
    <x v="43"/>
    <x v="42"/>
    <x v="2"/>
  </r>
  <r>
    <x v="43"/>
    <x v="43"/>
    <x v="2"/>
  </r>
  <r>
    <x v="44"/>
    <x v="44"/>
    <x v="0"/>
  </r>
  <r>
    <x v="45"/>
    <x v="45"/>
    <x v="2"/>
  </r>
  <r>
    <x v="46"/>
    <x v="46"/>
    <x v="2"/>
  </r>
  <r>
    <x v="47"/>
    <x v="47"/>
    <x v="2"/>
  </r>
  <r>
    <x v="48"/>
    <x v="48"/>
    <x v="2"/>
  </r>
  <r>
    <x v="49"/>
    <x v="49"/>
    <x v="2"/>
  </r>
  <r>
    <x v="50"/>
    <x v="50"/>
    <x v="2"/>
  </r>
  <r>
    <x v="51"/>
    <x v="51"/>
    <x v="1"/>
  </r>
  <r>
    <x v="13"/>
    <x v="14"/>
    <x v="1"/>
  </r>
  <r>
    <x v="52"/>
    <x v="52"/>
    <x v="1"/>
  </r>
  <r>
    <x v="53"/>
    <x v="53"/>
    <x v="1"/>
  </r>
  <r>
    <x v="54"/>
    <x v="54"/>
    <x v="1"/>
  </r>
  <r>
    <x v="55"/>
    <x v="9"/>
    <x v="2"/>
  </r>
  <r>
    <x v="39"/>
    <x v="55"/>
    <x v="11"/>
  </r>
  <r>
    <x v="6"/>
    <x v="6"/>
    <x v="2"/>
  </r>
  <r>
    <x v="8"/>
    <x v="9"/>
    <x v="2"/>
  </r>
  <r>
    <x v="51"/>
    <x v="51"/>
    <x v="4"/>
  </r>
  <r>
    <x v="13"/>
    <x v="14"/>
    <x v="4"/>
  </r>
  <r>
    <x v="10"/>
    <x v="56"/>
    <x v="4"/>
  </r>
  <r>
    <x v="52"/>
    <x v="52"/>
    <x v="4"/>
  </r>
  <r>
    <x v="14"/>
    <x v="57"/>
    <x v="4"/>
  </r>
  <r>
    <x v="6"/>
    <x v="6"/>
    <x v="0"/>
  </r>
  <r>
    <x v="11"/>
    <x v="12"/>
    <x v="4"/>
  </r>
  <r>
    <x v="56"/>
    <x v="58"/>
    <x v="7"/>
  </r>
  <r>
    <x v="57"/>
    <x v="59"/>
    <x v="7"/>
  </r>
  <r>
    <x v="55"/>
    <x v="9"/>
    <x v="2"/>
  </r>
  <r>
    <x v="53"/>
    <x v="11"/>
    <x v="7"/>
  </r>
  <r>
    <x v="8"/>
    <x v="9"/>
    <x v="2"/>
  </r>
  <r>
    <x v="56"/>
    <x v="58"/>
    <x v="12"/>
  </r>
  <r>
    <x v="55"/>
    <x v="9"/>
    <x v="2"/>
  </r>
  <r>
    <x v="58"/>
    <x v="60"/>
    <x v="2"/>
  </r>
  <r>
    <x v="59"/>
    <x v="23"/>
    <x v="0"/>
  </r>
  <r>
    <x v="60"/>
    <x v="61"/>
    <x v="2"/>
  </r>
  <r>
    <x v="0"/>
    <x v="0"/>
    <x v="2"/>
  </r>
  <r>
    <x v="1"/>
    <x v="1"/>
    <x v="0"/>
  </r>
  <r>
    <x v="22"/>
    <x v="23"/>
    <x v="2"/>
  </r>
  <r>
    <x v="61"/>
    <x v="11"/>
    <x v="2"/>
  </r>
  <r>
    <x v="0"/>
    <x v="0"/>
    <x v="0"/>
  </r>
  <r>
    <x v="59"/>
    <x v="23"/>
    <x v="2"/>
  </r>
  <r>
    <x v="6"/>
    <x v="6"/>
    <x v="2"/>
  </r>
  <r>
    <x v="1"/>
    <x v="1"/>
    <x v="2"/>
  </r>
  <r>
    <x v="1"/>
    <x v="1"/>
    <x v="2"/>
  </r>
  <r>
    <x v="20"/>
    <x v="10"/>
    <x v="0"/>
  </r>
  <r>
    <x v="62"/>
    <x v="62"/>
    <x v="0"/>
  </r>
  <r>
    <x v="13"/>
    <x v="14"/>
    <x v="0"/>
  </r>
  <r>
    <x v="8"/>
    <x v="9"/>
    <x v="2"/>
  </r>
  <r>
    <x v="31"/>
    <x v="63"/>
    <x v="4"/>
  </r>
  <r>
    <x v="13"/>
    <x v="14"/>
    <x v="4"/>
  </r>
  <r>
    <x v="23"/>
    <x v="24"/>
    <x v="2"/>
  </r>
  <r>
    <x v="55"/>
    <x v="9"/>
    <x v="2"/>
  </r>
  <r>
    <x v="16"/>
    <x v="17"/>
    <x v="0"/>
  </r>
  <r>
    <x v="17"/>
    <x v="18"/>
    <x v="0"/>
  </r>
  <r>
    <x v="6"/>
    <x v="6"/>
    <x v="2"/>
  </r>
  <r>
    <x v="51"/>
    <x v="51"/>
    <x v="2"/>
  </r>
  <r>
    <x v="13"/>
    <x v="14"/>
    <x v="2"/>
  </r>
  <r>
    <x v="52"/>
    <x v="52"/>
    <x v="2"/>
  </r>
  <r>
    <x v="14"/>
    <x v="15"/>
    <x v="2"/>
  </r>
  <r>
    <x v="10"/>
    <x v="11"/>
    <x v="2"/>
  </r>
  <r>
    <x v="10"/>
    <x v="11"/>
    <x v="2"/>
  </r>
  <r>
    <x v="22"/>
    <x v="23"/>
    <x v="2"/>
  </r>
  <r>
    <x v="23"/>
    <x v="24"/>
    <x v="2"/>
  </r>
  <r>
    <x v="43"/>
    <x v="64"/>
    <x v="2"/>
  </r>
  <r>
    <x v="63"/>
    <x v="65"/>
    <x v="1"/>
  </r>
  <r>
    <x v="64"/>
    <x v="66"/>
    <x v="2"/>
  </r>
  <r>
    <x v="51"/>
    <x v="67"/>
    <x v="3"/>
  </r>
  <r>
    <x v="13"/>
    <x v="14"/>
    <x v="3"/>
  </r>
  <r>
    <x v="52"/>
    <x v="52"/>
    <x v="3"/>
  </r>
  <r>
    <x v="65"/>
    <x v="68"/>
    <x v="13"/>
  </r>
  <r>
    <x v="39"/>
    <x v="40"/>
    <x v="14"/>
  </r>
  <r>
    <x v="8"/>
    <x v="9"/>
    <x v="2"/>
  </r>
  <r>
    <x v="9"/>
    <x v="10"/>
    <x v="2"/>
  </r>
  <r>
    <x v="10"/>
    <x v="11"/>
    <x v="2"/>
  </r>
  <r>
    <x v="11"/>
    <x v="12"/>
    <x v="0"/>
  </r>
  <r>
    <x v="13"/>
    <x v="14"/>
    <x v="2"/>
  </r>
  <r>
    <x v="14"/>
    <x v="15"/>
    <x v="2"/>
  </r>
  <r>
    <x v="16"/>
    <x v="17"/>
    <x v="4"/>
  </r>
  <r>
    <x v="17"/>
    <x v="18"/>
    <x v="4"/>
  </r>
  <r>
    <x v="66"/>
    <x v="69"/>
    <x v="2"/>
  </r>
  <r>
    <x v="13"/>
    <x v="14"/>
    <x v="2"/>
  </r>
  <r>
    <x v="6"/>
    <x v="6"/>
    <x v="2"/>
  </r>
  <r>
    <x v="22"/>
    <x v="23"/>
    <x v="2"/>
  </r>
  <r>
    <x v="26"/>
    <x v="27"/>
    <x v="3"/>
  </r>
  <r>
    <x v="67"/>
    <x v="70"/>
    <x v="3"/>
  </r>
  <r>
    <x v="68"/>
    <x v="71"/>
    <x v="4"/>
  </r>
  <r>
    <x v="69"/>
    <x v="72"/>
    <x v="3"/>
  </r>
  <r>
    <x v="2"/>
    <x v="2"/>
    <x v="6"/>
  </r>
  <r>
    <x v="8"/>
    <x v="9"/>
    <x v="2"/>
  </r>
  <r>
    <x v="70"/>
    <x v="73"/>
    <x v="0"/>
  </r>
  <r>
    <x v="26"/>
    <x v="27"/>
    <x v="0"/>
  </r>
  <r>
    <x v="35"/>
    <x v="36"/>
    <x v="0"/>
  </r>
  <r>
    <x v="6"/>
    <x v="6"/>
    <x v="2"/>
  </r>
  <r>
    <x v="15"/>
    <x v="16"/>
    <x v="0"/>
  </r>
  <r>
    <x v="43"/>
    <x v="74"/>
    <x v="2"/>
  </r>
  <r>
    <x v="71"/>
    <x v="75"/>
    <x v="2"/>
  </r>
  <r>
    <x v="72"/>
    <x v="76"/>
    <x v="2"/>
  </r>
  <r>
    <x v="73"/>
    <x v="77"/>
    <x v="15"/>
  </r>
  <r>
    <x v="74"/>
    <x v="78"/>
    <x v="15"/>
  </r>
  <r>
    <x v="75"/>
    <x v="79"/>
    <x v="15"/>
  </r>
  <r>
    <x v="8"/>
    <x v="9"/>
    <x v="2"/>
  </r>
  <r>
    <x v="76"/>
    <x v="80"/>
    <x v="0"/>
  </r>
  <r>
    <x v="77"/>
    <x v="81"/>
    <x v="0"/>
  </r>
  <r>
    <x v="8"/>
    <x v="9"/>
    <x v="2"/>
  </r>
  <r>
    <x v="78"/>
    <x v="82"/>
    <x v="10"/>
  </r>
  <r>
    <x v="39"/>
    <x v="40"/>
    <x v="10"/>
  </r>
  <r>
    <x v="8"/>
    <x v="9"/>
    <x v="2"/>
  </r>
  <r>
    <x v="79"/>
    <x v="83"/>
    <x v="16"/>
  </r>
  <r>
    <x v="8"/>
    <x v="9"/>
    <x v="2"/>
  </r>
  <r>
    <x v="61"/>
    <x v="11"/>
    <x v="0"/>
  </r>
  <r>
    <x v="0"/>
    <x v="0"/>
    <x v="2"/>
  </r>
  <r>
    <x v="22"/>
    <x v="23"/>
    <x v="2"/>
  </r>
  <r>
    <x v="22"/>
    <x v="23"/>
    <x v="0"/>
  </r>
  <r>
    <x v="13"/>
    <x v="14"/>
    <x v="2"/>
  </r>
  <r>
    <x v="80"/>
    <x v="84"/>
    <x v="2"/>
  </r>
  <r>
    <x v="6"/>
    <x v="6"/>
    <x v="2"/>
  </r>
  <r>
    <x v="60"/>
    <x v="61"/>
    <x v="2"/>
  </r>
  <r>
    <x v="59"/>
    <x v="23"/>
    <x v="2"/>
  </r>
  <r>
    <x v="6"/>
    <x v="6"/>
    <x v="0"/>
  </r>
  <r>
    <x v="8"/>
    <x v="9"/>
    <x v="2"/>
  </r>
  <r>
    <x v="0"/>
    <x v="0"/>
    <x v="2"/>
  </r>
  <r>
    <x v="22"/>
    <x v="23"/>
    <x v="2"/>
  </r>
  <r>
    <x v="9"/>
    <x v="10"/>
    <x v="4"/>
  </r>
  <r>
    <x v="61"/>
    <x v="11"/>
    <x v="4"/>
  </r>
  <r>
    <x v="11"/>
    <x v="12"/>
    <x v="16"/>
  </r>
  <r>
    <x v="12"/>
    <x v="13"/>
    <x v="4"/>
  </r>
  <r>
    <x v="13"/>
    <x v="14"/>
    <x v="4"/>
  </r>
  <r>
    <x v="14"/>
    <x v="15"/>
    <x v="4"/>
  </r>
  <r>
    <x v="6"/>
    <x v="6"/>
    <x v="2"/>
  </r>
  <r>
    <x v="81"/>
    <x v="11"/>
    <x v="0"/>
  </r>
  <r>
    <x v="6"/>
    <x v="6"/>
    <x v="0"/>
  </r>
  <r>
    <x v="82"/>
    <x v="85"/>
    <x v="17"/>
  </r>
  <r>
    <x v="8"/>
    <x v="9"/>
    <x v="2"/>
  </r>
  <r>
    <x v="83"/>
    <x v="86"/>
    <x v="2"/>
  </r>
  <r>
    <x v="84"/>
    <x v="87"/>
    <x v="18"/>
  </r>
  <r>
    <x v="13"/>
    <x v="88"/>
    <x v="18"/>
  </r>
  <r>
    <x v="55"/>
    <x v="9"/>
    <x v="2"/>
  </r>
  <r>
    <x v="32"/>
    <x v="33"/>
    <x v="5"/>
  </r>
  <r>
    <x v="13"/>
    <x v="14"/>
    <x v="5"/>
  </r>
  <r>
    <x v="8"/>
    <x v="9"/>
    <x v="2"/>
  </r>
  <r>
    <x v="13"/>
    <x v="14"/>
    <x v="2"/>
  </r>
  <r>
    <x v="6"/>
    <x v="6"/>
    <x v="2"/>
  </r>
  <r>
    <x v="6"/>
    <x v="6"/>
    <x v="2"/>
  </r>
  <r>
    <x v="31"/>
    <x v="89"/>
    <x v="0"/>
  </r>
  <r>
    <x v="13"/>
    <x v="14"/>
    <x v="0"/>
  </r>
  <r>
    <x v="8"/>
    <x v="9"/>
    <x v="2"/>
  </r>
  <r>
    <x v="76"/>
    <x v="80"/>
    <x v="5"/>
  </r>
  <r>
    <x v="85"/>
    <x v="90"/>
    <x v="5"/>
  </r>
  <r>
    <x v="86"/>
    <x v="91"/>
    <x v="0"/>
  </r>
  <r>
    <x v="78"/>
    <x v="82"/>
    <x v="16"/>
  </r>
  <r>
    <x v="87"/>
    <x v="92"/>
    <x v="16"/>
  </r>
  <r>
    <x v="8"/>
    <x v="9"/>
    <x v="2"/>
  </r>
  <r>
    <x v="43"/>
    <x v="93"/>
    <x v="2"/>
  </r>
  <r>
    <x v="88"/>
    <x v="94"/>
    <x v="2"/>
  </r>
  <r>
    <x v="59"/>
    <x v="23"/>
    <x v="2"/>
  </r>
  <r>
    <x v="6"/>
    <x v="6"/>
    <x v="2"/>
  </r>
  <r>
    <x v="22"/>
    <x v="23"/>
    <x v="2"/>
  </r>
  <r>
    <x v="17"/>
    <x v="18"/>
    <x v="0"/>
  </r>
  <r>
    <x v="16"/>
    <x v="17"/>
    <x v="1"/>
  </r>
  <r>
    <x v="17"/>
    <x v="18"/>
    <x v="1"/>
  </r>
  <r>
    <x v="22"/>
    <x v="23"/>
    <x v="2"/>
  </r>
  <r>
    <x v="89"/>
    <x v="95"/>
    <x v="2"/>
  </r>
  <r>
    <x v="31"/>
    <x v="96"/>
    <x v="8"/>
  </r>
  <r>
    <x v="26"/>
    <x v="97"/>
    <x v="16"/>
  </r>
  <r>
    <x v="11"/>
    <x v="12"/>
    <x v="16"/>
  </r>
  <r>
    <x v="35"/>
    <x v="36"/>
    <x v="16"/>
  </r>
  <r>
    <x v="90"/>
    <x v="98"/>
    <x v="16"/>
  </r>
  <r>
    <x v="91"/>
    <x v="99"/>
    <x v="19"/>
  </r>
  <r>
    <x v="92"/>
    <x v="100"/>
    <x v="17"/>
  </r>
  <r>
    <x v="0"/>
    <x v="0"/>
    <x v="3"/>
  </r>
  <r>
    <x v="8"/>
    <x v="9"/>
    <x v="2"/>
  </r>
  <r>
    <x v="93"/>
    <x v="101"/>
    <x v="0"/>
  </r>
  <r>
    <x v="83"/>
    <x v="86"/>
    <x v="0"/>
  </r>
  <r>
    <x v="94"/>
    <x v="102"/>
    <x v="0"/>
  </r>
  <r>
    <x v="95"/>
    <x v="103"/>
    <x v="0"/>
  </r>
  <r>
    <x v="96"/>
    <x v="104"/>
    <x v="0"/>
  </r>
  <r>
    <x v="97"/>
    <x v="105"/>
    <x v="4"/>
  </r>
  <r>
    <x v="98"/>
    <x v="106"/>
    <x v="4"/>
  </r>
  <r>
    <x v="35"/>
    <x v="36"/>
    <x v="4"/>
  </r>
  <r>
    <x v="3"/>
    <x v="3"/>
    <x v="17"/>
  </r>
  <r>
    <x v="15"/>
    <x v="16"/>
    <x v="2"/>
  </r>
  <r>
    <x v="43"/>
    <x v="107"/>
    <x v="2"/>
  </r>
  <r>
    <x v="99"/>
    <x v="108"/>
    <x v="2"/>
  </r>
  <r>
    <x v="22"/>
    <x v="23"/>
    <x v="2"/>
  </r>
  <r>
    <x v="6"/>
    <x v="6"/>
    <x v="8"/>
  </r>
  <r>
    <x v="9"/>
    <x v="10"/>
    <x v="4"/>
  </r>
  <r>
    <x v="10"/>
    <x v="11"/>
    <x v="4"/>
  </r>
  <r>
    <x v="12"/>
    <x v="13"/>
    <x v="4"/>
  </r>
  <r>
    <x v="13"/>
    <x v="14"/>
    <x v="4"/>
  </r>
  <r>
    <x v="14"/>
    <x v="15"/>
    <x v="4"/>
  </r>
  <r>
    <x v="59"/>
    <x v="23"/>
    <x v="2"/>
  </r>
  <r>
    <x v="16"/>
    <x v="17"/>
    <x v="0"/>
  </r>
  <r>
    <x v="17"/>
    <x v="18"/>
    <x v="0"/>
  </r>
  <r>
    <x v="6"/>
    <x v="6"/>
    <x v="2"/>
  </r>
  <r>
    <x v="24"/>
    <x v="25"/>
    <x v="2"/>
  </r>
  <r>
    <x v="0"/>
    <x v="0"/>
    <x v="2"/>
  </r>
  <r>
    <x v="78"/>
    <x v="82"/>
    <x v="20"/>
  </r>
  <r>
    <x v="37"/>
    <x v="38"/>
    <x v="20"/>
  </r>
  <r>
    <x v="100"/>
    <x v="109"/>
    <x v="10"/>
  </r>
  <r>
    <x v="101"/>
    <x v="110"/>
    <x v="21"/>
  </r>
  <r>
    <x v="8"/>
    <x v="9"/>
    <x v="2"/>
  </r>
  <r>
    <x v="59"/>
    <x v="23"/>
    <x v="2"/>
  </r>
  <r>
    <x v="59"/>
    <x v="23"/>
    <x v="2"/>
  </r>
  <r>
    <x v="51"/>
    <x v="51"/>
    <x v="4"/>
  </r>
  <r>
    <x v="13"/>
    <x v="14"/>
    <x v="4"/>
  </r>
  <r>
    <x v="52"/>
    <x v="52"/>
    <x v="4"/>
  </r>
  <r>
    <x v="14"/>
    <x v="15"/>
    <x v="4"/>
  </r>
  <r>
    <x v="15"/>
    <x v="16"/>
    <x v="4"/>
  </r>
  <r>
    <x v="24"/>
    <x v="25"/>
    <x v="2"/>
  </r>
  <r>
    <x v="3"/>
    <x v="3"/>
    <x v="22"/>
  </r>
  <r>
    <x v="102"/>
    <x v="111"/>
    <x v="2"/>
  </r>
  <r>
    <x v="24"/>
    <x v="25"/>
    <x v="0"/>
  </r>
  <r>
    <x v="59"/>
    <x v="23"/>
    <x v="2"/>
  </r>
  <r>
    <x v="27"/>
    <x v="28"/>
    <x v="2"/>
  </r>
  <r>
    <x v="7"/>
    <x v="112"/>
    <x v="2"/>
  </r>
  <r>
    <x v="84"/>
    <x v="113"/>
    <x v="0"/>
  </r>
  <r>
    <x v="103"/>
    <x v="114"/>
    <x v="16"/>
  </r>
  <r>
    <x v="19"/>
    <x v="20"/>
    <x v="4"/>
  </r>
  <r>
    <x v="39"/>
    <x v="40"/>
    <x v="21"/>
  </r>
  <r>
    <x v="21"/>
    <x v="22"/>
    <x v="16"/>
  </r>
  <r>
    <x v="13"/>
    <x v="14"/>
    <x v="0"/>
  </r>
  <r>
    <x v="24"/>
    <x v="25"/>
    <x v="2"/>
  </r>
  <r>
    <x v="19"/>
    <x v="20"/>
    <x v="2"/>
  </r>
  <r>
    <x v="17"/>
    <x v="18"/>
    <x v="2"/>
  </r>
  <r>
    <x v="26"/>
    <x v="27"/>
    <x v="4"/>
  </r>
  <r>
    <x v="104"/>
    <x v="11"/>
    <x v="4"/>
  </r>
  <r>
    <x v="14"/>
    <x v="15"/>
    <x v="4"/>
  </r>
  <r>
    <x v="9"/>
    <x v="10"/>
    <x v="2"/>
  </r>
  <r>
    <x v="15"/>
    <x v="16"/>
    <x v="2"/>
  </r>
  <r>
    <x v="11"/>
    <x v="12"/>
    <x v="0"/>
  </r>
  <r>
    <x v="12"/>
    <x v="13"/>
    <x v="2"/>
  </r>
  <r>
    <x v="13"/>
    <x v="14"/>
    <x v="2"/>
  </r>
  <r>
    <x v="14"/>
    <x v="15"/>
    <x v="2"/>
  </r>
  <r>
    <x v="23"/>
    <x v="24"/>
    <x v="2"/>
  </r>
  <r>
    <x v="17"/>
    <x v="18"/>
    <x v="7"/>
  </r>
  <r>
    <x v="9"/>
    <x v="10"/>
    <x v="2"/>
  </r>
  <r>
    <x v="61"/>
    <x v="11"/>
    <x v="2"/>
  </r>
  <r>
    <x v="11"/>
    <x v="12"/>
    <x v="0"/>
  </r>
  <r>
    <x v="12"/>
    <x v="13"/>
    <x v="2"/>
  </r>
  <r>
    <x v="13"/>
    <x v="14"/>
    <x v="2"/>
  </r>
  <r>
    <x v="14"/>
    <x v="15"/>
    <x v="2"/>
  </r>
  <r>
    <x v="22"/>
    <x v="23"/>
    <x v="0"/>
  </r>
</pivotCacheRecords>
</file>

<file path=xl/pivotCache/pivotCacheRecords42.xml><?xml version="1.0" encoding="utf-8"?>
<pivotCacheRecords xmlns:r="http://schemas.openxmlformats.org/officeDocument/2006/relationships" xmlns="http://schemas.openxmlformats.org/spreadsheetml/2006/main" count="326">
  <r>
    <x v="0"/>
    <x v="0"/>
    <x v="0"/>
    <x v="0"/>
    <x v="0"/>
  </r>
  <r>
    <x v="1"/>
    <x v="1"/>
    <x v="0"/>
    <x v="1"/>
    <x v="1"/>
  </r>
  <r>
    <x v="2"/>
    <x v="2"/>
    <x v="0"/>
    <x v="2"/>
    <x v="2"/>
  </r>
  <r>
    <x v="3"/>
    <x v="3"/>
    <x v="1"/>
    <x v="3"/>
    <x v="3"/>
  </r>
  <r>
    <x v="4"/>
    <x v="4"/>
    <x v="0"/>
    <x v="4"/>
    <x v="4"/>
  </r>
  <r>
    <x v="5"/>
    <x v="5"/>
    <x v="2"/>
    <x v="5"/>
    <x v="5"/>
  </r>
  <r>
    <x v="6"/>
    <x v="6"/>
    <x v="2"/>
    <x v="6"/>
    <x v="6"/>
  </r>
  <r>
    <x v="7"/>
    <x v="7"/>
    <x v="3"/>
    <x v="7"/>
    <x v="7"/>
  </r>
  <r>
    <x v="6"/>
    <x v="8"/>
    <x v="0"/>
    <x v="8"/>
    <x v="8"/>
  </r>
  <r>
    <x v="8"/>
    <x v="9"/>
    <x v="2"/>
    <x v="9"/>
    <x v="9"/>
  </r>
  <r>
    <x v="9"/>
    <x v="10"/>
    <x v="0"/>
    <x v="10"/>
    <x v="10"/>
  </r>
  <r>
    <x v="10"/>
    <x v="11"/>
    <x v="0"/>
    <x v="7"/>
    <x v="7"/>
  </r>
  <r>
    <x v="11"/>
    <x v="12"/>
    <x v="4"/>
    <x v="11"/>
    <x v="11"/>
  </r>
  <r>
    <x v="12"/>
    <x v="13"/>
    <x v="0"/>
    <x v="12"/>
    <x v="12"/>
  </r>
  <r>
    <x v="13"/>
    <x v="14"/>
    <x v="0"/>
    <x v="7"/>
    <x v="7"/>
  </r>
  <r>
    <x v="14"/>
    <x v="15"/>
    <x v="0"/>
    <x v="7"/>
    <x v="7"/>
  </r>
  <r>
    <x v="15"/>
    <x v="16"/>
    <x v="2"/>
    <x v="13"/>
    <x v="13"/>
  </r>
  <r>
    <x v="1"/>
    <x v="1"/>
    <x v="5"/>
    <x v="14"/>
    <x v="14"/>
  </r>
  <r>
    <x v="6"/>
    <x v="6"/>
    <x v="2"/>
    <x v="6"/>
    <x v="6"/>
  </r>
  <r>
    <x v="1"/>
    <x v="1"/>
    <x v="4"/>
    <x v="14"/>
    <x v="15"/>
  </r>
  <r>
    <x v="16"/>
    <x v="17"/>
    <x v="0"/>
    <x v="15"/>
    <x v="16"/>
  </r>
  <r>
    <x v="17"/>
    <x v="18"/>
    <x v="0"/>
    <x v="16"/>
    <x v="17"/>
  </r>
  <r>
    <x v="18"/>
    <x v="19"/>
    <x v="4"/>
    <x v="13"/>
    <x v="18"/>
  </r>
  <r>
    <x v="19"/>
    <x v="20"/>
    <x v="0"/>
    <x v="17"/>
    <x v="19"/>
  </r>
  <r>
    <x v="17"/>
    <x v="18"/>
    <x v="0"/>
    <x v="7"/>
    <x v="7"/>
  </r>
  <r>
    <x v="20"/>
    <x v="21"/>
    <x v="0"/>
    <x v="18"/>
    <x v="20"/>
  </r>
  <r>
    <x v="13"/>
    <x v="14"/>
    <x v="0"/>
    <x v="7"/>
    <x v="7"/>
  </r>
  <r>
    <x v="8"/>
    <x v="9"/>
    <x v="2"/>
    <x v="19"/>
    <x v="21"/>
  </r>
  <r>
    <x v="18"/>
    <x v="19"/>
    <x v="0"/>
    <x v="13"/>
    <x v="22"/>
  </r>
  <r>
    <x v="17"/>
    <x v="18"/>
    <x v="0"/>
    <x v="7"/>
    <x v="7"/>
  </r>
  <r>
    <x v="21"/>
    <x v="22"/>
    <x v="5"/>
    <x v="7"/>
    <x v="7"/>
  </r>
  <r>
    <x v="17"/>
    <x v="18"/>
    <x v="0"/>
    <x v="16"/>
    <x v="17"/>
  </r>
  <r>
    <x v="22"/>
    <x v="23"/>
    <x v="0"/>
    <x v="6"/>
    <x v="23"/>
  </r>
  <r>
    <x v="23"/>
    <x v="24"/>
    <x v="2"/>
    <x v="20"/>
    <x v="24"/>
  </r>
  <r>
    <x v="1"/>
    <x v="1"/>
    <x v="0"/>
    <x v="14"/>
    <x v="25"/>
  </r>
  <r>
    <x v="24"/>
    <x v="25"/>
    <x v="2"/>
    <x v="21"/>
    <x v="26"/>
  </r>
  <r>
    <x v="6"/>
    <x v="6"/>
    <x v="2"/>
    <x v="6"/>
    <x v="6"/>
  </r>
  <r>
    <x v="25"/>
    <x v="26"/>
    <x v="2"/>
    <x v="22"/>
    <x v="27"/>
  </r>
  <r>
    <x v="15"/>
    <x v="16"/>
    <x v="2"/>
    <x v="13"/>
    <x v="13"/>
  </r>
  <r>
    <x v="26"/>
    <x v="27"/>
    <x v="0"/>
    <x v="23"/>
    <x v="28"/>
  </r>
  <r>
    <x v="11"/>
    <x v="12"/>
    <x v="0"/>
    <x v="11"/>
    <x v="29"/>
  </r>
  <r>
    <x v="11"/>
    <x v="12"/>
    <x v="0"/>
    <x v="7"/>
    <x v="7"/>
  </r>
  <r>
    <x v="0"/>
    <x v="0"/>
    <x v="0"/>
    <x v="17"/>
    <x v="19"/>
  </r>
  <r>
    <x v="16"/>
    <x v="17"/>
    <x v="2"/>
    <x v="15"/>
    <x v="30"/>
  </r>
  <r>
    <x v="17"/>
    <x v="18"/>
    <x v="2"/>
    <x v="16"/>
    <x v="31"/>
  </r>
  <r>
    <x v="10"/>
    <x v="11"/>
    <x v="2"/>
    <x v="24"/>
    <x v="32"/>
  </r>
  <r>
    <x v="14"/>
    <x v="15"/>
    <x v="2"/>
    <x v="25"/>
    <x v="33"/>
  </r>
  <r>
    <x v="27"/>
    <x v="28"/>
    <x v="2"/>
    <x v="26"/>
    <x v="34"/>
  </r>
  <r>
    <x v="16"/>
    <x v="17"/>
    <x v="2"/>
    <x v="15"/>
    <x v="30"/>
  </r>
  <r>
    <x v="17"/>
    <x v="18"/>
    <x v="2"/>
    <x v="16"/>
    <x v="31"/>
  </r>
  <r>
    <x v="17"/>
    <x v="18"/>
    <x v="2"/>
    <x v="16"/>
    <x v="31"/>
  </r>
  <r>
    <x v="21"/>
    <x v="22"/>
    <x v="2"/>
    <x v="27"/>
    <x v="35"/>
  </r>
  <r>
    <x v="28"/>
    <x v="29"/>
    <x v="6"/>
    <x v="7"/>
    <x v="7"/>
  </r>
  <r>
    <x v="29"/>
    <x v="30"/>
    <x v="6"/>
    <x v="7"/>
    <x v="7"/>
  </r>
  <r>
    <x v="30"/>
    <x v="31"/>
    <x v="6"/>
    <x v="7"/>
    <x v="7"/>
  </r>
  <r>
    <x v="3"/>
    <x v="3"/>
    <x v="7"/>
    <x v="7"/>
    <x v="7"/>
  </r>
  <r>
    <x v="31"/>
    <x v="32"/>
    <x v="8"/>
    <x v="28"/>
    <x v="36"/>
  </r>
  <r>
    <x v="32"/>
    <x v="33"/>
    <x v="9"/>
    <x v="29"/>
    <x v="37"/>
  </r>
  <r>
    <x v="23"/>
    <x v="24"/>
    <x v="2"/>
    <x v="30"/>
    <x v="38"/>
  </r>
  <r>
    <x v="13"/>
    <x v="14"/>
    <x v="1"/>
    <x v="7"/>
    <x v="7"/>
  </r>
  <r>
    <x v="8"/>
    <x v="9"/>
    <x v="2"/>
    <x v="31"/>
    <x v="39"/>
  </r>
  <r>
    <x v="33"/>
    <x v="34"/>
    <x v="0"/>
    <x v="32"/>
    <x v="40"/>
  </r>
  <r>
    <x v="5"/>
    <x v="5"/>
    <x v="0"/>
    <x v="7"/>
    <x v="7"/>
  </r>
  <r>
    <x v="31"/>
    <x v="32"/>
    <x v="8"/>
    <x v="28"/>
    <x v="36"/>
  </r>
  <r>
    <x v="13"/>
    <x v="14"/>
    <x v="8"/>
    <x v="7"/>
    <x v="7"/>
  </r>
  <r>
    <x v="23"/>
    <x v="24"/>
    <x v="2"/>
    <x v="30"/>
    <x v="38"/>
  </r>
  <r>
    <x v="8"/>
    <x v="9"/>
    <x v="2"/>
    <x v="33"/>
    <x v="41"/>
  </r>
  <r>
    <x v="10"/>
    <x v="11"/>
    <x v="2"/>
    <x v="24"/>
    <x v="32"/>
  </r>
  <r>
    <x v="19"/>
    <x v="20"/>
    <x v="2"/>
    <x v="17"/>
    <x v="42"/>
  </r>
  <r>
    <x v="17"/>
    <x v="18"/>
    <x v="2"/>
    <x v="16"/>
    <x v="31"/>
  </r>
  <r>
    <x v="23"/>
    <x v="24"/>
    <x v="2"/>
    <x v="30"/>
    <x v="38"/>
  </r>
  <r>
    <x v="34"/>
    <x v="35"/>
    <x v="0"/>
    <x v="34"/>
    <x v="43"/>
  </r>
  <r>
    <x v="35"/>
    <x v="36"/>
    <x v="0"/>
    <x v="7"/>
    <x v="7"/>
  </r>
  <r>
    <x v="36"/>
    <x v="37"/>
    <x v="0"/>
    <x v="35"/>
    <x v="44"/>
  </r>
  <r>
    <x v="11"/>
    <x v="12"/>
    <x v="0"/>
    <x v="35"/>
    <x v="44"/>
  </r>
  <r>
    <x v="37"/>
    <x v="38"/>
    <x v="1"/>
    <x v="36"/>
    <x v="45"/>
  </r>
  <r>
    <x v="38"/>
    <x v="39"/>
    <x v="1"/>
    <x v="37"/>
    <x v="46"/>
  </r>
  <r>
    <x v="8"/>
    <x v="9"/>
    <x v="2"/>
    <x v="0"/>
    <x v="47"/>
  </r>
  <r>
    <x v="39"/>
    <x v="40"/>
    <x v="10"/>
    <x v="7"/>
    <x v="7"/>
  </r>
  <r>
    <x v="40"/>
    <x v="11"/>
    <x v="2"/>
    <x v="22"/>
    <x v="27"/>
  </r>
  <r>
    <x v="41"/>
    <x v="11"/>
    <x v="4"/>
    <x v="5"/>
    <x v="48"/>
  </r>
  <r>
    <x v="42"/>
    <x v="11"/>
    <x v="2"/>
    <x v="13"/>
    <x v="13"/>
  </r>
  <r>
    <x v="6"/>
    <x v="6"/>
    <x v="2"/>
    <x v="6"/>
    <x v="6"/>
  </r>
  <r>
    <x v="43"/>
    <x v="41"/>
    <x v="2"/>
    <x v="7"/>
    <x v="7"/>
  </r>
  <r>
    <x v="43"/>
    <x v="42"/>
    <x v="2"/>
    <x v="7"/>
    <x v="7"/>
  </r>
  <r>
    <x v="43"/>
    <x v="43"/>
    <x v="2"/>
    <x v="7"/>
    <x v="7"/>
  </r>
  <r>
    <x v="44"/>
    <x v="44"/>
    <x v="0"/>
    <x v="7"/>
    <x v="7"/>
  </r>
  <r>
    <x v="45"/>
    <x v="45"/>
    <x v="2"/>
    <x v="7"/>
    <x v="7"/>
  </r>
  <r>
    <x v="46"/>
    <x v="46"/>
    <x v="2"/>
    <x v="7"/>
    <x v="7"/>
  </r>
  <r>
    <x v="47"/>
    <x v="47"/>
    <x v="2"/>
    <x v="7"/>
    <x v="7"/>
  </r>
  <r>
    <x v="48"/>
    <x v="48"/>
    <x v="2"/>
    <x v="7"/>
    <x v="7"/>
  </r>
  <r>
    <x v="49"/>
    <x v="49"/>
    <x v="2"/>
    <x v="7"/>
    <x v="7"/>
  </r>
  <r>
    <x v="50"/>
    <x v="50"/>
    <x v="2"/>
    <x v="7"/>
    <x v="7"/>
  </r>
  <r>
    <x v="51"/>
    <x v="51"/>
    <x v="1"/>
    <x v="29"/>
    <x v="49"/>
  </r>
  <r>
    <x v="13"/>
    <x v="14"/>
    <x v="1"/>
    <x v="7"/>
    <x v="7"/>
  </r>
  <r>
    <x v="52"/>
    <x v="52"/>
    <x v="1"/>
    <x v="7"/>
    <x v="7"/>
  </r>
  <r>
    <x v="53"/>
    <x v="53"/>
    <x v="1"/>
    <x v="7"/>
    <x v="7"/>
  </r>
  <r>
    <x v="54"/>
    <x v="54"/>
    <x v="1"/>
    <x v="38"/>
    <x v="50"/>
  </r>
  <r>
    <x v="55"/>
    <x v="9"/>
    <x v="2"/>
    <x v="39"/>
    <x v="51"/>
  </r>
  <r>
    <x v="39"/>
    <x v="55"/>
    <x v="11"/>
    <x v="40"/>
    <x v="52"/>
  </r>
  <r>
    <x v="6"/>
    <x v="6"/>
    <x v="2"/>
    <x v="8"/>
    <x v="53"/>
  </r>
  <r>
    <x v="8"/>
    <x v="9"/>
    <x v="2"/>
    <x v="19"/>
    <x v="21"/>
  </r>
  <r>
    <x v="51"/>
    <x v="51"/>
    <x v="4"/>
    <x v="41"/>
    <x v="54"/>
  </r>
  <r>
    <x v="13"/>
    <x v="14"/>
    <x v="4"/>
    <x v="7"/>
    <x v="7"/>
  </r>
  <r>
    <x v="10"/>
    <x v="56"/>
    <x v="4"/>
    <x v="7"/>
    <x v="7"/>
  </r>
  <r>
    <x v="52"/>
    <x v="52"/>
    <x v="4"/>
    <x v="7"/>
    <x v="7"/>
  </r>
  <r>
    <x v="14"/>
    <x v="57"/>
    <x v="4"/>
    <x v="7"/>
    <x v="7"/>
  </r>
  <r>
    <x v="6"/>
    <x v="6"/>
    <x v="0"/>
    <x v="6"/>
    <x v="23"/>
  </r>
  <r>
    <x v="11"/>
    <x v="12"/>
    <x v="4"/>
    <x v="11"/>
    <x v="11"/>
  </r>
  <r>
    <x v="56"/>
    <x v="58"/>
    <x v="7"/>
    <x v="35"/>
    <x v="55"/>
  </r>
  <r>
    <x v="57"/>
    <x v="59"/>
    <x v="7"/>
    <x v="42"/>
    <x v="56"/>
  </r>
  <r>
    <x v="55"/>
    <x v="9"/>
    <x v="2"/>
    <x v="25"/>
    <x v="33"/>
  </r>
  <r>
    <x v="53"/>
    <x v="11"/>
    <x v="7"/>
    <x v="43"/>
    <x v="57"/>
  </r>
  <r>
    <x v="8"/>
    <x v="9"/>
    <x v="2"/>
    <x v="9"/>
    <x v="9"/>
  </r>
  <r>
    <x v="56"/>
    <x v="58"/>
    <x v="12"/>
    <x v="35"/>
    <x v="58"/>
  </r>
  <r>
    <x v="55"/>
    <x v="9"/>
    <x v="2"/>
    <x v="44"/>
    <x v="59"/>
  </r>
  <r>
    <x v="58"/>
    <x v="60"/>
    <x v="2"/>
    <x v="45"/>
    <x v="60"/>
  </r>
  <r>
    <x v="59"/>
    <x v="23"/>
    <x v="0"/>
    <x v="46"/>
    <x v="61"/>
  </r>
  <r>
    <x v="60"/>
    <x v="61"/>
    <x v="2"/>
    <x v="47"/>
    <x v="62"/>
  </r>
  <r>
    <x v="0"/>
    <x v="0"/>
    <x v="2"/>
    <x v="17"/>
    <x v="42"/>
  </r>
  <r>
    <x v="1"/>
    <x v="1"/>
    <x v="0"/>
    <x v="48"/>
    <x v="63"/>
  </r>
  <r>
    <x v="22"/>
    <x v="23"/>
    <x v="2"/>
    <x v="49"/>
    <x v="64"/>
  </r>
  <r>
    <x v="61"/>
    <x v="11"/>
    <x v="2"/>
    <x v="50"/>
    <x v="65"/>
  </r>
  <r>
    <x v="0"/>
    <x v="0"/>
    <x v="0"/>
    <x v="17"/>
    <x v="19"/>
  </r>
  <r>
    <x v="59"/>
    <x v="23"/>
    <x v="2"/>
    <x v="51"/>
    <x v="66"/>
  </r>
  <r>
    <x v="6"/>
    <x v="6"/>
    <x v="2"/>
    <x v="6"/>
    <x v="6"/>
  </r>
  <r>
    <x v="1"/>
    <x v="1"/>
    <x v="2"/>
    <x v="14"/>
    <x v="67"/>
  </r>
  <r>
    <x v="1"/>
    <x v="1"/>
    <x v="2"/>
    <x v="14"/>
    <x v="67"/>
  </r>
  <r>
    <x v="20"/>
    <x v="10"/>
    <x v="0"/>
    <x v="18"/>
    <x v="20"/>
  </r>
  <r>
    <x v="62"/>
    <x v="62"/>
    <x v="0"/>
    <x v="7"/>
    <x v="7"/>
  </r>
  <r>
    <x v="13"/>
    <x v="14"/>
    <x v="0"/>
    <x v="7"/>
    <x v="7"/>
  </r>
  <r>
    <x v="8"/>
    <x v="9"/>
    <x v="2"/>
    <x v="44"/>
    <x v="59"/>
  </r>
  <r>
    <x v="31"/>
    <x v="63"/>
    <x v="4"/>
    <x v="28"/>
    <x v="68"/>
  </r>
  <r>
    <x v="13"/>
    <x v="14"/>
    <x v="4"/>
    <x v="7"/>
    <x v="7"/>
  </r>
  <r>
    <x v="23"/>
    <x v="24"/>
    <x v="2"/>
    <x v="30"/>
    <x v="38"/>
  </r>
  <r>
    <x v="55"/>
    <x v="9"/>
    <x v="2"/>
    <x v="52"/>
    <x v="69"/>
  </r>
  <r>
    <x v="16"/>
    <x v="17"/>
    <x v="0"/>
    <x v="15"/>
    <x v="16"/>
  </r>
  <r>
    <x v="17"/>
    <x v="18"/>
    <x v="0"/>
    <x v="16"/>
    <x v="17"/>
  </r>
  <r>
    <x v="6"/>
    <x v="6"/>
    <x v="2"/>
    <x v="6"/>
    <x v="6"/>
  </r>
  <r>
    <x v="51"/>
    <x v="51"/>
    <x v="2"/>
    <x v="41"/>
    <x v="70"/>
  </r>
  <r>
    <x v="13"/>
    <x v="14"/>
    <x v="2"/>
    <x v="7"/>
    <x v="7"/>
  </r>
  <r>
    <x v="52"/>
    <x v="52"/>
    <x v="2"/>
    <x v="7"/>
    <x v="7"/>
  </r>
  <r>
    <x v="14"/>
    <x v="15"/>
    <x v="2"/>
    <x v="7"/>
    <x v="7"/>
  </r>
  <r>
    <x v="10"/>
    <x v="11"/>
    <x v="2"/>
    <x v="7"/>
    <x v="7"/>
  </r>
  <r>
    <x v="10"/>
    <x v="11"/>
    <x v="2"/>
    <x v="24"/>
    <x v="32"/>
  </r>
  <r>
    <x v="22"/>
    <x v="23"/>
    <x v="2"/>
    <x v="6"/>
    <x v="6"/>
  </r>
  <r>
    <x v="23"/>
    <x v="24"/>
    <x v="2"/>
    <x v="20"/>
    <x v="24"/>
  </r>
  <r>
    <x v="43"/>
    <x v="64"/>
    <x v="2"/>
    <x v="7"/>
    <x v="7"/>
  </r>
  <r>
    <x v="63"/>
    <x v="65"/>
    <x v="1"/>
    <x v="7"/>
    <x v="7"/>
  </r>
  <r>
    <x v="64"/>
    <x v="66"/>
    <x v="2"/>
    <x v="7"/>
    <x v="7"/>
  </r>
  <r>
    <x v="51"/>
    <x v="67"/>
    <x v="3"/>
    <x v="53"/>
    <x v="71"/>
  </r>
  <r>
    <x v="13"/>
    <x v="14"/>
    <x v="3"/>
    <x v="7"/>
    <x v="7"/>
  </r>
  <r>
    <x v="52"/>
    <x v="52"/>
    <x v="3"/>
    <x v="7"/>
    <x v="7"/>
  </r>
  <r>
    <x v="65"/>
    <x v="68"/>
    <x v="13"/>
    <x v="35"/>
    <x v="72"/>
  </r>
  <r>
    <x v="39"/>
    <x v="40"/>
    <x v="14"/>
    <x v="40"/>
    <x v="73"/>
  </r>
  <r>
    <x v="8"/>
    <x v="9"/>
    <x v="2"/>
    <x v="54"/>
    <x v="74"/>
  </r>
  <r>
    <x v="9"/>
    <x v="10"/>
    <x v="2"/>
    <x v="10"/>
    <x v="75"/>
  </r>
  <r>
    <x v="10"/>
    <x v="11"/>
    <x v="2"/>
    <x v="7"/>
    <x v="7"/>
  </r>
  <r>
    <x v="11"/>
    <x v="12"/>
    <x v="0"/>
    <x v="11"/>
    <x v="29"/>
  </r>
  <r>
    <x v="13"/>
    <x v="14"/>
    <x v="2"/>
    <x v="7"/>
    <x v="7"/>
  </r>
  <r>
    <x v="14"/>
    <x v="15"/>
    <x v="2"/>
    <x v="7"/>
    <x v="7"/>
  </r>
  <r>
    <x v="16"/>
    <x v="17"/>
    <x v="4"/>
    <x v="15"/>
    <x v="76"/>
  </r>
  <r>
    <x v="17"/>
    <x v="18"/>
    <x v="4"/>
    <x v="16"/>
    <x v="77"/>
  </r>
  <r>
    <x v="66"/>
    <x v="69"/>
    <x v="2"/>
    <x v="55"/>
    <x v="78"/>
  </r>
  <r>
    <x v="13"/>
    <x v="14"/>
    <x v="2"/>
    <x v="11"/>
    <x v="79"/>
  </r>
  <r>
    <x v="6"/>
    <x v="6"/>
    <x v="2"/>
    <x v="6"/>
    <x v="6"/>
  </r>
  <r>
    <x v="22"/>
    <x v="23"/>
    <x v="2"/>
    <x v="6"/>
    <x v="6"/>
  </r>
  <r>
    <x v="26"/>
    <x v="27"/>
    <x v="3"/>
    <x v="34"/>
    <x v="80"/>
  </r>
  <r>
    <x v="67"/>
    <x v="70"/>
    <x v="3"/>
    <x v="56"/>
    <x v="81"/>
  </r>
  <r>
    <x v="68"/>
    <x v="71"/>
    <x v="4"/>
    <x v="7"/>
    <x v="7"/>
  </r>
  <r>
    <x v="69"/>
    <x v="72"/>
    <x v="3"/>
    <x v="57"/>
    <x v="82"/>
  </r>
  <r>
    <x v="2"/>
    <x v="2"/>
    <x v="6"/>
    <x v="58"/>
    <x v="83"/>
  </r>
  <r>
    <x v="8"/>
    <x v="9"/>
    <x v="2"/>
    <x v="59"/>
    <x v="84"/>
  </r>
  <r>
    <x v="70"/>
    <x v="73"/>
    <x v="0"/>
    <x v="60"/>
    <x v="85"/>
  </r>
  <r>
    <x v="26"/>
    <x v="27"/>
    <x v="0"/>
    <x v="23"/>
    <x v="28"/>
  </r>
  <r>
    <x v="35"/>
    <x v="36"/>
    <x v="0"/>
    <x v="7"/>
    <x v="7"/>
  </r>
  <r>
    <x v="6"/>
    <x v="6"/>
    <x v="2"/>
    <x v="6"/>
    <x v="6"/>
  </r>
  <r>
    <x v="15"/>
    <x v="16"/>
    <x v="0"/>
    <x v="13"/>
    <x v="22"/>
  </r>
  <r>
    <x v="43"/>
    <x v="74"/>
    <x v="2"/>
    <x v="7"/>
    <x v="7"/>
  </r>
  <r>
    <x v="71"/>
    <x v="75"/>
    <x v="2"/>
    <x v="7"/>
    <x v="7"/>
  </r>
  <r>
    <x v="72"/>
    <x v="76"/>
    <x v="2"/>
    <x v="7"/>
    <x v="7"/>
  </r>
  <r>
    <x v="73"/>
    <x v="77"/>
    <x v="15"/>
    <x v="61"/>
    <x v="86"/>
  </r>
  <r>
    <x v="74"/>
    <x v="78"/>
    <x v="15"/>
    <x v="44"/>
    <x v="87"/>
  </r>
  <r>
    <x v="75"/>
    <x v="79"/>
    <x v="15"/>
    <x v="9"/>
    <x v="88"/>
  </r>
  <r>
    <x v="8"/>
    <x v="9"/>
    <x v="2"/>
    <x v="61"/>
    <x v="89"/>
  </r>
  <r>
    <x v="76"/>
    <x v="80"/>
    <x v="0"/>
    <x v="62"/>
    <x v="90"/>
  </r>
  <r>
    <x v="77"/>
    <x v="81"/>
    <x v="0"/>
    <x v="38"/>
    <x v="91"/>
  </r>
  <r>
    <x v="8"/>
    <x v="9"/>
    <x v="2"/>
    <x v="9"/>
    <x v="9"/>
  </r>
  <r>
    <x v="78"/>
    <x v="82"/>
    <x v="10"/>
    <x v="63"/>
    <x v="92"/>
  </r>
  <r>
    <x v="39"/>
    <x v="40"/>
    <x v="10"/>
    <x v="7"/>
    <x v="7"/>
  </r>
  <r>
    <x v="8"/>
    <x v="9"/>
    <x v="2"/>
    <x v="64"/>
    <x v="93"/>
  </r>
  <r>
    <x v="79"/>
    <x v="83"/>
    <x v="16"/>
    <x v="65"/>
    <x v="94"/>
  </r>
  <r>
    <x v="8"/>
    <x v="9"/>
    <x v="2"/>
    <x v="66"/>
    <x v="95"/>
  </r>
  <r>
    <x v="61"/>
    <x v="11"/>
    <x v="0"/>
    <x v="50"/>
    <x v="96"/>
  </r>
  <r>
    <x v="0"/>
    <x v="0"/>
    <x v="2"/>
    <x v="17"/>
    <x v="42"/>
  </r>
  <r>
    <x v="22"/>
    <x v="23"/>
    <x v="2"/>
    <x v="6"/>
    <x v="6"/>
  </r>
  <r>
    <x v="22"/>
    <x v="23"/>
    <x v="0"/>
    <x v="6"/>
    <x v="23"/>
  </r>
  <r>
    <x v="13"/>
    <x v="14"/>
    <x v="2"/>
    <x v="11"/>
    <x v="79"/>
  </r>
  <r>
    <x v="80"/>
    <x v="84"/>
    <x v="2"/>
    <x v="67"/>
    <x v="97"/>
  </r>
  <r>
    <x v="6"/>
    <x v="6"/>
    <x v="2"/>
    <x v="6"/>
    <x v="6"/>
  </r>
  <r>
    <x v="60"/>
    <x v="61"/>
    <x v="2"/>
    <x v="47"/>
    <x v="62"/>
  </r>
  <r>
    <x v="59"/>
    <x v="23"/>
    <x v="2"/>
    <x v="68"/>
    <x v="98"/>
  </r>
  <r>
    <x v="6"/>
    <x v="6"/>
    <x v="0"/>
    <x v="8"/>
    <x v="8"/>
  </r>
  <r>
    <x v="8"/>
    <x v="9"/>
    <x v="2"/>
    <x v="9"/>
    <x v="9"/>
  </r>
  <r>
    <x v="0"/>
    <x v="0"/>
    <x v="2"/>
    <x v="17"/>
    <x v="42"/>
  </r>
  <r>
    <x v="22"/>
    <x v="23"/>
    <x v="2"/>
    <x v="6"/>
    <x v="6"/>
  </r>
  <r>
    <x v="9"/>
    <x v="10"/>
    <x v="4"/>
    <x v="10"/>
    <x v="99"/>
  </r>
  <r>
    <x v="61"/>
    <x v="11"/>
    <x v="4"/>
    <x v="66"/>
    <x v="100"/>
  </r>
  <r>
    <x v="11"/>
    <x v="12"/>
    <x v="16"/>
    <x v="11"/>
    <x v="101"/>
  </r>
  <r>
    <x v="12"/>
    <x v="13"/>
    <x v="4"/>
    <x v="12"/>
    <x v="102"/>
  </r>
  <r>
    <x v="13"/>
    <x v="14"/>
    <x v="4"/>
    <x v="7"/>
    <x v="7"/>
  </r>
  <r>
    <x v="14"/>
    <x v="15"/>
    <x v="4"/>
    <x v="7"/>
    <x v="7"/>
  </r>
  <r>
    <x v="6"/>
    <x v="6"/>
    <x v="2"/>
    <x v="6"/>
    <x v="6"/>
  </r>
  <r>
    <x v="81"/>
    <x v="11"/>
    <x v="0"/>
    <x v="13"/>
    <x v="22"/>
  </r>
  <r>
    <x v="6"/>
    <x v="6"/>
    <x v="0"/>
    <x v="6"/>
    <x v="23"/>
  </r>
  <r>
    <x v="82"/>
    <x v="85"/>
    <x v="17"/>
    <x v="38"/>
    <x v="103"/>
  </r>
  <r>
    <x v="8"/>
    <x v="9"/>
    <x v="2"/>
    <x v="44"/>
    <x v="59"/>
  </r>
  <r>
    <x v="83"/>
    <x v="86"/>
    <x v="2"/>
    <x v="7"/>
    <x v="7"/>
  </r>
  <r>
    <x v="84"/>
    <x v="87"/>
    <x v="18"/>
    <x v="69"/>
    <x v="104"/>
  </r>
  <r>
    <x v="13"/>
    <x v="88"/>
    <x v="18"/>
    <x v="7"/>
    <x v="7"/>
  </r>
  <r>
    <x v="55"/>
    <x v="9"/>
    <x v="2"/>
    <x v="70"/>
    <x v="105"/>
  </r>
  <r>
    <x v="32"/>
    <x v="33"/>
    <x v="5"/>
    <x v="53"/>
    <x v="106"/>
  </r>
  <r>
    <x v="13"/>
    <x v="14"/>
    <x v="5"/>
    <x v="7"/>
    <x v="7"/>
  </r>
  <r>
    <x v="8"/>
    <x v="9"/>
    <x v="2"/>
    <x v="71"/>
    <x v="107"/>
  </r>
  <r>
    <x v="13"/>
    <x v="14"/>
    <x v="2"/>
    <x v="11"/>
    <x v="79"/>
  </r>
  <r>
    <x v="6"/>
    <x v="6"/>
    <x v="2"/>
    <x v="6"/>
    <x v="6"/>
  </r>
  <r>
    <x v="6"/>
    <x v="6"/>
    <x v="2"/>
    <x v="6"/>
    <x v="6"/>
  </r>
  <r>
    <x v="31"/>
    <x v="89"/>
    <x v="0"/>
    <x v="28"/>
    <x v="108"/>
  </r>
  <r>
    <x v="13"/>
    <x v="14"/>
    <x v="0"/>
    <x v="7"/>
    <x v="7"/>
  </r>
  <r>
    <x v="8"/>
    <x v="9"/>
    <x v="2"/>
    <x v="66"/>
    <x v="95"/>
  </r>
  <r>
    <x v="76"/>
    <x v="80"/>
    <x v="5"/>
    <x v="62"/>
    <x v="109"/>
  </r>
  <r>
    <x v="85"/>
    <x v="90"/>
    <x v="5"/>
    <x v="72"/>
    <x v="110"/>
  </r>
  <r>
    <x v="86"/>
    <x v="91"/>
    <x v="0"/>
    <x v="73"/>
    <x v="111"/>
  </r>
  <r>
    <x v="78"/>
    <x v="82"/>
    <x v="16"/>
    <x v="74"/>
    <x v="112"/>
  </r>
  <r>
    <x v="87"/>
    <x v="92"/>
    <x v="16"/>
    <x v="75"/>
    <x v="113"/>
  </r>
  <r>
    <x v="8"/>
    <x v="9"/>
    <x v="2"/>
    <x v="76"/>
    <x v="114"/>
  </r>
  <r>
    <x v="43"/>
    <x v="93"/>
    <x v="2"/>
    <x v="7"/>
    <x v="7"/>
  </r>
  <r>
    <x v="88"/>
    <x v="94"/>
    <x v="2"/>
    <x v="7"/>
    <x v="7"/>
  </r>
  <r>
    <x v="59"/>
    <x v="23"/>
    <x v="2"/>
    <x v="51"/>
    <x v="66"/>
  </r>
  <r>
    <x v="6"/>
    <x v="6"/>
    <x v="2"/>
    <x v="6"/>
    <x v="6"/>
  </r>
  <r>
    <x v="22"/>
    <x v="23"/>
    <x v="2"/>
    <x v="6"/>
    <x v="6"/>
  </r>
  <r>
    <x v="17"/>
    <x v="18"/>
    <x v="0"/>
    <x v="16"/>
    <x v="17"/>
  </r>
  <r>
    <x v="16"/>
    <x v="17"/>
    <x v="1"/>
    <x v="15"/>
    <x v="115"/>
  </r>
  <r>
    <x v="17"/>
    <x v="18"/>
    <x v="1"/>
    <x v="77"/>
    <x v="116"/>
  </r>
  <r>
    <x v="22"/>
    <x v="23"/>
    <x v="2"/>
    <x v="6"/>
    <x v="6"/>
  </r>
  <r>
    <x v="89"/>
    <x v="95"/>
    <x v="2"/>
    <x v="78"/>
    <x v="117"/>
  </r>
  <r>
    <x v="31"/>
    <x v="96"/>
    <x v="8"/>
    <x v="79"/>
    <x v="118"/>
  </r>
  <r>
    <x v="26"/>
    <x v="97"/>
    <x v="16"/>
    <x v="34"/>
    <x v="119"/>
  </r>
  <r>
    <x v="11"/>
    <x v="12"/>
    <x v="16"/>
    <x v="35"/>
    <x v="120"/>
  </r>
  <r>
    <x v="35"/>
    <x v="36"/>
    <x v="16"/>
    <x v="7"/>
    <x v="7"/>
  </r>
  <r>
    <x v="90"/>
    <x v="98"/>
    <x v="16"/>
    <x v="7"/>
    <x v="7"/>
  </r>
  <r>
    <x v="91"/>
    <x v="99"/>
    <x v="19"/>
    <x v="80"/>
    <x v="121"/>
  </r>
  <r>
    <x v="92"/>
    <x v="100"/>
    <x v="17"/>
    <x v="81"/>
    <x v="73"/>
  </r>
  <r>
    <x v="0"/>
    <x v="0"/>
    <x v="3"/>
    <x v="58"/>
    <x v="122"/>
  </r>
  <r>
    <x v="8"/>
    <x v="9"/>
    <x v="2"/>
    <x v="82"/>
    <x v="123"/>
  </r>
  <r>
    <x v="93"/>
    <x v="101"/>
    <x v="0"/>
    <x v="7"/>
    <x v="7"/>
  </r>
  <r>
    <x v="83"/>
    <x v="86"/>
    <x v="0"/>
    <x v="7"/>
    <x v="7"/>
  </r>
  <r>
    <x v="94"/>
    <x v="102"/>
    <x v="0"/>
    <x v="7"/>
    <x v="7"/>
  </r>
  <r>
    <x v="95"/>
    <x v="103"/>
    <x v="0"/>
    <x v="7"/>
    <x v="7"/>
  </r>
  <r>
    <x v="96"/>
    <x v="104"/>
    <x v="0"/>
    <x v="7"/>
    <x v="7"/>
  </r>
  <r>
    <x v="97"/>
    <x v="105"/>
    <x v="4"/>
    <x v="7"/>
    <x v="7"/>
  </r>
  <r>
    <x v="98"/>
    <x v="106"/>
    <x v="4"/>
    <x v="7"/>
    <x v="7"/>
  </r>
  <r>
    <x v="35"/>
    <x v="36"/>
    <x v="4"/>
    <x v="7"/>
    <x v="7"/>
  </r>
  <r>
    <x v="3"/>
    <x v="3"/>
    <x v="17"/>
    <x v="7"/>
    <x v="7"/>
  </r>
  <r>
    <x v="15"/>
    <x v="16"/>
    <x v="2"/>
    <x v="13"/>
    <x v="13"/>
  </r>
  <r>
    <x v="43"/>
    <x v="107"/>
    <x v="2"/>
    <x v="7"/>
    <x v="7"/>
  </r>
  <r>
    <x v="99"/>
    <x v="108"/>
    <x v="2"/>
    <x v="7"/>
    <x v="7"/>
  </r>
  <r>
    <x v="22"/>
    <x v="23"/>
    <x v="2"/>
    <x v="6"/>
    <x v="6"/>
  </r>
  <r>
    <x v="6"/>
    <x v="6"/>
    <x v="8"/>
    <x v="6"/>
    <x v="124"/>
  </r>
  <r>
    <x v="9"/>
    <x v="10"/>
    <x v="4"/>
    <x v="10"/>
    <x v="99"/>
  </r>
  <r>
    <x v="10"/>
    <x v="11"/>
    <x v="4"/>
    <x v="7"/>
    <x v="7"/>
  </r>
  <r>
    <x v="12"/>
    <x v="13"/>
    <x v="4"/>
    <x v="12"/>
    <x v="102"/>
  </r>
  <r>
    <x v="13"/>
    <x v="14"/>
    <x v="4"/>
    <x v="7"/>
    <x v="7"/>
  </r>
  <r>
    <x v="14"/>
    <x v="15"/>
    <x v="4"/>
    <x v="7"/>
    <x v="7"/>
  </r>
  <r>
    <x v="59"/>
    <x v="23"/>
    <x v="2"/>
    <x v="51"/>
    <x v="66"/>
  </r>
  <r>
    <x v="16"/>
    <x v="17"/>
    <x v="0"/>
    <x v="15"/>
    <x v="16"/>
  </r>
  <r>
    <x v="17"/>
    <x v="18"/>
    <x v="0"/>
    <x v="16"/>
    <x v="17"/>
  </r>
  <r>
    <x v="6"/>
    <x v="6"/>
    <x v="2"/>
    <x v="6"/>
    <x v="6"/>
  </r>
  <r>
    <x v="24"/>
    <x v="25"/>
    <x v="2"/>
    <x v="21"/>
    <x v="26"/>
  </r>
  <r>
    <x v="0"/>
    <x v="0"/>
    <x v="2"/>
    <x v="17"/>
    <x v="42"/>
  </r>
  <r>
    <x v="78"/>
    <x v="82"/>
    <x v="20"/>
    <x v="83"/>
    <x v="125"/>
  </r>
  <r>
    <x v="37"/>
    <x v="38"/>
    <x v="20"/>
    <x v="84"/>
    <x v="126"/>
  </r>
  <r>
    <x v="100"/>
    <x v="109"/>
    <x v="10"/>
    <x v="85"/>
    <x v="89"/>
  </r>
  <r>
    <x v="101"/>
    <x v="110"/>
    <x v="21"/>
    <x v="86"/>
    <x v="127"/>
  </r>
  <r>
    <x v="8"/>
    <x v="9"/>
    <x v="2"/>
    <x v="61"/>
    <x v="89"/>
  </r>
  <r>
    <x v="59"/>
    <x v="23"/>
    <x v="2"/>
    <x v="51"/>
    <x v="66"/>
  </r>
  <r>
    <x v="59"/>
    <x v="23"/>
    <x v="2"/>
    <x v="51"/>
    <x v="66"/>
  </r>
  <r>
    <x v="51"/>
    <x v="51"/>
    <x v="4"/>
    <x v="41"/>
    <x v="54"/>
  </r>
  <r>
    <x v="13"/>
    <x v="14"/>
    <x v="4"/>
    <x v="7"/>
    <x v="7"/>
  </r>
  <r>
    <x v="52"/>
    <x v="52"/>
    <x v="4"/>
    <x v="7"/>
    <x v="7"/>
  </r>
  <r>
    <x v="14"/>
    <x v="15"/>
    <x v="4"/>
    <x v="7"/>
    <x v="7"/>
  </r>
  <r>
    <x v="15"/>
    <x v="16"/>
    <x v="4"/>
    <x v="70"/>
    <x v="123"/>
  </r>
  <r>
    <x v="24"/>
    <x v="25"/>
    <x v="2"/>
    <x v="21"/>
    <x v="26"/>
  </r>
  <r>
    <x v="3"/>
    <x v="3"/>
    <x v="22"/>
    <x v="7"/>
    <x v="7"/>
  </r>
  <r>
    <x v="102"/>
    <x v="111"/>
    <x v="2"/>
    <x v="87"/>
    <x v="128"/>
  </r>
  <r>
    <x v="24"/>
    <x v="25"/>
    <x v="0"/>
    <x v="21"/>
    <x v="129"/>
  </r>
  <r>
    <x v="59"/>
    <x v="23"/>
    <x v="2"/>
    <x v="51"/>
    <x v="66"/>
  </r>
  <r>
    <x v="27"/>
    <x v="28"/>
    <x v="2"/>
    <x v="26"/>
    <x v="34"/>
  </r>
  <r>
    <x v="7"/>
    <x v="112"/>
    <x v="2"/>
    <x v="88"/>
    <x v="130"/>
  </r>
  <r>
    <x v="84"/>
    <x v="113"/>
    <x v="0"/>
    <x v="89"/>
    <x v="131"/>
  </r>
  <r>
    <x v="103"/>
    <x v="114"/>
    <x v="16"/>
    <x v="7"/>
    <x v="7"/>
  </r>
  <r>
    <x v="19"/>
    <x v="20"/>
    <x v="4"/>
    <x v="58"/>
    <x v="132"/>
  </r>
  <r>
    <x v="39"/>
    <x v="40"/>
    <x v="21"/>
    <x v="7"/>
    <x v="7"/>
  </r>
  <r>
    <x v="21"/>
    <x v="22"/>
    <x v="16"/>
    <x v="7"/>
    <x v="7"/>
  </r>
  <r>
    <x v="13"/>
    <x v="14"/>
    <x v="0"/>
    <x v="7"/>
    <x v="7"/>
  </r>
  <r>
    <x v="24"/>
    <x v="25"/>
    <x v="2"/>
    <x v="21"/>
    <x v="26"/>
  </r>
  <r>
    <x v="19"/>
    <x v="20"/>
    <x v="2"/>
    <x v="17"/>
    <x v="42"/>
  </r>
  <r>
    <x v="17"/>
    <x v="18"/>
    <x v="2"/>
    <x v="16"/>
    <x v="31"/>
  </r>
  <r>
    <x v="26"/>
    <x v="27"/>
    <x v="4"/>
    <x v="23"/>
    <x v="133"/>
  </r>
  <r>
    <x v="104"/>
    <x v="11"/>
    <x v="4"/>
    <x v="47"/>
    <x v="134"/>
  </r>
  <r>
    <x v="14"/>
    <x v="15"/>
    <x v="4"/>
    <x v="7"/>
    <x v="7"/>
  </r>
  <r>
    <x v="9"/>
    <x v="10"/>
    <x v="2"/>
    <x v="10"/>
    <x v="75"/>
  </r>
  <r>
    <x v="15"/>
    <x v="16"/>
    <x v="2"/>
    <x v="70"/>
    <x v="105"/>
  </r>
  <r>
    <x v="11"/>
    <x v="12"/>
    <x v="0"/>
    <x v="11"/>
    <x v="29"/>
  </r>
  <r>
    <x v="12"/>
    <x v="13"/>
    <x v="2"/>
    <x v="12"/>
    <x v="135"/>
  </r>
  <r>
    <x v="13"/>
    <x v="14"/>
    <x v="2"/>
    <x v="7"/>
    <x v="7"/>
  </r>
  <r>
    <x v="14"/>
    <x v="15"/>
    <x v="2"/>
    <x v="7"/>
    <x v="7"/>
  </r>
  <r>
    <x v="23"/>
    <x v="24"/>
    <x v="2"/>
    <x v="20"/>
    <x v="24"/>
  </r>
  <r>
    <x v="17"/>
    <x v="18"/>
    <x v="7"/>
    <x v="16"/>
    <x v="136"/>
  </r>
  <r>
    <x v="9"/>
    <x v="10"/>
    <x v="2"/>
    <x v="10"/>
    <x v="75"/>
  </r>
  <r>
    <x v="61"/>
    <x v="11"/>
    <x v="2"/>
    <x v="66"/>
    <x v="95"/>
  </r>
  <r>
    <x v="11"/>
    <x v="12"/>
    <x v="0"/>
    <x v="11"/>
    <x v="29"/>
  </r>
  <r>
    <x v="12"/>
    <x v="13"/>
    <x v="2"/>
    <x v="12"/>
    <x v="135"/>
  </r>
  <r>
    <x v="13"/>
    <x v="14"/>
    <x v="2"/>
    <x v="7"/>
    <x v="7"/>
  </r>
  <r>
    <x v="14"/>
    <x v="15"/>
    <x v="2"/>
    <x v="7"/>
    <x v="7"/>
  </r>
  <r>
    <x v="22"/>
    <x v="23"/>
    <x v="0"/>
    <x v="6"/>
    <x v="23"/>
  </r>
</pivotCacheRecords>
</file>

<file path=xl/pivotCache/pivotCacheRecords43.xml><?xml version="1.0" encoding="utf-8"?>
<pivotCacheRecords xmlns:r="http://schemas.openxmlformats.org/officeDocument/2006/relationships" xmlns="http://schemas.openxmlformats.org/spreadsheetml/2006/main" count="385">
  <r>
    <x v="0"/>
    <x v="0"/>
    <x v="0"/>
    <x v="0"/>
    <x v="0"/>
    <x v="0"/>
    <x v="0"/>
    <x v="0"/>
  </r>
  <r>
    <x v="0"/>
    <x v="0"/>
    <x v="0"/>
    <x v="1"/>
    <x v="0"/>
    <x v="0"/>
    <x v="1"/>
    <x v="1"/>
  </r>
  <r>
    <x v="0"/>
    <x v="0"/>
    <x v="0"/>
    <x v="2"/>
    <x v="0"/>
    <x v="1"/>
    <x v="2"/>
    <x v="2"/>
  </r>
  <r>
    <x v="1"/>
    <x v="1"/>
    <x v="1"/>
    <x v="3"/>
    <x v="1"/>
    <x v="2"/>
    <x v="3"/>
    <x v="3"/>
  </r>
  <r>
    <x v="2"/>
    <x v="2"/>
    <x v="2"/>
    <x v="4"/>
    <x v="2"/>
    <x v="2"/>
    <x v="4"/>
    <x v="4"/>
  </r>
  <r>
    <x v="3"/>
    <x v="3"/>
    <x v="3"/>
    <x v="5"/>
    <x v="3"/>
    <x v="3"/>
    <x v="5"/>
    <x v="5"/>
  </r>
  <r>
    <x v="3"/>
    <x v="3"/>
    <x v="3"/>
    <x v="6"/>
    <x v="4"/>
    <x v="2"/>
    <x v="6"/>
    <x v="6"/>
  </r>
  <r>
    <x v="4"/>
    <x v="4"/>
    <x v="4"/>
    <x v="7"/>
    <x v="5"/>
    <x v="2"/>
    <x v="7"/>
    <x v="7"/>
  </r>
  <r>
    <x v="5"/>
    <x v="5"/>
    <x v="5"/>
    <x v="8"/>
    <x v="6"/>
    <x v="0"/>
    <x v="8"/>
    <x v="8"/>
  </r>
  <r>
    <x v="5"/>
    <x v="5"/>
    <x v="5"/>
    <x v="9"/>
    <x v="7"/>
    <x v="0"/>
    <x v="9"/>
    <x v="9"/>
  </r>
  <r>
    <x v="5"/>
    <x v="5"/>
    <x v="5"/>
    <x v="10"/>
    <x v="8"/>
    <x v="4"/>
    <x v="10"/>
    <x v="10"/>
  </r>
  <r>
    <x v="5"/>
    <x v="5"/>
    <x v="5"/>
    <x v="11"/>
    <x v="9"/>
    <x v="0"/>
    <x v="11"/>
    <x v="11"/>
  </r>
  <r>
    <x v="5"/>
    <x v="5"/>
    <x v="5"/>
    <x v="12"/>
    <x v="10"/>
    <x v="0"/>
    <x v="12"/>
    <x v="12"/>
  </r>
  <r>
    <x v="5"/>
    <x v="5"/>
    <x v="5"/>
    <x v="13"/>
    <x v="11"/>
    <x v="0"/>
    <x v="12"/>
    <x v="12"/>
  </r>
  <r>
    <x v="6"/>
    <x v="6"/>
    <x v="6"/>
    <x v="14"/>
    <x v="12"/>
    <x v="2"/>
    <x v="13"/>
    <x v="13"/>
  </r>
  <r>
    <x v="7"/>
    <x v="7"/>
    <x v="7"/>
    <x v="15"/>
    <x v="0"/>
    <x v="0"/>
    <x v="2"/>
    <x v="14"/>
  </r>
  <r>
    <x v="7"/>
    <x v="7"/>
    <x v="7"/>
    <x v="16"/>
    <x v="13"/>
    <x v="0"/>
    <x v="14"/>
    <x v="15"/>
  </r>
  <r>
    <x v="7"/>
    <x v="7"/>
    <x v="7"/>
    <x v="17"/>
    <x v="14"/>
    <x v="0"/>
    <x v="12"/>
    <x v="12"/>
  </r>
  <r>
    <x v="8"/>
    <x v="8"/>
    <x v="8"/>
    <x v="18"/>
    <x v="15"/>
    <x v="0"/>
    <x v="15"/>
    <x v="16"/>
  </r>
  <r>
    <x v="9"/>
    <x v="9"/>
    <x v="9"/>
    <x v="19"/>
    <x v="16"/>
    <x v="2"/>
    <x v="16"/>
    <x v="17"/>
  </r>
  <r>
    <x v="10"/>
    <x v="10"/>
    <x v="10"/>
    <x v="20"/>
    <x v="17"/>
    <x v="0"/>
    <x v="17"/>
    <x v="18"/>
  </r>
  <r>
    <x v="10"/>
    <x v="10"/>
    <x v="10"/>
    <x v="12"/>
    <x v="10"/>
    <x v="0"/>
    <x v="12"/>
    <x v="12"/>
  </r>
  <r>
    <x v="10"/>
    <x v="10"/>
    <x v="10"/>
    <x v="21"/>
    <x v="18"/>
    <x v="0"/>
    <x v="12"/>
    <x v="12"/>
  </r>
  <r>
    <x v="10"/>
    <x v="10"/>
    <x v="10"/>
    <x v="13"/>
    <x v="11"/>
    <x v="0"/>
    <x v="12"/>
    <x v="12"/>
  </r>
  <r>
    <x v="10"/>
    <x v="10"/>
    <x v="10"/>
    <x v="0"/>
    <x v="0"/>
    <x v="0"/>
    <x v="18"/>
    <x v="19"/>
  </r>
  <r>
    <x v="10"/>
    <x v="10"/>
    <x v="10"/>
    <x v="22"/>
    <x v="0"/>
    <x v="0"/>
    <x v="19"/>
    <x v="20"/>
  </r>
  <r>
    <x v="11"/>
    <x v="11"/>
    <x v="11"/>
    <x v="23"/>
    <x v="19"/>
    <x v="0"/>
    <x v="20"/>
    <x v="21"/>
  </r>
  <r>
    <x v="12"/>
    <x v="12"/>
    <x v="12"/>
    <x v="15"/>
    <x v="0"/>
    <x v="2"/>
    <x v="2"/>
    <x v="22"/>
  </r>
  <r>
    <x v="12"/>
    <x v="12"/>
    <x v="12"/>
    <x v="13"/>
    <x v="11"/>
    <x v="2"/>
    <x v="21"/>
    <x v="23"/>
  </r>
  <r>
    <x v="13"/>
    <x v="13"/>
    <x v="13"/>
    <x v="24"/>
    <x v="20"/>
    <x v="0"/>
    <x v="22"/>
    <x v="24"/>
  </r>
  <r>
    <x v="13"/>
    <x v="13"/>
    <x v="13"/>
    <x v="25"/>
    <x v="21"/>
    <x v="4"/>
    <x v="12"/>
    <x v="12"/>
  </r>
  <r>
    <x v="13"/>
    <x v="13"/>
    <x v="13"/>
    <x v="26"/>
    <x v="22"/>
    <x v="4"/>
    <x v="12"/>
    <x v="12"/>
  </r>
  <r>
    <x v="13"/>
    <x v="13"/>
    <x v="13"/>
    <x v="27"/>
    <x v="23"/>
    <x v="4"/>
    <x v="23"/>
    <x v="25"/>
  </r>
  <r>
    <x v="13"/>
    <x v="13"/>
    <x v="13"/>
    <x v="6"/>
    <x v="4"/>
    <x v="2"/>
    <x v="24"/>
    <x v="26"/>
  </r>
  <r>
    <x v="14"/>
    <x v="14"/>
    <x v="13"/>
    <x v="28"/>
    <x v="17"/>
    <x v="5"/>
    <x v="25"/>
    <x v="27"/>
  </r>
  <r>
    <x v="14"/>
    <x v="14"/>
    <x v="13"/>
    <x v="12"/>
    <x v="10"/>
    <x v="5"/>
    <x v="12"/>
    <x v="12"/>
  </r>
  <r>
    <x v="14"/>
    <x v="14"/>
    <x v="13"/>
    <x v="21"/>
    <x v="18"/>
    <x v="5"/>
    <x v="12"/>
    <x v="12"/>
  </r>
  <r>
    <x v="14"/>
    <x v="14"/>
    <x v="13"/>
    <x v="29"/>
    <x v="0"/>
    <x v="5"/>
    <x v="12"/>
    <x v="12"/>
  </r>
  <r>
    <x v="14"/>
    <x v="14"/>
    <x v="13"/>
    <x v="13"/>
    <x v="11"/>
    <x v="5"/>
    <x v="12"/>
    <x v="12"/>
  </r>
  <r>
    <x v="15"/>
    <x v="15"/>
    <x v="14"/>
    <x v="4"/>
    <x v="2"/>
    <x v="2"/>
    <x v="4"/>
    <x v="4"/>
  </r>
  <r>
    <x v="16"/>
    <x v="16"/>
    <x v="15"/>
    <x v="30"/>
    <x v="24"/>
    <x v="2"/>
    <x v="26"/>
    <x v="28"/>
  </r>
  <r>
    <x v="17"/>
    <x v="17"/>
    <x v="16"/>
    <x v="30"/>
    <x v="24"/>
    <x v="0"/>
    <x v="26"/>
    <x v="29"/>
  </r>
  <r>
    <x v="18"/>
    <x v="18"/>
    <x v="17"/>
    <x v="8"/>
    <x v="6"/>
    <x v="2"/>
    <x v="8"/>
    <x v="30"/>
  </r>
  <r>
    <x v="18"/>
    <x v="18"/>
    <x v="17"/>
    <x v="29"/>
    <x v="0"/>
    <x v="2"/>
    <x v="12"/>
    <x v="12"/>
  </r>
  <r>
    <x v="18"/>
    <x v="18"/>
    <x v="17"/>
    <x v="11"/>
    <x v="9"/>
    <x v="2"/>
    <x v="11"/>
    <x v="31"/>
  </r>
  <r>
    <x v="18"/>
    <x v="18"/>
    <x v="17"/>
    <x v="12"/>
    <x v="10"/>
    <x v="2"/>
    <x v="12"/>
    <x v="12"/>
  </r>
  <r>
    <x v="18"/>
    <x v="18"/>
    <x v="17"/>
    <x v="13"/>
    <x v="11"/>
    <x v="2"/>
    <x v="12"/>
    <x v="12"/>
  </r>
  <r>
    <x v="19"/>
    <x v="19"/>
    <x v="18"/>
    <x v="4"/>
    <x v="2"/>
    <x v="2"/>
    <x v="4"/>
    <x v="4"/>
  </r>
  <r>
    <x v="20"/>
    <x v="20"/>
    <x v="19"/>
    <x v="1"/>
    <x v="0"/>
    <x v="2"/>
    <x v="1"/>
    <x v="32"/>
  </r>
  <r>
    <x v="21"/>
    <x v="21"/>
    <x v="20"/>
    <x v="31"/>
    <x v="25"/>
    <x v="2"/>
    <x v="27"/>
    <x v="33"/>
  </r>
  <r>
    <x v="21"/>
    <x v="21"/>
    <x v="20"/>
    <x v="32"/>
    <x v="26"/>
    <x v="2"/>
    <x v="26"/>
    <x v="28"/>
  </r>
  <r>
    <x v="21"/>
    <x v="21"/>
    <x v="20"/>
    <x v="31"/>
    <x v="25"/>
    <x v="2"/>
    <x v="27"/>
    <x v="33"/>
  </r>
  <r>
    <x v="22"/>
    <x v="22"/>
    <x v="21"/>
    <x v="27"/>
    <x v="27"/>
    <x v="4"/>
    <x v="12"/>
    <x v="12"/>
  </r>
  <r>
    <x v="22"/>
    <x v="22"/>
    <x v="21"/>
    <x v="26"/>
    <x v="22"/>
    <x v="4"/>
    <x v="12"/>
    <x v="12"/>
  </r>
  <r>
    <x v="22"/>
    <x v="22"/>
    <x v="21"/>
    <x v="25"/>
    <x v="21"/>
    <x v="4"/>
    <x v="12"/>
    <x v="12"/>
  </r>
  <r>
    <x v="23"/>
    <x v="23"/>
    <x v="21"/>
    <x v="4"/>
    <x v="2"/>
    <x v="2"/>
    <x v="4"/>
    <x v="4"/>
  </r>
  <r>
    <x v="23"/>
    <x v="23"/>
    <x v="21"/>
    <x v="33"/>
    <x v="28"/>
    <x v="2"/>
    <x v="12"/>
    <x v="12"/>
  </r>
  <r>
    <x v="23"/>
    <x v="23"/>
    <x v="21"/>
    <x v="34"/>
    <x v="29"/>
    <x v="2"/>
    <x v="28"/>
    <x v="34"/>
  </r>
  <r>
    <x v="23"/>
    <x v="23"/>
    <x v="21"/>
    <x v="35"/>
    <x v="30"/>
    <x v="2"/>
    <x v="29"/>
    <x v="35"/>
  </r>
  <r>
    <x v="23"/>
    <x v="23"/>
    <x v="21"/>
    <x v="36"/>
    <x v="31"/>
    <x v="2"/>
    <x v="2"/>
    <x v="22"/>
  </r>
  <r>
    <x v="23"/>
    <x v="23"/>
    <x v="21"/>
    <x v="30"/>
    <x v="24"/>
    <x v="0"/>
    <x v="26"/>
    <x v="29"/>
  </r>
  <r>
    <x v="24"/>
    <x v="24"/>
    <x v="21"/>
    <x v="37"/>
    <x v="32"/>
    <x v="2"/>
    <x v="12"/>
    <x v="12"/>
  </r>
  <r>
    <x v="24"/>
    <x v="24"/>
    <x v="21"/>
    <x v="38"/>
    <x v="33"/>
    <x v="0"/>
    <x v="30"/>
    <x v="36"/>
  </r>
  <r>
    <x v="24"/>
    <x v="24"/>
    <x v="21"/>
    <x v="39"/>
    <x v="34"/>
    <x v="6"/>
    <x v="31"/>
    <x v="37"/>
  </r>
  <r>
    <x v="24"/>
    <x v="24"/>
    <x v="21"/>
    <x v="6"/>
    <x v="4"/>
    <x v="2"/>
    <x v="32"/>
    <x v="38"/>
  </r>
  <r>
    <x v="25"/>
    <x v="25"/>
    <x v="22"/>
    <x v="40"/>
    <x v="35"/>
    <x v="2"/>
    <x v="33"/>
    <x v="39"/>
  </r>
  <r>
    <x v="26"/>
    <x v="26"/>
    <x v="23"/>
    <x v="41"/>
    <x v="2"/>
    <x v="2"/>
    <x v="34"/>
    <x v="40"/>
  </r>
  <r>
    <x v="27"/>
    <x v="27"/>
    <x v="24"/>
    <x v="41"/>
    <x v="2"/>
    <x v="2"/>
    <x v="35"/>
    <x v="41"/>
  </r>
  <r>
    <x v="28"/>
    <x v="28"/>
    <x v="25"/>
    <x v="8"/>
    <x v="6"/>
    <x v="6"/>
    <x v="8"/>
    <x v="42"/>
  </r>
  <r>
    <x v="28"/>
    <x v="28"/>
    <x v="25"/>
    <x v="9"/>
    <x v="7"/>
    <x v="6"/>
    <x v="9"/>
    <x v="43"/>
  </r>
  <r>
    <x v="28"/>
    <x v="28"/>
    <x v="25"/>
    <x v="12"/>
    <x v="10"/>
    <x v="6"/>
    <x v="12"/>
    <x v="12"/>
  </r>
  <r>
    <x v="28"/>
    <x v="28"/>
    <x v="25"/>
    <x v="13"/>
    <x v="11"/>
    <x v="6"/>
    <x v="12"/>
    <x v="12"/>
  </r>
  <r>
    <x v="28"/>
    <x v="28"/>
    <x v="25"/>
    <x v="14"/>
    <x v="12"/>
    <x v="2"/>
    <x v="13"/>
    <x v="13"/>
  </r>
  <r>
    <x v="28"/>
    <x v="28"/>
    <x v="25"/>
    <x v="35"/>
    <x v="30"/>
    <x v="6"/>
    <x v="29"/>
    <x v="44"/>
  </r>
  <r>
    <x v="28"/>
    <x v="28"/>
    <x v="25"/>
    <x v="31"/>
    <x v="25"/>
    <x v="6"/>
    <x v="27"/>
    <x v="45"/>
  </r>
  <r>
    <x v="28"/>
    <x v="28"/>
    <x v="25"/>
    <x v="42"/>
    <x v="36"/>
    <x v="6"/>
    <x v="26"/>
    <x v="46"/>
  </r>
  <r>
    <x v="28"/>
    <x v="28"/>
    <x v="25"/>
    <x v="23"/>
    <x v="19"/>
    <x v="4"/>
    <x v="20"/>
    <x v="47"/>
  </r>
  <r>
    <x v="28"/>
    <x v="28"/>
    <x v="25"/>
    <x v="43"/>
    <x v="37"/>
    <x v="6"/>
    <x v="36"/>
    <x v="48"/>
  </r>
  <r>
    <x v="29"/>
    <x v="29"/>
    <x v="26"/>
    <x v="44"/>
    <x v="0"/>
    <x v="0"/>
    <x v="37"/>
    <x v="49"/>
  </r>
  <r>
    <x v="29"/>
    <x v="29"/>
    <x v="26"/>
    <x v="13"/>
    <x v="11"/>
    <x v="0"/>
    <x v="21"/>
    <x v="26"/>
  </r>
  <r>
    <x v="29"/>
    <x v="29"/>
    <x v="26"/>
    <x v="45"/>
    <x v="38"/>
    <x v="0"/>
    <x v="38"/>
    <x v="50"/>
  </r>
  <r>
    <x v="29"/>
    <x v="29"/>
    <x v="26"/>
    <x v="34"/>
    <x v="29"/>
    <x v="0"/>
    <x v="28"/>
    <x v="51"/>
  </r>
  <r>
    <x v="30"/>
    <x v="30"/>
    <x v="27"/>
    <x v="46"/>
    <x v="0"/>
    <x v="2"/>
    <x v="39"/>
    <x v="52"/>
  </r>
  <r>
    <x v="31"/>
    <x v="31"/>
    <x v="28"/>
    <x v="41"/>
    <x v="2"/>
    <x v="2"/>
    <x v="40"/>
    <x v="53"/>
  </r>
  <r>
    <x v="31"/>
    <x v="31"/>
    <x v="28"/>
    <x v="47"/>
    <x v="0"/>
    <x v="0"/>
    <x v="41"/>
    <x v="54"/>
  </r>
  <r>
    <x v="31"/>
    <x v="31"/>
    <x v="28"/>
    <x v="48"/>
    <x v="39"/>
    <x v="2"/>
    <x v="12"/>
    <x v="12"/>
  </r>
  <r>
    <x v="32"/>
    <x v="32"/>
    <x v="29"/>
    <x v="19"/>
    <x v="16"/>
    <x v="2"/>
    <x v="16"/>
    <x v="17"/>
  </r>
  <r>
    <x v="33"/>
    <x v="33"/>
    <x v="30"/>
    <x v="40"/>
    <x v="35"/>
    <x v="2"/>
    <x v="33"/>
    <x v="39"/>
  </r>
  <r>
    <x v="34"/>
    <x v="34"/>
    <x v="31"/>
    <x v="49"/>
    <x v="40"/>
    <x v="0"/>
    <x v="17"/>
    <x v="18"/>
  </r>
  <r>
    <x v="34"/>
    <x v="34"/>
    <x v="31"/>
    <x v="29"/>
    <x v="41"/>
    <x v="0"/>
    <x v="12"/>
    <x v="12"/>
  </r>
  <r>
    <x v="34"/>
    <x v="34"/>
    <x v="31"/>
    <x v="21"/>
    <x v="18"/>
    <x v="0"/>
    <x v="12"/>
    <x v="12"/>
  </r>
  <r>
    <x v="34"/>
    <x v="34"/>
    <x v="31"/>
    <x v="50"/>
    <x v="42"/>
    <x v="0"/>
    <x v="12"/>
    <x v="12"/>
  </r>
  <r>
    <x v="34"/>
    <x v="34"/>
    <x v="31"/>
    <x v="12"/>
    <x v="10"/>
    <x v="0"/>
    <x v="12"/>
    <x v="12"/>
  </r>
  <r>
    <x v="34"/>
    <x v="34"/>
    <x v="31"/>
    <x v="6"/>
    <x v="4"/>
    <x v="2"/>
    <x v="42"/>
    <x v="55"/>
  </r>
  <r>
    <x v="35"/>
    <x v="34"/>
    <x v="31"/>
    <x v="21"/>
    <x v="18"/>
    <x v="0"/>
    <x v="12"/>
    <x v="12"/>
  </r>
  <r>
    <x v="35"/>
    <x v="34"/>
    <x v="31"/>
    <x v="12"/>
    <x v="10"/>
    <x v="0"/>
    <x v="12"/>
    <x v="12"/>
  </r>
  <r>
    <x v="35"/>
    <x v="34"/>
    <x v="31"/>
    <x v="28"/>
    <x v="17"/>
    <x v="0"/>
    <x v="17"/>
    <x v="18"/>
  </r>
  <r>
    <x v="35"/>
    <x v="34"/>
    <x v="31"/>
    <x v="9"/>
    <x v="43"/>
    <x v="0"/>
    <x v="9"/>
    <x v="9"/>
  </r>
  <r>
    <x v="35"/>
    <x v="34"/>
    <x v="31"/>
    <x v="13"/>
    <x v="11"/>
    <x v="0"/>
    <x v="12"/>
    <x v="12"/>
  </r>
  <r>
    <x v="36"/>
    <x v="35"/>
    <x v="31"/>
    <x v="51"/>
    <x v="44"/>
    <x v="6"/>
    <x v="43"/>
    <x v="56"/>
  </r>
  <r>
    <x v="36"/>
    <x v="35"/>
    <x v="31"/>
    <x v="52"/>
    <x v="45"/>
    <x v="6"/>
    <x v="44"/>
    <x v="57"/>
  </r>
  <r>
    <x v="36"/>
    <x v="35"/>
    <x v="31"/>
    <x v="53"/>
    <x v="46"/>
    <x v="6"/>
    <x v="45"/>
    <x v="58"/>
  </r>
  <r>
    <x v="36"/>
    <x v="35"/>
    <x v="31"/>
    <x v="54"/>
    <x v="47"/>
    <x v="6"/>
    <x v="46"/>
    <x v="59"/>
  </r>
  <r>
    <x v="36"/>
    <x v="35"/>
    <x v="31"/>
    <x v="6"/>
    <x v="4"/>
    <x v="2"/>
    <x v="47"/>
    <x v="60"/>
  </r>
  <r>
    <x v="37"/>
    <x v="36"/>
    <x v="32"/>
    <x v="4"/>
    <x v="48"/>
    <x v="7"/>
    <x v="48"/>
    <x v="61"/>
  </r>
  <r>
    <x v="37"/>
    <x v="36"/>
    <x v="32"/>
    <x v="55"/>
    <x v="49"/>
    <x v="0"/>
    <x v="49"/>
    <x v="62"/>
  </r>
  <r>
    <x v="38"/>
    <x v="37"/>
    <x v="33"/>
    <x v="19"/>
    <x v="16"/>
    <x v="2"/>
    <x v="16"/>
    <x v="17"/>
  </r>
  <r>
    <x v="39"/>
    <x v="38"/>
    <x v="34"/>
    <x v="32"/>
    <x v="26"/>
    <x v="2"/>
    <x v="26"/>
    <x v="28"/>
  </r>
  <r>
    <x v="39"/>
    <x v="38"/>
    <x v="34"/>
    <x v="31"/>
    <x v="25"/>
    <x v="2"/>
    <x v="27"/>
    <x v="33"/>
  </r>
  <r>
    <x v="39"/>
    <x v="38"/>
    <x v="34"/>
    <x v="23"/>
    <x v="19"/>
    <x v="4"/>
    <x v="20"/>
    <x v="47"/>
  </r>
  <r>
    <x v="40"/>
    <x v="39"/>
    <x v="35"/>
    <x v="14"/>
    <x v="12"/>
    <x v="2"/>
    <x v="13"/>
    <x v="13"/>
  </r>
  <r>
    <x v="41"/>
    <x v="40"/>
    <x v="36"/>
    <x v="28"/>
    <x v="17"/>
    <x v="2"/>
    <x v="17"/>
    <x v="63"/>
  </r>
  <r>
    <x v="41"/>
    <x v="40"/>
    <x v="36"/>
    <x v="12"/>
    <x v="10"/>
    <x v="2"/>
    <x v="12"/>
    <x v="12"/>
  </r>
  <r>
    <x v="41"/>
    <x v="40"/>
    <x v="36"/>
    <x v="21"/>
    <x v="18"/>
    <x v="2"/>
    <x v="12"/>
    <x v="12"/>
  </r>
  <r>
    <x v="41"/>
    <x v="40"/>
    <x v="36"/>
    <x v="13"/>
    <x v="11"/>
    <x v="2"/>
    <x v="12"/>
    <x v="12"/>
  </r>
  <r>
    <x v="41"/>
    <x v="40"/>
    <x v="36"/>
    <x v="29"/>
    <x v="0"/>
    <x v="2"/>
    <x v="12"/>
    <x v="12"/>
  </r>
  <r>
    <x v="41"/>
    <x v="40"/>
    <x v="36"/>
    <x v="2"/>
    <x v="0"/>
    <x v="2"/>
    <x v="2"/>
    <x v="22"/>
  </r>
  <r>
    <x v="41"/>
    <x v="40"/>
    <x v="36"/>
    <x v="28"/>
    <x v="17"/>
    <x v="2"/>
    <x v="17"/>
    <x v="63"/>
  </r>
  <r>
    <x v="41"/>
    <x v="40"/>
    <x v="36"/>
    <x v="12"/>
    <x v="10"/>
    <x v="2"/>
    <x v="12"/>
    <x v="12"/>
  </r>
  <r>
    <x v="41"/>
    <x v="40"/>
    <x v="36"/>
    <x v="21"/>
    <x v="18"/>
    <x v="2"/>
    <x v="12"/>
    <x v="12"/>
  </r>
  <r>
    <x v="41"/>
    <x v="40"/>
    <x v="36"/>
    <x v="13"/>
    <x v="11"/>
    <x v="2"/>
    <x v="12"/>
    <x v="12"/>
  </r>
  <r>
    <x v="41"/>
    <x v="40"/>
    <x v="36"/>
    <x v="29"/>
    <x v="0"/>
    <x v="2"/>
    <x v="12"/>
    <x v="12"/>
  </r>
  <r>
    <x v="41"/>
    <x v="40"/>
    <x v="36"/>
    <x v="14"/>
    <x v="12"/>
    <x v="2"/>
    <x v="13"/>
    <x v="13"/>
  </r>
  <r>
    <x v="42"/>
    <x v="41"/>
    <x v="37"/>
    <x v="4"/>
    <x v="2"/>
    <x v="0"/>
    <x v="4"/>
    <x v="64"/>
  </r>
  <r>
    <x v="43"/>
    <x v="13"/>
    <x v="38"/>
    <x v="56"/>
    <x v="50"/>
    <x v="2"/>
    <x v="12"/>
    <x v="12"/>
  </r>
  <r>
    <x v="43"/>
    <x v="13"/>
    <x v="38"/>
    <x v="57"/>
    <x v="51"/>
    <x v="2"/>
    <x v="12"/>
    <x v="12"/>
  </r>
  <r>
    <x v="43"/>
    <x v="13"/>
    <x v="38"/>
    <x v="58"/>
    <x v="52"/>
    <x v="2"/>
    <x v="12"/>
    <x v="12"/>
  </r>
  <r>
    <x v="43"/>
    <x v="13"/>
    <x v="38"/>
    <x v="59"/>
    <x v="53"/>
    <x v="7"/>
    <x v="12"/>
    <x v="12"/>
  </r>
  <r>
    <x v="44"/>
    <x v="42"/>
    <x v="38"/>
    <x v="27"/>
    <x v="54"/>
    <x v="4"/>
    <x v="12"/>
    <x v="12"/>
  </r>
  <r>
    <x v="45"/>
    <x v="42"/>
    <x v="38"/>
    <x v="27"/>
    <x v="54"/>
    <x v="0"/>
    <x v="12"/>
    <x v="12"/>
  </r>
  <r>
    <x v="45"/>
    <x v="42"/>
    <x v="38"/>
    <x v="26"/>
    <x v="22"/>
    <x v="0"/>
    <x v="12"/>
    <x v="12"/>
  </r>
  <r>
    <x v="45"/>
    <x v="42"/>
    <x v="38"/>
    <x v="25"/>
    <x v="21"/>
    <x v="0"/>
    <x v="12"/>
    <x v="12"/>
  </r>
  <r>
    <x v="46"/>
    <x v="42"/>
    <x v="38"/>
    <x v="60"/>
    <x v="55"/>
    <x v="2"/>
    <x v="12"/>
    <x v="12"/>
  </r>
  <r>
    <x v="46"/>
    <x v="42"/>
    <x v="38"/>
    <x v="61"/>
    <x v="56"/>
    <x v="2"/>
    <x v="50"/>
    <x v="65"/>
  </r>
  <r>
    <x v="46"/>
    <x v="42"/>
    <x v="38"/>
    <x v="6"/>
    <x v="4"/>
    <x v="2"/>
    <x v="21"/>
    <x v="23"/>
  </r>
  <r>
    <x v="47"/>
    <x v="43"/>
    <x v="39"/>
    <x v="0"/>
    <x v="0"/>
    <x v="2"/>
    <x v="0"/>
    <x v="66"/>
  </r>
  <r>
    <x v="47"/>
    <x v="43"/>
    <x v="39"/>
    <x v="1"/>
    <x v="0"/>
    <x v="2"/>
    <x v="1"/>
    <x v="32"/>
  </r>
  <r>
    <x v="47"/>
    <x v="43"/>
    <x v="39"/>
    <x v="16"/>
    <x v="13"/>
    <x v="0"/>
    <x v="14"/>
    <x v="15"/>
  </r>
  <r>
    <x v="47"/>
    <x v="43"/>
    <x v="39"/>
    <x v="17"/>
    <x v="14"/>
    <x v="0"/>
    <x v="12"/>
    <x v="12"/>
  </r>
  <r>
    <x v="47"/>
    <x v="43"/>
    <x v="39"/>
    <x v="32"/>
    <x v="26"/>
    <x v="2"/>
    <x v="26"/>
    <x v="28"/>
  </r>
  <r>
    <x v="47"/>
    <x v="43"/>
    <x v="39"/>
    <x v="31"/>
    <x v="25"/>
    <x v="2"/>
    <x v="27"/>
    <x v="33"/>
  </r>
  <r>
    <x v="48"/>
    <x v="44"/>
    <x v="40"/>
    <x v="19"/>
    <x v="16"/>
    <x v="2"/>
    <x v="51"/>
    <x v="67"/>
  </r>
  <r>
    <x v="49"/>
    <x v="30"/>
    <x v="41"/>
    <x v="62"/>
    <x v="57"/>
    <x v="4"/>
    <x v="28"/>
    <x v="68"/>
  </r>
  <r>
    <x v="49"/>
    <x v="30"/>
    <x v="41"/>
    <x v="23"/>
    <x v="19"/>
    <x v="4"/>
    <x v="20"/>
    <x v="47"/>
  </r>
  <r>
    <x v="49"/>
    <x v="30"/>
    <x v="41"/>
    <x v="34"/>
    <x v="29"/>
    <x v="2"/>
    <x v="28"/>
    <x v="34"/>
  </r>
  <r>
    <x v="49"/>
    <x v="30"/>
    <x v="41"/>
    <x v="53"/>
    <x v="46"/>
    <x v="2"/>
    <x v="52"/>
    <x v="69"/>
  </r>
  <r>
    <x v="49"/>
    <x v="30"/>
    <x v="41"/>
    <x v="52"/>
    <x v="45"/>
    <x v="2"/>
    <x v="33"/>
    <x v="39"/>
  </r>
  <r>
    <x v="50"/>
    <x v="45"/>
    <x v="41"/>
    <x v="14"/>
    <x v="12"/>
    <x v="2"/>
    <x v="40"/>
    <x v="53"/>
  </r>
  <r>
    <x v="50"/>
    <x v="45"/>
    <x v="41"/>
    <x v="6"/>
    <x v="4"/>
    <x v="2"/>
    <x v="21"/>
    <x v="23"/>
  </r>
  <r>
    <x v="51"/>
    <x v="22"/>
    <x v="41"/>
    <x v="43"/>
    <x v="37"/>
    <x v="8"/>
    <x v="12"/>
    <x v="12"/>
  </r>
  <r>
    <x v="52"/>
    <x v="46"/>
    <x v="41"/>
    <x v="14"/>
    <x v="12"/>
    <x v="5"/>
    <x v="40"/>
    <x v="70"/>
  </r>
  <r>
    <x v="52"/>
    <x v="46"/>
    <x v="41"/>
    <x v="6"/>
    <x v="4"/>
    <x v="2"/>
    <x v="53"/>
    <x v="71"/>
  </r>
  <r>
    <x v="53"/>
    <x v="47"/>
    <x v="42"/>
    <x v="32"/>
    <x v="26"/>
    <x v="2"/>
    <x v="26"/>
    <x v="28"/>
  </r>
  <r>
    <x v="53"/>
    <x v="47"/>
    <x v="42"/>
    <x v="31"/>
    <x v="25"/>
    <x v="2"/>
    <x v="27"/>
    <x v="33"/>
  </r>
  <r>
    <x v="54"/>
    <x v="48"/>
    <x v="43"/>
    <x v="41"/>
    <x v="2"/>
    <x v="2"/>
    <x v="13"/>
    <x v="13"/>
  </r>
  <r>
    <x v="55"/>
    <x v="49"/>
    <x v="44"/>
    <x v="9"/>
    <x v="7"/>
    <x v="2"/>
    <x v="39"/>
    <x v="52"/>
  </r>
  <r>
    <x v="55"/>
    <x v="49"/>
    <x v="44"/>
    <x v="13"/>
    <x v="11"/>
    <x v="2"/>
    <x v="21"/>
    <x v="23"/>
  </r>
  <r>
    <x v="56"/>
    <x v="50"/>
    <x v="45"/>
    <x v="14"/>
    <x v="12"/>
    <x v="2"/>
    <x v="13"/>
    <x v="13"/>
  </r>
  <r>
    <x v="57"/>
    <x v="51"/>
    <x v="46"/>
    <x v="19"/>
    <x v="16"/>
    <x v="2"/>
    <x v="16"/>
    <x v="17"/>
  </r>
  <r>
    <x v="58"/>
    <x v="52"/>
    <x v="47"/>
    <x v="1"/>
    <x v="0"/>
    <x v="0"/>
    <x v="1"/>
    <x v="1"/>
  </r>
  <r>
    <x v="59"/>
    <x v="53"/>
    <x v="48"/>
    <x v="51"/>
    <x v="44"/>
    <x v="0"/>
    <x v="54"/>
    <x v="72"/>
  </r>
  <r>
    <x v="59"/>
    <x v="53"/>
    <x v="48"/>
    <x v="63"/>
    <x v="58"/>
    <x v="5"/>
    <x v="55"/>
    <x v="73"/>
  </r>
  <r>
    <x v="60"/>
    <x v="54"/>
    <x v="49"/>
    <x v="19"/>
    <x v="16"/>
    <x v="2"/>
    <x v="16"/>
    <x v="17"/>
  </r>
  <r>
    <x v="60"/>
    <x v="54"/>
    <x v="49"/>
    <x v="30"/>
    <x v="24"/>
    <x v="2"/>
    <x v="26"/>
    <x v="28"/>
  </r>
  <r>
    <x v="60"/>
    <x v="54"/>
    <x v="49"/>
    <x v="31"/>
    <x v="25"/>
    <x v="2"/>
    <x v="27"/>
    <x v="33"/>
  </r>
  <r>
    <x v="60"/>
    <x v="54"/>
    <x v="49"/>
    <x v="43"/>
    <x v="37"/>
    <x v="6"/>
    <x v="36"/>
    <x v="48"/>
  </r>
  <r>
    <x v="61"/>
    <x v="55"/>
    <x v="50"/>
    <x v="8"/>
    <x v="6"/>
    <x v="4"/>
    <x v="56"/>
    <x v="74"/>
  </r>
  <r>
    <x v="61"/>
    <x v="55"/>
    <x v="50"/>
    <x v="9"/>
    <x v="7"/>
    <x v="4"/>
    <x v="57"/>
    <x v="65"/>
  </r>
  <r>
    <x v="61"/>
    <x v="55"/>
    <x v="50"/>
    <x v="12"/>
    <x v="10"/>
    <x v="4"/>
    <x v="12"/>
    <x v="12"/>
  </r>
  <r>
    <x v="61"/>
    <x v="55"/>
    <x v="50"/>
    <x v="23"/>
    <x v="19"/>
    <x v="4"/>
    <x v="12"/>
    <x v="12"/>
  </r>
  <r>
    <x v="61"/>
    <x v="55"/>
    <x v="50"/>
    <x v="31"/>
    <x v="25"/>
    <x v="9"/>
    <x v="12"/>
    <x v="12"/>
  </r>
  <r>
    <x v="61"/>
    <x v="55"/>
    <x v="50"/>
    <x v="18"/>
    <x v="15"/>
    <x v="2"/>
    <x v="58"/>
    <x v="75"/>
  </r>
  <r>
    <x v="61"/>
    <x v="55"/>
    <x v="50"/>
    <x v="6"/>
    <x v="4"/>
    <x v="2"/>
    <x v="59"/>
    <x v="76"/>
  </r>
  <r>
    <x v="62"/>
    <x v="18"/>
    <x v="51"/>
    <x v="8"/>
    <x v="6"/>
    <x v="2"/>
    <x v="8"/>
    <x v="30"/>
  </r>
  <r>
    <x v="62"/>
    <x v="18"/>
    <x v="51"/>
    <x v="29"/>
    <x v="0"/>
    <x v="2"/>
    <x v="12"/>
    <x v="12"/>
  </r>
  <r>
    <x v="62"/>
    <x v="18"/>
    <x v="51"/>
    <x v="11"/>
    <x v="9"/>
    <x v="2"/>
    <x v="11"/>
    <x v="31"/>
  </r>
  <r>
    <x v="62"/>
    <x v="18"/>
    <x v="51"/>
    <x v="12"/>
    <x v="10"/>
    <x v="2"/>
    <x v="12"/>
    <x v="12"/>
  </r>
  <r>
    <x v="62"/>
    <x v="18"/>
    <x v="51"/>
    <x v="13"/>
    <x v="11"/>
    <x v="2"/>
    <x v="12"/>
    <x v="12"/>
  </r>
  <r>
    <x v="63"/>
    <x v="56"/>
    <x v="52"/>
    <x v="14"/>
    <x v="12"/>
    <x v="2"/>
    <x v="13"/>
    <x v="13"/>
  </r>
  <r>
    <x v="64"/>
    <x v="57"/>
    <x v="53"/>
    <x v="30"/>
    <x v="24"/>
    <x v="2"/>
    <x v="26"/>
    <x v="28"/>
  </r>
  <r>
    <x v="65"/>
    <x v="58"/>
    <x v="54"/>
    <x v="30"/>
    <x v="24"/>
    <x v="2"/>
    <x v="26"/>
    <x v="28"/>
  </r>
  <r>
    <x v="66"/>
    <x v="59"/>
    <x v="55"/>
    <x v="32"/>
    <x v="26"/>
    <x v="2"/>
    <x v="26"/>
    <x v="28"/>
  </r>
  <r>
    <x v="66"/>
    <x v="59"/>
    <x v="55"/>
    <x v="31"/>
    <x v="25"/>
    <x v="2"/>
    <x v="27"/>
    <x v="33"/>
  </r>
  <r>
    <x v="66"/>
    <x v="59"/>
    <x v="55"/>
    <x v="31"/>
    <x v="25"/>
    <x v="0"/>
    <x v="27"/>
    <x v="77"/>
  </r>
  <r>
    <x v="67"/>
    <x v="60"/>
    <x v="56"/>
    <x v="28"/>
    <x v="17"/>
    <x v="3"/>
    <x v="17"/>
    <x v="78"/>
  </r>
  <r>
    <x v="67"/>
    <x v="60"/>
    <x v="56"/>
    <x v="21"/>
    <x v="18"/>
    <x v="3"/>
    <x v="12"/>
    <x v="12"/>
  </r>
  <r>
    <x v="67"/>
    <x v="60"/>
    <x v="56"/>
    <x v="10"/>
    <x v="8"/>
    <x v="3"/>
    <x v="10"/>
    <x v="79"/>
  </r>
  <r>
    <x v="67"/>
    <x v="60"/>
    <x v="56"/>
    <x v="1"/>
    <x v="0"/>
    <x v="0"/>
    <x v="1"/>
    <x v="1"/>
  </r>
  <r>
    <x v="67"/>
    <x v="60"/>
    <x v="56"/>
    <x v="22"/>
    <x v="0"/>
    <x v="10"/>
    <x v="12"/>
    <x v="12"/>
  </r>
  <r>
    <x v="67"/>
    <x v="60"/>
    <x v="56"/>
    <x v="46"/>
    <x v="0"/>
    <x v="0"/>
    <x v="39"/>
    <x v="80"/>
  </r>
  <r>
    <x v="67"/>
    <x v="60"/>
    <x v="56"/>
    <x v="32"/>
    <x v="26"/>
    <x v="0"/>
    <x v="26"/>
    <x v="29"/>
  </r>
  <r>
    <x v="67"/>
    <x v="60"/>
    <x v="56"/>
    <x v="31"/>
    <x v="25"/>
    <x v="11"/>
    <x v="12"/>
    <x v="12"/>
  </r>
  <r>
    <x v="67"/>
    <x v="60"/>
    <x v="56"/>
    <x v="51"/>
    <x v="44"/>
    <x v="0"/>
    <x v="54"/>
    <x v="72"/>
  </r>
  <r>
    <x v="67"/>
    <x v="60"/>
    <x v="56"/>
    <x v="63"/>
    <x v="58"/>
    <x v="4"/>
    <x v="55"/>
    <x v="81"/>
  </r>
  <r>
    <x v="67"/>
    <x v="60"/>
    <x v="56"/>
    <x v="64"/>
    <x v="59"/>
    <x v="0"/>
    <x v="60"/>
    <x v="82"/>
  </r>
  <r>
    <x v="67"/>
    <x v="60"/>
    <x v="56"/>
    <x v="62"/>
    <x v="57"/>
    <x v="12"/>
    <x v="28"/>
    <x v="83"/>
  </r>
  <r>
    <x v="67"/>
    <x v="60"/>
    <x v="56"/>
    <x v="65"/>
    <x v="60"/>
    <x v="0"/>
    <x v="61"/>
    <x v="84"/>
  </r>
  <r>
    <x v="67"/>
    <x v="60"/>
    <x v="56"/>
    <x v="29"/>
    <x v="0"/>
    <x v="12"/>
    <x v="19"/>
    <x v="85"/>
  </r>
  <r>
    <x v="67"/>
    <x v="60"/>
    <x v="56"/>
    <x v="12"/>
    <x v="10"/>
    <x v="7"/>
    <x v="12"/>
    <x v="12"/>
  </r>
  <r>
    <x v="67"/>
    <x v="60"/>
    <x v="56"/>
    <x v="23"/>
    <x v="19"/>
    <x v="13"/>
    <x v="12"/>
    <x v="12"/>
  </r>
  <r>
    <x v="67"/>
    <x v="60"/>
    <x v="56"/>
    <x v="66"/>
    <x v="4"/>
    <x v="2"/>
    <x v="62"/>
    <x v="86"/>
  </r>
  <r>
    <x v="68"/>
    <x v="60"/>
    <x v="56"/>
    <x v="67"/>
    <x v="61"/>
    <x v="0"/>
    <x v="58"/>
    <x v="87"/>
  </r>
  <r>
    <x v="68"/>
    <x v="60"/>
    <x v="56"/>
    <x v="68"/>
    <x v="62"/>
    <x v="0"/>
    <x v="12"/>
    <x v="12"/>
  </r>
  <r>
    <x v="68"/>
    <x v="60"/>
    <x v="56"/>
    <x v="64"/>
    <x v="59"/>
    <x v="0"/>
    <x v="12"/>
    <x v="12"/>
  </r>
  <r>
    <x v="68"/>
    <x v="60"/>
    <x v="56"/>
    <x v="6"/>
    <x v="4"/>
    <x v="2"/>
    <x v="63"/>
    <x v="88"/>
  </r>
  <r>
    <x v="69"/>
    <x v="61"/>
    <x v="57"/>
    <x v="4"/>
    <x v="2"/>
    <x v="2"/>
    <x v="4"/>
    <x v="4"/>
  </r>
  <r>
    <x v="70"/>
    <x v="12"/>
    <x v="58"/>
    <x v="19"/>
    <x v="16"/>
    <x v="2"/>
    <x v="16"/>
    <x v="17"/>
  </r>
  <r>
    <x v="71"/>
    <x v="62"/>
    <x v="59"/>
    <x v="4"/>
    <x v="2"/>
    <x v="2"/>
    <x v="4"/>
    <x v="4"/>
  </r>
  <r>
    <x v="72"/>
    <x v="63"/>
    <x v="60"/>
    <x v="3"/>
    <x v="1"/>
    <x v="0"/>
    <x v="3"/>
    <x v="89"/>
  </r>
  <r>
    <x v="72"/>
    <x v="63"/>
    <x v="60"/>
    <x v="31"/>
    <x v="25"/>
    <x v="2"/>
    <x v="27"/>
    <x v="33"/>
  </r>
  <r>
    <x v="72"/>
    <x v="63"/>
    <x v="60"/>
    <x v="23"/>
    <x v="19"/>
    <x v="0"/>
    <x v="20"/>
    <x v="21"/>
  </r>
  <r>
    <x v="73"/>
    <x v="64"/>
    <x v="61"/>
    <x v="4"/>
    <x v="2"/>
    <x v="2"/>
    <x v="4"/>
    <x v="4"/>
  </r>
  <r>
    <x v="74"/>
    <x v="31"/>
    <x v="62"/>
    <x v="35"/>
    <x v="30"/>
    <x v="14"/>
    <x v="64"/>
    <x v="90"/>
  </r>
  <r>
    <x v="74"/>
    <x v="31"/>
    <x v="62"/>
    <x v="31"/>
    <x v="25"/>
    <x v="14"/>
    <x v="12"/>
    <x v="12"/>
  </r>
  <r>
    <x v="75"/>
    <x v="26"/>
    <x v="62"/>
    <x v="4"/>
    <x v="2"/>
    <x v="2"/>
    <x v="65"/>
    <x v="91"/>
  </r>
  <r>
    <x v="76"/>
    <x v="35"/>
    <x v="62"/>
    <x v="69"/>
    <x v="63"/>
    <x v="3"/>
    <x v="12"/>
    <x v="12"/>
  </r>
  <r>
    <x v="77"/>
    <x v="42"/>
    <x v="62"/>
    <x v="70"/>
    <x v="64"/>
    <x v="7"/>
    <x v="45"/>
    <x v="92"/>
  </r>
  <r>
    <x v="77"/>
    <x v="42"/>
    <x v="62"/>
    <x v="6"/>
    <x v="4"/>
    <x v="2"/>
    <x v="21"/>
    <x v="23"/>
  </r>
  <r>
    <x v="78"/>
    <x v="65"/>
    <x v="63"/>
    <x v="35"/>
    <x v="30"/>
    <x v="2"/>
    <x v="29"/>
    <x v="35"/>
  </r>
  <r>
    <x v="78"/>
    <x v="65"/>
    <x v="63"/>
    <x v="31"/>
    <x v="25"/>
    <x v="2"/>
    <x v="27"/>
    <x v="33"/>
  </r>
  <r>
    <x v="79"/>
    <x v="66"/>
    <x v="64"/>
    <x v="15"/>
    <x v="0"/>
    <x v="0"/>
    <x v="2"/>
    <x v="14"/>
  </r>
  <r>
    <x v="79"/>
    <x v="66"/>
    <x v="64"/>
    <x v="13"/>
    <x v="11"/>
    <x v="0"/>
    <x v="21"/>
    <x v="26"/>
  </r>
  <r>
    <x v="80"/>
    <x v="67"/>
    <x v="65"/>
    <x v="8"/>
    <x v="6"/>
    <x v="2"/>
    <x v="8"/>
    <x v="30"/>
  </r>
  <r>
    <x v="80"/>
    <x v="67"/>
    <x v="65"/>
    <x v="29"/>
    <x v="0"/>
    <x v="2"/>
    <x v="12"/>
    <x v="12"/>
  </r>
  <r>
    <x v="80"/>
    <x v="67"/>
    <x v="65"/>
    <x v="12"/>
    <x v="10"/>
    <x v="2"/>
    <x v="12"/>
    <x v="12"/>
  </r>
  <r>
    <x v="80"/>
    <x v="67"/>
    <x v="65"/>
    <x v="13"/>
    <x v="11"/>
    <x v="2"/>
    <x v="12"/>
    <x v="12"/>
  </r>
  <r>
    <x v="81"/>
    <x v="68"/>
    <x v="66"/>
    <x v="28"/>
    <x v="17"/>
    <x v="0"/>
    <x v="17"/>
    <x v="18"/>
  </r>
  <r>
    <x v="81"/>
    <x v="68"/>
    <x v="66"/>
    <x v="12"/>
    <x v="10"/>
    <x v="0"/>
    <x v="12"/>
    <x v="12"/>
  </r>
  <r>
    <x v="81"/>
    <x v="68"/>
    <x v="66"/>
    <x v="21"/>
    <x v="18"/>
    <x v="0"/>
    <x v="12"/>
    <x v="12"/>
  </r>
  <r>
    <x v="81"/>
    <x v="68"/>
    <x v="66"/>
    <x v="13"/>
    <x v="11"/>
    <x v="0"/>
    <x v="12"/>
    <x v="12"/>
  </r>
  <r>
    <x v="81"/>
    <x v="68"/>
    <x v="66"/>
    <x v="29"/>
    <x v="0"/>
    <x v="0"/>
    <x v="12"/>
    <x v="12"/>
  </r>
  <r>
    <x v="81"/>
    <x v="68"/>
    <x v="66"/>
    <x v="14"/>
    <x v="12"/>
    <x v="2"/>
    <x v="13"/>
    <x v="13"/>
  </r>
  <r>
    <x v="82"/>
    <x v="69"/>
    <x v="67"/>
    <x v="19"/>
    <x v="16"/>
    <x v="2"/>
    <x v="16"/>
    <x v="17"/>
  </r>
  <r>
    <x v="82"/>
    <x v="69"/>
    <x v="67"/>
    <x v="30"/>
    <x v="24"/>
    <x v="2"/>
    <x v="26"/>
    <x v="28"/>
  </r>
  <r>
    <x v="82"/>
    <x v="69"/>
    <x v="67"/>
    <x v="23"/>
    <x v="19"/>
    <x v="2"/>
    <x v="20"/>
    <x v="93"/>
  </r>
  <r>
    <x v="83"/>
    <x v="70"/>
    <x v="68"/>
    <x v="3"/>
    <x v="1"/>
    <x v="0"/>
    <x v="3"/>
    <x v="89"/>
  </r>
  <r>
    <x v="84"/>
    <x v="71"/>
    <x v="69"/>
    <x v="16"/>
    <x v="13"/>
    <x v="4"/>
    <x v="66"/>
    <x v="94"/>
  </r>
  <r>
    <x v="84"/>
    <x v="71"/>
    <x v="69"/>
    <x v="71"/>
    <x v="65"/>
    <x v="2"/>
    <x v="67"/>
    <x v="95"/>
  </r>
  <r>
    <x v="84"/>
    <x v="71"/>
    <x v="69"/>
    <x v="21"/>
    <x v="18"/>
    <x v="15"/>
    <x v="45"/>
    <x v="96"/>
  </r>
  <r>
    <x v="84"/>
    <x v="71"/>
    <x v="69"/>
    <x v="72"/>
    <x v="66"/>
    <x v="16"/>
    <x v="68"/>
    <x v="97"/>
  </r>
  <r>
    <x v="84"/>
    <x v="71"/>
    <x v="69"/>
    <x v="73"/>
    <x v="67"/>
    <x v="17"/>
    <x v="69"/>
    <x v="98"/>
  </r>
  <r>
    <x v="84"/>
    <x v="71"/>
    <x v="69"/>
    <x v="74"/>
    <x v="68"/>
    <x v="17"/>
    <x v="70"/>
    <x v="99"/>
  </r>
  <r>
    <x v="84"/>
    <x v="71"/>
    <x v="69"/>
    <x v="75"/>
    <x v="69"/>
    <x v="0"/>
    <x v="71"/>
    <x v="100"/>
  </r>
  <r>
    <x v="84"/>
    <x v="71"/>
    <x v="69"/>
    <x v="76"/>
    <x v="70"/>
    <x v="7"/>
    <x v="72"/>
    <x v="101"/>
  </r>
  <r>
    <x v="84"/>
    <x v="71"/>
    <x v="69"/>
    <x v="77"/>
    <x v="71"/>
    <x v="7"/>
    <x v="73"/>
    <x v="102"/>
  </r>
  <r>
    <x v="84"/>
    <x v="71"/>
    <x v="69"/>
    <x v="78"/>
    <x v="4"/>
    <x v="2"/>
    <x v="74"/>
    <x v="97"/>
  </r>
  <r>
    <x v="85"/>
    <x v="3"/>
    <x v="69"/>
    <x v="79"/>
    <x v="72"/>
    <x v="2"/>
    <x v="24"/>
    <x v="26"/>
  </r>
  <r>
    <x v="85"/>
    <x v="3"/>
    <x v="69"/>
    <x v="80"/>
    <x v="73"/>
    <x v="2"/>
    <x v="75"/>
    <x v="103"/>
  </r>
  <r>
    <x v="85"/>
    <x v="3"/>
    <x v="69"/>
    <x v="81"/>
    <x v="74"/>
    <x v="3"/>
    <x v="76"/>
    <x v="104"/>
  </r>
  <r>
    <x v="85"/>
    <x v="3"/>
    <x v="69"/>
    <x v="82"/>
    <x v="75"/>
    <x v="3"/>
    <x v="77"/>
    <x v="105"/>
  </r>
  <r>
    <x v="85"/>
    <x v="3"/>
    <x v="69"/>
    <x v="83"/>
    <x v="76"/>
    <x v="1"/>
    <x v="78"/>
    <x v="106"/>
  </r>
  <r>
    <x v="85"/>
    <x v="3"/>
    <x v="69"/>
    <x v="84"/>
    <x v="77"/>
    <x v="18"/>
    <x v="79"/>
    <x v="107"/>
  </r>
  <r>
    <x v="85"/>
    <x v="3"/>
    <x v="69"/>
    <x v="85"/>
    <x v="78"/>
    <x v="2"/>
    <x v="80"/>
    <x v="105"/>
  </r>
  <r>
    <x v="85"/>
    <x v="3"/>
    <x v="69"/>
    <x v="86"/>
    <x v="79"/>
    <x v="2"/>
    <x v="81"/>
    <x v="108"/>
  </r>
  <r>
    <x v="85"/>
    <x v="3"/>
    <x v="69"/>
    <x v="87"/>
    <x v="80"/>
    <x v="2"/>
    <x v="82"/>
    <x v="109"/>
  </r>
  <r>
    <x v="85"/>
    <x v="3"/>
    <x v="69"/>
    <x v="88"/>
    <x v="81"/>
    <x v="2"/>
    <x v="12"/>
    <x v="12"/>
  </r>
  <r>
    <x v="85"/>
    <x v="3"/>
    <x v="69"/>
    <x v="88"/>
    <x v="82"/>
    <x v="2"/>
    <x v="12"/>
    <x v="12"/>
  </r>
  <r>
    <x v="85"/>
    <x v="3"/>
    <x v="69"/>
    <x v="88"/>
    <x v="83"/>
    <x v="2"/>
    <x v="12"/>
    <x v="12"/>
  </r>
  <r>
    <x v="85"/>
    <x v="3"/>
    <x v="69"/>
    <x v="88"/>
    <x v="84"/>
    <x v="2"/>
    <x v="12"/>
    <x v="12"/>
  </r>
  <r>
    <x v="85"/>
    <x v="3"/>
    <x v="69"/>
    <x v="88"/>
    <x v="85"/>
    <x v="2"/>
    <x v="12"/>
    <x v="12"/>
  </r>
  <r>
    <x v="85"/>
    <x v="3"/>
    <x v="69"/>
    <x v="88"/>
    <x v="86"/>
    <x v="2"/>
    <x v="12"/>
    <x v="12"/>
  </r>
  <r>
    <x v="85"/>
    <x v="3"/>
    <x v="69"/>
    <x v="88"/>
    <x v="87"/>
    <x v="2"/>
    <x v="12"/>
    <x v="12"/>
  </r>
  <r>
    <x v="85"/>
    <x v="3"/>
    <x v="69"/>
    <x v="88"/>
    <x v="88"/>
    <x v="2"/>
    <x v="12"/>
    <x v="12"/>
  </r>
  <r>
    <x v="85"/>
    <x v="3"/>
    <x v="69"/>
    <x v="88"/>
    <x v="89"/>
    <x v="2"/>
    <x v="12"/>
    <x v="12"/>
  </r>
  <r>
    <x v="85"/>
    <x v="3"/>
    <x v="69"/>
    <x v="88"/>
    <x v="90"/>
    <x v="2"/>
    <x v="12"/>
    <x v="12"/>
  </r>
  <r>
    <x v="85"/>
    <x v="3"/>
    <x v="69"/>
    <x v="89"/>
    <x v="4"/>
    <x v="12"/>
    <x v="83"/>
    <x v="110"/>
  </r>
  <r>
    <x v="85"/>
    <x v="3"/>
    <x v="69"/>
    <x v="6"/>
    <x v="4"/>
    <x v="2"/>
    <x v="84"/>
    <x v="9"/>
  </r>
  <r>
    <x v="86"/>
    <x v="72"/>
    <x v="70"/>
    <x v="32"/>
    <x v="26"/>
    <x v="0"/>
    <x v="26"/>
    <x v="29"/>
  </r>
  <r>
    <x v="86"/>
    <x v="72"/>
    <x v="70"/>
    <x v="31"/>
    <x v="25"/>
    <x v="0"/>
    <x v="27"/>
    <x v="77"/>
  </r>
  <r>
    <x v="87"/>
    <x v="45"/>
    <x v="71"/>
    <x v="4"/>
    <x v="2"/>
    <x v="0"/>
    <x v="48"/>
    <x v="111"/>
  </r>
  <r>
    <x v="87"/>
    <x v="45"/>
    <x v="71"/>
    <x v="6"/>
    <x v="4"/>
    <x v="2"/>
    <x v="85"/>
    <x v="112"/>
  </r>
  <r>
    <x v="88"/>
    <x v="73"/>
    <x v="72"/>
    <x v="18"/>
    <x v="15"/>
    <x v="2"/>
    <x v="15"/>
    <x v="113"/>
  </r>
  <r>
    <x v="89"/>
    <x v="74"/>
    <x v="73"/>
    <x v="90"/>
    <x v="91"/>
    <x v="2"/>
    <x v="12"/>
    <x v="12"/>
  </r>
  <r>
    <x v="90"/>
    <x v="75"/>
    <x v="74"/>
    <x v="1"/>
    <x v="0"/>
    <x v="2"/>
    <x v="1"/>
    <x v="32"/>
  </r>
  <r>
    <x v="90"/>
    <x v="75"/>
    <x v="74"/>
    <x v="45"/>
    <x v="38"/>
    <x v="2"/>
    <x v="38"/>
    <x v="114"/>
  </r>
  <r>
    <x v="90"/>
    <x v="75"/>
    <x v="74"/>
    <x v="34"/>
    <x v="29"/>
    <x v="2"/>
    <x v="28"/>
    <x v="34"/>
  </r>
  <r>
    <x v="91"/>
    <x v="76"/>
    <x v="75"/>
    <x v="30"/>
    <x v="24"/>
    <x v="2"/>
    <x v="26"/>
    <x v="28"/>
  </r>
  <r>
    <x v="92"/>
    <x v="77"/>
    <x v="76"/>
    <x v="45"/>
    <x v="38"/>
    <x v="2"/>
    <x v="38"/>
    <x v="114"/>
  </r>
  <r>
    <x v="93"/>
    <x v="78"/>
    <x v="77"/>
    <x v="32"/>
    <x v="26"/>
    <x v="0"/>
    <x v="26"/>
    <x v="29"/>
  </r>
  <r>
    <x v="93"/>
    <x v="78"/>
    <x v="77"/>
    <x v="31"/>
    <x v="25"/>
    <x v="0"/>
    <x v="27"/>
    <x v="77"/>
  </r>
  <r>
    <x v="94"/>
    <x v="79"/>
    <x v="78"/>
    <x v="4"/>
    <x v="2"/>
    <x v="2"/>
    <x v="4"/>
    <x v="4"/>
  </r>
  <r>
    <x v="95"/>
    <x v="42"/>
    <x v="79"/>
    <x v="91"/>
    <x v="92"/>
    <x v="5"/>
    <x v="86"/>
    <x v="115"/>
  </r>
  <r>
    <x v="95"/>
    <x v="42"/>
    <x v="79"/>
    <x v="6"/>
    <x v="4"/>
    <x v="2"/>
    <x v="87"/>
    <x v="116"/>
  </r>
  <r>
    <x v="96"/>
    <x v="20"/>
    <x v="80"/>
    <x v="16"/>
    <x v="13"/>
    <x v="2"/>
    <x v="14"/>
    <x v="117"/>
  </r>
  <r>
    <x v="96"/>
    <x v="20"/>
    <x v="80"/>
    <x v="17"/>
    <x v="14"/>
    <x v="2"/>
    <x v="12"/>
    <x v="12"/>
  </r>
  <r>
    <x v="97"/>
    <x v="80"/>
    <x v="81"/>
    <x v="3"/>
    <x v="1"/>
    <x v="2"/>
    <x v="3"/>
    <x v="3"/>
  </r>
  <r>
    <x v="97"/>
    <x v="80"/>
    <x v="81"/>
    <x v="45"/>
    <x v="38"/>
    <x v="2"/>
    <x v="38"/>
    <x v="114"/>
  </r>
  <r>
    <x v="97"/>
    <x v="80"/>
    <x v="81"/>
    <x v="9"/>
    <x v="7"/>
    <x v="2"/>
    <x v="39"/>
    <x v="52"/>
  </r>
  <r>
    <x v="98"/>
    <x v="81"/>
    <x v="82"/>
    <x v="4"/>
    <x v="2"/>
    <x v="2"/>
    <x v="4"/>
    <x v="4"/>
  </r>
  <r>
    <x v="99"/>
    <x v="26"/>
    <x v="83"/>
    <x v="4"/>
    <x v="2"/>
    <x v="2"/>
    <x v="65"/>
    <x v="91"/>
  </r>
  <r>
    <x v="100"/>
    <x v="82"/>
    <x v="83"/>
    <x v="14"/>
    <x v="12"/>
    <x v="2"/>
    <x v="88"/>
    <x v="118"/>
  </r>
  <r>
    <x v="101"/>
    <x v="83"/>
    <x v="83"/>
    <x v="46"/>
    <x v="0"/>
    <x v="5"/>
    <x v="89"/>
    <x v="119"/>
  </r>
  <r>
    <x v="101"/>
    <x v="83"/>
    <x v="83"/>
    <x v="6"/>
    <x v="4"/>
    <x v="2"/>
    <x v="90"/>
    <x v="120"/>
  </r>
  <r>
    <x v="102"/>
    <x v="84"/>
    <x v="83"/>
    <x v="14"/>
    <x v="12"/>
    <x v="2"/>
    <x v="40"/>
    <x v="53"/>
  </r>
  <r>
    <x v="102"/>
    <x v="84"/>
    <x v="83"/>
    <x v="92"/>
    <x v="4"/>
    <x v="2"/>
    <x v="91"/>
    <x v="121"/>
  </r>
  <r>
    <x v="103"/>
    <x v="85"/>
    <x v="84"/>
    <x v="93"/>
    <x v="93"/>
    <x v="2"/>
    <x v="92"/>
    <x v="122"/>
  </r>
  <r>
    <x v="104"/>
    <x v="86"/>
    <x v="85"/>
    <x v="31"/>
    <x v="25"/>
    <x v="4"/>
    <x v="27"/>
    <x v="123"/>
  </r>
  <r>
    <x v="105"/>
    <x v="87"/>
    <x v="86"/>
    <x v="35"/>
    <x v="30"/>
    <x v="0"/>
    <x v="29"/>
    <x v="124"/>
  </r>
  <r>
    <x v="105"/>
    <x v="87"/>
    <x v="86"/>
    <x v="31"/>
    <x v="25"/>
    <x v="0"/>
    <x v="27"/>
    <x v="77"/>
  </r>
  <r>
    <x v="105"/>
    <x v="87"/>
    <x v="86"/>
    <x v="43"/>
    <x v="37"/>
    <x v="6"/>
    <x v="36"/>
    <x v="48"/>
  </r>
  <r>
    <x v="106"/>
    <x v="88"/>
    <x v="87"/>
    <x v="19"/>
    <x v="16"/>
    <x v="2"/>
    <x v="16"/>
    <x v="17"/>
  </r>
  <r>
    <x v="107"/>
    <x v="89"/>
    <x v="88"/>
    <x v="35"/>
    <x v="30"/>
    <x v="12"/>
    <x v="29"/>
    <x v="125"/>
  </r>
  <r>
    <x v="107"/>
    <x v="89"/>
    <x v="88"/>
    <x v="31"/>
    <x v="25"/>
    <x v="12"/>
    <x v="27"/>
    <x v="126"/>
  </r>
  <r>
    <x v="107"/>
    <x v="89"/>
    <x v="88"/>
    <x v="9"/>
    <x v="7"/>
    <x v="4"/>
    <x v="39"/>
    <x v="127"/>
  </r>
  <r>
    <x v="108"/>
    <x v="84"/>
    <x v="89"/>
    <x v="16"/>
    <x v="13"/>
    <x v="5"/>
    <x v="66"/>
    <x v="128"/>
  </r>
  <r>
    <x v="108"/>
    <x v="84"/>
    <x v="89"/>
    <x v="10"/>
    <x v="94"/>
    <x v="5"/>
    <x v="12"/>
    <x v="12"/>
  </r>
  <r>
    <x v="108"/>
    <x v="84"/>
    <x v="89"/>
    <x v="12"/>
    <x v="10"/>
    <x v="5"/>
    <x v="30"/>
    <x v="129"/>
  </r>
  <r>
    <x v="108"/>
    <x v="84"/>
    <x v="89"/>
    <x v="29"/>
    <x v="0"/>
    <x v="5"/>
    <x v="93"/>
    <x v="130"/>
  </r>
  <r>
    <x v="108"/>
    <x v="84"/>
    <x v="89"/>
    <x v="23"/>
    <x v="19"/>
    <x v="5"/>
    <x v="12"/>
    <x v="12"/>
  </r>
  <r>
    <x v="108"/>
    <x v="84"/>
    <x v="89"/>
    <x v="31"/>
    <x v="25"/>
    <x v="5"/>
    <x v="12"/>
    <x v="12"/>
  </r>
  <r>
    <x v="108"/>
    <x v="84"/>
    <x v="89"/>
    <x v="6"/>
    <x v="4"/>
    <x v="2"/>
    <x v="18"/>
    <x v="131"/>
  </r>
  <r>
    <x v="109"/>
    <x v="90"/>
    <x v="89"/>
    <x v="8"/>
    <x v="6"/>
    <x v="4"/>
    <x v="8"/>
    <x v="132"/>
  </r>
  <r>
    <x v="109"/>
    <x v="90"/>
    <x v="89"/>
    <x v="1"/>
    <x v="0"/>
    <x v="4"/>
    <x v="84"/>
    <x v="133"/>
  </r>
  <r>
    <x v="109"/>
    <x v="90"/>
    <x v="89"/>
    <x v="11"/>
    <x v="9"/>
    <x v="15"/>
    <x v="11"/>
    <x v="134"/>
  </r>
  <r>
    <x v="109"/>
    <x v="90"/>
    <x v="89"/>
    <x v="12"/>
    <x v="10"/>
    <x v="4"/>
    <x v="12"/>
    <x v="12"/>
  </r>
  <r>
    <x v="109"/>
    <x v="90"/>
    <x v="89"/>
    <x v="13"/>
    <x v="95"/>
    <x v="4"/>
    <x v="12"/>
    <x v="12"/>
  </r>
  <r>
    <x v="109"/>
    <x v="90"/>
    <x v="89"/>
    <x v="78"/>
    <x v="4"/>
    <x v="2"/>
    <x v="74"/>
    <x v="97"/>
  </r>
  <r>
    <x v="110"/>
    <x v="35"/>
    <x v="89"/>
    <x v="42"/>
    <x v="36"/>
    <x v="19"/>
    <x v="94"/>
    <x v="135"/>
  </r>
  <r>
    <x v="110"/>
    <x v="35"/>
    <x v="89"/>
    <x v="6"/>
    <x v="4"/>
    <x v="2"/>
    <x v="24"/>
    <x v="26"/>
  </r>
  <r>
    <x v="111"/>
    <x v="91"/>
    <x v="90"/>
    <x v="32"/>
    <x v="26"/>
    <x v="0"/>
    <x v="26"/>
    <x v="29"/>
  </r>
  <r>
    <x v="111"/>
    <x v="91"/>
    <x v="90"/>
    <x v="31"/>
    <x v="25"/>
    <x v="0"/>
    <x v="27"/>
    <x v="77"/>
  </r>
  <r>
    <x v="112"/>
    <x v="92"/>
    <x v="91"/>
    <x v="33"/>
    <x v="28"/>
    <x v="0"/>
    <x v="52"/>
    <x v="136"/>
  </r>
  <r>
    <x v="113"/>
    <x v="93"/>
    <x v="92"/>
    <x v="19"/>
    <x v="16"/>
    <x v="2"/>
    <x v="16"/>
    <x v="17"/>
  </r>
  <r>
    <x v="114"/>
    <x v="57"/>
    <x v="93"/>
    <x v="18"/>
    <x v="15"/>
    <x v="2"/>
    <x v="15"/>
    <x v="113"/>
  </r>
  <r>
    <x v="115"/>
    <x v="94"/>
    <x v="94"/>
    <x v="23"/>
    <x v="19"/>
    <x v="1"/>
    <x v="20"/>
    <x v="137"/>
  </r>
  <r>
    <x v="115"/>
    <x v="94"/>
    <x v="94"/>
    <x v="2"/>
    <x v="0"/>
    <x v="0"/>
    <x v="2"/>
    <x v="14"/>
  </r>
  <r>
    <x v="115"/>
    <x v="94"/>
    <x v="94"/>
    <x v="13"/>
    <x v="11"/>
    <x v="0"/>
    <x v="21"/>
    <x v="26"/>
  </r>
  <r>
    <x v="115"/>
    <x v="94"/>
    <x v="94"/>
    <x v="30"/>
    <x v="24"/>
    <x v="0"/>
    <x v="26"/>
    <x v="29"/>
  </r>
  <r>
    <x v="116"/>
    <x v="35"/>
    <x v="95"/>
    <x v="94"/>
    <x v="96"/>
    <x v="4"/>
    <x v="12"/>
    <x v="12"/>
  </r>
  <r>
    <x v="116"/>
    <x v="35"/>
    <x v="95"/>
    <x v="95"/>
    <x v="97"/>
    <x v="4"/>
    <x v="12"/>
    <x v="12"/>
  </r>
  <r>
    <x v="116"/>
    <x v="35"/>
    <x v="95"/>
    <x v="96"/>
    <x v="98"/>
    <x v="4"/>
    <x v="12"/>
    <x v="12"/>
  </r>
  <r>
    <x v="116"/>
    <x v="35"/>
    <x v="95"/>
    <x v="97"/>
    <x v="99"/>
    <x v="2"/>
    <x v="12"/>
    <x v="12"/>
  </r>
  <r>
    <x v="116"/>
    <x v="35"/>
    <x v="95"/>
    <x v="98"/>
    <x v="100"/>
    <x v="2"/>
    <x v="12"/>
    <x v="12"/>
  </r>
  <r>
    <x v="116"/>
    <x v="35"/>
    <x v="95"/>
    <x v="99"/>
    <x v="101"/>
    <x v="0"/>
    <x v="12"/>
    <x v="12"/>
  </r>
  <r>
    <x v="116"/>
    <x v="35"/>
    <x v="95"/>
    <x v="100"/>
    <x v="102"/>
    <x v="0"/>
    <x v="12"/>
    <x v="12"/>
  </r>
  <r>
    <x v="117"/>
    <x v="95"/>
    <x v="95"/>
    <x v="4"/>
    <x v="2"/>
    <x v="0"/>
    <x v="95"/>
    <x v="138"/>
  </r>
  <r>
    <x v="117"/>
    <x v="95"/>
    <x v="95"/>
    <x v="6"/>
    <x v="4"/>
    <x v="2"/>
    <x v="85"/>
    <x v="112"/>
  </r>
  <r>
    <x v="118"/>
    <x v="31"/>
    <x v="95"/>
    <x v="101"/>
    <x v="103"/>
    <x v="7"/>
    <x v="96"/>
    <x v="139"/>
  </r>
  <r>
    <x v="118"/>
    <x v="31"/>
    <x v="95"/>
    <x v="102"/>
    <x v="104"/>
    <x v="7"/>
    <x v="97"/>
    <x v="140"/>
  </r>
  <r>
    <x v="119"/>
    <x v="96"/>
    <x v="96"/>
    <x v="103"/>
    <x v="105"/>
    <x v="0"/>
    <x v="10"/>
    <x v="141"/>
  </r>
  <r>
    <x v="119"/>
    <x v="96"/>
    <x v="96"/>
    <x v="42"/>
    <x v="36"/>
    <x v="0"/>
    <x v="26"/>
    <x v="29"/>
  </r>
  <r>
    <x v="120"/>
    <x v="97"/>
    <x v="97"/>
    <x v="41"/>
    <x v="2"/>
    <x v="2"/>
    <x v="13"/>
    <x v="13"/>
  </r>
  <r>
    <x v="121"/>
    <x v="83"/>
    <x v="98"/>
    <x v="28"/>
    <x v="17"/>
    <x v="4"/>
    <x v="98"/>
    <x v="142"/>
  </r>
  <r>
    <x v="121"/>
    <x v="83"/>
    <x v="98"/>
    <x v="2"/>
    <x v="0"/>
    <x v="4"/>
    <x v="12"/>
    <x v="12"/>
  </r>
  <r>
    <x v="121"/>
    <x v="83"/>
    <x v="98"/>
    <x v="1"/>
    <x v="0"/>
    <x v="0"/>
    <x v="99"/>
    <x v="143"/>
  </r>
  <r>
    <x v="121"/>
    <x v="83"/>
    <x v="98"/>
    <x v="9"/>
    <x v="7"/>
    <x v="2"/>
    <x v="89"/>
    <x v="144"/>
  </r>
  <r>
    <x v="121"/>
    <x v="83"/>
    <x v="98"/>
    <x v="31"/>
    <x v="25"/>
    <x v="7"/>
    <x v="12"/>
    <x v="12"/>
  </r>
  <r>
    <x v="121"/>
    <x v="83"/>
    <x v="98"/>
    <x v="35"/>
    <x v="30"/>
    <x v="12"/>
    <x v="64"/>
    <x v="145"/>
  </r>
  <r>
    <x v="121"/>
    <x v="83"/>
    <x v="98"/>
    <x v="43"/>
    <x v="37"/>
    <x v="12"/>
    <x v="100"/>
    <x v="146"/>
  </r>
  <r>
    <x v="121"/>
    <x v="83"/>
    <x v="98"/>
    <x v="6"/>
    <x v="4"/>
    <x v="2"/>
    <x v="101"/>
    <x v="147"/>
  </r>
  <r>
    <x v="122"/>
    <x v="98"/>
    <x v="99"/>
    <x v="14"/>
    <x v="12"/>
    <x v="2"/>
    <x v="13"/>
    <x v="13"/>
  </r>
  <r>
    <x v="123"/>
    <x v="98"/>
    <x v="100"/>
    <x v="8"/>
    <x v="6"/>
    <x v="0"/>
    <x v="8"/>
    <x v="8"/>
  </r>
  <r>
    <x v="123"/>
    <x v="98"/>
    <x v="100"/>
    <x v="29"/>
    <x v="0"/>
    <x v="0"/>
    <x v="12"/>
    <x v="12"/>
  </r>
  <r>
    <x v="123"/>
    <x v="98"/>
    <x v="100"/>
    <x v="12"/>
    <x v="10"/>
    <x v="0"/>
    <x v="12"/>
    <x v="12"/>
  </r>
  <r>
    <x v="123"/>
    <x v="98"/>
    <x v="100"/>
    <x v="13"/>
    <x v="11"/>
    <x v="0"/>
    <x v="12"/>
    <x v="12"/>
  </r>
  <r>
    <x v="124"/>
    <x v="99"/>
    <x v="101"/>
    <x v="19"/>
    <x v="16"/>
    <x v="2"/>
    <x v="16"/>
    <x v="17"/>
  </r>
  <r>
    <x v="124"/>
    <x v="99"/>
    <x v="101"/>
    <x v="14"/>
    <x v="12"/>
    <x v="2"/>
    <x v="13"/>
    <x v="13"/>
  </r>
  <r>
    <x v="125"/>
    <x v="100"/>
    <x v="102"/>
    <x v="28"/>
    <x v="17"/>
    <x v="0"/>
    <x v="17"/>
    <x v="18"/>
  </r>
  <r>
    <x v="125"/>
    <x v="100"/>
    <x v="102"/>
    <x v="12"/>
    <x v="10"/>
    <x v="0"/>
    <x v="12"/>
    <x v="12"/>
  </r>
  <r>
    <x v="125"/>
    <x v="100"/>
    <x v="102"/>
    <x v="21"/>
    <x v="18"/>
    <x v="0"/>
    <x v="12"/>
    <x v="12"/>
  </r>
  <r>
    <x v="125"/>
    <x v="100"/>
    <x v="102"/>
    <x v="13"/>
    <x v="11"/>
    <x v="0"/>
    <x v="12"/>
    <x v="12"/>
  </r>
  <r>
    <x v="125"/>
    <x v="100"/>
    <x v="102"/>
    <x v="29"/>
    <x v="0"/>
    <x v="0"/>
    <x v="12"/>
    <x v="12"/>
  </r>
  <r>
    <x v="125"/>
    <x v="100"/>
    <x v="102"/>
    <x v="2"/>
    <x v="0"/>
    <x v="0"/>
    <x v="2"/>
    <x v="14"/>
  </r>
  <r>
    <x v="125"/>
    <x v="100"/>
    <x v="102"/>
    <x v="28"/>
    <x v="17"/>
    <x v="0"/>
    <x v="17"/>
    <x v="18"/>
  </r>
  <r>
    <x v="125"/>
    <x v="100"/>
    <x v="102"/>
    <x v="12"/>
    <x v="10"/>
    <x v="0"/>
    <x v="12"/>
    <x v="12"/>
  </r>
  <r>
    <x v="125"/>
    <x v="100"/>
    <x v="102"/>
    <x v="21"/>
    <x v="18"/>
    <x v="0"/>
    <x v="12"/>
    <x v="12"/>
  </r>
  <r>
    <x v="125"/>
    <x v="100"/>
    <x v="102"/>
    <x v="13"/>
    <x v="11"/>
    <x v="0"/>
    <x v="12"/>
    <x v="12"/>
  </r>
  <r>
    <x v="125"/>
    <x v="100"/>
    <x v="102"/>
    <x v="9"/>
    <x v="7"/>
    <x v="0"/>
    <x v="9"/>
    <x v="9"/>
  </r>
  <r>
    <x v="125"/>
    <x v="100"/>
    <x v="102"/>
    <x v="2"/>
    <x v="0"/>
    <x v="0"/>
    <x v="2"/>
    <x v="14"/>
  </r>
  <r>
    <x v="125"/>
    <x v="100"/>
    <x v="102"/>
    <x v="93"/>
    <x v="93"/>
    <x v="2"/>
    <x v="92"/>
    <x v="122"/>
  </r>
  <r>
    <x v="125"/>
    <x v="100"/>
    <x v="102"/>
    <x v="35"/>
    <x v="30"/>
    <x v="0"/>
    <x v="29"/>
    <x v="124"/>
  </r>
  <r>
    <x v="125"/>
    <x v="100"/>
    <x v="102"/>
    <x v="31"/>
    <x v="25"/>
    <x v="0"/>
    <x v="27"/>
    <x v="77"/>
  </r>
  <r>
    <x v="126"/>
    <x v="101"/>
    <x v="103"/>
    <x v="14"/>
    <x v="12"/>
    <x v="2"/>
    <x v="13"/>
    <x v="13"/>
  </r>
  <r>
    <x v="127"/>
    <x v="102"/>
    <x v="104"/>
    <x v="3"/>
    <x v="1"/>
    <x v="2"/>
    <x v="3"/>
    <x v="3"/>
  </r>
  <r>
    <x v="128"/>
    <x v="102"/>
    <x v="105"/>
    <x v="14"/>
    <x v="12"/>
    <x v="2"/>
    <x v="13"/>
    <x v="13"/>
  </r>
  <r>
    <x v="129"/>
    <x v="103"/>
    <x v="106"/>
    <x v="93"/>
    <x v="93"/>
    <x v="1"/>
    <x v="102"/>
    <x v="148"/>
  </r>
  <r>
    <x v="129"/>
    <x v="103"/>
    <x v="106"/>
    <x v="7"/>
    <x v="5"/>
    <x v="1"/>
    <x v="61"/>
    <x v="149"/>
  </r>
  <r>
    <x v="129"/>
    <x v="103"/>
    <x v="106"/>
    <x v="14"/>
    <x v="12"/>
    <x v="6"/>
    <x v="40"/>
    <x v="150"/>
  </r>
  <r>
    <x v="129"/>
    <x v="103"/>
    <x v="106"/>
    <x v="6"/>
    <x v="4"/>
    <x v="2"/>
    <x v="103"/>
    <x v="151"/>
  </r>
  <r>
    <x v="130"/>
    <x v="104"/>
    <x v="107"/>
    <x v="35"/>
    <x v="30"/>
    <x v="2"/>
    <x v="29"/>
    <x v="35"/>
  </r>
  <r>
    <x v="130"/>
    <x v="104"/>
    <x v="107"/>
    <x v="31"/>
    <x v="25"/>
    <x v="2"/>
    <x v="27"/>
    <x v="33"/>
  </r>
  <r>
    <x v="131"/>
    <x v="77"/>
    <x v="108"/>
    <x v="32"/>
    <x v="26"/>
    <x v="0"/>
    <x v="26"/>
    <x v="29"/>
  </r>
  <r>
    <x v="131"/>
    <x v="77"/>
    <x v="108"/>
    <x v="31"/>
    <x v="25"/>
    <x v="0"/>
    <x v="27"/>
    <x v="77"/>
  </r>
  <r>
    <x v="132"/>
    <x v="45"/>
    <x v="109"/>
    <x v="14"/>
    <x v="12"/>
    <x v="2"/>
    <x v="40"/>
    <x v="53"/>
  </r>
  <r>
    <x v="132"/>
    <x v="45"/>
    <x v="109"/>
    <x v="6"/>
    <x v="4"/>
    <x v="2"/>
    <x v="104"/>
    <x v="152"/>
  </r>
</pivotCacheRecords>
</file>

<file path=xl/pivotCache/pivotCacheRecords44.xml><?xml version="1.0" encoding="utf-8"?>
<pivotCacheRecords xmlns:r="http://schemas.openxmlformats.org/officeDocument/2006/relationships" xmlns="http://schemas.openxmlformats.org/spreadsheetml/2006/main" count="385">
  <r>
    <x v="0"/>
    <x v="0"/>
    <x v="0"/>
  </r>
  <r>
    <x v="1"/>
    <x v="0"/>
    <x v="0"/>
  </r>
  <r>
    <x v="2"/>
    <x v="0"/>
    <x v="1"/>
  </r>
  <r>
    <x v="3"/>
    <x v="1"/>
    <x v="2"/>
  </r>
  <r>
    <x v="4"/>
    <x v="2"/>
    <x v="2"/>
  </r>
  <r>
    <x v="5"/>
    <x v="3"/>
    <x v="3"/>
  </r>
  <r>
    <x v="6"/>
    <x v="4"/>
    <x v="2"/>
  </r>
  <r>
    <x v="7"/>
    <x v="5"/>
    <x v="2"/>
  </r>
  <r>
    <x v="8"/>
    <x v="6"/>
    <x v="0"/>
  </r>
  <r>
    <x v="9"/>
    <x v="7"/>
    <x v="0"/>
  </r>
  <r>
    <x v="10"/>
    <x v="8"/>
    <x v="4"/>
  </r>
  <r>
    <x v="11"/>
    <x v="9"/>
    <x v="0"/>
  </r>
  <r>
    <x v="12"/>
    <x v="10"/>
    <x v="0"/>
  </r>
  <r>
    <x v="13"/>
    <x v="11"/>
    <x v="0"/>
  </r>
  <r>
    <x v="14"/>
    <x v="12"/>
    <x v="2"/>
  </r>
  <r>
    <x v="15"/>
    <x v="0"/>
    <x v="0"/>
  </r>
  <r>
    <x v="16"/>
    <x v="13"/>
    <x v="0"/>
  </r>
  <r>
    <x v="17"/>
    <x v="14"/>
    <x v="0"/>
  </r>
  <r>
    <x v="18"/>
    <x v="15"/>
    <x v="0"/>
  </r>
  <r>
    <x v="19"/>
    <x v="16"/>
    <x v="2"/>
  </r>
  <r>
    <x v="20"/>
    <x v="17"/>
    <x v="0"/>
  </r>
  <r>
    <x v="12"/>
    <x v="10"/>
    <x v="0"/>
  </r>
  <r>
    <x v="21"/>
    <x v="18"/>
    <x v="0"/>
  </r>
  <r>
    <x v="13"/>
    <x v="11"/>
    <x v="0"/>
  </r>
  <r>
    <x v="0"/>
    <x v="0"/>
    <x v="0"/>
  </r>
  <r>
    <x v="22"/>
    <x v="0"/>
    <x v="0"/>
  </r>
  <r>
    <x v="23"/>
    <x v="19"/>
    <x v="0"/>
  </r>
  <r>
    <x v="15"/>
    <x v="0"/>
    <x v="2"/>
  </r>
  <r>
    <x v="13"/>
    <x v="11"/>
    <x v="2"/>
  </r>
  <r>
    <x v="24"/>
    <x v="20"/>
    <x v="0"/>
  </r>
  <r>
    <x v="25"/>
    <x v="21"/>
    <x v="4"/>
  </r>
  <r>
    <x v="26"/>
    <x v="22"/>
    <x v="4"/>
  </r>
  <r>
    <x v="27"/>
    <x v="23"/>
    <x v="4"/>
  </r>
  <r>
    <x v="6"/>
    <x v="4"/>
    <x v="2"/>
  </r>
  <r>
    <x v="28"/>
    <x v="17"/>
    <x v="5"/>
  </r>
  <r>
    <x v="12"/>
    <x v="10"/>
    <x v="5"/>
  </r>
  <r>
    <x v="21"/>
    <x v="18"/>
    <x v="5"/>
  </r>
  <r>
    <x v="29"/>
    <x v="0"/>
    <x v="5"/>
  </r>
  <r>
    <x v="13"/>
    <x v="11"/>
    <x v="5"/>
  </r>
  <r>
    <x v="4"/>
    <x v="2"/>
    <x v="2"/>
  </r>
  <r>
    <x v="30"/>
    <x v="24"/>
    <x v="2"/>
  </r>
  <r>
    <x v="30"/>
    <x v="24"/>
    <x v="0"/>
  </r>
  <r>
    <x v="8"/>
    <x v="6"/>
    <x v="2"/>
  </r>
  <r>
    <x v="29"/>
    <x v="0"/>
    <x v="2"/>
  </r>
  <r>
    <x v="11"/>
    <x v="9"/>
    <x v="2"/>
  </r>
  <r>
    <x v="12"/>
    <x v="10"/>
    <x v="2"/>
  </r>
  <r>
    <x v="13"/>
    <x v="11"/>
    <x v="2"/>
  </r>
  <r>
    <x v="4"/>
    <x v="2"/>
    <x v="2"/>
  </r>
  <r>
    <x v="1"/>
    <x v="0"/>
    <x v="2"/>
  </r>
  <r>
    <x v="31"/>
    <x v="25"/>
    <x v="2"/>
  </r>
  <r>
    <x v="32"/>
    <x v="26"/>
    <x v="2"/>
  </r>
  <r>
    <x v="31"/>
    <x v="25"/>
    <x v="2"/>
  </r>
  <r>
    <x v="27"/>
    <x v="27"/>
    <x v="4"/>
  </r>
  <r>
    <x v="26"/>
    <x v="22"/>
    <x v="4"/>
  </r>
  <r>
    <x v="25"/>
    <x v="21"/>
    <x v="4"/>
  </r>
  <r>
    <x v="4"/>
    <x v="2"/>
    <x v="2"/>
  </r>
  <r>
    <x v="33"/>
    <x v="28"/>
    <x v="2"/>
  </r>
  <r>
    <x v="34"/>
    <x v="29"/>
    <x v="2"/>
  </r>
  <r>
    <x v="35"/>
    <x v="30"/>
    <x v="2"/>
  </r>
  <r>
    <x v="36"/>
    <x v="31"/>
    <x v="2"/>
  </r>
  <r>
    <x v="30"/>
    <x v="24"/>
    <x v="0"/>
  </r>
  <r>
    <x v="37"/>
    <x v="32"/>
    <x v="2"/>
  </r>
  <r>
    <x v="38"/>
    <x v="33"/>
    <x v="0"/>
  </r>
  <r>
    <x v="39"/>
    <x v="34"/>
    <x v="6"/>
  </r>
  <r>
    <x v="6"/>
    <x v="4"/>
    <x v="2"/>
  </r>
  <r>
    <x v="40"/>
    <x v="35"/>
    <x v="2"/>
  </r>
  <r>
    <x v="41"/>
    <x v="2"/>
    <x v="2"/>
  </r>
  <r>
    <x v="41"/>
    <x v="2"/>
    <x v="2"/>
  </r>
  <r>
    <x v="8"/>
    <x v="6"/>
    <x v="6"/>
  </r>
  <r>
    <x v="9"/>
    <x v="7"/>
    <x v="6"/>
  </r>
  <r>
    <x v="12"/>
    <x v="10"/>
    <x v="6"/>
  </r>
  <r>
    <x v="13"/>
    <x v="11"/>
    <x v="6"/>
  </r>
  <r>
    <x v="14"/>
    <x v="12"/>
    <x v="2"/>
  </r>
  <r>
    <x v="35"/>
    <x v="30"/>
    <x v="6"/>
  </r>
  <r>
    <x v="31"/>
    <x v="25"/>
    <x v="6"/>
  </r>
  <r>
    <x v="42"/>
    <x v="36"/>
    <x v="6"/>
  </r>
  <r>
    <x v="23"/>
    <x v="19"/>
    <x v="4"/>
  </r>
  <r>
    <x v="43"/>
    <x v="37"/>
    <x v="6"/>
  </r>
  <r>
    <x v="44"/>
    <x v="0"/>
    <x v="0"/>
  </r>
  <r>
    <x v="13"/>
    <x v="11"/>
    <x v="0"/>
  </r>
  <r>
    <x v="45"/>
    <x v="38"/>
    <x v="0"/>
  </r>
  <r>
    <x v="34"/>
    <x v="29"/>
    <x v="0"/>
  </r>
  <r>
    <x v="46"/>
    <x v="0"/>
    <x v="2"/>
  </r>
  <r>
    <x v="41"/>
    <x v="2"/>
    <x v="2"/>
  </r>
  <r>
    <x v="47"/>
    <x v="0"/>
    <x v="0"/>
  </r>
  <r>
    <x v="48"/>
    <x v="39"/>
    <x v="2"/>
  </r>
  <r>
    <x v="19"/>
    <x v="16"/>
    <x v="2"/>
  </r>
  <r>
    <x v="40"/>
    <x v="35"/>
    <x v="2"/>
  </r>
  <r>
    <x v="49"/>
    <x v="40"/>
    <x v="0"/>
  </r>
  <r>
    <x v="29"/>
    <x v="41"/>
    <x v="0"/>
  </r>
  <r>
    <x v="21"/>
    <x v="18"/>
    <x v="0"/>
  </r>
  <r>
    <x v="50"/>
    <x v="42"/>
    <x v="0"/>
  </r>
  <r>
    <x v="12"/>
    <x v="10"/>
    <x v="0"/>
  </r>
  <r>
    <x v="6"/>
    <x v="4"/>
    <x v="2"/>
  </r>
  <r>
    <x v="21"/>
    <x v="18"/>
    <x v="0"/>
  </r>
  <r>
    <x v="12"/>
    <x v="10"/>
    <x v="0"/>
  </r>
  <r>
    <x v="28"/>
    <x v="17"/>
    <x v="0"/>
  </r>
  <r>
    <x v="9"/>
    <x v="43"/>
    <x v="0"/>
  </r>
  <r>
    <x v="13"/>
    <x v="11"/>
    <x v="0"/>
  </r>
  <r>
    <x v="51"/>
    <x v="44"/>
    <x v="6"/>
  </r>
  <r>
    <x v="52"/>
    <x v="45"/>
    <x v="6"/>
  </r>
  <r>
    <x v="53"/>
    <x v="46"/>
    <x v="6"/>
  </r>
  <r>
    <x v="54"/>
    <x v="47"/>
    <x v="6"/>
  </r>
  <r>
    <x v="6"/>
    <x v="4"/>
    <x v="2"/>
  </r>
  <r>
    <x v="4"/>
    <x v="48"/>
    <x v="7"/>
  </r>
  <r>
    <x v="55"/>
    <x v="49"/>
    <x v="0"/>
  </r>
  <r>
    <x v="19"/>
    <x v="16"/>
    <x v="2"/>
  </r>
  <r>
    <x v="32"/>
    <x v="26"/>
    <x v="2"/>
  </r>
  <r>
    <x v="31"/>
    <x v="25"/>
    <x v="2"/>
  </r>
  <r>
    <x v="23"/>
    <x v="19"/>
    <x v="4"/>
  </r>
  <r>
    <x v="14"/>
    <x v="12"/>
    <x v="2"/>
  </r>
  <r>
    <x v="28"/>
    <x v="17"/>
    <x v="2"/>
  </r>
  <r>
    <x v="12"/>
    <x v="10"/>
    <x v="2"/>
  </r>
  <r>
    <x v="21"/>
    <x v="18"/>
    <x v="2"/>
  </r>
  <r>
    <x v="13"/>
    <x v="11"/>
    <x v="2"/>
  </r>
  <r>
    <x v="29"/>
    <x v="0"/>
    <x v="2"/>
  </r>
  <r>
    <x v="2"/>
    <x v="0"/>
    <x v="2"/>
  </r>
  <r>
    <x v="28"/>
    <x v="17"/>
    <x v="2"/>
  </r>
  <r>
    <x v="12"/>
    <x v="10"/>
    <x v="2"/>
  </r>
  <r>
    <x v="21"/>
    <x v="18"/>
    <x v="2"/>
  </r>
  <r>
    <x v="13"/>
    <x v="11"/>
    <x v="2"/>
  </r>
  <r>
    <x v="29"/>
    <x v="0"/>
    <x v="2"/>
  </r>
  <r>
    <x v="14"/>
    <x v="12"/>
    <x v="2"/>
  </r>
  <r>
    <x v="4"/>
    <x v="2"/>
    <x v="0"/>
  </r>
  <r>
    <x v="56"/>
    <x v="50"/>
    <x v="2"/>
  </r>
  <r>
    <x v="57"/>
    <x v="51"/>
    <x v="2"/>
  </r>
  <r>
    <x v="58"/>
    <x v="52"/>
    <x v="2"/>
  </r>
  <r>
    <x v="59"/>
    <x v="53"/>
    <x v="7"/>
  </r>
  <r>
    <x v="27"/>
    <x v="54"/>
    <x v="4"/>
  </r>
  <r>
    <x v="27"/>
    <x v="54"/>
    <x v="0"/>
  </r>
  <r>
    <x v="26"/>
    <x v="22"/>
    <x v="0"/>
  </r>
  <r>
    <x v="25"/>
    <x v="21"/>
    <x v="0"/>
  </r>
  <r>
    <x v="60"/>
    <x v="55"/>
    <x v="2"/>
  </r>
  <r>
    <x v="61"/>
    <x v="56"/>
    <x v="2"/>
  </r>
  <r>
    <x v="6"/>
    <x v="4"/>
    <x v="2"/>
  </r>
  <r>
    <x v="0"/>
    <x v="0"/>
    <x v="2"/>
  </r>
  <r>
    <x v="1"/>
    <x v="0"/>
    <x v="2"/>
  </r>
  <r>
    <x v="16"/>
    <x v="13"/>
    <x v="0"/>
  </r>
  <r>
    <x v="17"/>
    <x v="14"/>
    <x v="0"/>
  </r>
  <r>
    <x v="32"/>
    <x v="26"/>
    <x v="2"/>
  </r>
  <r>
    <x v="31"/>
    <x v="25"/>
    <x v="2"/>
  </r>
  <r>
    <x v="19"/>
    <x v="16"/>
    <x v="2"/>
  </r>
  <r>
    <x v="62"/>
    <x v="57"/>
    <x v="4"/>
  </r>
  <r>
    <x v="23"/>
    <x v="19"/>
    <x v="4"/>
  </r>
  <r>
    <x v="34"/>
    <x v="29"/>
    <x v="2"/>
  </r>
  <r>
    <x v="53"/>
    <x v="46"/>
    <x v="2"/>
  </r>
  <r>
    <x v="52"/>
    <x v="45"/>
    <x v="2"/>
  </r>
  <r>
    <x v="14"/>
    <x v="12"/>
    <x v="2"/>
  </r>
  <r>
    <x v="6"/>
    <x v="4"/>
    <x v="2"/>
  </r>
  <r>
    <x v="43"/>
    <x v="37"/>
    <x v="8"/>
  </r>
  <r>
    <x v="14"/>
    <x v="12"/>
    <x v="5"/>
  </r>
  <r>
    <x v="6"/>
    <x v="4"/>
    <x v="2"/>
  </r>
  <r>
    <x v="32"/>
    <x v="26"/>
    <x v="2"/>
  </r>
  <r>
    <x v="31"/>
    <x v="25"/>
    <x v="2"/>
  </r>
  <r>
    <x v="41"/>
    <x v="2"/>
    <x v="2"/>
  </r>
  <r>
    <x v="9"/>
    <x v="7"/>
    <x v="2"/>
  </r>
  <r>
    <x v="13"/>
    <x v="11"/>
    <x v="2"/>
  </r>
  <r>
    <x v="14"/>
    <x v="12"/>
    <x v="2"/>
  </r>
  <r>
    <x v="19"/>
    <x v="16"/>
    <x v="2"/>
  </r>
  <r>
    <x v="1"/>
    <x v="0"/>
    <x v="0"/>
  </r>
  <r>
    <x v="51"/>
    <x v="44"/>
    <x v="0"/>
  </r>
  <r>
    <x v="63"/>
    <x v="58"/>
    <x v="5"/>
  </r>
  <r>
    <x v="19"/>
    <x v="16"/>
    <x v="2"/>
  </r>
  <r>
    <x v="30"/>
    <x v="24"/>
    <x v="2"/>
  </r>
  <r>
    <x v="31"/>
    <x v="25"/>
    <x v="2"/>
  </r>
  <r>
    <x v="43"/>
    <x v="37"/>
    <x v="6"/>
  </r>
  <r>
    <x v="8"/>
    <x v="6"/>
    <x v="4"/>
  </r>
  <r>
    <x v="9"/>
    <x v="7"/>
    <x v="4"/>
  </r>
  <r>
    <x v="12"/>
    <x v="10"/>
    <x v="4"/>
  </r>
  <r>
    <x v="23"/>
    <x v="19"/>
    <x v="4"/>
  </r>
  <r>
    <x v="31"/>
    <x v="25"/>
    <x v="9"/>
  </r>
  <r>
    <x v="18"/>
    <x v="15"/>
    <x v="2"/>
  </r>
  <r>
    <x v="6"/>
    <x v="4"/>
    <x v="2"/>
  </r>
  <r>
    <x v="8"/>
    <x v="6"/>
    <x v="2"/>
  </r>
  <r>
    <x v="29"/>
    <x v="0"/>
    <x v="2"/>
  </r>
  <r>
    <x v="11"/>
    <x v="9"/>
    <x v="2"/>
  </r>
  <r>
    <x v="12"/>
    <x v="10"/>
    <x v="2"/>
  </r>
  <r>
    <x v="13"/>
    <x v="11"/>
    <x v="2"/>
  </r>
  <r>
    <x v="14"/>
    <x v="12"/>
    <x v="2"/>
  </r>
  <r>
    <x v="30"/>
    <x v="24"/>
    <x v="2"/>
  </r>
  <r>
    <x v="30"/>
    <x v="24"/>
    <x v="2"/>
  </r>
  <r>
    <x v="32"/>
    <x v="26"/>
    <x v="2"/>
  </r>
  <r>
    <x v="31"/>
    <x v="25"/>
    <x v="2"/>
  </r>
  <r>
    <x v="31"/>
    <x v="25"/>
    <x v="0"/>
  </r>
  <r>
    <x v="28"/>
    <x v="17"/>
    <x v="3"/>
  </r>
  <r>
    <x v="21"/>
    <x v="18"/>
    <x v="3"/>
  </r>
  <r>
    <x v="10"/>
    <x v="8"/>
    <x v="3"/>
  </r>
  <r>
    <x v="1"/>
    <x v="0"/>
    <x v="0"/>
  </r>
  <r>
    <x v="22"/>
    <x v="0"/>
    <x v="10"/>
  </r>
  <r>
    <x v="46"/>
    <x v="0"/>
    <x v="0"/>
  </r>
  <r>
    <x v="32"/>
    <x v="26"/>
    <x v="0"/>
  </r>
  <r>
    <x v="31"/>
    <x v="25"/>
    <x v="11"/>
  </r>
  <r>
    <x v="51"/>
    <x v="44"/>
    <x v="0"/>
  </r>
  <r>
    <x v="63"/>
    <x v="58"/>
    <x v="4"/>
  </r>
  <r>
    <x v="64"/>
    <x v="59"/>
    <x v="0"/>
  </r>
  <r>
    <x v="62"/>
    <x v="57"/>
    <x v="12"/>
  </r>
  <r>
    <x v="65"/>
    <x v="60"/>
    <x v="0"/>
  </r>
  <r>
    <x v="29"/>
    <x v="0"/>
    <x v="12"/>
  </r>
  <r>
    <x v="12"/>
    <x v="10"/>
    <x v="7"/>
  </r>
  <r>
    <x v="23"/>
    <x v="19"/>
    <x v="13"/>
  </r>
  <r>
    <x v="66"/>
    <x v="4"/>
    <x v="2"/>
  </r>
  <r>
    <x v="67"/>
    <x v="61"/>
    <x v="0"/>
  </r>
  <r>
    <x v="68"/>
    <x v="62"/>
    <x v="0"/>
  </r>
  <r>
    <x v="64"/>
    <x v="59"/>
    <x v="0"/>
  </r>
  <r>
    <x v="6"/>
    <x v="4"/>
    <x v="2"/>
  </r>
  <r>
    <x v="4"/>
    <x v="2"/>
    <x v="2"/>
  </r>
  <r>
    <x v="19"/>
    <x v="16"/>
    <x v="2"/>
  </r>
  <r>
    <x v="4"/>
    <x v="2"/>
    <x v="2"/>
  </r>
  <r>
    <x v="3"/>
    <x v="1"/>
    <x v="0"/>
  </r>
  <r>
    <x v="31"/>
    <x v="25"/>
    <x v="2"/>
  </r>
  <r>
    <x v="23"/>
    <x v="19"/>
    <x v="0"/>
  </r>
  <r>
    <x v="4"/>
    <x v="2"/>
    <x v="2"/>
  </r>
  <r>
    <x v="35"/>
    <x v="30"/>
    <x v="14"/>
  </r>
  <r>
    <x v="31"/>
    <x v="25"/>
    <x v="14"/>
  </r>
  <r>
    <x v="4"/>
    <x v="2"/>
    <x v="2"/>
  </r>
  <r>
    <x v="69"/>
    <x v="63"/>
    <x v="3"/>
  </r>
  <r>
    <x v="70"/>
    <x v="64"/>
    <x v="7"/>
  </r>
  <r>
    <x v="6"/>
    <x v="4"/>
    <x v="2"/>
  </r>
  <r>
    <x v="35"/>
    <x v="30"/>
    <x v="2"/>
  </r>
  <r>
    <x v="31"/>
    <x v="25"/>
    <x v="2"/>
  </r>
  <r>
    <x v="15"/>
    <x v="0"/>
    <x v="0"/>
  </r>
  <r>
    <x v="13"/>
    <x v="11"/>
    <x v="0"/>
  </r>
  <r>
    <x v="8"/>
    <x v="6"/>
    <x v="2"/>
  </r>
  <r>
    <x v="29"/>
    <x v="0"/>
    <x v="2"/>
  </r>
  <r>
    <x v="12"/>
    <x v="10"/>
    <x v="2"/>
  </r>
  <r>
    <x v="13"/>
    <x v="11"/>
    <x v="2"/>
  </r>
  <r>
    <x v="28"/>
    <x v="17"/>
    <x v="0"/>
  </r>
  <r>
    <x v="12"/>
    <x v="10"/>
    <x v="0"/>
  </r>
  <r>
    <x v="21"/>
    <x v="18"/>
    <x v="0"/>
  </r>
  <r>
    <x v="13"/>
    <x v="11"/>
    <x v="0"/>
  </r>
  <r>
    <x v="29"/>
    <x v="0"/>
    <x v="0"/>
  </r>
  <r>
    <x v="14"/>
    <x v="12"/>
    <x v="2"/>
  </r>
  <r>
    <x v="19"/>
    <x v="16"/>
    <x v="2"/>
  </r>
  <r>
    <x v="30"/>
    <x v="24"/>
    <x v="2"/>
  </r>
  <r>
    <x v="23"/>
    <x v="19"/>
    <x v="2"/>
  </r>
  <r>
    <x v="3"/>
    <x v="1"/>
    <x v="0"/>
  </r>
  <r>
    <x v="16"/>
    <x v="13"/>
    <x v="4"/>
  </r>
  <r>
    <x v="71"/>
    <x v="65"/>
    <x v="2"/>
  </r>
  <r>
    <x v="21"/>
    <x v="18"/>
    <x v="15"/>
  </r>
  <r>
    <x v="72"/>
    <x v="66"/>
    <x v="16"/>
  </r>
  <r>
    <x v="73"/>
    <x v="67"/>
    <x v="17"/>
  </r>
  <r>
    <x v="74"/>
    <x v="68"/>
    <x v="17"/>
  </r>
  <r>
    <x v="75"/>
    <x v="69"/>
    <x v="0"/>
  </r>
  <r>
    <x v="76"/>
    <x v="70"/>
    <x v="7"/>
  </r>
  <r>
    <x v="77"/>
    <x v="71"/>
    <x v="7"/>
  </r>
  <r>
    <x v="78"/>
    <x v="4"/>
    <x v="2"/>
  </r>
  <r>
    <x v="79"/>
    <x v="72"/>
    <x v="2"/>
  </r>
  <r>
    <x v="80"/>
    <x v="73"/>
    <x v="2"/>
  </r>
  <r>
    <x v="81"/>
    <x v="74"/>
    <x v="3"/>
  </r>
  <r>
    <x v="82"/>
    <x v="75"/>
    <x v="3"/>
  </r>
  <r>
    <x v="83"/>
    <x v="76"/>
    <x v="1"/>
  </r>
  <r>
    <x v="84"/>
    <x v="77"/>
    <x v="18"/>
  </r>
  <r>
    <x v="85"/>
    <x v="78"/>
    <x v="2"/>
  </r>
  <r>
    <x v="86"/>
    <x v="79"/>
    <x v="2"/>
  </r>
  <r>
    <x v="87"/>
    <x v="80"/>
    <x v="2"/>
  </r>
  <r>
    <x v="88"/>
    <x v="81"/>
    <x v="2"/>
  </r>
  <r>
    <x v="88"/>
    <x v="82"/>
    <x v="2"/>
  </r>
  <r>
    <x v="88"/>
    <x v="83"/>
    <x v="2"/>
  </r>
  <r>
    <x v="88"/>
    <x v="84"/>
    <x v="2"/>
  </r>
  <r>
    <x v="88"/>
    <x v="85"/>
    <x v="2"/>
  </r>
  <r>
    <x v="88"/>
    <x v="86"/>
    <x v="2"/>
  </r>
  <r>
    <x v="88"/>
    <x v="87"/>
    <x v="2"/>
  </r>
  <r>
    <x v="88"/>
    <x v="88"/>
    <x v="2"/>
  </r>
  <r>
    <x v="88"/>
    <x v="89"/>
    <x v="2"/>
  </r>
  <r>
    <x v="88"/>
    <x v="90"/>
    <x v="2"/>
  </r>
  <r>
    <x v="89"/>
    <x v="4"/>
    <x v="12"/>
  </r>
  <r>
    <x v="6"/>
    <x v="4"/>
    <x v="2"/>
  </r>
  <r>
    <x v="32"/>
    <x v="26"/>
    <x v="0"/>
  </r>
  <r>
    <x v="31"/>
    <x v="25"/>
    <x v="0"/>
  </r>
  <r>
    <x v="4"/>
    <x v="2"/>
    <x v="0"/>
  </r>
  <r>
    <x v="6"/>
    <x v="4"/>
    <x v="2"/>
  </r>
  <r>
    <x v="18"/>
    <x v="15"/>
    <x v="2"/>
  </r>
  <r>
    <x v="90"/>
    <x v="91"/>
    <x v="2"/>
  </r>
  <r>
    <x v="1"/>
    <x v="0"/>
    <x v="2"/>
  </r>
  <r>
    <x v="45"/>
    <x v="38"/>
    <x v="2"/>
  </r>
  <r>
    <x v="34"/>
    <x v="29"/>
    <x v="2"/>
  </r>
  <r>
    <x v="30"/>
    <x v="24"/>
    <x v="2"/>
  </r>
  <r>
    <x v="45"/>
    <x v="38"/>
    <x v="2"/>
  </r>
  <r>
    <x v="32"/>
    <x v="26"/>
    <x v="0"/>
  </r>
  <r>
    <x v="31"/>
    <x v="25"/>
    <x v="0"/>
  </r>
  <r>
    <x v="4"/>
    <x v="2"/>
    <x v="2"/>
  </r>
  <r>
    <x v="91"/>
    <x v="92"/>
    <x v="5"/>
  </r>
  <r>
    <x v="6"/>
    <x v="4"/>
    <x v="2"/>
  </r>
  <r>
    <x v="16"/>
    <x v="13"/>
    <x v="2"/>
  </r>
  <r>
    <x v="17"/>
    <x v="14"/>
    <x v="2"/>
  </r>
  <r>
    <x v="3"/>
    <x v="1"/>
    <x v="2"/>
  </r>
  <r>
    <x v="45"/>
    <x v="38"/>
    <x v="2"/>
  </r>
  <r>
    <x v="9"/>
    <x v="7"/>
    <x v="2"/>
  </r>
  <r>
    <x v="4"/>
    <x v="2"/>
    <x v="2"/>
  </r>
  <r>
    <x v="4"/>
    <x v="2"/>
    <x v="2"/>
  </r>
  <r>
    <x v="14"/>
    <x v="12"/>
    <x v="2"/>
  </r>
  <r>
    <x v="46"/>
    <x v="0"/>
    <x v="5"/>
  </r>
  <r>
    <x v="6"/>
    <x v="4"/>
    <x v="2"/>
  </r>
  <r>
    <x v="14"/>
    <x v="12"/>
    <x v="2"/>
  </r>
  <r>
    <x v="92"/>
    <x v="4"/>
    <x v="2"/>
  </r>
  <r>
    <x v="93"/>
    <x v="93"/>
    <x v="2"/>
  </r>
  <r>
    <x v="31"/>
    <x v="25"/>
    <x v="4"/>
  </r>
  <r>
    <x v="35"/>
    <x v="30"/>
    <x v="0"/>
  </r>
  <r>
    <x v="31"/>
    <x v="25"/>
    <x v="0"/>
  </r>
  <r>
    <x v="43"/>
    <x v="37"/>
    <x v="6"/>
  </r>
  <r>
    <x v="19"/>
    <x v="16"/>
    <x v="2"/>
  </r>
  <r>
    <x v="35"/>
    <x v="30"/>
    <x v="12"/>
  </r>
  <r>
    <x v="31"/>
    <x v="25"/>
    <x v="12"/>
  </r>
  <r>
    <x v="9"/>
    <x v="7"/>
    <x v="4"/>
  </r>
  <r>
    <x v="16"/>
    <x v="13"/>
    <x v="5"/>
  </r>
  <r>
    <x v="10"/>
    <x v="94"/>
    <x v="5"/>
  </r>
  <r>
    <x v="12"/>
    <x v="10"/>
    <x v="5"/>
  </r>
  <r>
    <x v="29"/>
    <x v="0"/>
    <x v="5"/>
  </r>
  <r>
    <x v="23"/>
    <x v="19"/>
    <x v="5"/>
  </r>
  <r>
    <x v="31"/>
    <x v="25"/>
    <x v="5"/>
  </r>
  <r>
    <x v="6"/>
    <x v="4"/>
    <x v="2"/>
  </r>
  <r>
    <x v="8"/>
    <x v="6"/>
    <x v="4"/>
  </r>
  <r>
    <x v="1"/>
    <x v="0"/>
    <x v="4"/>
  </r>
  <r>
    <x v="11"/>
    <x v="9"/>
    <x v="15"/>
  </r>
  <r>
    <x v="12"/>
    <x v="10"/>
    <x v="4"/>
  </r>
  <r>
    <x v="13"/>
    <x v="95"/>
    <x v="4"/>
  </r>
  <r>
    <x v="78"/>
    <x v="4"/>
    <x v="2"/>
  </r>
  <r>
    <x v="42"/>
    <x v="36"/>
    <x v="19"/>
  </r>
  <r>
    <x v="6"/>
    <x v="4"/>
    <x v="2"/>
  </r>
  <r>
    <x v="32"/>
    <x v="26"/>
    <x v="0"/>
  </r>
  <r>
    <x v="31"/>
    <x v="25"/>
    <x v="0"/>
  </r>
  <r>
    <x v="33"/>
    <x v="28"/>
    <x v="0"/>
  </r>
  <r>
    <x v="19"/>
    <x v="16"/>
    <x v="2"/>
  </r>
  <r>
    <x v="18"/>
    <x v="15"/>
    <x v="2"/>
  </r>
  <r>
    <x v="23"/>
    <x v="19"/>
    <x v="1"/>
  </r>
  <r>
    <x v="2"/>
    <x v="0"/>
    <x v="0"/>
  </r>
  <r>
    <x v="13"/>
    <x v="11"/>
    <x v="0"/>
  </r>
  <r>
    <x v="30"/>
    <x v="24"/>
    <x v="0"/>
  </r>
  <r>
    <x v="94"/>
    <x v="96"/>
    <x v="4"/>
  </r>
  <r>
    <x v="95"/>
    <x v="97"/>
    <x v="4"/>
  </r>
  <r>
    <x v="96"/>
    <x v="98"/>
    <x v="4"/>
  </r>
  <r>
    <x v="97"/>
    <x v="99"/>
    <x v="2"/>
  </r>
  <r>
    <x v="98"/>
    <x v="100"/>
    <x v="2"/>
  </r>
  <r>
    <x v="99"/>
    <x v="101"/>
    <x v="0"/>
  </r>
  <r>
    <x v="100"/>
    <x v="102"/>
    <x v="0"/>
  </r>
  <r>
    <x v="4"/>
    <x v="2"/>
    <x v="0"/>
  </r>
  <r>
    <x v="6"/>
    <x v="4"/>
    <x v="2"/>
  </r>
  <r>
    <x v="101"/>
    <x v="103"/>
    <x v="7"/>
  </r>
  <r>
    <x v="102"/>
    <x v="104"/>
    <x v="7"/>
  </r>
  <r>
    <x v="103"/>
    <x v="105"/>
    <x v="0"/>
  </r>
  <r>
    <x v="42"/>
    <x v="36"/>
    <x v="0"/>
  </r>
  <r>
    <x v="41"/>
    <x v="2"/>
    <x v="2"/>
  </r>
  <r>
    <x v="28"/>
    <x v="17"/>
    <x v="4"/>
  </r>
  <r>
    <x v="2"/>
    <x v="0"/>
    <x v="4"/>
  </r>
  <r>
    <x v="1"/>
    <x v="0"/>
    <x v="0"/>
  </r>
  <r>
    <x v="9"/>
    <x v="7"/>
    <x v="2"/>
  </r>
  <r>
    <x v="31"/>
    <x v="25"/>
    <x v="7"/>
  </r>
  <r>
    <x v="35"/>
    <x v="30"/>
    <x v="12"/>
  </r>
  <r>
    <x v="43"/>
    <x v="37"/>
    <x v="12"/>
  </r>
  <r>
    <x v="6"/>
    <x v="4"/>
    <x v="2"/>
  </r>
  <r>
    <x v="14"/>
    <x v="12"/>
    <x v="2"/>
  </r>
  <r>
    <x v="8"/>
    <x v="6"/>
    <x v="0"/>
  </r>
  <r>
    <x v="29"/>
    <x v="0"/>
    <x v="0"/>
  </r>
  <r>
    <x v="12"/>
    <x v="10"/>
    <x v="0"/>
  </r>
  <r>
    <x v="13"/>
    <x v="11"/>
    <x v="0"/>
  </r>
  <r>
    <x v="19"/>
    <x v="16"/>
    <x v="2"/>
  </r>
  <r>
    <x v="14"/>
    <x v="12"/>
    <x v="2"/>
  </r>
  <r>
    <x v="28"/>
    <x v="17"/>
    <x v="0"/>
  </r>
  <r>
    <x v="12"/>
    <x v="10"/>
    <x v="0"/>
  </r>
  <r>
    <x v="21"/>
    <x v="18"/>
    <x v="0"/>
  </r>
  <r>
    <x v="13"/>
    <x v="11"/>
    <x v="0"/>
  </r>
  <r>
    <x v="29"/>
    <x v="0"/>
    <x v="0"/>
  </r>
  <r>
    <x v="2"/>
    <x v="0"/>
    <x v="0"/>
  </r>
  <r>
    <x v="28"/>
    <x v="17"/>
    <x v="0"/>
  </r>
  <r>
    <x v="12"/>
    <x v="10"/>
    <x v="0"/>
  </r>
  <r>
    <x v="21"/>
    <x v="18"/>
    <x v="0"/>
  </r>
  <r>
    <x v="13"/>
    <x v="11"/>
    <x v="0"/>
  </r>
  <r>
    <x v="9"/>
    <x v="7"/>
    <x v="0"/>
  </r>
  <r>
    <x v="2"/>
    <x v="0"/>
    <x v="0"/>
  </r>
  <r>
    <x v="93"/>
    <x v="93"/>
    <x v="2"/>
  </r>
  <r>
    <x v="35"/>
    <x v="30"/>
    <x v="0"/>
  </r>
  <r>
    <x v="31"/>
    <x v="25"/>
    <x v="0"/>
  </r>
  <r>
    <x v="14"/>
    <x v="12"/>
    <x v="2"/>
  </r>
  <r>
    <x v="3"/>
    <x v="1"/>
    <x v="2"/>
  </r>
  <r>
    <x v="14"/>
    <x v="12"/>
    <x v="2"/>
  </r>
  <r>
    <x v="93"/>
    <x v="93"/>
    <x v="1"/>
  </r>
  <r>
    <x v="7"/>
    <x v="5"/>
    <x v="1"/>
  </r>
  <r>
    <x v="14"/>
    <x v="12"/>
    <x v="6"/>
  </r>
  <r>
    <x v="6"/>
    <x v="4"/>
    <x v="2"/>
  </r>
  <r>
    <x v="35"/>
    <x v="30"/>
    <x v="2"/>
  </r>
  <r>
    <x v="31"/>
    <x v="25"/>
    <x v="2"/>
  </r>
  <r>
    <x v="32"/>
    <x v="26"/>
    <x v="0"/>
  </r>
  <r>
    <x v="31"/>
    <x v="25"/>
    <x v="0"/>
  </r>
  <r>
    <x v="14"/>
    <x v="12"/>
    <x v="2"/>
  </r>
  <r>
    <x v="6"/>
    <x v="4"/>
    <x v="2"/>
  </r>
</pivotCacheRecords>
</file>

<file path=xl/pivotCache/pivotCacheRecords45.xml><?xml version="1.0" encoding="utf-8"?>
<pivotCacheRecords xmlns:r="http://schemas.openxmlformats.org/officeDocument/2006/relationships" xmlns="http://schemas.openxmlformats.org/spreadsheetml/2006/main" count="385">
  <r>
    <x v="0"/>
    <x v="0"/>
    <x v="0"/>
    <x v="0"/>
    <x v="0"/>
  </r>
  <r>
    <x v="1"/>
    <x v="0"/>
    <x v="0"/>
    <x v="1"/>
    <x v="1"/>
  </r>
  <r>
    <x v="2"/>
    <x v="0"/>
    <x v="1"/>
    <x v="2"/>
    <x v="2"/>
  </r>
  <r>
    <x v="3"/>
    <x v="1"/>
    <x v="2"/>
    <x v="3"/>
    <x v="3"/>
  </r>
  <r>
    <x v="4"/>
    <x v="2"/>
    <x v="2"/>
    <x v="4"/>
    <x v="4"/>
  </r>
  <r>
    <x v="5"/>
    <x v="3"/>
    <x v="3"/>
    <x v="5"/>
    <x v="5"/>
  </r>
  <r>
    <x v="6"/>
    <x v="4"/>
    <x v="2"/>
    <x v="6"/>
    <x v="6"/>
  </r>
  <r>
    <x v="7"/>
    <x v="5"/>
    <x v="2"/>
    <x v="7"/>
    <x v="7"/>
  </r>
  <r>
    <x v="8"/>
    <x v="6"/>
    <x v="0"/>
    <x v="8"/>
    <x v="8"/>
  </r>
  <r>
    <x v="9"/>
    <x v="7"/>
    <x v="0"/>
    <x v="9"/>
    <x v="9"/>
  </r>
  <r>
    <x v="10"/>
    <x v="8"/>
    <x v="4"/>
    <x v="10"/>
    <x v="10"/>
  </r>
  <r>
    <x v="11"/>
    <x v="9"/>
    <x v="0"/>
    <x v="11"/>
    <x v="11"/>
  </r>
  <r>
    <x v="12"/>
    <x v="10"/>
    <x v="0"/>
    <x v="12"/>
    <x v="12"/>
  </r>
  <r>
    <x v="13"/>
    <x v="11"/>
    <x v="0"/>
    <x v="12"/>
    <x v="12"/>
  </r>
  <r>
    <x v="14"/>
    <x v="12"/>
    <x v="2"/>
    <x v="13"/>
    <x v="13"/>
  </r>
  <r>
    <x v="15"/>
    <x v="0"/>
    <x v="0"/>
    <x v="2"/>
    <x v="14"/>
  </r>
  <r>
    <x v="16"/>
    <x v="13"/>
    <x v="0"/>
    <x v="14"/>
    <x v="15"/>
  </r>
  <r>
    <x v="17"/>
    <x v="14"/>
    <x v="0"/>
    <x v="12"/>
    <x v="12"/>
  </r>
  <r>
    <x v="18"/>
    <x v="15"/>
    <x v="0"/>
    <x v="15"/>
    <x v="16"/>
  </r>
  <r>
    <x v="19"/>
    <x v="16"/>
    <x v="2"/>
    <x v="16"/>
    <x v="17"/>
  </r>
  <r>
    <x v="20"/>
    <x v="17"/>
    <x v="0"/>
    <x v="17"/>
    <x v="18"/>
  </r>
  <r>
    <x v="12"/>
    <x v="10"/>
    <x v="0"/>
    <x v="12"/>
    <x v="12"/>
  </r>
  <r>
    <x v="21"/>
    <x v="18"/>
    <x v="0"/>
    <x v="12"/>
    <x v="12"/>
  </r>
  <r>
    <x v="13"/>
    <x v="11"/>
    <x v="0"/>
    <x v="12"/>
    <x v="12"/>
  </r>
  <r>
    <x v="0"/>
    <x v="0"/>
    <x v="0"/>
    <x v="18"/>
    <x v="19"/>
  </r>
  <r>
    <x v="22"/>
    <x v="0"/>
    <x v="0"/>
    <x v="19"/>
    <x v="20"/>
  </r>
  <r>
    <x v="23"/>
    <x v="19"/>
    <x v="0"/>
    <x v="20"/>
    <x v="21"/>
  </r>
  <r>
    <x v="15"/>
    <x v="0"/>
    <x v="2"/>
    <x v="2"/>
    <x v="22"/>
  </r>
  <r>
    <x v="13"/>
    <x v="11"/>
    <x v="2"/>
    <x v="21"/>
    <x v="23"/>
  </r>
  <r>
    <x v="24"/>
    <x v="20"/>
    <x v="0"/>
    <x v="22"/>
    <x v="24"/>
  </r>
  <r>
    <x v="25"/>
    <x v="21"/>
    <x v="4"/>
    <x v="12"/>
    <x v="12"/>
  </r>
  <r>
    <x v="26"/>
    <x v="22"/>
    <x v="4"/>
    <x v="12"/>
    <x v="12"/>
  </r>
  <r>
    <x v="27"/>
    <x v="23"/>
    <x v="4"/>
    <x v="23"/>
    <x v="25"/>
  </r>
  <r>
    <x v="6"/>
    <x v="4"/>
    <x v="2"/>
    <x v="24"/>
    <x v="26"/>
  </r>
  <r>
    <x v="28"/>
    <x v="17"/>
    <x v="5"/>
    <x v="25"/>
    <x v="27"/>
  </r>
  <r>
    <x v="12"/>
    <x v="10"/>
    <x v="5"/>
    <x v="12"/>
    <x v="12"/>
  </r>
  <r>
    <x v="21"/>
    <x v="18"/>
    <x v="5"/>
    <x v="12"/>
    <x v="12"/>
  </r>
  <r>
    <x v="29"/>
    <x v="0"/>
    <x v="5"/>
    <x v="12"/>
    <x v="12"/>
  </r>
  <r>
    <x v="13"/>
    <x v="11"/>
    <x v="5"/>
    <x v="12"/>
    <x v="12"/>
  </r>
  <r>
    <x v="4"/>
    <x v="2"/>
    <x v="2"/>
    <x v="4"/>
    <x v="4"/>
  </r>
  <r>
    <x v="30"/>
    <x v="24"/>
    <x v="2"/>
    <x v="26"/>
    <x v="28"/>
  </r>
  <r>
    <x v="30"/>
    <x v="24"/>
    <x v="0"/>
    <x v="26"/>
    <x v="29"/>
  </r>
  <r>
    <x v="8"/>
    <x v="6"/>
    <x v="2"/>
    <x v="8"/>
    <x v="30"/>
  </r>
  <r>
    <x v="29"/>
    <x v="0"/>
    <x v="2"/>
    <x v="12"/>
    <x v="12"/>
  </r>
  <r>
    <x v="11"/>
    <x v="9"/>
    <x v="2"/>
    <x v="11"/>
    <x v="31"/>
  </r>
  <r>
    <x v="12"/>
    <x v="10"/>
    <x v="2"/>
    <x v="12"/>
    <x v="12"/>
  </r>
  <r>
    <x v="13"/>
    <x v="11"/>
    <x v="2"/>
    <x v="12"/>
    <x v="12"/>
  </r>
  <r>
    <x v="4"/>
    <x v="2"/>
    <x v="2"/>
    <x v="4"/>
    <x v="4"/>
  </r>
  <r>
    <x v="1"/>
    <x v="0"/>
    <x v="2"/>
    <x v="1"/>
    <x v="32"/>
  </r>
  <r>
    <x v="31"/>
    <x v="25"/>
    <x v="2"/>
    <x v="27"/>
    <x v="33"/>
  </r>
  <r>
    <x v="32"/>
    <x v="26"/>
    <x v="2"/>
    <x v="26"/>
    <x v="28"/>
  </r>
  <r>
    <x v="31"/>
    <x v="25"/>
    <x v="2"/>
    <x v="27"/>
    <x v="33"/>
  </r>
  <r>
    <x v="27"/>
    <x v="27"/>
    <x v="4"/>
    <x v="12"/>
    <x v="12"/>
  </r>
  <r>
    <x v="26"/>
    <x v="22"/>
    <x v="4"/>
    <x v="12"/>
    <x v="12"/>
  </r>
  <r>
    <x v="25"/>
    <x v="21"/>
    <x v="4"/>
    <x v="12"/>
    <x v="12"/>
  </r>
  <r>
    <x v="4"/>
    <x v="2"/>
    <x v="2"/>
    <x v="4"/>
    <x v="4"/>
  </r>
  <r>
    <x v="33"/>
    <x v="28"/>
    <x v="2"/>
    <x v="12"/>
    <x v="12"/>
  </r>
  <r>
    <x v="34"/>
    <x v="29"/>
    <x v="2"/>
    <x v="28"/>
    <x v="34"/>
  </r>
  <r>
    <x v="35"/>
    <x v="30"/>
    <x v="2"/>
    <x v="29"/>
    <x v="35"/>
  </r>
  <r>
    <x v="36"/>
    <x v="31"/>
    <x v="2"/>
    <x v="2"/>
    <x v="22"/>
  </r>
  <r>
    <x v="30"/>
    <x v="24"/>
    <x v="0"/>
    <x v="26"/>
    <x v="29"/>
  </r>
  <r>
    <x v="37"/>
    <x v="32"/>
    <x v="2"/>
    <x v="12"/>
    <x v="12"/>
  </r>
  <r>
    <x v="38"/>
    <x v="33"/>
    <x v="0"/>
    <x v="30"/>
    <x v="36"/>
  </r>
  <r>
    <x v="39"/>
    <x v="34"/>
    <x v="6"/>
    <x v="31"/>
    <x v="37"/>
  </r>
  <r>
    <x v="6"/>
    <x v="4"/>
    <x v="2"/>
    <x v="32"/>
    <x v="38"/>
  </r>
  <r>
    <x v="40"/>
    <x v="35"/>
    <x v="2"/>
    <x v="33"/>
    <x v="39"/>
  </r>
  <r>
    <x v="41"/>
    <x v="2"/>
    <x v="2"/>
    <x v="34"/>
    <x v="40"/>
  </r>
  <r>
    <x v="41"/>
    <x v="2"/>
    <x v="2"/>
    <x v="35"/>
    <x v="41"/>
  </r>
  <r>
    <x v="8"/>
    <x v="6"/>
    <x v="6"/>
    <x v="8"/>
    <x v="42"/>
  </r>
  <r>
    <x v="9"/>
    <x v="7"/>
    <x v="6"/>
    <x v="9"/>
    <x v="43"/>
  </r>
  <r>
    <x v="12"/>
    <x v="10"/>
    <x v="6"/>
    <x v="12"/>
    <x v="12"/>
  </r>
  <r>
    <x v="13"/>
    <x v="11"/>
    <x v="6"/>
    <x v="12"/>
    <x v="12"/>
  </r>
  <r>
    <x v="14"/>
    <x v="12"/>
    <x v="2"/>
    <x v="13"/>
    <x v="13"/>
  </r>
  <r>
    <x v="35"/>
    <x v="30"/>
    <x v="6"/>
    <x v="29"/>
    <x v="44"/>
  </r>
  <r>
    <x v="31"/>
    <x v="25"/>
    <x v="6"/>
    <x v="27"/>
    <x v="45"/>
  </r>
  <r>
    <x v="42"/>
    <x v="36"/>
    <x v="6"/>
    <x v="26"/>
    <x v="46"/>
  </r>
  <r>
    <x v="23"/>
    <x v="19"/>
    <x v="4"/>
    <x v="20"/>
    <x v="47"/>
  </r>
  <r>
    <x v="43"/>
    <x v="37"/>
    <x v="6"/>
    <x v="36"/>
    <x v="48"/>
  </r>
  <r>
    <x v="44"/>
    <x v="0"/>
    <x v="0"/>
    <x v="37"/>
    <x v="49"/>
  </r>
  <r>
    <x v="13"/>
    <x v="11"/>
    <x v="0"/>
    <x v="21"/>
    <x v="26"/>
  </r>
  <r>
    <x v="45"/>
    <x v="38"/>
    <x v="0"/>
    <x v="38"/>
    <x v="50"/>
  </r>
  <r>
    <x v="34"/>
    <x v="29"/>
    <x v="0"/>
    <x v="28"/>
    <x v="51"/>
  </r>
  <r>
    <x v="46"/>
    <x v="0"/>
    <x v="2"/>
    <x v="39"/>
    <x v="52"/>
  </r>
  <r>
    <x v="41"/>
    <x v="2"/>
    <x v="2"/>
    <x v="40"/>
    <x v="53"/>
  </r>
  <r>
    <x v="47"/>
    <x v="0"/>
    <x v="0"/>
    <x v="41"/>
    <x v="54"/>
  </r>
  <r>
    <x v="48"/>
    <x v="39"/>
    <x v="2"/>
    <x v="12"/>
    <x v="12"/>
  </r>
  <r>
    <x v="19"/>
    <x v="16"/>
    <x v="2"/>
    <x v="16"/>
    <x v="17"/>
  </r>
  <r>
    <x v="40"/>
    <x v="35"/>
    <x v="2"/>
    <x v="33"/>
    <x v="39"/>
  </r>
  <r>
    <x v="49"/>
    <x v="40"/>
    <x v="0"/>
    <x v="17"/>
    <x v="18"/>
  </r>
  <r>
    <x v="29"/>
    <x v="41"/>
    <x v="0"/>
    <x v="12"/>
    <x v="12"/>
  </r>
  <r>
    <x v="21"/>
    <x v="18"/>
    <x v="0"/>
    <x v="12"/>
    <x v="12"/>
  </r>
  <r>
    <x v="50"/>
    <x v="42"/>
    <x v="0"/>
    <x v="12"/>
    <x v="12"/>
  </r>
  <r>
    <x v="12"/>
    <x v="10"/>
    <x v="0"/>
    <x v="12"/>
    <x v="12"/>
  </r>
  <r>
    <x v="6"/>
    <x v="4"/>
    <x v="2"/>
    <x v="42"/>
    <x v="55"/>
  </r>
  <r>
    <x v="21"/>
    <x v="18"/>
    <x v="0"/>
    <x v="12"/>
    <x v="12"/>
  </r>
  <r>
    <x v="12"/>
    <x v="10"/>
    <x v="0"/>
    <x v="12"/>
    <x v="12"/>
  </r>
  <r>
    <x v="28"/>
    <x v="17"/>
    <x v="0"/>
    <x v="17"/>
    <x v="18"/>
  </r>
  <r>
    <x v="9"/>
    <x v="43"/>
    <x v="0"/>
    <x v="9"/>
    <x v="9"/>
  </r>
  <r>
    <x v="13"/>
    <x v="11"/>
    <x v="0"/>
    <x v="12"/>
    <x v="12"/>
  </r>
  <r>
    <x v="51"/>
    <x v="44"/>
    <x v="6"/>
    <x v="43"/>
    <x v="56"/>
  </r>
  <r>
    <x v="52"/>
    <x v="45"/>
    <x v="6"/>
    <x v="44"/>
    <x v="57"/>
  </r>
  <r>
    <x v="53"/>
    <x v="46"/>
    <x v="6"/>
    <x v="45"/>
    <x v="58"/>
  </r>
  <r>
    <x v="54"/>
    <x v="47"/>
    <x v="6"/>
    <x v="46"/>
    <x v="59"/>
  </r>
  <r>
    <x v="6"/>
    <x v="4"/>
    <x v="2"/>
    <x v="47"/>
    <x v="60"/>
  </r>
  <r>
    <x v="4"/>
    <x v="48"/>
    <x v="7"/>
    <x v="48"/>
    <x v="61"/>
  </r>
  <r>
    <x v="55"/>
    <x v="49"/>
    <x v="0"/>
    <x v="49"/>
    <x v="62"/>
  </r>
  <r>
    <x v="19"/>
    <x v="16"/>
    <x v="2"/>
    <x v="16"/>
    <x v="17"/>
  </r>
  <r>
    <x v="32"/>
    <x v="26"/>
    <x v="2"/>
    <x v="26"/>
    <x v="28"/>
  </r>
  <r>
    <x v="31"/>
    <x v="25"/>
    <x v="2"/>
    <x v="27"/>
    <x v="33"/>
  </r>
  <r>
    <x v="23"/>
    <x v="19"/>
    <x v="4"/>
    <x v="20"/>
    <x v="47"/>
  </r>
  <r>
    <x v="14"/>
    <x v="12"/>
    <x v="2"/>
    <x v="13"/>
    <x v="13"/>
  </r>
  <r>
    <x v="28"/>
    <x v="17"/>
    <x v="2"/>
    <x v="17"/>
    <x v="63"/>
  </r>
  <r>
    <x v="12"/>
    <x v="10"/>
    <x v="2"/>
    <x v="12"/>
    <x v="12"/>
  </r>
  <r>
    <x v="21"/>
    <x v="18"/>
    <x v="2"/>
    <x v="12"/>
    <x v="12"/>
  </r>
  <r>
    <x v="13"/>
    <x v="11"/>
    <x v="2"/>
    <x v="12"/>
    <x v="12"/>
  </r>
  <r>
    <x v="29"/>
    <x v="0"/>
    <x v="2"/>
    <x v="12"/>
    <x v="12"/>
  </r>
  <r>
    <x v="2"/>
    <x v="0"/>
    <x v="2"/>
    <x v="2"/>
    <x v="22"/>
  </r>
  <r>
    <x v="28"/>
    <x v="17"/>
    <x v="2"/>
    <x v="17"/>
    <x v="63"/>
  </r>
  <r>
    <x v="12"/>
    <x v="10"/>
    <x v="2"/>
    <x v="12"/>
    <x v="12"/>
  </r>
  <r>
    <x v="21"/>
    <x v="18"/>
    <x v="2"/>
    <x v="12"/>
    <x v="12"/>
  </r>
  <r>
    <x v="13"/>
    <x v="11"/>
    <x v="2"/>
    <x v="12"/>
    <x v="12"/>
  </r>
  <r>
    <x v="29"/>
    <x v="0"/>
    <x v="2"/>
    <x v="12"/>
    <x v="12"/>
  </r>
  <r>
    <x v="14"/>
    <x v="12"/>
    <x v="2"/>
    <x v="13"/>
    <x v="13"/>
  </r>
  <r>
    <x v="4"/>
    <x v="2"/>
    <x v="0"/>
    <x v="4"/>
    <x v="64"/>
  </r>
  <r>
    <x v="56"/>
    <x v="50"/>
    <x v="2"/>
    <x v="12"/>
    <x v="12"/>
  </r>
  <r>
    <x v="57"/>
    <x v="51"/>
    <x v="2"/>
    <x v="12"/>
    <x v="12"/>
  </r>
  <r>
    <x v="58"/>
    <x v="52"/>
    <x v="2"/>
    <x v="12"/>
    <x v="12"/>
  </r>
  <r>
    <x v="59"/>
    <x v="53"/>
    <x v="7"/>
    <x v="12"/>
    <x v="12"/>
  </r>
  <r>
    <x v="27"/>
    <x v="54"/>
    <x v="4"/>
    <x v="12"/>
    <x v="12"/>
  </r>
  <r>
    <x v="27"/>
    <x v="54"/>
    <x v="0"/>
    <x v="12"/>
    <x v="12"/>
  </r>
  <r>
    <x v="26"/>
    <x v="22"/>
    <x v="0"/>
    <x v="12"/>
    <x v="12"/>
  </r>
  <r>
    <x v="25"/>
    <x v="21"/>
    <x v="0"/>
    <x v="12"/>
    <x v="12"/>
  </r>
  <r>
    <x v="60"/>
    <x v="55"/>
    <x v="2"/>
    <x v="12"/>
    <x v="12"/>
  </r>
  <r>
    <x v="61"/>
    <x v="56"/>
    <x v="2"/>
    <x v="50"/>
    <x v="65"/>
  </r>
  <r>
    <x v="6"/>
    <x v="4"/>
    <x v="2"/>
    <x v="21"/>
    <x v="23"/>
  </r>
  <r>
    <x v="0"/>
    <x v="0"/>
    <x v="2"/>
    <x v="0"/>
    <x v="66"/>
  </r>
  <r>
    <x v="1"/>
    <x v="0"/>
    <x v="2"/>
    <x v="1"/>
    <x v="32"/>
  </r>
  <r>
    <x v="16"/>
    <x v="13"/>
    <x v="0"/>
    <x v="14"/>
    <x v="15"/>
  </r>
  <r>
    <x v="17"/>
    <x v="14"/>
    <x v="0"/>
    <x v="12"/>
    <x v="12"/>
  </r>
  <r>
    <x v="32"/>
    <x v="26"/>
    <x v="2"/>
    <x v="26"/>
    <x v="28"/>
  </r>
  <r>
    <x v="31"/>
    <x v="25"/>
    <x v="2"/>
    <x v="27"/>
    <x v="33"/>
  </r>
  <r>
    <x v="19"/>
    <x v="16"/>
    <x v="2"/>
    <x v="51"/>
    <x v="67"/>
  </r>
  <r>
    <x v="62"/>
    <x v="57"/>
    <x v="4"/>
    <x v="28"/>
    <x v="68"/>
  </r>
  <r>
    <x v="23"/>
    <x v="19"/>
    <x v="4"/>
    <x v="20"/>
    <x v="47"/>
  </r>
  <r>
    <x v="34"/>
    <x v="29"/>
    <x v="2"/>
    <x v="28"/>
    <x v="34"/>
  </r>
  <r>
    <x v="53"/>
    <x v="46"/>
    <x v="2"/>
    <x v="52"/>
    <x v="69"/>
  </r>
  <r>
    <x v="52"/>
    <x v="45"/>
    <x v="2"/>
    <x v="33"/>
    <x v="39"/>
  </r>
  <r>
    <x v="14"/>
    <x v="12"/>
    <x v="2"/>
    <x v="40"/>
    <x v="53"/>
  </r>
  <r>
    <x v="6"/>
    <x v="4"/>
    <x v="2"/>
    <x v="21"/>
    <x v="23"/>
  </r>
  <r>
    <x v="43"/>
    <x v="37"/>
    <x v="8"/>
    <x v="12"/>
    <x v="12"/>
  </r>
  <r>
    <x v="14"/>
    <x v="12"/>
    <x v="5"/>
    <x v="40"/>
    <x v="70"/>
  </r>
  <r>
    <x v="6"/>
    <x v="4"/>
    <x v="2"/>
    <x v="53"/>
    <x v="71"/>
  </r>
  <r>
    <x v="32"/>
    <x v="26"/>
    <x v="2"/>
    <x v="26"/>
    <x v="28"/>
  </r>
  <r>
    <x v="31"/>
    <x v="25"/>
    <x v="2"/>
    <x v="27"/>
    <x v="33"/>
  </r>
  <r>
    <x v="41"/>
    <x v="2"/>
    <x v="2"/>
    <x v="13"/>
    <x v="13"/>
  </r>
  <r>
    <x v="9"/>
    <x v="7"/>
    <x v="2"/>
    <x v="39"/>
    <x v="52"/>
  </r>
  <r>
    <x v="13"/>
    <x v="11"/>
    <x v="2"/>
    <x v="21"/>
    <x v="23"/>
  </r>
  <r>
    <x v="14"/>
    <x v="12"/>
    <x v="2"/>
    <x v="13"/>
    <x v="13"/>
  </r>
  <r>
    <x v="19"/>
    <x v="16"/>
    <x v="2"/>
    <x v="16"/>
    <x v="17"/>
  </r>
  <r>
    <x v="1"/>
    <x v="0"/>
    <x v="0"/>
    <x v="1"/>
    <x v="1"/>
  </r>
  <r>
    <x v="51"/>
    <x v="44"/>
    <x v="0"/>
    <x v="54"/>
    <x v="72"/>
  </r>
  <r>
    <x v="63"/>
    <x v="58"/>
    <x v="5"/>
    <x v="55"/>
    <x v="73"/>
  </r>
  <r>
    <x v="19"/>
    <x v="16"/>
    <x v="2"/>
    <x v="16"/>
    <x v="17"/>
  </r>
  <r>
    <x v="30"/>
    <x v="24"/>
    <x v="2"/>
    <x v="26"/>
    <x v="28"/>
  </r>
  <r>
    <x v="31"/>
    <x v="25"/>
    <x v="2"/>
    <x v="27"/>
    <x v="33"/>
  </r>
  <r>
    <x v="43"/>
    <x v="37"/>
    <x v="6"/>
    <x v="36"/>
    <x v="48"/>
  </r>
  <r>
    <x v="8"/>
    <x v="6"/>
    <x v="4"/>
    <x v="56"/>
    <x v="74"/>
  </r>
  <r>
    <x v="9"/>
    <x v="7"/>
    <x v="4"/>
    <x v="57"/>
    <x v="65"/>
  </r>
  <r>
    <x v="12"/>
    <x v="10"/>
    <x v="4"/>
    <x v="12"/>
    <x v="12"/>
  </r>
  <r>
    <x v="23"/>
    <x v="19"/>
    <x v="4"/>
    <x v="12"/>
    <x v="12"/>
  </r>
  <r>
    <x v="31"/>
    <x v="25"/>
    <x v="9"/>
    <x v="12"/>
    <x v="12"/>
  </r>
  <r>
    <x v="18"/>
    <x v="15"/>
    <x v="2"/>
    <x v="58"/>
    <x v="75"/>
  </r>
  <r>
    <x v="6"/>
    <x v="4"/>
    <x v="2"/>
    <x v="59"/>
    <x v="76"/>
  </r>
  <r>
    <x v="8"/>
    <x v="6"/>
    <x v="2"/>
    <x v="8"/>
    <x v="30"/>
  </r>
  <r>
    <x v="29"/>
    <x v="0"/>
    <x v="2"/>
    <x v="12"/>
    <x v="12"/>
  </r>
  <r>
    <x v="11"/>
    <x v="9"/>
    <x v="2"/>
    <x v="11"/>
    <x v="31"/>
  </r>
  <r>
    <x v="12"/>
    <x v="10"/>
    <x v="2"/>
    <x v="12"/>
    <x v="12"/>
  </r>
  <r>
    <x v="13"/>
    <x v="11"/>
    <x v="2"/>
    <x v="12"/>
    <x v="12"/>
  </r>
  <r>
    <x v="14"/>
    <x v="12"/>
    <x v="2"/>
    <x v="13"/>
    <x v="13"/>
  </r>
  <r>
    <x v="30"/>
    <x v="24"/>
    <x v="2"/>
    <x v="26"/>
    <x v="28"/>
  </r>
  <r>
    <x v="30"/>
    <x v="24"/>
    <x v="2"/>
    <x v="26"/>
    <x v="28"/>
  </r>
  <r>
    <x v="32"/>
    <x v="26"/>
    <x v="2"/>
    <x v="26"/>
    <x v="28"/>
  </r>
  <r>
    <x v="31"/>
    <x v="25"/>
    <x v="2"/>
    <x v="27"/>
    <x v="33"/>
  </r>
  <r>
    <x v="31"/>
    <x v="25"/>
    <x v="0"/>
    <x v="27"/>
    <x v="77"/>
  </r>
  <r>
    <x v="28"/>
    <x v="17"/>
    <x v="3"/>
    <x v="17"/>
    <x v="78"/>
  </r>
  <r>
    <x v="21"/>
    <x v="18"/>
    <x v="3"/>
    <x v="12"/>
    <x v="12"/>
  </r>
  <r>
    <x v="10"/>
    <x v="8"/>
    <x v="3"/>
    <x v="10"/>
    <x v="79"/>
  </r>
  <r>
    <x v="1"/>
    <x v="0"/>
    <x v="0"/>
    <x v="1"/>
    <x v="1"/>
  </r>
  <r>
    <x v="22"/>
    <x v="0"/>
    <x v="10"/>
    <x v="12"/>
    <x v="12"/>
  </r>
  <r>
    <x v="46"/>
    <x v="0"/>
    <x v="0"/>
    <x v="39"/>
    <x v="80"/>
  </r>
  <r>
    <x v="32"/>
    <x v="26"/>
    <x v="0"/>
    <x v="26"/>
    <x v="29"/>
  </r>
  <r>
    <x v="31"/>
    <x v="25"/>
    <x v="11"/>
    <x v="12"/>
    <x v="12"/>
  </r>
  <r>
    <x v="51"/>
    <x v="44"/>
    <x v="0"/>
    <x v="54"/>
    <x v="72"/>
  </r>
  <r>
    <x v="63"/>
    <x v="58"/>
    <x v="4"/>
    <x v="55"/>
    <x v="81"/>
  </r>
  <r>
    <x v="64"/>
    <x v="59"/>
    <x v="0"/>
    <x v="60"/>
    <x v="82"/>
  </r>
  <r>
    <x v="62"/>
    <x v="57"/>
    <x v="12"/>
    <x v="28"/>
    <x v="83"/>
  </r>
  <r>
    <x v="65"/>
    <x v="60"/>
    <x v="0"/>
    <x v="61"/>
    <x v="84"/>
  </r>
  <r>
    <x v="29"/>
    <x v="0"/>
    <x v="12"/>
    <x v="19"/>
    <x v="85"/>
  </r>
  <r>
    <x v="12"/>
    <x v="10"/>
    <x v="7"/>
    <x v="12"/>
    <x v="12"/>
  </r>
  <r>
    <x v="23"/>
    <x v="19"/>
    <x v="13"/>
    <x v="12"/>
    <x v="12"/>
  </r>
  <r>
    <x v="66"/>
    <x v="4"/>
    <x v="2"/>
    <x v="62"/>
    <x v="86"/>
  </r>
  <r>
    <x v="67"/>
    <x v="61"/>
    <x v="0"/>
    <x v="58"/>
    <x v="87"/>
  </r>
  <r>
    <x v="68"/>
    <x v="62"/>
    <x v="0"/>
    <x v="12"/>
    <x v="12"/>
  </r>
  <r>
    <x v="64"/>
    <x v="59"/>
    <x v="0"/>
    <x v="12"/>
    <x v="12"/>
  </r>
  <r>
    <x v="6"/>
    <x v="4"/>
    <x v="2"/>
    <x v="63"/>
    <x v="88"/>
  </r>
  <r>
    <x v="4"/>
    <x v="2"/>
    <x v="2"/>
    <x v="4"/>
    <x v="4"/>
  </r>
  <r>
    <x v="19"/>
    <x v="16"/>
    <x v="2"/>
    <x v="16"/>
    <x v="17"/>
  </r>
  <r>
    <x v="4"/>
    <x v="2"/>
    <x v="2"/>
    <x v="4"/>
    <x v="4"/>
  </r>
  <r>
    <x v="3"/>
    <x v="1"/>
    <x v="0"/>
    <x v="3"/>
    <x v="89"/>
  </r>
  <r>
    <x v="31"/>
    <x v="25"/>
    <x v="2"/>
    <x v="27"/>
    <x v="33"/>
  </r>
  <r>
    <x v="23"/>
    <x v="19"/>
    <x v="0"/>
    <x v="20"/>
    <x v="21"/>
  </r>
  <r>
    <x v="4"/>
    <x v="2"/>
    <x v="2"/>
    <x v="4"/>
    <x v="4"/>
  </r>
  <r>
    <x v="35"/>
    <x v="30"/>
    <x v="14"/>
    <x v="64"/>
    <x v="90"/>
  </r>
  <r>
    <x v="31"/>
    <x v="25"/>
    <x v="14"/>
    <x v="12"/>
    <x v="12"/>
  </r>
  <r>
    <x v="4"/>
    <x v="2"/>
    <x v="2"/>
    <x v="65"/>
    <x v="91"/>
  </r>
  <r>
    <x v="69"/>
    <x v="63"/>
    <x v="3"/>
    <x v="12"/>
    <x v="12"/>
  </r>
  <r>
    <x v="70"/>
    <x v="64"/>
    <x v="7"/>
    <x v="45"/>
    <x v="92"/>
  </r>
  <r>
    <x v="6"/>
    <x v="4"/>
    <x v="2"/>
    <x v="21"/>
    <x v="23"/>
  </r>
  <r>
    <x v="35"/>
    <x v="30"/>
    <x v="2"/>
    <x v="29"/>
    <x v="35"/>
  </r>
  <r>
    <x v="31"/>
    <x v="25"/>
    <x v="2"/>
    <x v="27"/>
    <x v="33"/>
  </r>
  <r>
    <x v="15"/>
    <x v="0"/>
    <x v="0"/>
    <x v="2"/>
    <x v="14"/>
  </r>
  <r>
    <x v="13"/>
    <x v="11"/>
    <x v="0"/>
    <x v="21"/>
    <x v="26"/>
  </r>
  <r>
    <x v="8"/>
    <x v="6"/>
    <x v="2"/>
    <x v="8"/>
    <x v="30"/>
  </r>
  <r>
    <x v="29"/>
    <x v="0"/>
    <x v="2"/>
    <x v="12"/>
    <x v="12"/>
  </r>
  <r>
    <x v="12"/>
    <x v="10"/>
    <x v="2"/>
    <x v="12"/>
    <x v="12"/>
  </r>
  <r>
    <x v="13"/>
    <x v="11"/>
    <x v="2"/>
    <x v="12"/>
    <x v="12"/>
  </r>
  <r>
    <x v="28"/>
    <x v="17"/>
    <x v="0"/>
    <x v="17"/>
    <x v="18"/>
  </r>
  <r>
    <x v="12"/>
    <x v="10"/>
    <x v="0"/>
    <x v="12"/>
    <x v="12"/>
  </r>
  <r>
    <x v="21"/>
    <x v="18"/>
    <x v="0"/>
    <x v="12"/>
    <x v="12"/>
  </r>
  <r>
    <x v="13"/>
    <x v="11"/>
    <x v="0"/>
    <x v="12"/>
    <x v="12"/>
  </r>
  <r>
    <x v="29"/>
    <x v="0"/>
    <x v="0"/>
    <x v="12"/>
    <x v="12"/>
  </r>
  <r>
    <x v="14"/>
    <x v="12"/>
    <x v="2"/>
    <x v="13"/>
    <x v="13"/>
  </r>
  <r>
    <x v="19"/>
    <x v="16"/>
    <x v="2"/>
    <x v="16"/>
    <x v="17"/>
  </r>
  <r>
    <x v="30"/>
    <x v="24"/>
    <x v="2"/>
    <x v="26"/>
    <x v="28"/>
  </r>
  <r>
    <x v="23"/>
    <x v="19"/>
    <x v="2"/>
    <x v="20"/>
    <x v="93"/>
  </r>
  <r>
    <x v="3"/>
    <x v="1"/>
    <x v="0"/>
    <x v="3"/>
    <x v="89"/>
  </r>
  <r>
    <x v="16"/>
    <x v="13"/>
    <x v="4"/>
    <x v="66"/>
    <x v="94"/>
  </r>
  <r>
    <x v="71"/>
    <x v="65"/>
    <x v="2"/>
    <x v="67"/>
    <x v="95"/>
  </r>
  <r>
    <x v="21"/>
    <x v="18"/>
    <x v="15"/>
    <x v="45"/>
    <x v="96"/>
  </r>
  <r>
    <x v="72"/>
    <x v="66"/>
    <x v="16"/>
    <x v="68"/>
    <x v="97"/>
  </r>
  <r>
    <x v="73"/>
    <x v="67"/>
    <x v="17"/>
    <x v="69"/>
    <x v="98"/>
  </r>
  <r>
    <x v="74"/>
    <x v="68"/>
    <x v="17"/>
    <x v="70"/>
    <x v="99"/>
  </r>
  <r>
    <x v="75"/>
    <x v="69"/>
    <x v="0"/>
    <x v="71"/>
    <x v="100"/>
  </r>
  <r>
    <x v="76"/>
    <x v="70"/>
    <x v="7"/>
    <x v="72"/>
    <x v="101"/>
  </r>
  <r>
    <x v="77"/>
    <x v="71"/>
    <x v="7"/>
    <x v="73"/>
    <x v="102"/>
  </r>
  <r>
    <x v="78"/>
    <x v="4"/>
    <x v="2"/>
    <x v="74"/>
    <x v="97"/>
  </r>
  <r>
    <x v="79"/>
    <x v="72"/>
    <x v="2"/>
    <x v="24"/>
    <x v="26"/>
  </r>
  <r>
    <x v="80"/>
    <x v="73"/>
    <x v="2"/>
    <x v="75"/>
    <x v="103"/>
  </r>
  <r>
    <x v="81"/>
    <x v="74"/>
    <x v="3"/>
    <x v="76"/>
    <x v="104"/>
  </r>
  <r>
    <x v="82"/>
    <x v="75"/>
    <x v="3"/>
    <x v="77"/>
    <x v="105"/>
  </r>
  <r>
    <x v="83"/>
    <x v="76"/>
    <x v="1"/>
    <x v="78"/>
    <x v="106"/>
  </r>
  <r>
    <x v="84"/>
    <x v="77"/>
    <x v="18"/>
    <x v="79"/>
    <x v="107"/>
  </r>
  <r>
    <x v="85"/>
    <x v="78"/>
    <x v="2"/>
    <x v="80"/>
    <x v="105"/>
  </r>
  <r>
    <x v="86"/>
    <x v="79"/>
    <x v="2"/>
    <x v="81"/>
    <x v="108"/>
  </r>
  <r>
    <x v="87"/>
    <x v="80"/>
    <x v="2"/>
    <x v="82"/>
    <x v="109"/>
  </r>
  <r>
    <x v="88"/>
    <x v="81"/>
    <x v="2"/>
    <x v="12"/>
    <x v="12"/>
  </r>
  <r>
    <x v="88"/>
    <x v="82"/>
    <x v="2"/>
    <x v="12"/>
    <x v="12"/>
  </r>
  <r>
    <x v="88"/>
    <x v="83"/>
    <x v="2"/>
    <x v="12"/>
    <x v="12"/>
  </r>
  <r>
    <x v="88"/>
    <x v="84"/>
    <x v="2"/>
    <x v="12"/>
    <x v="12"/>
  </r>
  <r>
    <x v="88"/>
    <x v="85"/>
    <x v="2"/>
    <x v="12"/>
    <x v="12"/>
  </r>
  <r>
    <x v="88"/>
    <x v="86"/>
    <x v="2"/>
    <x v="12"/>
    <x v="12"/>
  </r>
  <r>
    <x v="88"/>
    <x v="87"/>
    <x v="2"/>
    <x v="12"/>
    <x v="12"/>
  </r>
  <r>
    <x v="88"/>
    <x v="88"/>
    <x v="2"/>
    <x v="12"/>
    <x v="12"/>
  </r>
  <r>
    <x v="88"/>
    <x v="89"/>
    <x v="2"/>
    <x v="12"/>
    <x v="12"/>
  </r>
  <r>
    <x v="88"/>
    <x v="90"/>
    <x v="2"/>
    <x v="12"/>
    <x v="12"/>
  </r>
  <r>
    <x v="89"/>
    <x v="4"/>
    <x v="12"/>
    <x v="83"/>
    <x v="110"/>
  </r>
  <r>
    <x v="6"/>
    <x v="4"/>
    <x v="2"/>
    <x v="84"/>
    <x v="9"/>
  </r>
  <r>
    <x v="32"/>
    <x v="26"/>
    <x v="0"/>
    <x v="26"/>
    <x v="29"/>
  </r>
  <r>
    <x v="31"/>
    <x v="25"/>
    <x v="0"/>
    <x v="27"/>
    <x v="77"/>
  </r>
  <r>
    <x v="4"/>
    <x v="2"/>
    <x v="0"/>
    <x v="48"/>
    <x v="111"/>
  </r>
  <r>
    <x v="6"/>
    <x v="4"/>
    <x v="2"/>
    <x v="85"/>
    <x v="112"/>
  </r>
  <r>
    <x v="18"/>
    <x v="15"/>
    <x v="2"/>
    <x v="15"/>
    <x v="113"/>
  </r>
  <r>
    <x v="90"/>
    <x v="91"/>
    <x v="2"/>
    <x v="12"/>
    <x v="12"/>
  </r>
  <r>
    <x v="1"/>
    <x v="0"/>
    <x v="2"/>
    <x v="1"/>
    <x v="32"/>
  </r>
  <r>
    <x v="45"/>
    <x v="38"/>
    <x v="2"/>
    <x v="38"/>
    <x v="114"/>
  </r>
  <r>
    <x v="34"/>
    <x v="29"/>
    <x v="2"/>
    <x v="28"/>
    <x v="34"/>
  </r>
  <r>
    <x v="30"/>
    <x v="24"/>
    <x v="2"/>
    <x v="26"/>
    <x v="28"/>
  </r>
  <r>
    <x v="45"/>
    <x v="38"/>
    <x v="2"/>
    <x v="38"/>
    <x v="114"/>
  </r>
  <r>
    <x v="32"/>
    <x v="26"/>
    <x v="0"/>
    <x v="26"/>
    <x v="29"/>
  </r>
  <r>
    <x v="31"/>
    <x v="25"/>
    <x v="0"/>
    <x v="27"/>
    <x v="77"/>
  </r>
  <r>
    <x v="4"/>
    <x v="2"/>
    <x v="2"/>
    <x v="4"/>
    <x v="4"/>
  </r>
  <r>
    <x v="91"/>
    <x v="92"/>
    <x v="5"/>
    <x v="86"/>
    <x v="115"/>
  </r>
  <r>
    <x v="6"/>
    <x v="4"/>
    <x v="2"/>
    <x v="87"/>
    <x v="116"/>
  </r>
  <r>
    <x v="16"/>
    <x v="13"/>
    <x v="2"/>
    <x v="14"/>
    <x v="117"/>
  </r>
  <r>
    <x v="17"/>
    <x v="14"/>
    <x v="2"/>
    <x v="12"/>
    <x v="12"/>
  </r>
  <r>
    <x v="3"/>
    <x v="1"/>
    <x v="2"/>
    <x v="3"/>
    <x v="3"/>
  </r>
  <r>
    <x v="45"/>
    <x v="38"/>
    <x v="2"/>
    <x v="38"/>
    <x v="114"/>
  </r>
  <r>
    <x v="9"/>
    <x v="7"/>
    <x v="2"/>
    <x v="39"/>
    <x v="52"/>
  </r>
  <r>
    <x v="4"/>
    <x v="2"/>
    <x v="2"/>
    <x v="4"/>
    <x v="4"/>
  </r>
  <r>
    <x v="4"/>
    <x v="2"/>
    <x v="2"/>
    <x v="65"/>
    <x v="91"/>
  </r>
  <r>
    <x v="14"/>
    <x v="12"/>
    <x v="2"/>
    <x v="88"/>
    <x v="118"/>
  </r>
  <r>
    <x v="46"/>
    <x v="0"/>
    <x v="5"/>
    <x v="89"/>
    <x v="119"/>
  </r>
  <r>
    <x v="6"/>
    <x v="4"/>
    <x v="2"/>
    <x v="90"/>
    <x v="120"/>
  </r>
  <r>
    <x v="14"/>
    <x v="12"/>
    <x v="2"/>
    <x v="40"/>
    <x v="53"/>
  </r>
  <r>
    <x v="92"/>
    <x v="4"/>
    <x v="2"/>
    <x v="91"/>
    <x v="121"/>
  </r>
  <r>
    <x v="93"/>
    <x v="93"/>
    <x v="2"/>
    <x v="92"/>
    <x v="122"/>
  </r>
  <r>
    <x v="31"/>
    <x v="25"/>
    <x v="4"/>
    <x v="27"/>
    <x v="123"/>
  </r>
  <r>
    <x v="35"/>
    <x v="30"/>
    <x v="0"/>
    <x v="29"/>
    <x v="124"/>
  </r>
  <r>
    <x v="31"/>
    <x v="25"/>
    <x v="0"/>
    <x v="27"/>
    <x v="77"/>
  </r>
  <r>
    <x v="43"/>
    <x v="37"/>
    <x v="6"/>
    <x v="36"/>
    <x v="48"/>
  </r>
  <r>
    <x v="19"/>
    <x v="16"/>
    <x v="2"/>
    <x v="16"/>
    <x v="17"/>
  </r>
  <r>
    <x v="35"/>
    <x v="30"/>
    <x v="12"/>
    <x v="29"/>
    <x v="125"/>
  </r>
  <r>
    <x v="31"/>
    <x v="25"/>
    <x v="12"/>
    <x v="27"/>
    <x v="126"/>
  </r>
  <r>
    <x v="9"/>
    <x v="7"/>
    <x v="4"/>
    <x v="39"/>
    <x v="127"/>
  </r>
  <r>
    <x v="16"/>
    <x v="13"/>
    <x v="5"/>
    <x v="66"/>
    <x v="128"/>
  </r>
  <r>
    <x v="10"/>
    <x v="94"/>
    <x v="5"/>
    <x v="12"/>
    <x v="12"/>
  </r>
  <r>
    <x v="12"/>
    <x v="10"/>
    <x v="5"/>
    <x v="30"/>
    <x v="129"/>
  </r>
  <r>
    <x v="29"/>
    <x v="0"/>
    <x v="5"/>
    <x v="93"/>
    <x v="130"/>
  </r>
  <r>
    <x v="23"/>
    <x v="19"/>
    <x v="5"/>
    <x v="12"/>
    <x v="12"/>
  </r>
  <r>
    <x v="31"/>
    <x v="25"/>
    <x v="5"/>
    <x v="12"/>
    <x v="12"/>
  </r>
  <r>
    <x v="6"/>
    <x v="4"/>
    <x v="2"/>
    <x v="18"/>
    <x v="131"/>
  </r>
  <r>
    <x v="8"/>
    <x v="6"/>
    <x v="4"/>
    <x v="8"/>
    <x v="132"/>
  </r>
  <r>
    <x v="1"/>
    <x v="0"/>
    <x v="4"/>
    <x v="84"/>
    <x v="133"/>
  </r>
  <r>
    <x v="11"/>
    <x v="9"/>
    <x v="15"/>
    <x v="11"/>
    <x v="134"/>
  </r>
  <r>
    <x v="12"/>
    <x v="10"/>
    <x v="4"/>
    <x v="12"/>
    <x v="12"/>
  </r>
  <r>
    <x v="13"/>
    <x v="95"/>
    <x v="4"/>
    <x v="12"/>
    <x v="12"/>
  </r>
  <r>
    <x v="78"/>
    <x v="4"/>
    <x v="2"/>
    <x v="74"/>
    <x v="97"/>
  </r>
  <r>
    <x v="42"/>
    <x v="36"/>
    <x v="19"/>
    <x v="94"/>
    <x v="135"/>
  </r>
  <r>
    <x v="6"/>
    <x v="4"/>
    <x v="2"/>
    <x v="24"/>
    <x v="26"/>
  </r>
  <r>
    <x v="32"/>
    <x v="26"/>
    <x v="0"/>
    <x v="26"/>
    <x v="29"/>
  </r>
  <r>
    <x v="31"/>
    <x v="25"/>
    <x v="0"/>
    <x v="27"/>
    <x v="77"/>
  </r>
  <r>
    <x v="33"/>
    <x v="28"/>
    <x v="0"/>
    <x v="52"/>
    <x v="136"/>
  </r>
  <r>
    <x v="19"/>
    <x v="16"/>
    <x v="2"/>
    <x v="16"/>
    <x v="17"/>
  </r>
  <r>
    <x v="18"/>
    <x v="15"/>
    <x v="2"/>
    <x v="15"/>
    <x v="113"/>
  </r>
  <r>
    <x v="23"/>
    <x v="19"/>
    <x v="1"/>
    <x v="20"/>
    <x v="137"/>
  </r>
  <r>
    <x v="2"/>
    <x v="0"/>
    <x v="0"/>
    <x v="2"/>
    <x v="14"/>
  </r>
  <r>
    <x v="13"/>
    <x v="11"/>
    <x v="0"/>
    <x v="21"/>
    <x v="26"/>
  </r>
  <r>
    <x v="30"/>
    <x v="24"/>
    <x v="0"/>
    <x v="26"/>
    <x v="29"/>
  </r>
  <r>
    <x v="94"/>
    <x v="96"/>
    <x v="4"/>
    <x v="12"/>
    <x v="12"/>
  </r>
  <r>
    <x v="95"/>
    <x v="97"/>
    <x v="4"/>
    <x v="12"/>
    <x v="12"/>
  </r>
  <r>
    <x v="96"/>
    <x v="98"/>
    <x v="4"/>
    <x v="12"/>
    <x v="12"/>
  </r>
  <r>
    <x v="97"/>
    <x v="99"/>
    <x v="2"/>
    <x v="12"/>
    <x v="12"/>
  </r>
  <r>
    <x v="98"/>
    <x v="100"/>
    <x v="2"/>
    <x v="12"/>
    <x v="12"/>
  </r>
  <r>
    <x v="99"/>
    <x v="101"/>
    <x v="0"/>
    <x v="12"/>
    <x v="12"/>
  </r>
  <r>
    <x v="100"/>
    <x v="102"/>
    <x v="0"/>
    <x v="12"/>
    <x v="12"/>
  </r>
  <r>
    <x v="4"/>
    <x v="2"/>
    <x v="0"/>
    <x v="95"/>
    <x v="138"/>
  </r>
  <r>
    <x v="6"/>
    <x v="4"/>
    <x v="2"/>
    <x v="85"/>
    <x v="112"/>
  </r>
  <r>
    <x v="101"/>
    <x v="103"/>
    <x v="7"/>
    <x v="96"/>
    <x v="139"/>
  </r>
  <r>
    <x v="102"/>
    <x v="104"/>
    <x v="7"/>
    <x v="97"/>
    <x v="140"/>
  </r>
  <r>
    <x v="103"/>
    <x v="105"/>
    <x v="0"/>
    <x v="10"/>
    <x v="141"/>
  </r>
  <r>
    <x v="42"/>
    <x v="36"/>
    <x v="0"/>
    <x v="26"/>
    <x v="29"/>
  </r>
  <r>
    <x v="41"/>
    <x v="2"/>
    <x v="2"/>
    <x v="13"/>
    <x v="13"/>
  </r>
  <r>
    <x v="28"/>
    <x v="17"/>
    <x v="4"/>
    <x v="98"/>
    <x v="142"/>
  </r>
  <r>
    <x v="2"/>
    <x v="0"/>
    <x v="4"/>
    <x v="12"/>
    <x v="12"/>
  </r>
  <r>
    <x v="1"/>
    <x v="0"/>
    <x v="0"/>
    <x v="99"/>
    <x v="143"/>
  </r>
  <r>
    <x v="9"/>
    <x v="7"/>
    <x v="2"/>
    <x v="89"/>
    <x v="144"/>
  </r>
  <r>
    <x v="31"/>
    <x v="25"/>
    <x v="7"/>
    <x v="12"/>
    <x v="12"/>
  </r>
  <r>
    <x v="35"/>
    <x v="30"/>
    <x v="12"/>
    <x v="64"/>
    <x v="145"/>
  </r>
  <r>
    <x v="43"/>
    <x v="37"/>
    <x v="12"/>
    <x v="100"/>
    <x v="146"/>
  </r>
  <r>
    <x v="6"/>
    <x v="4"/>
    <x v="2"/>
    <x v="101"/>
    <x v="147"/>
  </r>
  <r>
    <x v="14"/>
    <x v="12"/>
    <x v="2"/>
    <x v="13"/>
    <x v="13"/>
  </r>
  <r>
    <x v="8"/>
    <x v="6"/>
    <x v="0"/>
    <x v="8"/>
    <x v="8"/>
  </r>
  <r>
    <x v="29"/>
    <x v="0"/>
    <x v="0"/>
    <x v="12"/>
    <x v="12"/>
  </r>
  <r>
    <x v="12"/>
    <x v="10"/>
    <x v="0"/>
    <x v="12"/>
    <x v="12"/>
  </r>
  <r>
    <x v="13"/>
    <x v="11"/>
    <x v="0"/>
    <x v="12"/>
    <x v="12"/>
  </r>
  <r>
    <x v="19"/>
    <x v="16"/>
    <x v="2"/>
    <x v="16"/>
    <x v="17"/>
  </r>
  <r>
    <x v="14"/>
    <x v="12"/>
    <x v="2"/>
    <x v="13"/>
    <x v="13"/>
  </r>
  <r>
    <x v="28"/>
    <x v="17"/>
    <x v="0"/>
    <x v="17"/>
    <x v="18"/>
  </r>
  <r>
    <x v="12"/>
    <x v="10"/>
    <x v="0"/>
    <x v="12"/>
    <x v="12"/>
  </r>
  <r>
    <x v="21"/>
    <x v="18"/>
    <x v="0"/>
    <x v="12"/>
    <x v="12"/>
  </r>
  <r>
    <x v="13"/>
    <x v="11"/>
    <x v="0"/>
    <x v="12"/>
    <x v="12"/>
  </r>
  <r>
    <x v="29"/>
    <x v="0"/>
    <x v="0"/>
    <x v="12"/>
    <x v="12"/>
  </r>
  <r>
    <x v="2"/>
    <x v="0"/>
    <x v="0"/>
    <x v="2"/>
    <x v="14"/>
  </r>
  <r>
    <x v="28"/>
    <x v="17"/>
    <x v="0"/>
    <x v="17"/>
    <x v="18"/>
  </r>
  <r>
    <x v="12"/>
    <x v="10"/>
    <x v="0"/>
    <x v="12"/>
    <x v="12"/>
  </r>
  <r>
    <x v="21"/>
    <x v="18"/>
    <x v="0"/>
    <x v="12"/>
    <x v="12"/>
  </r>
  <r>
    <x v="13"/>
    <x v="11"/>
    <x v="0"/>
    <x v="12"/>
    <x v="12"/>
  </r>
  <r>
    <x v="9"/>
    <x v="7"/>
    <x v="0"/>
    <x v="9"/>
    <x v="9"/>
  </r>
  <r>
    <x v="2"/>
    <x v="0"/>
    <x v="0"/>
    <x v="2"/>
    <x v="14"/>
  </r>
  <r>
    <x v="93"/>
    <x v="93"/>
    <x v="2"/>
    <x v="92"/>
    <x v="122"/>
  </r>
  <r>
    <x v="35"/>
    <x v="30"/>
    <x v="0"/>
    <x v="29"/>
    <x v="124"/>
  </r>
  <r>
    <x v="31"/>
    <x v="25"/>
    <x v="0"/>
    <x v="27"/>
    <x v="77"/>
  </r>
  <r>
    <x v="14"/>
    <x v="12"/>
    <x v="2"/>
    <x v="13"/>
    <x v="13"/>
  </r>
  <r>
    <x v="3"/>
    <x v="1"/>
    <x v="2"/>
    <x v="3"/>
    <x v="3"/>
  </r>
  <r>
    <x v="14"/>
    <x v="12"/>
    <x v="2"/>
    <x v="13"/>
    <x v="13"/>
  </r>
  <r>
    <x v="93"/>
    <x v="93"/>
    <x v="1"/>
    <x v="102"/>
    <x v="148"/>
  </r>
  <r>
    <x v="7"/>
    <x v="5"/>
    <x v="1"/>
    <x v="61"/>
    <x v="149"/>
  </r>
  <r>
    <x v="14"/>
    <x v="12"/>
    <x v="6"/>
    <x v="40"/>
    <x v="150"/>
  </r>
  <r>
    <x v="6"/>
    <x v="4"/>
    <x v="2"/>
    <x v="103"/>
    <x v="151"/>
  </r>
  <r>
    <x v="35"/>
    <x v="30"/>
    <x v="2"/>
    <x v="29"/>
    <x v="35"/>
  </r>
  <r>
    <x v="31"/>
    <x v="25"/>
    <x v="2"/>
    <x v="27"/>
    <x v="33"/>
  </r>
  <r>
    <x v="32"/>
    <x v="26"/>
    <x v="0"/>
    <x v="26"/>
    <x v="29"/>
  </r>
  <r>
    <x v="31"/>
    <x v="25"/>
    <x v="0"/>
    <x v="27"/>
    <x v="77"/>
  </r>
  <r>
    <x v="14"/>
    <x v="12"/>
    <x v="2"/>
    <x v="40"/>
    <x v="53"/>
  </r>
  <r>
    <x v="6"/>
    <x v="4"/>
    <x v="2"/>
    <x v="104"/>
    <x v="152"/>
  </r>
</pivotCacheRecords>
</file>

<file path=xl/pivotCache/pivotCacheRecords46.xml><?xml version="1.0" encoding="utf-8"?>
<pivotCacheRecords xmlns:r="http://schemas.openxmlformats.org/officeDocument/2006/relationships" xmlns="http://schemas.openxmlformats.org/spreadsheetml/2006/main" count="371">
  <r>
    <x v="0"/>
    <x v="0"/>
    <x v="0"/>
  </r>
  <r>
    <x v="0"/>
    <x v="0"/>
    <x v="0"/>
  </r>
  <r>
    <x v="0"/>
    <x v="0"/>
    <x v="0"/>
  </r>
  <r>
    <x v="1"/>
    <x v="1"/>
    <x v="0"/>
  </r>
  <r>
    <x v="1"/>
    <x v="1"/>
    <x v="0"/>
  </r>
  <r>
    <x v="2"/>
    <x v="2"/>
    <x v="1"/>
  </r>
  <r>
    <x v="3"/>
    <x v="3"/>
    <x v="1"/>
  </r>
  <r>
    <x v="4"/>
    <x v="4"/>
    <x v="1"/>
  </r>
  <r>
    <x v="5"/>
    <x v="5"/>
    <x v="1"/>
  </r>
  <r>
    <x v="6"/>
    <x v="6"/>
    <x v="0"/>
  </r>
  <r>
    <x v="7"/>
    <x v="7"/>
    <x v="1"/>
  </r>
  <r>
    <x v="8"/>
    <x v="8"/>
    <x v="0"/>
  </r>
  <r>
    <x v="9"/>
    <x v="9"/>
    <x v="0"/>
  </r>
  <r>
    <x v="10"/>
    <x v="10"/>
    <x v="2"/>
  </r>
  <r>
    <x v="9"/>
    <x v="9"/>
    <x v="0"/>
  </r>
  <r>
    <x v="11"/>
    <x v="11"/>
    <x v="0"/>
  </r>
  <r>
    <x v="3"/>
    <x v="3"/>
    <x v="1"/>
  </r>
  <r>
    <x v="2"/>
    <x v="2"/>
    <x v="1"/>
  </r>
  <r>
    <x v="3"/>
    <x v="3"/>
    <x v="1"/>
  </r>
  <r>
    <x v="4"/>
    <x v="4"/>
    <x v="1"/>
  </r>
  <r>
    <x v="5"/>
    <x v="5"/>
    <x v="1"/>
  </r>
  <r>
    <x v="12"/>
    <x v="12"/>
    <x v="0"/>
  </r>
  <r>
    <x v="13"/>
    <x v="13"/>
    <x v="1"/>
  </r>
  <r>
    <x v="12"/>
    <x v="12"/>
    <x v="0"/>
  </r>
  <r>
    <x v="14"/>
    <x v="0"/>
    <x v="0"/>
  </r>
  <r>
    <x v="15"/>
    <x v="14"/>
    <x v="1"/>
  </r>
  <r>
    <x v="16"/>
    <x v="15"/>
    <x v="1"/>
  </r>
  <r>
    <x v="4"/>
    <x v="4"/>
    <x v="1"/>
  </r>
  <r>
    <x v="17"/>
    <x v="16"/>
    <x v="1"/>
  </r>
  <r>
    <x v="12"/>
    <x v="12"/>
    <x v="0"/>
  </r>
  <r>
    <x v="18"/>
    <x v="17"/>
    <x v="1"/>
  </r>
  <r>
    <x v="9"/>
    <x v="9"/>
    <x v="0"/>
  </r>
  <r>
    <x v="19"/>
    <x v="18"/>
    <x v="3"/>
  </r>
  <r>
    <x v="15"/>
    <x v="14"/>
    <x v="4"/>
  </r>
  <r>
    <x v="20"/>
    <x v="19"/>
    <x v="2"/>
  </r>
  <r>
    <x v="21"/>
    <x v="20"/>
    <x v="4"/>
  </r>
  <r>
    <x v="21"/>
    <x v="21"/>
    <x v="0"/>
  </r>
  <r>
    <x v="4"/>
    <x v="4"/>
    <x v="4"/>
  </r>
  <r>
    <x v="16"/>
    <x v="15"/>
    <x v="4"/>
  </r>
  <r>
    <x v="11"/>
    <x v="11"/>
    <x v="4"/>
  </r>
  <r>
    <x v="22"/>
    <x v="22"/>
    <x v="4"/>
  </r>
  <r>
    <x v="23"/>
    <x v="23"/>
    <x v="3"/>
  </r>
  <r>
    <x v="24"/>
    <x v="9"/>
    <x v="0"/>
  </r>
  <r>
    <x v="18"/>
    <x v="24"/>
    <x v="0"/>
  </r>
  <r>
    <x v="1"/>
    <x v="1"/>
    <x v="0"/>
  </r>
  <r>
    <x v="20"/>
    <x v="19"/>
    <x v="0"/>
  </r>
  <r>
    <x v="22"/>
    <x v="22"/>
    <x v="0"/>
  </r>
  <r>
    <x v="0"/>
    <x v="0"/>
    <x v="0"/>
  </r>
  <r>
    <x v="25"/>
    <x v="25"/>
    <x v="0"/>
  </r>
  <r>
    <x v="13"/>
    <x v="13"/>
    <x v="3"/>
  </r>
  <r>
    <x v="20"/>
    <x v="19"/>
    <x v="1"/>
  </r>
  <r>
    <x v="22"/>
    <x v="22"/>
    <x v="1"/>
  </r>
  <r>
    <x v="26"/>
    <x v="26"/>
    <x v="0"/>
  </r>
  <r>
    <x v="27"/>
    <x v="27"/>
    <x v="1"/>
  </r>
  <r>
    <x v="2"/>
    <x v="2"/>
    <x v="3"/>
  </r>
  <r>
    <x v="21"/>
    <x v="28"/>
    <x v="0"/>
  </r>
  <r>
    <x v="3"/>
    <x v="29"/>
    <x v="0"/>
  </r>
  <r>
    <x v="28"/>
    <x v="30"/>
    <x v="3"/>
  </r>
  <r>
    <x v="12"/>
    <x v="12"/>
    <x v="0"/>
  </r>
  <r>
    <x v="29"/>
    <x v="31"/>
    <x v="1"/>
  </r>
  <r>
    <x v="30"/>
    <x v="32"/>
    <x v="0"/>
  </r>
  <r>
    <x v="31"/>
    <x v="33"/>
    <x v="3"/>
  </r>
  <r>
    <x v="9"/>
    <x v="9"/>
    <x v="0"/>
  </r>
  <r>
    <x v="32"/>
    <x v="34"/>
    <x v="1"/>
  </r>
  <r>
    <x v="1"/>
    <x v="1"/>
    <x v="0"/>
  </r>
  <r>
    <x v="33"/>
    <x v="35"/>
    <x v="5"/>
  </r>
  <r>
    <x v="34"/>
    <x v="36"/>
    <x v="5"/>
  </r>
  <r>
    <x v="35"/>
    <x v="37"/>
    <x v="1"/>
  </r>
  <r>
    <x v="6"/>
    <x v="6"/>
    <x v="1"/>
  </r>
  <r>
    <x v="36"/>
    <x v="38"/>
    <x v="3"/>
  </r>
  <r>
    <x v="37"/>
    <x v="39"/>
    <x v="3"/>
  </r>
  <r>
    <x v="38"/>
    <x v="40"/>
    <x v="6"/>
  </r>
  <r>
    <x v="39"/>
    <x v="41"/>
    <x v="6"/>
  </r>
  <r>
    <x v="25"/>
    <x v="25"/>
    <x v="6"/>
  </r>
  <r>
    <x v="13"/>
    <x v="13"/>
    <x v="6"/>
  </r>
  <r>
    <x v="40"/>
    <x v="42"/>
    <x v="3"/>
  </r>
  <r>
    <x v="23"/>
    <x v="23"/>
    <x v="3"/>
  </r>
  <r>
    <x v="41"/>
    <x v="43"/>
    <x v="3"/>
  </r>
  <r>
    <x v="42"/>
    <x v="44"/>
    <x v="7"/>
  </r>
  <r>
    <x v="43"/>
    <x v="45"/>
    <x v="7"/>
  </r>
  <r>
    <x v="1"/>
    <x v="1"/>
    <x v="0"/>
  </r>
  <r>
    <x v="20"/>
    <x v="19"/>
    <x v="1"/>
  </r>
  <r>
    <x v="22"/>
    <x v="22"/>
    <x v="1"/>
  </r>
  <r>
    <x v="11"/>
    <x v="11"/>
    <x v="8"/>
  </r>
  <r>
    <x v="22"/>
    <x v="22"/>
    <x v="1"/>
  </r>
  <r>
    <x v="6"/>
    <x v="6"/>
    <x v="0"/>
  </r>
  <r>
    <x v="12"/>
    <x v="12"/>
    <x v="0"/>
  </r>
  <r>
    <x v="0"/>
    <x v="0"/>
    <x v="0"/>
  </r>
  <r>
    <x v="0"/>
    <x v="0"/>
    <x v="1"/>
  </r>
  <r>
    <x v="13"/>
    <x v="13"/>
    <x v="3"/>
  </r>
  <r>
    <x v="12"/>
    <x v="12"/>
    <x v="0"/>
  </r>
  <r>
    <x v="21"/>
    <x v="24"/>
    <x v="1"/>
  </r>
  <r>
    <x v="1"/>
    <x v="1"/>
    <x v="0"/>
  </r>
  <r>
    <x v="14"/>
    <x v="0"/>
    <x v="0"/>
  </r>
  <r>
    <x v="44"/>
    <x v="46"/>
    <x v="0"/>
  </r>
  <r>
    <x v="18"/>
    <x v="24"/>
    <x v="0"/>
  </r>
  <r>
    <x v="5"/>
    <x v="5"/>
    <x v="0"/>
  </r>
  <r>
    <x v="44"/>
    <x v="46"/>
    <x v="0"/>
  </r>
  <r>
    <x v="11"/>
    <x v="11"/>
    <x v="1"/>
  </r>
  <r>
    <x v="19"/>
    <x v="18"/>
    <x v="1"/>
  </r>
  <r>
    <x v="23"/>
    <x v="23"/>
    <x v="1"/>
  </r>
  <r>
    <x v="45"/>
    <x v="47"/>
    <x v="7"/>
  </r>
  <r>
    <x v="16"/>
    <x v="48"/>
    <x v="7"/>
  </r>
  <r>
    <x v="46"/>
    <x v="49"/>
    <x v="7"/>
  </r>
  <r>
    <x v="47"/>
    <x v="24"/>
    <x v="7"/>
  </r>
  <r>
    <x v="17"/>
    <x v="16"/>
    <x v="7"/>
  </r>
  <r>
    <x v="40"/>
    <x v="42"/>
    <x v="3"/>
  </r>
  <r>
    <x v="23"/>
    <x v="50"/>
    <x v="3"/>
  </r>
  <r>
    <x v="23"/>
    <x v="51"/>
    <x v="3"/>
  </r>
  <r>
    <x v="6"/>
    <x v="6"/>
    <x v="0"/>
  </r>
  <r>
    <x v="12"/>
    <x v="12"/>
    <x v="0"/>
  </r>
  <r>
    <x v="4"/>
    <x v="52"/>
    <x v="7"/>
  </r>
  <r>
    <x v="24"/>
    <x v="9"/>
    <x v="0"/>
  </r>
  <r>
    <x v="15"/>
    <x v="14"/>
    <x v="7"/>
  </r>
  <r>
    <x v="4"/>
    <x v="4"/>
    <x v="7"/>
  </r>
  <r>
    <x v="16"/>
    <x v="15"/>
    <x v="7"/>
  </r>
  <r>
    <x v="5"/>
    <x v="5"/>
    <x v="7"/>
  </r>
  <r>
    <x v="18"/>
    <x v="24"/>
    <x v="7"/>
  </r>
  <r>
    <x v="48"/>
    <x v="24"/>
    <x v="7"/>
  </r>
  <r>
    <x v="17"/>
    <x v="16"/>
    <x v="7"/>
  </r>
  <r>
    <x v="12"/>
    <x v="12"/>
    <x v="1"/>
  </r>
  <r>
    <x v="9"/>
    <x v="9"/>
    <x v="0"/>
  </r>
  <r>
    <x v="49"/>
    <x v="9"/>
    <x v="0"/>
  </r>
  <r>
    <x v="50"/>
    <x v="53"/>
    <x v="3"/>
  </r>
  <r>
    <x v="51"/>
    <x v="53"/>
    <x v="7"/>
  </r>
  <r>
    <x v="52"/>
    <x v="53"/>
    <x v="2"/>
  </r>
  <r>
    <x v="9"/>
    <x v="9"/>
    <x v="0"/>
  </r>
  <r>
    <x v="0"/>
    <x v="0"/>
    <x v="0"/>
  </r>
  <r>
    <x v="13"/>
    <x v="13"/>
    <x v="0"/>
  </r>
  <r>
    <x v="11"/>
    <x v="11"/>
    <x v="0"/>
  </r>
  <r>
    <x v="0"/>
    <x v="0"/>
    <x v="0"/>
  </r>
  <r>
    <x v="12"/>
    <x v="12"/>
    <x v="0"/>
  </r>
  <r>
    <x v="2"/>
    <x v="2"/>
    <x v="3"/>
  </r>
  <r>
    <x v="21"/>
    <x v="24"/>
    <x v="3"/>
  </r>
  <r>
    <x v="4"/>
    <x v="4"/>
    <x v="3"/>
  </r>
  <r>
    <x v="5"/>
    <x v="5"/>
    <x v="3"/>
  </r>
  <r>
    <x v="12"/>
    <x v="12"/>
    <x v="0"/>
  </r>
  <r>
    <x v="13"/>
    <x v="13"/>
    <x v="9"/>
  </r>
  <r>
    <x v="19"/>
    <x v="18"/>
    <x v="1"/>
  </r>
  <r>
    <x v="17"/>
    <x v="16"/>
    <x v="1"/>
  </r>
  <r>
    <x v="17"/>
    <x v="16"/>
    <x v="1"/>
  </r>
  <r>
    <x v="18"/>
    <x v="24"/>
    <x v="1"/>
  </r>
  <r>
    <x v="0"/>
    <x v="0"/>
    <x v="0"/>
  </r>
  <r>
    <x v="12"/>
    <x v="12"/>
    <x v="3"/>
  </r>
  <r>
    <x v="12"/>
    <x v="12"/>
    <x v="0"/>
  </r>
  <r>
    <x v="25"/>
    <x v="25"/>
    <x v="1"/>
  </r>
  <r>
    <x v="11"/>
    <x v="11"/>
    <x v="0"/>
  </r>
  <r>
    <x v="12"/>
    <x v="12"/>
    <x v="0"/>
  </r>
  <r>
    <x v="53"/>
    <x v="54"/>
    <x v="0"/>
  </r>
  <r>
    <x v="14"/>
    <x v="0"/>
    <x v="0"/>
  </r>
  <r>
    <x v="54"/>
    <x v="24"/>
    <x v="1"/>
  </r>
  <r>
    <x v="14"/>
    <x v="0"/>
    <x v="0"/>
  </r>
  <r>
    <x v="29"/>
    <x v="31"/>
    <x v="1"/>
  </r>
  <r>
    <x v="22"/>
    <x v="22"/>
    <x v="1"/>
  </r>
  <r>
    <x v="55"/>
    <x v="55"/>
    <x v="4"/>
  </r>
  <r>
    <x v="56"/>
    <x v="56"/>
    <x v="4"/>
  </r>
  <r>
    <x v="57"/>
    <x v="57"/>
    <x v="10"/>
  </r>
  <r>
    <x v="58"/>
    <x v="58"/>
    <x v="4"/>
  </r>
  <r>
    <x v="59"/>
    <x v="59"/>
    <x v="10"/>
  </r>
  <r>
    <x v="6"/>
    <x v="60"/>
    <x v="1"/>
  </r>
  <r>
    <x v="60"/>
    <x v="61"/>
    <x v="0"/>
  </r>
  <r>
    <x v="61"/>
    <x v="62"/>
    <x v="0"/>
  </r>
  <r>
    <x v="9"/>
    <x v="9"/>
    <x v="0"/>
  </r>
  <r>
    <x v="55"/>
    <x v="55"/>
    <x v="0"/>
  </r>
  <r>
    <x v="56"/>
    <x v="56"/>
    <x v="0"/>
  </r>
  <r>
    <x v="57"/>
    <x v="57"/>
    <x v="1"/>
  </r>
  <r>
    <x v="58"/>
    <x v="58"/>
    <x v="0"/>
  </r>
  <r>
    <x v="59"/>
    <x v="59"/>
    <x v="1"/>
  </r>
  <r>
    <x v="60"/>
    <x v="61"/>
    <x v="0"/>
  </r>
  <r>
    <x v="9"/>
    <x v="9"/>
    <x v="0"/>
  </r>
  <r>
    <x v="62"/>
    <x v="53"/>
    <x v="2"/>
  </r>
  <r>
    <x v="63"/>
    <x v="9"/>
    <x v="3"/>
  </r>
  <r>
    <x v="9"/>
    <x v="9"/>
    <x v="0"/>
  </r>
  <r>
    <x v="1"/>
    <x v="1"/>
    <x v="0"/>
  </r>
  <r>
    <x v="20"/>
    <x v="19"/>
    <x v="0"/>
  </r>
  <r>
    <x v="22"/>
    <x v="22"/>
    <x v="0"/>
  </r>
  <r>
    <x v="11"/>
    <x v="11"/>
    <x v="0"/>
  </r>
  <r>
    <x v="22"/>
    <x v="22"/>
    <x v="0"/>
  </r>
  <r>
    <x v="19"/>
    <x v="63"/>
    <x v="3"/>
  </r>
  <r>
    <x v="6"/>
    <x v="6"/>
    <x v="0"/>
  </r>
  <r>
    <x v="4"/>
    <x v="4"/>
    <x v="3"/>
  </r>
  <r>
    <x v="23"/>
    <x v="23"/>
    <x v="3"/>
  </r>
  <r>
    <x v="17"/>
    <x v="16"/>
    <x v="3"/>
  </r>
  <r>
    <x v="52"/>
    <x v="53"/>
    <x v="3"/>
  </r>
  <r>
    <x v="64"/>
    <x v="9"/>
    <x v="0"/>
  </r>
  <r>
    <x v="65"/>
    <x v="64"/>
    <x v="0"/>
  </r>
  <r>
    <x v="24"/>
    <x v="9"/>
    <x v="0"/>
  </r>
  <r>
    <x v="15"/>
    <x v="65"/>
    <x v="6"/>
  </r>
  <r>
    <x v="16"/>
    <x v="48"/>
    <x v="6"/>
  </r>
  <r>
    <x v="4"/>
    <x v="66"/>
    <x v="6"/>
  </r>
  <r>
    <x v="66"/>
    <x v="67"/>
    <x v="11"/>
  </r>
  <r>
    <x v="24"/>
    <x v="9"/>
    <x v="0"/>
  </r>
  <r>
    <x v="19"/>
    <x v="63"/>
    <x v="3"/>
  </r>
  <r>
    <x v="6"/>
    <x v="6"/>
    <x v="0"/>
  </r>
  <r>
    <x v="15"/>
    <x v="68"/>
    <x v="1"/>
  </r>
  <r>
    <x v="4"/>
    <x v="4"/>
    <x v="3"/>
  </r>
  <r>
    <x v="23"/>
    <x v="23"/>
    <x v="3"/>
  </r>
  <r>
    <x v="17"/>
    <x v="16"/>
    <x v="3"/>
  </r>
  <r>
    <x v="4"/>
    <x v="4"/>
    <x v="3"/>
  </r>
  <r>
    <x v="64"/>
    <x v="9"/>
    <x v="0"/>
  </r>
  <r>
    <x v="65"/>
    <x v="69"/>
    <x v="0"/>
  </r>
  <r>
    <x v="24"/>
    <x v="9"/>
    <x v="0"/>
  </r>
  <r>
    <x v="19"/>
    <x v="63"/>
    <x v="3"/>
  </r>
  <r>
    <x v="4"/>
    <x v="4"/>
    <x v="3"/>
  </r>
  <r>
    <x v="17"/>
    <x v="16"/>
    <x v="3"/>
  </r>
  <r>
    <x v="21"/>
    <x v="24"/>
    <x v="6"/>
  </r>
  <r>
    <x v="43"/>
    <x v="45"/>
    <x v="6"/>
  </r>
  <r>
    <x v="24"/>
    <x v="9"/>
    <x v="0"/>
  </r>
  <r>
    <x v="19"/>
    <x v="18"/>
    <x v="1"/>
  </r>
  <r>
    <x v="23"/>
    <x v="23"/>
    <x v="1"/>
  </r>
  <r>
    <x v="12"/>
    <x v="12"/>
    <x v="0"/>
  </r>
  <r>
    <x v="11"/>
    <x v="11"/>
    <x v="12"/>
  </r>
  <r>
    <x v="1"/>
    <x v="1"/>
    <x v="0"/>
  </r>
  <r>
    <x v="67"/>
    <x v="70"/>
    <x v="8"/>
  </r>
  <r>
    <x v="25"/>
    <x v="25"/>
    <x v="0"/>
  </r>
  <r>
    <x v="22"/>
    <x v="22"/>
    <x v="1"/>
  </r>
  <r>
    <x v="12"/>
    <x v="12"/>
    <x v="0"/>
  </r>
  <r>
    <x v="0"/>
    <x v="0"/>
    <x v="1"/>
  </r>
  <r>
    <x v="22"/>
    <x v="22"/>
    <x v="8"/>
  </r>
  <r>
    <x v="19"/>
    <x v="18"/>
    <x v="7"/>
  </r>
  <r>
    <x v="17"/>
    <x v="16"/>
    <x v="7"/>
  </r>
  <r>
    <x v="12"/>
    <x v="12"/>
    <x v="0"/>
  </r>
  <r>
    <x v="2"/>
    <x v="2"/>
    <x v="7"/>
  </r>
  <r>
    <x v="18"/>
    <x v="17"/>
    <x v="1"/>
  </r>
  <r>
    <x v="3"/>
    <x v="71"/>
    <x v="1"/>
  </r>
  <r>
    <x v="46"/>
    <x v="72"/>
    <x v="1"/>
  </r>
  <r>
    <x v="4"/>
    <x v="73"/>
    <x v="7"/>
  </r>
  <r>
    <x v="11"/>
    <x v="74"/>
    <x v="7"/>
  </r>
  <r>
    <x v="22"/>
    <x v="75"/>
    <x v="7"/>
  </r>
  <r>
    <x v="12"/>
    <x v="12"/>
    <x v="0"/>
  </r>
  <r>
    <x v="20"/>
    <x v="19"/>
    <x v="7"/>
  </r>
  <r>
    <x v="3"/>
    <x v="76"/>
    <x v="0"/>
  </r>
  <r>
    <x v="68"/>
    <x v="77"/>
    <x v="0"/>
  </r>
  <r>
    <x v="68"/>
    <x v="78"/>
    <x v="0"/>
  </r>
  <r>
    <x v="31"/>
    <x v="33"/>
    <x v="0"/>
  </r>
  <r>
    <x v="69"/>
    <x v="79"/>
    <x v="0"/>
  </r>
  <r>
    <x v="44"/>
    <x v="46"/>
    <x v="0"/>
  </r>
  <r>
    <x v="14"/>
    <x v="0"/>
    <x v="0"/>
  </r>
  <r>
    <x v="20"/>
    <x v="19"/>
    <x v="1"/>
  </r>
  <r>
    <x v="22"/>
    <x v="22"/>
    <x v="1"/>
  </r>
  <r>
    <x v="12"/>
    <x v="12"/>
    <x v="0"/>
  </r>
  <r>
    <x v="36"/>
    <x v="38"/>
    <x v="3"/>
  </r>
  <r>
    <x v="8"/>
    <x v="8"/>
    <x v="13"/>
  </r>
  <r>
    <x v="1"/>
    <x v="1"/>
    <x v="0"/>
  </r>
  <r>
    <x v="70"/>
    <x v="80"/>
    <x v="0"/>
  </r>
  <r>
    <x v="71"/>
    <x v="81"/>
    <x v="0"/>
  </r>
  <r>
    <x v="3"/>
    <x v="3"/>
    <x v="0"/>
  </r>
  <r>
    <x v="28"/>
    <x v="24"/>
    <x v="0"/>
  </r>
  <r>
    <x v="5"/>
    <x v="5"/>
    <x v="0"/>
  </r>
  <r>
    <x v="0"/>
    <x v="0"/>
    <x v="0"/>
  </r>
  <r>
    <x v="70"/>
    <x v="80"/>
    <x v="14"/>
  </r>
  <r>
    <x v="72"/>
    <x v="82"/>
    <x v="0"/>
  </r>
  <r>
    <x v="73"/>
    <x v="83"/>
    <x v="2"/>
  </r>
  <r>
    <x v="74"/>
    <x v="84"/>
    <x v="1"/>
  </r>
  <r>
    <x v="22"/>
    <x v="22"/>
    <x v="1"/>
  </r>
  <r>
    <x v="49"/>
    <x v="9"/>
    <x v="0"/>
  </r>
  <r>
    <x v="0"/>
    <x v="0"/>
    <x v="0"/>
  </r>
  <r>
    <x v="25"/>
    <x v="25"/>
    <x v="0"/>
  </r>
  <r>
    <x v="13"/>
    <x v="13"/>
    <x v="1"/>
  </r>
  <r>
    <x v="75"/>
    <x v="2"/>
    <x v="1"/>
  </r>
  <r>
    <x v="18"/>
    <x v="85"/>
    <x v="1"/>
  </r>
  <r>
    <x v="20"/>
    <x v="19"/>
    <x v="3"/>
  </r>
  <r>
    <x v="22"/>
    <x v="22"/>
    <x v="3"/>
  </r>
  <r>
    <x v="5"/>
    <x v="5"/>
    <x v="1"/>
  </r>
  <r>
    <x v="76"/>
    <x v="9"/>
    <x v="0"/>
  </r>
  <r>
    <x v="15"/>
    <x v="86"/>
    <x v="0"/>
  </r>
  <r>
    <x v="31"/>
    <x v="33"/>
    <x v="7"/>
  </r>
  <r>
    <x v="9"/>
    <x v="9"/>
    <x v="0"/>
  </r>
  <r>
    <x v="6"/>
    <x v="6"/>
    <x v="0"/>
  </r>
  <r>
    <x v="9"/>
    <x v="9"/>
    <x v="0"/>
  </r>
  <r>
    <x v="13"/>
    <x v="13"/>
    <x v="0"/>
  </r>
  <r>
    <x v="20"/>
    <x v="19"/>
    <x v="0"/>
  </r>
  <r>
    <x v="22"/>
    <x v="22"/>
    <x v="0"/>
  </r>
  <r>
    <x v="14"/>
    <x v="0"/>
    <x v="1"/>
  </r>
  <r>
    <x v="13"/>
    <x v="13"/>
    <x v="0"/>
  </r>
  <r>
    <x v="1"/>
    <x v="1"/>
    <x v="0"/>
  </r>
  <r>
    <x v="20"/>
    <x v="19"/>
    <x v="0"/>
  </r>
  <r>
    <x v="22"/>
    <x v="22"/>
    <x v="0"/>
  </r>
  <r>
    <x v="1"/>
    <x v="1"/>
    <x v="0"/>
  </r>
  <r>
    <x v="46"/>
    <x v="24"/>
    <x v="1"/>
  </r>
  <r>
    <x v="6"/>
    <x v="6"/>
    <x v="0"/>
  </r>
  <r>
    <x v="9"/>
    <x v="9"/>
    <x v="0"/>
  </r>
  <r>
    <x v="77"/>
    <x v="87"/>
    <x v="0"/>
  </r>
  <r>
    <x v="78"/>
    <x v="88"/>
    <x v="0"/>
  </r>
  <r>
    <x v="79"/>
    <x v="89"/>
    <x v="0"/>
  </r>
  <r>
    <x v="80"/>
    <x v="90"/>
    <x v="0"/>
  </r>
  <r>
    <x v="12"/>
    <x v="12"/>
    <x v="0"/>
  </r>
  <r>
    <x v="20"/>
    <x v="19"/>
    <x v="1"/>
  </r>
  <r>
    <x v="22"/>
    <x v="22"/>
    <x v="1"/>
  </r>
  <r>
    <x v="20"/>
    <x v="19"/>
    <x v="3"/>
  </r>
  <r>
    <x v="22"/>
    <x v="22"/>
    <x v="3"/>
  </r>
  <r>
    <x v="12"/>
    <x v="12"/>
    <x v="0"/>
  </r>
  <r>
    <x v="46"/>
    <x v="24"/>
    <x v="0"/>
  </r>
  <r>
    <x v="20"/>
    <x v="19"/>
    <x v="0"/>
  </r>
  <r>
    <x v="22"/>
    <x v="22"/>
    <x v="0"/>
  </r>
  <r>
    <x v="11"/>
    <x v="11"/>
    <x v="6"/>
  </r>
  <r>
    <x v="25"/>
    <x v="25"/>
    <x v="1"/>
  </r>
  <r>
    <x v="29"/>
    <x v="31"/>
    <x v="0"/>
  </r>
  <r>
    <x v="22"/>
    <x v="22"/>
    <x v="0"/>
  </r>
  <r>
    <x v="1"/>
    <x v="1"/>
    <x v="0"/>
  </r>
  <r>
    <x v="14"/>
    <x v="0"/>
    <x v="0"/>
  </r>
  <r>
    <x v="72"/>
    <x v="82"/>
    <x v="1"/>
  </r>
  <r>
    <x v="73"/>
    <x v="83"/>
    <x v="3"/>
  </r>
  <r>
    <x v="74"/>
    <x v="84"/>
    <x v="3"/>
  </r>
  <r>
    <x v="81"/>
    <x v="91"/>
    <x v="1"/>
  </r>
  <r>
    <x v="21"/>
    <x v="24"/>
    <x v="1"/>
  </r>
  <r>
    <x v="6"/>
    <x v="6"/>
    <x v="0"/>
  </r>
  <r>
    <x v="24"/>
    <x v="9"/>
    <x v="0"/>
  </r>
  <r>
    <x v="3"/>
    <x v="3"/>
    <x v="0"/>
  </r>
  <r>
    <x v="20"/>
    <x v="19"/>
    <x v="0"/>
  </r>
  <r>
    <x v="22"/>
    <x v="22"/>
    <x v="0"/>
  </r>
  <r>
    <x v="22"/>
    <x v="22"/>
    <x v="8"/>
  </r>
  <r>
    <x v="29"/>
    <x v="31"/>
    <x v="0"/>
  </r>
  <r>
    <x v="22"/>
    <x v="22"/>
    <x v="0"/>
  </r>
  <r>
    <x v="1"/>
    <x v="1"/>
    <x v="0"/>
  </r>
  <r>
    <x v="1"/>
    <x v="1"/>
    <x v="0"/>
  </r>
  <r>
    <x v="53"/>
    <x v="54"/>
    <x v="0"/>
  </r>
  <r>
    <x v="39"/>
    <x v="41"/>
    <x v="0"/>
  </r>
  <r>
    <x v="68"/>
    <x v="92"/>
    <x v="0"/>
  </r>
  <r>
    <x v="78"/>
    <x v="88"/>
    <x v="0"/>
  </r>
  <r>
    <x v="41"/>
    <x v="43"/>
    <x v="0"/>
  </r>
  <r>
    <x v="68"/>
    <x v="93"/>
    <x v="0"/>
  </r>
  <r>
    <x v="82"/>
    <x v="94"/>
    <x v="0"/>
  </r>
  <r>
    <x v="83"/>
    <x v="95"/>
    <x v="0"/>
  </r>
  <r>
    <x v="84"/>
    <x v="96"/>
    <x v="0"/>
  </r>
  <r>
    <x v="85"/>
    <x v="97"/>
    <x v="0"/>
  </r>
  <r>
    <x v="31"/>
    <x v="33"/>
    <x v="12"/>
  </r>
  <r>
    <x v="68"/>
    <x v="98"/>
    <x v="0"/>
  </r>
  <r>
    <x v="86"/>
    <x v="99"/>
    <x v="0"/>
  </r>
  <r>
    <x v="68"/>
    <x v="100"/>
    <x v="0"/>
  </r>
  <r>
    <x v="67"/>
    <x v="70"/>
    <x v="7"/>
  </r>
  <r>
    <x v="29"/>
    <x v="31"/>
    <x v="1"/>
  </r>
  <r>
    <x v="22"/>
    <x v="22"/>
    <x v="1"/>
  </r>
  <r>
    <x v="6"/>
    <x v="6"/>
    <x v="1"/>
  </r>
  <r>
    <x v="1"/>
    <x v="1"/>
    <x v="0"/>
  </r>
  <r>
    <x v="18"/>
    <x v="17"/>
    <x v="1"/>
  </r>
  <r>
    <x v="3"/>
    <x v="3"/>
    <x v="12"/>
  </r>
  <r>
    <x v="20"/>
    <x v="19"/>
    <x v="12"/>
  </r>
  <r>
    <x v="15"/>
    <x v="14"/>
    <x v="1"/>
  </r>
  <r>
    <x v="18"/>
    <x v="24"/>
    <x v="0"/>
  </r>
  <r>
    <x v="73"/>
    <x v="83"/>
    <x v="6"/>
  </r>
  <r>
    <x v="47"/>
    <x v="24"/>
    <x v="15"/>
  </r>
  <r>
    <x v="22"/>
    <x v="22"/>
    <x v="1"/>
  </r>
  <r>
    <x v="87"/>
    <x v="9"/>
    <x v="0"/>
  </r>
  <r>
    <x v="9"/>
    <x v="9"/>
    <x v="0"/>
  </r>
  <r>
    <x v="88"/>
    <x v="101"/>
    <x v="16"/>
  </r>
  <r>
    <x v="89"/>
    <x v="101"/>
    <x v="6"/>
  </r>
  <r>
    <x v="9"/>
    <x v="9"/>
    <x v="0"/>
  </r>
  <r>
    <x v="4"/>
    <x v="4"/>
    <x v="0"/>
  </r>
  <r>
    <x v="4"/>
    <x v="4"/>
    <x v="12"/>
  </r>
  <r>
    <x v="9"/>
    <x v="9"/>
    <x v="0"/>
  </r>
  <r>
    <x v="44"/>
    <x v="46"/>
    <x v="0"/>
  </r>
  <r>
    <x v="0"/>
    <x v="0"/>
    <x v="0"/>
  </r>
  <r>
    <x v="28"/>
    <x v="24"/>
    <x v="17"/>
  </r>
  <r>
    <x v="12"/>
    <x v="12"/>
    <x v="0"/>
  </r>
  <r>
    <x v="12"/>
    <x v="12"/>
    <x v="0"/>
  </r>
  <r>
    <x v="12"/>
    <x v="12"/>
    <x v="0"/>
  </r>
  <r>
    <x v="29"/>
    <x v="31"/>
    <x v="3"/>
  </r>
  <r>
    <x v="22"/>
    <x v="22"/>
    <x v="3"/>
  </r>
  <r>
    <x v="2"/>
    <x v="2"/>
    <x v="1"/>
  </r>
  <r>
    <x v="18"/>
    <x v="24"/>
    <x v="1"/>
  </r>
  <r>
    <x v="4"/>
    <x v="4"/>
    <x v="1"/>
  </r>
  <r>
    <x v="5"/>
    <x v="5"/>
    <x v="1"/>
  </r>
  <r>
    <x v="11"/>
    <x v="11"/>
    <x v="0"/>
  </r>
  <r>
    <x v="22"/>
    <x v="22"/>
    <x v="0"/>
  </r>
  <r>
    <x v="90"/>
    <x v="102"/>
    <x v="0"/>
  </r>
  <r>
    <x v="91"/>
    <x v="103"/>
    <x v="0"/>
  </r>
  <r>
    <x v="12"/>
    <x v="12"/>
    <x v="7"/>
  </r>
  <r>
    <x v="36"/>
    <x v="38"/>
    <x v="18"/>
  </r>
  <r>
    <x v="9"/>
    <x v="9"/>
    <x v="0"/>
  </r>
  <r>
    <x v="44"/>
    <x v="46"/>
    <x v="0"/>
  </r>
</pivotCacheRecords>
</file>

<file path=xl/pivotCache/pivotCacheRecords47.xml><?xml version="1.0" encoding="utf-8"?>
<pivotCacheRecords xmlns:r="http://schemas.openxmlformats.org/officeDocument/2006/relationships" xmlns="http://schemas.openxmlformats.org/spreadsheetml/2006/main" count="371">
  <r>
    <x v="0"/>
    <x v="0"/>
    <x v="0"/>
    <x v="0"/>
    <x v="0"/>
  </r>
  <r>
    <x v="0"/>
    <x v="0"/>
    <x v="0"/>
    <x v="0"/>
    <x v="0"/>
  </r>
  <r>
    <x v="0"/>
    <x v="0"/>
    <x v="0"/>
    <x v="0"/>
    <x v="0"/>
  </r>
  <r>
    <x v="1"/>
    <x v="1"/>
    <x v="0"/>
    <x v="1"/>
    <x v="1"/>
  </r>
  <r>
    <x v="1"/>
    <x v="1"/>
    <x v="0"/>
    <x v="2"/>
    <x v="2"/>
  </r>
  <r>
    <x v="2"/>
    <x v="2"/>
    <x v="1"/>
    <x v="3"/>
    <x v="3"/>
  </r>
  <r>
    <x v="3"/>
    <x v="3"/>
    <x v="1"/>
    <x v="4"/>
    <x v="4"/>
  </r>
  <r>
    <x v="4"/>
    <x v="4"/>
    <x v="1"/>
    <x v="5"/>
    <x v="5"/>
  </r>
  <r>
    <x v="5"/>
    <x v="5"/>
    <x v="1"/>
    <x v="5"/>
    <x v="5"/>
  </r>
  <r>
    <x v="6"/>
    <x v="6"/>
    <x v="0"/>
    <x v="6"/>
    <x v="6"/>
  </r>
  <r>
    <x v="7"/>
    <x v="7"/>
    <x v="1"/>
    <x v="7"/>
    <x v="7"/>
  </r>
  <r>
    <x v="8"/>
    <x v="8"/>
    <x v="0"/>
    <x v="5"/>
    <x v="5"/>
  </r>
  <r>
    <x v="9"/>
    <x v="9"/>
    <x v="0"/>
    <x v="8"/>
    <x v="8"/>
  </r>
  <r>
    <x v="10"/>
    <x v="10"/>
    <x v="2"/>
    <x v="9"/>
    <x v="9"/>
  </r>
  <r>
    <x v="9"/>
    <x v="9"/>
    <x v="0"/>
    <x v="10"/>
    <x v="10"/>
  </r>
  <r>
    <x v="11"/>
    <x v="11"/>
    <x v="0"/>
    <x v="11"/>
    <x v="11"/>
  </r>
  <r>
    <x v="3"/>
    <x v="3"/>
    <x v="1"/>
    <x v="12"/>
    <x v="12"/>
  </r>
  <r>
    <x v="2"/>
    <x v="2"/>
    <x v="1"/>
    <x v="3"/>
    <x v="3"/>
  </r>
  <r>
    <x v="3"/>
    <x v="3"/>
    <x v="1"/>
    <x v="4"/>
    <x v="4"/>
  </r>
  <r>
    <x v="4"/>
    <x v="4"/>
    <x v="1"/>
    <x v="5"/>
    <x v="5"/>
  </r>
  <r>
    <x v="5"/>
    <x v="5"/>
    <x v="1"/>
    <x v="5"/>
    <x v="5"/>
  </r>
  <r>
    <x v="12"/>
    <x v="12"/>
    <x v="0"/>
    <x v="13"/>
    <x v="13"/>
  </r>
  <r>
    <x v="13"/>
    <x v="13"/>
    <x v="1"/>
    <x v="14"/>
    <x v="14"/>
  </r>
  <r>
    <x v="12"/>
    <x v="12"/>
    <x v="0"/>
    <x v="13"/>
    <x v="13"/>
  </r>
  <r>
    <x v="14"/>
    <x v="0"/>
    <x v="0"/>
    <x v="13"/>
    <x v="13"/>
  </r>
  <r>
    <x v="15"/>
    <x v="14"/>
    <x v="1"/>
    <x v="15"/>
    <x v="15"/>
  </r>
  <r>
    <x v="16"/>
    <x v="15"/>
    <x v="1"/>
    <x v="5"/>
    <x v="5"/>
  </r>
  <r>
    <x v="4"/>
    <x v="4"/>
    <x v="1"/>
    <x v="5"/>
    <x v="5"/>
  </r>
  <r>
    <x v="17"/>
    <x v="16"/>
    <x v="1"/>
    <x v="16"/>
    <x v="16"/>
  </r>
  <r>
    <x v="12"/>
    <x v="12"/>
    <x v="0"/>
    <x v="13"/>
    <x v="13"/>
  </r>
  <r>
    <x v="18"/>
    <x v="17"/>
    <x v="1"/>
    <x v="5"/>
    <x v="5"/>
  </r>
  <r>
    <x v="9"/>
    <x v="9"/>
    <x v="0"/>
    <x v="17"/>
    <x v="17"/>
  </r>
  <r>
    <x v="19"/>
    <x v="18"/>
    <x v="3"/>
    <x v="18"/>
    <x v="18"/>
  </r>
  <r>
    <x v="15"/>
    <x v="14"/>
    <x v="4"/>
    <x v="19"/>
    <x v="19"/>
  </r>
  <r>
    <x v="20"/>
    <x v="19"/>
    <x v="2"/>
    <x v="20"/>
    <x v="20"/>
  </r>
  <r>
    <x v="21"/>
    <x v="20"/>
    <x v="4"/>
    <x v="21"/>
    <x v="21"/>
  </r>
  <r>
    <x v="21"/>
    <x v="21"/>
    <x v="0"/>
    <x v="22"/>
    <x v="22"/>
  </r>
  <r>
    <x v="4"/>
    <x v="4"/>
    <x v="4"/>
    <x v="5"/>
    <x v="5"/>
  </r>
  <r>
    <x v="16"/>
    <x v="15"/>
    <x v="4"/>
    <x v="5"/>
    <x v="5"/>
  </r>
  <r>
    <x v="11"/>
    <x v="11"/>
    <x v="4"/>
    <x v="5"/>
    <x v="5"/>
  </r>
  <r>
    <x v="22"/>
    <x v="22"/>
    <x v="4"/>
    <x v="5"/>
    <x v="5"/>
  </r>
  <r>
    <x v="23"/>
    <x v="23"/>
    <x v="3"/>
    <x v="5"/>
    <x v="5"/>
  </r>
  <r>
    <x v="24"/>
    <x v="9"/>
    <x v="0"/>
    <x v="23"/>
    <x v="23"/>
  </r>
  <r>
    <x v="18"/>
    <x v="24"/>
    <x v="0"/>
    <x v="24"/>
    <x v="24"/>
  </r>
  <r>
    <x v="1"/>
    <x v="1"/>
    <x v="0"/>
    <x v="2"/>
    <x v="2"/>
  </r>
  <r>
    <x v="20"/>
    <x v="19"/>
    <x v="0"/>
    <x v="25"/>
    <x v="25"/>
  </r>
  <r>
    <x v="22"/>
    <x v="22"/>
    <x v="0"/>
    <x v="26"/>
    <x v="26"/>
  </r>
  <r>
    <x v="0"/>
    <x v="0"/>
    <x v="0"/>
    <x v="0"/>
    <x v="0"/>
  </r>
  <r>
    <x v="25"/>
    <x v="25"/>
    <x v="0"/>
    <x v="27"/>
    <x v="27"/>
  </r>
  <r>
    <x v="13"/>
    <x v="13"/>
    <x v="3"/>
    <x v="14"/>
    <x v="28"/>
  </r>
  <r>
    <x v="20"/>
    <x v="19"/>
    <x v="1"/>
    <x v="25"/>
    <x v="29"/>
  </r>
  <r>
    <x v="22"/>
    <x v="22"/>
    <x v="1"/>
    <x v="26"/>
    <x v="30"/>
  </r>
  <r>
    <x v="26"/>
    <x v="26"/>
    <x v="0"/>
    <x v="5"/>
    <x v="5"/>
  </r>
  <r>
    <x v="27"/>
    <x v="27"/>
    <x v="1"/>
    <x v="0"/>
    <x v="31"/>
  </r>
  <r>
    <x v="2"/>
    <x v="2"/>
    <x v="3"/>
    <x v="3"/>
    <x v="32"/>
  </r>
  <r>
    <x v="21"/>
    <x v="28"/>
    <x v="0"/>
    <x v="28"/>
    <x v="33"/>
  </r>
  <r>
    <x v="3"/>
    <x v="29"/>
    <x v="0"/>
    <x v="4"/>
    <x v="34"/>
  </r>
  <r>
    <x v="28"/>
    <x v="30"/>
    <x v="3"/>
    <x v="29"/>
    <x v="35"/>
  </r>
  <r>
    <x v="12"/>
    <x v="12"/>
    <x v="0"/>
    <x v="13"/>
    <x v="13"/>
  </r>
  <r>
    <x v="29"/>
    <x v="31"/>
    <x v="1"/>
    <x v="27"/>
    <x v="36"/>
  </r>
  <r>
    <x v="30"/>
    <x v="32"/>
    <x v="0"/>
    <x v="5"/>
    <x v="5"/>
  </r>
  <r>
    <x v="31"/>
    <x v="33"/>
    <x v="3"/>
    <x v="5"/>
    <x v="5"/>
  </r>
  <r>
    <x v="9"/>
    <x v="9"/>
    <x v="0"/>
    <x v="30"/>
    <x v="37"/>
  </r>
  <r>
    <x v="32"/>
    <x v="34"/>
    <x v="1"/>
    <x v="31"/>
    <x v="38"/>
  </r>
  <r>
    <x v="1"/>
    <x v="1"/>
    <x v="0"/>
    <x v="1"/>
    <x v="1"/>
  </r>
  <r>
    <x v="33"/>
    <x v="35"/>
    <x v="5"/>
    <x v="5"/>
    <x v="5"/>
  </r>
  <r>
    <x v="34"/>
    <x v="36"/>
    <x v="5"/>
    <x v="5"/>
    <x v="5"/>
  </r>
  <r>
    <x v="35"/>
    <x v="37"/>
    <x v="1"/>
    <x v="32"/>
    <x v="39"/>
  </r>
  <r>
    <x v="6"/>
    <x v="6"/>
    <x v="1"/>
    <x v="33"/>
    <x v="40"/>
  </r>
  <r>
    <x v="36"/>
    <x v="38"/>
    <x v="3"/>
    <x v="34"/>
    <x v="41"/>
  </r>
  <r>
    <x v="37"/>
    <x v="39"/>
    <x v="3"/>
    <x v="35"/>
    <x v="42"/>
  </r>
  <r>
    <x v="38"/>
    <x v="40"/>
    <x v="6"/>
    <x v="36"/>
    <x v="43"/>
  </r>
  <r>
    <x v="39"/>
    <x v="41"/>
    <x v="6"/>
    <x v="36"/>
    <x v="43"/>
  </r>
  <r>
    <x v="25"/>
    <x v="25"/>
    <x v="6"/>
    <x v="37"/>
    <x v="44"/>
  </r>
  <r>
    <x v="13"/>
    <x v="13"/>
    <x v="6"/>
    <x v="38"/>
    <x v="45"/>
  </r>
  <r>
    <x v="40"/>
    <x v="42"/>
    <x v="3"/>
    <x v="18"/>
    <x v="18"/>
  </r>
  <r>
    <x v="23"/>
    <x v="23"/>
    <x v="3"/>
    <x v="5"/>
    <x v="5"/>
  </r>
  <r>
    <x v="41"/>
    <x v="43"/>
    <x v="3"/>
    <x v="5"/>
    <x v="5"/>
  </r>
  <r>
    <x v="42"/>
    <x v="44"/>
    <x v="7"/>
    <x v="22"/>
    <x v="46"/>
  </r>
  <r>
    <x v="43"/>
    <x v="45"/>
    <x v="7"/>
    <x v="5"/>
    <x v="5"/>
  </r>
  <r>
    <x v="1"/>
    <x v="1"/>
    <x v="0"/>
    <x v="1"/>
    <x v="1"/>
  </r>
  <r>
    <x v="20"/>
    <x v="19"/>
    <x v="1"/>
    <x v="25"/>
    <x v="29"/>
  </r>
  <r>
    <x v="22"/>
    <x v="22"/>
    <x v="1"/>
    <x v="26"/>
    <x v="30"/>
  </r>
  <r>
    <x v="11"/>
    <x v="11"/>
    <x v="8"/>
    <x v="11"/>
    <x v="47"/>
  </r>
  <r>
    <x v="22"/>
    <x v="22"/>
    <x v="1"/>
    <x v="26"/>
    <x v="30"/>
  </r>
  <r>
    <x v="6"/>
    <x v="6"/>
    <x v="0"/>
    <x v="6"/>
    <x v="6"/>
  </r>
  <r>
    <x v="12"/>
    <x v="12"/>
    <x v="0"/>
    <x v="13"/>
    <x v="13"/>
  </r>
  <r>
    <x v="0"/>
    <x v="0"/>
    <x v="0"/>
    <x v="0"/>
    <x v="0"/>
  </r>
  <r>
    <x v="0"/>
    <x v="0"/>
    <x v="1"/>
    <x v="0"/>
    <x v="31"/>
  </r>
  <r>
    <x v="13"/>
    <x v="13"/>
    <x v="3"/>
    <x v="14"/>
    <x v="28"/>
  </r>
  <r>
    <x v="12"/>
    <x v="12"/>
    <x v="0"/>
    <x v="13"/>
    <x v="13"/>
  </r>
  <r>
    <x v="21"/>
    <x v="24"/>
    <x v="1"/>
    <x v="39"/>
    <x v="48"/>
  </r>
  <r>
    <x v="1"/>
    <x v="1"/>
    <x v="0"/>
    <x v="1"/>
    <x v="1"/>
  </r>
  <r>
    <x v="14"/>
    <x v="0"/>
    <x v="0"/>
    <x v="13"/>
    <x v="13"/>
  </r>
  <r>
    <x v="44"/>
    <x v="46"/>
    <x v="0"/>
    <x v="40"/>
    <x v="49"/>
  </r>
  <r>
    <x v="18"/>
    <x v="24"/>
    <x v="0"/>
    <x v="24"/>
    <x v="24"/>
  </r>
  <r>
    <x v="5"/>
    <x v="5"/>
    <x v="0"/>
    <x v="41"/>
    <x v="50"/>
  </r>
  <r>
    <x v="44"/>
    <x v="46"/>
    <x v="0"/>
    <x v="40"/>
    <x v="49"/>
  </r>
  <r>
    <x v="11"/>
    <x v="11"/>
    <x v="1"/>
    <x v="11"/>
    <x v="51"/>
  </r>
  <r>
    <x v="19"/>
    <x v="18"/>
    <x v="1"/>
    <x v="42"/>
    <x v="52"/>
  </r>
  <r>
    <x v="23"/>
    <x v="23"/>
    <x v="1"/>
    <x v="5"/>
    <x v="5"/>
  </r>
  <r>
    <x v="45"/>
    <x v="47"/>
    <x v="7"/>
    <x v="15"/>
    <x v="53"/>
  </r>
  <r>
    <x v="16"/>
    <x v="48"/>
    <x v="7"/>
    <x v="5"/>
    <x v="5"/>
  </r>
  <r>
    <x v="46"/>
    <x v="49"/>
    <x v="7"/>
    <x v="43"/>
    <x v="54"/>
  </r>
  <r>
    <x v="47"/>
    <x v="24"/>
    <x v="7"/>
    <x v="44"/>
    <x v="55"/>
  </r>
  <r>
    <x v="17"/>
    <x v="16"/>
    <x v="7"/>
    <x v="16"/>
    <x v="56"/>
  </r>
  <r>
    <x v="40"/>
    <x v="42"/>
    <x v="3"/>
    <x v="42"/>
    <x v="57"/>
  </r>
  <r>
    <x v="23"/>
    <x v="50"/>
    <x v="3"/>
    <x v="5"/>
    <x v="5"/>
  </r>
  <r>
    <x v="23"/>
    <x v="51"/>
    <x v="3"/>
    <x v="16"/>
    <x v="58"/>
  </r>
  <r>
    <x v="6"/>
    <x v="6"/>
    <x v="0"/>
    <x v="6"/>
    <x v="6"/>
  </r>
  <r>
    <x v="12"/>
    <x v="12"/>
    <x v="0"/>
    <x v="13"/>
    <x v="13"/>
  </r>
  <r>
    <x v="4"/>
    <x v="52"/>
    <x v="7"/>
    <x v="5"/>
    <x v="5"/>
  </r>
  <r>
    <x v="24"/>
    <x v="9"/>
    <x v="0"/>
    <x v="45"/>
    <x v="59"/>
  </r>
  <r>
    <x v="15"/>
    <x v="14"/>
    <x v="7"/>
    <x v="19"/>
    <x v="60"/>
  </r>
  <r>
    <x v="4"/>
    <x v="4"/>
    <x v="7"/>
    <x v="5"/>
    <x v="5"/>
  </r>
  <r>
    <x v="16"/>
    <x v="15"/>
    <x v="7"/>
    <x v="5"/>
    <x v="5"/>
  </r>
  <r>
    <x v="5"/>
    <x v="5"/>
    <x v="7"/>
    <x v="5"/>
    <x v="5"/>
  </r>
  <r>
    <x v="18"/>
    <x v="24"/>
    <x v="7"/>
    <x v="5"/>
    <x v="5"/>
  </r>
  <r>
    <x v="48"/>
    <x v="24"/>
    <x v="7"/>
    <x v="46"/>
    <x v="61"/>
  </r>
  <r>
    <x v="17"/>
    <x v="16"/>
    <x v="7"/>
    <x v="47"/>
    <x v="62"/>
  </r>
  <r>
    <x v="12"/>
    <x v="12"/>
    <x v="1"/>
    <x v="48"/>
    <x v="63"/>
  </r>
  <r>
    <x v="9"/>
    <x v="9"/>
    <x v="0"/>
    <x v="49"/>
    <x v="64"/>
  </r>
  <r>
    <x v="49"/>
    <x v="9"/>
    <x v="0"/>
    <x v="50"/>
    <x v="65"/>
  </r>
  <r>
    <x v="50"/>
    <x v="53"/>
    <x v="3"/>
    <x v="51"/>
    <x v="66"/>
  </r>
  <r>
    <x v="51"/>
    <x v="53"/>
    <x v="7"/>
    <x v="52"/>
    <x v="67"/>
  </r>
  <r>
    <x v="52"/>
    <x v="53"/>
    <x v="2"/>
    <x v="53"/>
    <x v="68"/>
  </r>
  <r>
    <x v="9"/>
    <x v="9"/>
    <x v="0"/>
    <x v="54"/>
    <x v="69"/>
  </r>
  <r>
    <x v="0"/>
    <x v="0"/>
    <x v="0"/>
    <x v="0"/>
    <x v="0"/>
  </r>
  <r>
    <x v="13"/>
    <x v="13"/>
    <x v="0"/>
    <x v="14"/>
    <x v="70"/>
  </r>
  <r>
    <x v="11"/>
    <x v="11"/>
    <x v="0"/>
    <x v="11"/>
    <x v="11"/>
  </r>
  <r>
    <x v="0"/>
    <x v="0"/>
    <x v="0"/>
    <x v="0"/>
    <x v="0"/>
  </r>
  <r>
    <x v="12"/>
    <x v="12"/>
    <x v="0"/>
    <x v="13"/>
    <x v="13"/>
  </r>
  <r>
    <x v="2"/>
    <x v="2"/>
    <x v="3"/>
    <x v="3"/>
    <x v="32"/>
  </r>
  <r>
    <x v="21"/>
    <x v="24"/>
    <x v="3"/>
    <x v="28"/>
    <x v="71"/>
  </r>
  <r>
    <x v="4"/>
    <x v="4"/>
    <x v="3"/>
    <x v="5"/>
    <x v="5"/>
  </r>
  <r>
    <x v="5"/>
    <x v="5"/>
    <x v="3"/>
    <x v="5"/>
    <x v="5"/>
  </r>
  <r>
    <x v="12"/>
    <x v="12"/>
    <x v="0"/>
    <x v="13"/>
    <x v="13"/>
  </r>
  <r>
    <x v="13"/>
    <x v="13"/>
    <x v="9"/>
    <x v="14"/>
    <x v="72"/>
  </r>
  <r>
    <x v="19"/>
    <x v="18"/>
    <x v="1"/>
    <x v="42"/>
    <x v="52"/>
  </r>
  <r>
    <x v="17"/>
    <x v="16"/>
    <x v="1"/>
    <x v="16"/>
    <x v="16"/>
  </r>
  <r>
    <x v="17"/>
    <x v="16"/>
    <x v="1"/>
    <x v="5"/>
    <x v="5"/>
  </r>
  <r>
    <x v="18"/>
    <x v="24"/>
    <x v="1"/>
    <x v="24"/>
    <x v="73"/>
  </r>
  <r>
    <x v="0"/>
    <x v="0"/>
    <x v="0"/>
    <x v="0"/>
    <x v="0"/>
  </r>
  <r>
    <x v="12"/>
    <x v="12"/>
    <x v="3"/>
    <x v="13"/>
    <x v="74"/>
  </r>
  <r>
    <x v="12"/>
    <x v="12"/>
    <x v="0"/>
    <x v="13"/>
    <x v="13"/>
  </r>
  <r>
    <x v="25"/>
    <x v="25"/>
    <x v="1"/>
    <x v="27"/>
    <x v="36"/>
  </r>
  <r>
    <x v="11"/>
    <x v="11"/>
    <x v="0"/>
    <x v="11"/>
    <x v="11"/>
  </r>
  <r>
    <x v="12"/>
    <x v="12"/>
    <x v="0"/>
    <x v="13"/>
    <x v="13"/>
  </r>
  <r>
    <x v="53"/>
    <x v="54"/>
    <x v="0"/>
    <x v="29"/>
    <x v="75"/>
  </r>
  <r>
    <x v="14"/>
    <x v="0"/>
    <x v="0"/>
    <x v="55"/>
    <x v="76"/>
  </r>
  <r>
    <x v="54"/>
    <x v="24"/>
    <x v="1"/>
    <x v="12"/>
    <x v="12"/>
  </r>
  <r>
    <x v="14"/>
    <x v="0"/>
    <x v="0"/>
    <x v="55"/>
    <x v="76"/>
  </r>
  <r>
    <x v="29"/>
    <x v="31"/>
    <x v="1"/>
    <x v="27"/>
    <x v="36"/>
  </r>
  <r>
    <x v="22"/>
    <x v="22"/>
    <x v="1"/>
    <x v="26"/>
    <x v="30"/>
  </r>
  <r>
    <x v="55"/>
    <x v="55"/>
    <x v="4"/>
    <x v="56"/>
    <x v="77"/>
  </r>
  <r>
    <x v="56"/>
    <x v="56"/>
    <x v="4"/>
    <x v="57"/>
    <x v="78"/>
  </r>
  <r>
    <x v="57"/>
    <x v="57"/>
    <x v="10"/>
    <x v="58"/>
    <x v="79"/>
  </r>
  <r>
    <x v="58"/>
    <x v="58"/>
    <x v="4"/>
    <x v="59"/>
    <x v="80"/>
  </r>
  <r>
    <x v="59"/>
    <x v="59"/>
    <x v="10"/>
    <x v="58"/>
    <x v="79"/>
  </r>
  <r>
    <x v="6"/>
    <x v="60"/>
    <x v="1"/>
    <x v="33"/>
    <x v="40"/>
  </r>
  <r>
    <x v="60"/>
    <x v="61"/>
    <x v="0"/>
    <x v="60"/>
    <x v="81"/>
  </r>
  <r>
    <x v="61"/>
    <x v="62"/>
    <x v="0"/>
    <x v="61"/>
    <x v="82"/>
  </r>
  <r>
    <x v="9"/>
    <x v="9"/>
    <x v="0"/>
    <x v="62"/>
    <x v="83"/>
  </r>
  <r>
    <x v="55"/>
    <x v="55"/>
    <x v="0"/>
    <x v="56"/>
    <x v="9"/>
  </r>
  <r>
    <x v="56"/>
    <x v="56"/>
    <x v="0"/>
    <x v="57"/>
    <x v="84"/>
  </r>
  <r>
    <x v="57"/>
    <x v="57"/>
    <x v="1"/>
    <x v="58"/>
    <x v="85"/>
  </r>
  <r>
    <x v="58"/>
    <x v="58"/>
    <x v="0"/>
    <x v="59"/>
    <x v="86"/>
  </r>
  <r>
    <x v="59"/>
    <x v="59"/>
    <x v="1"/>
    <x v="58"/>
    <x v="85"/>
  </r>
  <r>
    <x v="60"/>
    <x v="61"/>
    <x v="0"/>
    <x v="4"/>
    <x v="34"/>
  </r>
  <r>
    <x v="9"/>
    <x v="9"/>
    <x v="0"/>
    <x v="63"/>
    <x v="85"/>
  </r>
  <r>
    <x v="62"/>
    <x v="53"/>
    <x v="2"/>
    <x v="64"/>
    <x v="87"/>
  </r>
  <r>
    <x v="63"/>
    <x v="9"/>
    <x v="3"/>
    <x v="65"/>
    <x v="88"/>
  </r>
  <r>
    <x v="9"/>
    <x v="9"/>
    <x v="0"/>
    <x v="43"/>
    <x v="4"/>
  </r>
  <r>
    <x v="1"/>
    <x v="1"/>
    <x v="0"/>
    <x v="1"/>
    <x v="1"/>
  </r>
  <r>
    <x v="20"/>
    <x v="19"/>
    <x v="0"/>
    <x v="25"/>
    <x v="25"/>
  </r>
  <r>
    <x v="22"/>
    <x v="22"/>
    <x v="0"/>
    <x v="26"/>
    <x v="26"/>
  </r>
  <r>
    <x v="11"/>
    <x v="11"/>
    <x v="0"/>
    <x v="11"/>
    <x v="11"/>
  </r>
  <r>
    <x v="22"/>
    <x v="22"/>
    <x v="0"/>
    <x v="26"/>
    <x v="26"/>
  </r>
  <r>
    <x v="19"/>
    <x v="63"/>
    <x v="3"/>
    <x v="18"/>
    <x v="18"/>
  </r>
  <r>
    <x v="6"/>
    <x v="6"/>
    <x v="0"/>
    <x v="33"/>
    <x v="89"/>
  </r>
  <r>
    <x v="4"/>
    <x v="4"/>
    <x v="3"/>
    <x v="47"/>
    <x v="90"/>
  </r>
  <r>
    <x v="23"/>
    <x v="23"/>
    <x v="3"/>
    <x v="5"/>
    <x v="5"/>
  </r>
  <r>
    <x v="17"/>
    <x v="16"/>
    <x v="3"/>
    <x v="47"/>
    <x v="90"/>
  </r>
  <r>
    <x v="52"/>
    <x v="53"/>
    <x v="3"/>
    <x v="53"/>
    <x v="91"/>
  </r>
  <r>
    <x v="64"/>
    <x v="9"/>
    <x v="0"/>
    <x v="66"/>
    <x v="92"/>
  </r>
  <r>
    <x v="65"/>
    <x v="64"/>
    <x v="0"/>
    <x v="63"/>
    <x v="85"/>
  </r>
  <r>
    <x v="24"/>
    <x v="9"/>
    <x v="0"/>
    <x v="49"/>
    <x v="64"/>
  </r>
  <r>
    <x v="15"/>
    <x v="65"/>
    <x v="6"/>
    <x v="67"/>
    <x v="77"/>
  </r>
  <r>
    <x v="16"/>
    <x v="48"/>
    <x v="6"/>
    <x v="5"/>
    <x v="5"/>
  </r>
  <r>
    <x v="4"/>
    <x v="66"/>
    <x v="6"/>
    <x v="5"/>
    <x v="5"/>
  </r>
  <r>
    <x v="66"/>
    <x v="67"/>
    <x v="11"/>
    <x v="47"/>
    <x v="93"/>
  </r>
  <r>
    <x v="24"/>
    <x v="9"/>
    <x v="0"/>
    <x v="9"/>
    <x v="94"/>
  </r>
  <r>
    <x v="19"/>
    <x v="63"/>
    <x v="3"/>
    <x v="18"/>
    <x v="18"/>
  </r>
  <r>
    <x v="6"/>
    <x v="6"/>
    <x v="0"/>
    <x v="33"/>
    <x v="89"/>
  </r>
  <r>
    <x v="15"/>
    <x v="68"/>
    <x v="1"/>
    <x v="67"/>
    <x v="95"/>
  </r>
  <r>
    <x v="4"/>
    <x v="4"/>
    <x v="3"/>
    <x v="47"/>
    <x v="90"/>
  </r>
  <r>
    <x v="23"/>
    <x v="23"/>
    <x v="3"/>
    <x v="5"/>
    <x v="5"/>
  </r>
  <r>
    <x v="17"/>
    <x v="16"/>
    <x v="3"/>
    <x v="5"/>
    <x v="5"/>
  </r>
  <r>
    <x v="4"/>
    <x v="4"/>
    <x v="3"/>
    <x v="5"/>
    <x v="5"/>
  </r>
  <r>
    <x v="64"/>
    <x v="9"/>
    <x v="0"/>
    <x v="66"/>
    <x v="92"/>
  </r>
  <r>
    <x v="65"/>
    <x v="69"/>
    <x v="0"/>
    <x v="63"/>
    <x v="85"/>
  </r>
  <r>
    <x v="24"/>
    <x v="9"/>
    <x v="0"/>
    <x v="68"/>
    <x v="96"/>
  </r>
  <r>
    <x v="19"/>
    <x v="63"/>
    <x v="3"/>
    <x v="18"/>
    <x v="18"/>
  </r>
  <r>
    <x v="4"/>
    <x v="4"/>
    <x v="3"/>
    <x v="47"/>
    <x v="90"/>
  </r>
  <r>
    <x v="17"/>
    <x v="16"/>
    <x v="3"/>
    <x v="5"/>
    <x v="5"/>
  </r>
  <r>
    <x v="21"/>
    <x v="24"/>
    <x v="6"/>
    <x v="22"/>
    <x v="97"/>
  </r>
  <r>
    <x v="43"/>
    <x v="45"/>
    <x v="6"/>
    <x v="5"/>
    <x v="5"/>
  </r>
  <r>
    <x v="24"/>
    <x v="9"/>
    <x v="0"/>
    <x v="69"/>
    <x v="98"/>
  </r>
  <r>
    <x v="19"/>
    <x v="18"/>
    <x v="1"/>
    <x v="42"/>
    <x v="52"/>
  </r>
  <r>
    <x v="23"/>
    <x v="23"/>
    <x v="1"/>
    <x v="5"/>
    <x v="5"/>
  </r>
  <r>
    <x v="12"/>
    <x v="12"/>
    <x v="0"/>
    <x v="13"/>
    <x v="13"/>
  </r>
  <r>
    <x v="11"/>
    <x v="11"/>
    <x v="12"/>
    <x v="11"/>
    <x v="99"/>
  </r>
  <r>
    <x v="1"/>
    <x v="1"/>
    <x v="0"/>
    <x v="1"/>
    <x v="1"/>
  </r>
  <r>
    <x v="67"/>
    <x v="70"/>
    <x v="8"/>
    <x v="70"/>
    <x v="100"/>
  </r>
  <r>
    <x v="25"/>
    <x v="25"/>
    <x v="0"/>
    <x v="27"/>
    <x v="27"/>
  </r>
  <r>
    <x v="22"/>
    <x v="22"/>
    <x v="1"/>
    <x v="26"/>
    <x v="30"/>
  </r>
  <r>
    <x v="12"/>
    <x v="12"/>
    <x v="0"/>
    <x v="13"/>
    <x v="13"/>
  </r>
  <r>
    <x v="0"/>
    <x v="0"/>
    <x v="1"/>
    <x v="0"/>
    <x v="31"/>
  </r>
  <r>
    <x v="22"/>
    <x v="22"/>
    <x v="8"/>
    <x v="26"/>
    <x v="101"/>
  </r>
  <r>
    <x v="19"/>
    <x v="18"/>
    <x v="7"/>
    <x v="42"/>
    <x v="102"/>
  </r>
  <r>
    <x v="17"/>
    <x v="16"/>
    <x v="7"/>
    <x v="5"/>
    <x v="5"/>
  </r>
  <r>
    <x v="12"/>
    <x v="12"/>
    <x v="0"/>
    <x v="13"/>
    <x v="13"/>
  </r>
  <r>
    <x v="2"/>
    <x v="2"/>
    <x v="7"/>
    <x v="3"/>
    <x v="103"/>
  </r>
  <r>
    <x v="18"/>
    <x v="17"/>
    <x v="1"/>
    <x v="5"/>
    <x v="5"/>
  </r>
  <r>
    <x v="3"/>
    <x v="71"/>
    <x v="1"/>
    <x v="4"/>
    <x v="4"/>
  </r>
  <r>
    <x v="46"/>
    <x v="72"/>
    <x v="1"/>
    <x v="43"/>
    <x v="104"/>
  </r>
  <r>
    <x v="4"/>
    <x v="73"/>
    <x v="7"/>
    <x v="5"/>
    <x v="5"/>
  </r>
  <r>
    <x v="11"/>
    <x v="74"/>
    <x v="7"/>
    <x v="5"/>
    <x v="5"/>
  </r>
  <r>
    <x v="22"/>
    <x v="75"/>
    <x v="7"/>
    <x v="5"/>
    <x v="5"/>
  </r>
  <r>
    <x v="12"/>
    <x v="12"/>
    <x v="0"/>
    <x v="13"/>
    <x v="13"/>
  </r>
  <r>
    <x v="20"/>
    <x v="19"/>
    <x v="7"/>
    <x v="25"/>
    <x v="105"/>
  </r>
  <r>
    <x v="3"/>
    <x v="76"/>
    <x v="0"/>
    <x v="71"/>
    <x v="106"/>
  </r>
  <r>
    <x v="68"/>
    <x v="77"/>
    <x v="0"/>
    <x v="5"/>
    <x v="5"/>
  </r>
  <r>
    <x v="68"/>
    <x v="78"/>
    <x v="0"/>
    <x v="5"/>
    <x v="5"/>
  </r>
  <r>
    <x v="31"/>
    <x v="33"/>
    <x v="0"/>
    <x v="5"/>
    <x v="5"/>
  </r>
  <r>
    <x v="69"/>
    <x v="79"/>
    <x v="0"/>
    <x v="5"/>
    <x v="5"/>
  </r>
  <r>
    <x v="44"/>
    <x v="46"/>
    <x v="0"/>
    <x v="40"/>
    <x v="49"/>
  </r>
  <r>
    <x v="14"/>
    <x v="0"/>
    <x v="0"/>
    <x v="72"/>
    <x v="107"/>
  </r>
  <r>
    <x v="20"/>
    <x v="19"/>
    <x v="1"/>
    <x v="25"/>
    <x v="29"/>
  </r>
  <r>
    <x v="22"/>
    <x v="22"/>
    <x v="1"/>
    <x v="26"/>
    <x v="30"/>
  </r>
  <r>
    <x v="12"/>
    <x v="12"/>
    <x v="0"/>
    <x v="13"/>
    <x v="13"/>
  </r>
  <r>
    <x v="36"/>
    <x v="38"/>
    <x v="3"/>
    <x v="5"/>
    <x v="5"/>
  </r>
  <r>
    <x v="8"/>
    <x v="8"/>
    <x v="13"/>
    <x v="5"/>
    <x v="5"/>
  </r>
  <r>
    <x v="1"/>
    <x v="1"/>
    <x v="0"/>
    <x v="2"/>
    <x v="2"/>
  </r>
  <r>
    <x v="70"/>
    <x v="80"/>
    <x v="0"/>
    <x v="73"/>
    <x v="108"/>
  </r>
  <r>
    <x v="71"/>
    <x v="81"/>
    <x v="0"/>
    <x v="74"/>
    <x v="109"/>
  </r>
  <r>
    <x v="3"/>
    <x v="3"/>
    <x v="0"/>
    <x v="12"/>
    <x v="110"/>
  </r>
  <r>
    <x v="28"/>
    <x v="24"/>
    <x v="0"/>
    <x v="29"/>
    <x v="75"/>
  </r>
  <r>
    <x v="5"/>
    <x v="5"/>
    <x v="0"/>
    <x v="41"/>
    <x v="50"/>
  </r>
  <r>
    <x v="0"/>
    <x v="0"/>
    <x v="0"/>
    <x v="0"/>
    <x v="0"/>
  </r>
  <r>
    <x v="70"/>
    <x v="80"/>
    <x v="14"/>
    <x v="73"/>
    <x v="111"/>
  </r>
  <r>
    <x v="72"/>
    <x v="82"/>
    <x v="0"/>
    <x v="75"/>
    <x v="112"/>
  </r>
  <r>
    <x v="73"/>
    <x v="83"/>
    <x v="2"/>
    <x v="76"/>
    <x v="113"/>
  </r>
  <r>
    <x v="74"/>
    <x v="84"/>
    <x v="1"/>
    <x v="77"/>
    <x v="114"/>
  </r>
  <r>
    <x v="22"/>
    <x v="22"/>
    <x v="1"/>
    <x v="5"/>
    <x v="5"/>
  </r>
  <r>
    <x v="49"/>
    <x v="9"/>
    <x v="0"/>
    <x v="78"/>
    <x v="115"/>
  </r>
  <r>
    <x v="0"/>
    <x v="0"/>
    <x v="0"/>
    <x v="0"/>
    <x v="0"/>
  </r>
  <r>
    <x v="25"/>
    <x v="25"/>
    <x v="0"/>
    <x v="27"/>
    <x v="27"/>
  </r>
  <r>
    <x v="13"/>
    <x v="13"/>
    <x v="1"/>
    <x v="14"/>
    <x v="14"/>
  </r>
  <r>
    <x v="75"/>
    <x v="2"/>
    <x v="1"/>
    <x v="79"/>
    <x v="116"/>
  </r>
  <r>
    <x v="18"/>
    <x v="85"/>
    <x v="1"/>
    <x v="5"/>
    <x v="5"/>
  </r>
  <r>
    <x v="20"/>
    <x v="19"/>
    <x v="3"/>
    <x v="20"/>
    <x v="117"/>
  </r>
  <r>
    <x v="22"/>
    <x v="22"/>
    <x v="3"/>
    <x v="5"/>
    <x v="5"/>
  </r>
  <r>
    <x v="5"/>
    <x v="5"/>
    <x v="1"/>
    <x v="5"/>
    <x v="5"/>
  </r>
  <r>
    <x v="76"/>
    <x v="9"/>
    <x v="0"/>
    <x v="80"/>
    <x v="47"/>
  </r>
  <r>
    <x v="15"/>
    <x v="86"/>
    <x v="0"/>
    <x v="67"/>
    <x v="118"/>
  </r>
  <r>
    <x v="31"/>
    <x v="33"/>
    <x v="7"/>
    <x v="5"/>
    <x v="5"/>
  </r>
  <r>
    <x v="9"/>
    <x v="9"/>
    <x v="0"/>
    <x v="81"/>
    <x v="119"/>
  </r>
  <r>
    <x v="6"/>
    <x v="6"/>
    <x v="0"/>
    <x v="33"/>
    <x v="89"/>
  </r>
  <r>
    <x v="9"/>
    <x v="9"/>
    <x v="0"/>
    <x v="59"/>
    <x v="86"/>
  </r>
  <r>
    <x v="13"/>
    <x v="13"/>
    <x v="0"/>
    <x v="14"/>
    <x v="70"/>
  </r>
  <r>
    <x v="20"/>
    <x v="19"/>
    <x v="0"/>
    <x v="25"/>
    <x v="25"/>
  </r>
  <r>
    <x v="22"/>
    <x v="22"/>
    <x v="0"/>
    <x v="26"/>
    <x v="26"/>
  </r>
  <r>
    <x v="14"/>
    <x v="0"/>
    <x v="1"/>
    <x v="13"/>
    <x v="120"/>
  </r>
  <r>
    <x v="13"/>
    <x v="13"/>
    <x v="0"/>
    <x v="14"/>
    <x v="70"/>
  </r>
  <r>
    <x v="1"/>
    <x v="1"/>
    <x v="0"/>
    <x v="1"/>
    <x v="1"/>
  </r>
  <r>
    <x v="20"/>
    <x v="19"/>
    <x v="0"/>
    <x v="25"/>
    <x v="25"/>
  </r>
  <r>
    <x v="22"/>
    <x v="22"/>
    <x v="0"/>
    <x v="26"/>
    <x v="26"/>
  </r>
  <r>
    <x v="1"/>
    <x v="1"/>
    <x v="0"/>
    <x v="1"/>
    <x v="1"/>
  </r>
  <r>
    <x v="46"/>
    <x v="24"/>
    <x v="1"/>
    <x v="82"/>
    <x v="121"/>
  </r>
  <r>
    <x v="6"/>
    <x v="6"/>
    <x v="0"/>
    <x v="33"/>
    <x v="89"/>
  </r>
  <r>
    <x v="9"/>
    <x v="9"/>
    <x v="0"/>
    <x v="41"/>
    <x v="50"/>
  </r>
  <r>
    <x v="77"/>
    <x v="87"/>
    <x v="0"/>
    <x v="5"/>
    <x v="5"/>
  </r>
  <r>
    <x v="78"/>
    <x v="88"/>
    <x v="0"/>
    <x v="5"/>
    <x v="5"/>
  </r>
  <r>
    <x v="79"/>
    <x v="89"/>
    <x v="0"/>
    <x v="5"/>
    <x v="5"/>
  </r>
  <r>
    <x v="80"/>
    <x v="90"/>
    <x v="0"/>
    <x v="5"/>
    <x v="5"/>
  </r>
  <r>
    <x v="12"/>
    <x v="12"/>
    <x v="0"/>
    <x v="13"/>
    <x v="13"/>
  </r>
  <r>
    <x v="20"/>
    <x v="19"/>
    <x v="1"/>
    <x v="25"/>
    <x v="29"/>
  </r>
  <r>
    <x v="22"/>
    <x v="22"/>
    <x v="1"/>
    <x v="26"/>
    <x v="30"/>
  </r>
  <r>
    <x v="20"/>
    <x v="19"/>
    <x v="3"/>
    <x v="25"/>
    <x v="122"/>
  </r>
  <r>
    <x v="22"/>
    <x v="22"/>
    <x v="3"/>
    <x v="26"/>
    <x v="123"/>
  </r>
  <r>
    <x v="12"/>
    <x v="12"/>
    <x v="0"/>
    <x v="13"/>
    <x v="13"/>
  </r>
  <r>
    <x v="46"/>
    <x v="24"/>
    <x v="0"/>
    <x v="82"/>
    <x v="124"/>
  </r>
  <r>
    <x v="20"/>
    <x v="19"/>
    <x v="0"/>
    <x v="25"/>
    <x v="25"/>
  </r>
  <r>
    <x v="22"/>
    <x v="22"/>
    <x v="0"/>
    <x v="26"/>
    <x v="26"/>
  </r>
  <r>
    <x v="11"/>
    <x v="11"/>
    <x v="6"/>
    <x v="11"/>
    <x v="125"/>
  </r>
  <r>
    <x v="25"/>
    <x v="25"/>
    <x v="1"/>
    <x v="27"/>
    <x v="36"/>
  </r>
  <r>
    <x v="29"/>
    <x v="31"/>
    <x v="0"/>
    <x v="27"/>
    <x v="27"/>
  </r>
  <r>
    <x v="22"/>
    <x v="22"/>
    <x v="0"/>
    <x v="26"/>
    <x v="26"/>
  </r>
  <r>
    <x v="1"/>
    <x v="1"/>
    <x v="0"/>
    <x v="83"/>
    <x v="126"/>
  </r>
  <r>
    <x v="14"/>
    <x v="0"/>
    <x v="0"/>
    <x v="48"/>
    <x v="127"/>
  </r>
  <r>
    <x v="72"/>
    <x v="82"/>
    <x v="1"/>
    <x v="84"/>
    <x v="128"/>
  </r>
  <r>
    <x v="73"/>
    <x v="83"/>
    <x v="3"/>
    <x v="85"/>
    <x v="129"/>
  </r>
  <r>
    <x v="74"/>
    <x v="84"/>
    <x v="3"/>
    <x v="86"/>
    <x v="130"/>
  </r>
  <r>
    <x v="81"/>
    <x v="91"/>
    <x v="1"/>
    <x v="87"/>
    <x v="131"/>
  </r>
  <r>
    <x v="21"/>
    <x v="24"/>
    <x v="1"/>
    <x v="22"/>
    <x v="132"/>
  </r>
  <r>
    <x v="6"/>
    <x v="6"/>
    <x v="0"/>
    <x v="33"/>
    <x v="89"/>
  </r>
  <r>
    <x v="24"/>
    <x v="9"/>
    <x v="0"/>
    <x v="88"/>
    <x v="133"/>
  </r>
  <r>
    <x v="3"/>
    <x v="3"/>
    <x v="0"/>
    <x v="12"/>
    <x v="110"/>
  </r>
  <r>
    <x v="20"/>
    <x v="19"/>
    <x v="0"/>
    <x v="25"/>
    <x v="25"/>
  </r>
  <r>
    <x v="22"/>
    <x v="22"/>
    <x v="0"/>
    <x v="26"/>
    <x v="26"/>
  </r>
  <r>
    <x v="22"/>
    <x v="22"/>
    <x v="8"/>
    <x v="26"/>
    <x v="101"/>
  </r>
  <r>
    <x v="29"/>
    <x v="31"/>
    <x v="0"/>
    <x v="27"/>
    <x v="27"/>
  </r>
  <r>
    <x v="22"/>
    <x v="22"/>
    <x v="0"/>
    <x v="26"/>
    <x v="26"/>
  </r>
  <r>
    <x v="1"/>
    <x v="1"/>
    <x v="0"/>
    <x v="1"/>
    <x v="1"/>
  </r>
  <r>
    <x v="1"/>
    <x v="1"/>
    <x v="0"/>
    <x v="2"/>
    <x v="2"/>
  </r>
  <r>
    <x v="53"/>
    <x v="54"/>
    <x v="0"/>
    <x v="29"/>
    <x v="75"/>
  </r>
  <r>
    <x v="39"/>
    <x v="41"/>
    <x v="0"/>
    <x v="89"/>
    <x v="134"/>
  </r>
  <r>
    <x v="68"/>
    <x v="92"/>
    <x v="0"/>
    <x v="5"/>
    <x v="5"/>
  </r>
  <r>
    <x v="78"/>
    <x v="88"/>
    <x v="0"/>
    <x v="5"/>
    <x v="5"/>
  </r>
  <r>
    <x v="41"/>
    <x v="43"/>
    <x v="0"/>
    <x v="5"/>
    <x v="5"/>
  </r>
  <r>
    <x v="68"/>
    <x v="93"/>
    <x v="0"/>
    <x v="5"/>
    <x v="5"/>
  </r>
  <r>
    <x v="82"/>
    <x v="94"/>
    <x v="0"/>
    <x v="5"/>
    <x v="5"/>
  </r>
  <r>
    <x v="83"/>
    <x v="95"/>
    <x v="0"/>
    <x v="5"/>
    <x v="5"/>
  </r>
  <r>
    <x v="84"/>
    <x v="96"/>
    <x v="0"/>
    <x v="5"/>
    <x v="5"/>
  </r>
  <r>
    <x v="85"/>
    <x v="97"/>
    <x v="0"/>
    <x v="5"/>
    <x v="5"/>
  </r>
  <r>
    <x v="31"/>
    <x v="33"/>
    <x v="12"/>
    <x v="5"/>
    <x v="5"/>
  </r>
  <r>
    <x v="68"/>
    <x v="98"/>
    <x v="0"/>
    <x v="5"/>
    <x v="5"/>
  </r>
  <r>
    <x v="86"/>
    <x v="99"/>
    <x v="0"/>
    <x v="5"/>
    <x v="5"/>
  </r>
  <r>
    <x v="68"/>
    <x v="100"/>
    <x v="0"/>
    <x v="5"/>
    <x v="5"/>
  </r>
  <r>
    <x v="67"/>
    <x v="70"/>
    <x v="7"/>
    <x v="5"/>
    <x v="5"/>
  </r>
  <r>
    <x v="29"/>
    <x v="31"/>
    <x v="1"/>
    <x v="27"/>
    <x v="36"/>
  </r>
  <r>
    <x v="22"/>
    <x v="22"/>
    <x v="1"/>
    <x v="26"/>
    <x v="30"/>
  </r>
  <r>
    <x v="6"/>
    <x v="6"/>
    <x v="1"/>
    <x v="6"/>
    <x v="135"/>
  </r>
  <r>
    <x v="1"/>
    <x v="1"/>
    <x v="0"/>
    <x v="83"/>
    <x v="126"/>
  </r>
  <r>
    <x v="18"/>
    <x v="17"/>
    <x v="1"/>
    <x v="5"/>
    <x v="5"/>
  </r>
  <r>
    <x v="3"/>
    <x v="3"/>
    <x v="12"/>
    <x v="71"/>
    <x v="136"/>
  </r>
  <r>
    <x v="20"/>
    <x v="19"/>
    <x v="12"/>
    <x v="20"/>
    <x v="137"/>
  </r>
  <r>
    <x v="15"/>
    <x v="14"/>
    <x v="1"/>
    <x v="19"/>
    <x v="138"/>
  </r>
  <r>
    <x v="18"/>
    <x v="24"/>
    <x v="0"/>
    <x v="90"/>
    <x v="139"/>
  </r>
  <r>
    <x v="73"/>
    <x v="83"/>
    <x v="6"/>
    <x v="76"/>
    <x v="140"/>
  </r>
  <r>
    <x v="47"/>
    <x v="24"/>
    <x v="15"/>
    <x v="44"/>
    <x v="141"/>
  </r>
  <r>
    <x v="22"/>
    <x v="22"/>
    <x v="1"/>
    <x v="11"/>
    <x v="51"/>
  </r>
  <r>
    <x v="87"/>
    <x v="9"/>
    <x v="0"/>
    <x v="91"/>
    <x v="142"/>
  </r>
  <r>
    <x v="9"/>
    <x v="9"/>
    <x v="0"/>
    <x v="30"/>
    <x v="37"/>
  </r>
  <r>
    <x v="88"/>
    <x v="101"/>
    <x v="16"/>
    <x v="92"/>
    <x v="143"/>
  </r>
  <r>
    <x v="89"/>
    <x v="101"/>
    <x v="6"/>
    <x v="92"/>
    <x v="85"/>
  </r>
  <r>
    <x v="9"/>
    <x v="9"/>
    <x v="0"/>
    <x v="93"/>
    <x v="144"/>
  </r>
  <r>
    <x v="4"/>
    <x v="4"/>
    <x v="0"/>
    <x v="16"/>
    <x v="145"/>
  </r>
  <r>
    <x v="4"/>
    <x v="4"/>
    <x v="12"/>
    <x v="47"/>
    <x v="146"/>
  </r>
  <r>
    <x v="9"/>
    <x v="9"/>
    <x v="0"/>
    <x v="94"/>
    <x v="147"/>
  </r>
  <r>
    <x v="44"/>
    <x v="46"/>
    <x v="0"/>
    <x v="40"/>
    <x v="49"/>
  </r>
  <r>
    <x v="0"/>
    <x v="0"/>
    <x v="0"/>
    <x v="0"/>
    <x v="0"/>
  </r>
  <r>
    <x v="28"/>
    <x v="24"/>
    <x v="17"/>
    <x v="29"/>
    <x v="148"/>
  </r>
  <r>
    <x v="12"/>
    <x v="12"/>
    <x v="0"/>
    <x v="13"/>
    <x v="13"/>
  </r>
  <r>
    <x v="12"/>
    <x v="12"/>
    <x v="0"/>
    <x v="13"/>
    <x v="13"/>
  </r>
  <r>
    <x v="12"/>
    <x v="12"/>
    <x v="0"/>
    <x v="13"/>
    <x v="13"/>
  </r>
  <r>
    <x v="29"/>
    <x v="31"/>
    <x v="3"/>
    <x v="27"/>
    <x v="149"/>
  </r>
  <r>
    <x v="22"/>
    <x v="22"/>
    <x v="3"/>
    <x v="26"/>
    <x v="123"/>
  </r>
  <r>
    <x v="2"/>
    <x v="2"/>
    <x v="1"/>
    <x v="3"/>
    <x v="3"/>
  </r>
  <r>
    <x v="18"/>
    <x v="24"/>
    <x v="1"/>
    <x v="5"/>
    <x v="5"/>
  </r>
  <r>
    <x v="4"/>
    <x v="4"/>
    <x v="1"/>
    <x v="5"/>
    <x v="5"/>
  </r>
  <r>
    <x v="5"/>
    <x v="5"/>
    <x v="1"/>
    <x v="5"/>
    <x v="5"/>
  </r>
  <r>
    <x v="11"/>
    <x v="11"/>
    <x v="0"/>
    <x v="11"/>
    <x v="11"/>
  </r>
  <r>
    <x v="22"/>
    <x v="22"/>
    <x v="0"/>
    <x v="26"/>
    <x v="26"/>
  </r>
  <r>
    <x v="90"/>
    <x v="102"/>
    <x v="0"/>
    <x v="5"/>
    <x v="5"/>
  </r>
  <r>
    <x v="91"/>
    <x v="103"/>
    <x v="0"/>
    <x v="5"/>
    <x v="5"/>
  </r>
  <r>
    <x v="12"/>
    <x v="12"/>
    <x v="7"/>
    <x v="48"/>
    <x v="150"/>
  </r>
  <r>
    <x v="36"/>
    <x v="38"/>
    <x v="18"/>
    <x v="34"/>
    <x v="151"/>
  </r>
  <r>
    <x v="9"/>
    <x v="9"/>
    <x v="0"/>
    <x v="95"/>
    <x v="152"/>
  </r>
  <r>
    <x v="44"/>
    <x v="46"/>
    <x v="0"/>
    <x v="96"/>
    <x v="153"/>
  </r>
</pivotCacheRecords>
</file>

<file path=xl/pivotCache/pivotCacheRecords48.xml><?xml version="1.0" encoding="utf-8"?>
<pivotCacheRecords xmlns:r="http://schemas.openxmlformats.org/officeDocument/2006/relationships" xmlns="http://schemas.openxmlformats.org/spreadsheetml/2006/main" count="307">
  <r>
    <x v="0"/>
    <x v="0"/>
    <x v="0"/>
    <x v="0"/>
    <x v="0"/>
    <x v="0"/>
    <x v="0"/>
    <x v="0"/>
  </r>
  <r>
    <x v="0"/>
    <x v="0"/>
    <x v="0"/>
    <x v="1"/>
    <x v="1"/>
    <x v="0"/>
    <x v="1"/>
    <x v="1"/>
  </r>
  <r>
    <x v="0"/>
    <x v="0"/>
    <x v="0"/>
    <x v="2"/>
    <x v="2"/>
    <x v="1"/>
    <x v="2"/>
    <x v="2"/>
  </r>
  <r>
    <x v="0"/>
    <x v="0"/>
    <x v="0"/>
    <x v="3"/>
    <x v="3"/>
    <x v="0"/>
    <x v="3"/>
    <x v="3"/>
  </r>
  <r>
    <x v="0"/>
    <x v="0"/>
    <x v="0"/>
    <x v="4"/>
    <x v="4"/>
    <x v="0"/>
    <x v="3"/>
    <x v="3"/>
  </r>
  <r>
    <x v="1"/>
    <x v="1"/>
    <x v="1"/>
    <x v="5"/>
    <x v="5"/>
    <x v="0"/>
    <x v="4"/>
    <x v="4"/>
  </r>
  <r>
    <x v="2"/>
    <x v="2"/>
    <x v="2"/>
    <x v="6"/>
    <x v="6"/>
    <x v="0"/>
    <x v="5"/>
    <x v="5"/>
  </r>
  <r>
    <x v="3"/>
    <x v="3"/>
    <x v="3"/>
    <x v="7"/>
    <x v="7"/>
    <x v="1"/>
    <x v="6"/>
    <x v="6"/>
  </r>
  <r>
    <x v="4"/>
    <x v="4"/>
    <x v="4"/>
    <x v="8"/>
    <x v="8"/>
    <x v="0"/>
    <x v="7"/>
    <x v="7"/>
  </r>
  <r>
    <x v="4"/>
    <x v="4"/>
    <x v="4"/>
    <x v="9"/>
    <x v="9"/>
    <x v="2"/>
    <x v="8"/>
    <x v="8"/>
  </r>
  <r>
    <x v="4"/>
    <x v="4"/>
    <x v="4"/>
    <x v="7"/>
    <x v="7"/>
    <x v="0"/>
    <x v="6"/>
    <x v="9"/>
  </r>
  <r>
    <x v="4"/>
    <x v="4"/>
    <x v="4"/>
    <x v="10"/>
    <x v="10"/>
    <x v="3"/>
    <x v="9"/>
    <x v="10"/>
  </r>
  <r>
    <x v="5"/>
    <x v="5"/>
    <x v="5"/>
    <x v="11"/>
    <x v="11"/>
    <x v="1"/>
    <x v="10"/>
    <x v="11"/>
  </r>
  <r>
    <x v="6"/>
    <x v="6"/>
    <x v="6"/>
    <x v="2"/>
    <x v="2"/>
    <x v="0"/>
    <x v="3"/>
    <x v="3"/>
  </r>
  <r>
    <x v="7"/>
    <x v="7"/>
    <x v="6"/>
    <x v="12"/>
    <x v="12"/>
    <x v="0"/>
    <x v="11"/>
    <x v="12"/>
  </r>
  <r>
    <x v="7"/>
    <x v="7"/>
    <x v="6"/>
    <x v="6"/>
    <x v="6"/>
    <x v="0"/>
    <x v="5"/>
    <x v="5"/>
  </r>
  <r>
    <x v="7"/>
    <x v="7"/>
    <x v="6"/>
    <x v="13"/>
    <x v="13"/>
    <x v="0"/>
    <x v="12"/>
    <x v="13"/>
  </r>
  <r>
    <x v="8"/>
    <x v="8"/>
    <x v="6"/>
    <x v="9"/>
    <x v="9"/>
    <x v="4"/>
    <x v="3"/>
    <x v="3"/>
  </r>
  <r>
    <x v="9"/>
    <x v="9"/>
    <x v="7"/>
    <x v="14"/>
    <x v="14"/>
    <x v="0"/>
    <x v="5"/>
    <x v="5"/>
  </r>
  <r>
    <x v="9"/>
    <x v="9"/>
    <x v="7"/>
    <x v="10"/>
    <x v="10"/>
    <x v="0"/>
    <x v="13"/>
    <x v="14"/>
  </r>
  <r>
    <x v="9"/>
    <x v="9"/>
    <x v="7"/>
    <x v="10"/>
    <x v="10"/>
    <x v="0"/>
    <x v="13"/>
    <x v="14"/>
  </r>
  <r>
    <x v="10"/>
    <x v="10"/>
    <x v="8"/>
    <x v="5"/>
    <x v="5"/>
    <x v="0"/>
    <x v="4"/>
    <x v="4"/>
  </r>
  <r>
    <x v="11"/>
    <x v="11"/>
    <x v="9"/>
    <x v="15"/>
    <x v="15"/>
    <x v="5"/>
    <x v="14"/>
    <x v="15"/>
  </r>
  <r>
    <x v="11"/>
    <x v="11"/>
    <x v="9"/>
    <x v="10"/>
    <x v="10"/>
    <x v="5"/>
    <x v="13"/>
    <x v="16"/>
  </r>
  <r>
    <x v="12"/>
    <x v="12"/>
    <x v="10"/>
    <x v="16"/>
    <x v="16"/>
    <x v="0"/>
    <x v="15"/>
    <x v="17"/>
  </r>
  <r>
    <x v="12"/>
    <x v="12"/>
    <x v="10"/>
    <x v="15"/>
    <x v="15"/>
    <x v="0"/>
    <x v="14"/>
    <x v="18"/>
  </r>
  <r>
    <x v="12"/>
    <x v="12"/>
    <x v="10"/>
    <x v="10"/>
    <x v="10"/>
    <x v="0"/>
    <x v="13"/>
    <x v="14"/>
  </r>
  <r>
    <x v="12"/>
    <x v="12"/>
    <x v="10"/>
    <x v="7"/>
    <x v="7"/>
    <x v="0"/>
    <x v="6"/>
    <x v="9"/>
  </r>
  <r>
    <x v="13"/>
    <x v="13"/>
    <x v="11"/>
    <x v="17"/>
    <x v="11"/>
    <x v="0"/>
    <x v="16"/>
    <x v="19"/>
  </r>
  <r>
    <x v="14"/>
    <x v="14"/>
    <x v="12"/>
    <x v="18"/>
    <x v="0"/>
    <x v="6"/>
    <x v="17"/>
    <x v="20"/>
  </r>
  <r>
    <x v="14"/>
    <x v="14"/>
    <x v="12"/>
    <x v="16"/>
    <x v="16"/>
    <x v="6"/>
    <x v="18"/>
    <x v="21"/>
  </r>
  <r>
    <x v="14"/>
    <x v="14"/>
    <x v="12"/>
    <x v="3"/>
    <x v="3"/>
    <x v="6"/>
    <x v="3"/>
    <x v="3"/>
  </r>
  <r>
    <x v="14"/>
    <x v="14"/>
    <x v="12"/>
    <x v="4"/>
    <x v="4"/>
    <x v="6"/>
    <x v="3"/>
    <x v="3"/>
  </r>
  <r>
    <x v="14"/>
    <x v="14"/>
    <x v="12"/>
    <x v="19"/>
    <x v="17"/>
    <x v="0"/>
    <x v="19"/>
    <x v="22"/>
  </r>
  <r>
    <x v="15"/>
    <x v="15"/>
    <x v="13"/>
    <x v="20"/>
    <x v="18"/>
    <x v="0"/>
    <x v="10"/>
    <x v="23"/>
  </r>
  <r>
    <x v="15"/>
    <x v="15"/>
    <x v="13"/>
    <x v="7"/>
    <x v="7"/>
    <x v="1"/>
    <x v="6"/>
    <x v="6"/>
  </r>
  <r>
    <x v="16"/>
    <x v="16"/>
    <x v="14"/>
    <x v="11"/>
    <x v="11"/>
    <x v="0"/>
    <x v="20"/>
    <x v="24"/>
  </r>
  <r>
    <x v="17"/>
    <x v="17"/>
    <x v="15"/>
    <x v="12"/>
    <x v="12"/>
    <x v="0"/>
    <x v="11"/>
    <x v="12"/>
  </r>
  <r>
    <x v="18"/>
    <x v="18"/>
    <x v="16"/>
    <x v="21"/>
    <x v="19"/>
    <x v="7"/>
    <x v="21"/>
    <x v="25"/>
  </r>
  <r>
    <x v="18"/>
    <x v="18"/>
    <x v="16"/>
    <x v="22"/>
    <x v="20"/>
    <x v="7"/>
    <x v="22"/>
    <x v="26"/>
  </r>
  <r>
    <x v="18"/>
    <x v="18"/>
    <x v="16"/>
    <x v="23"/>
    <x v="13"/>
    <x v="0"/>
    <x v="23"/>
    <x v="27"/>
  </r>
  <r>
    <x v="19"/>
    <x v="19"/>
    <x v="16"/>
    <x v="24"/>
    <x v="21"/>
    <x v="5"/>
    <x v="24"/>
    <x v="28"/>
  </r>
  <r>
    <x v="19"/>
    <x v="19"/>
    <x v="16"/>
    <x v="3"/>
    <x v="3"/>
    <x v="5"/>
    <x v="25"/>
    <x v="29"/>
  </r>
  <r>
    <x v="19"/>
    <x v="19"/>
    <x v="16"/>
    <x v="25"/>
    <x v="22"/>
    <x v="5"/>
    <x v="3"/>
    <x v="3"/>
  </r>
  <r>
    <x v="19"/>
    <x v="19"/>
    <x v="16"/>
    <x v="19"/>
    <x v="17"/>
    <x v="0"/>
    <x v="26"/>
    <x v="30"/>
  </r>
  <r>
    <x v="19"/>
    <x v="19"/>
    <x v="16"/>
    <x v="26"/>
    <x v="13"/>
    <x v="0"/>
    <x v="27"/>
    <x v="31"/>
  </r>
  <r>
    <x v="20"/>
    <x v="20"/>
    <x v="17"/>
    <x v="21"/>
    <x v="23"/>
    <x v="5"/>
    <x v="2"/>
    <x v="32"/>
  </r>
  <r>
    <x v="21"/>
    <x v="21"/>
    <x v="18"/>
    <x v="11"/>
    <x v="11"/>
    <x v="0"/>
    <x v="10"/>
    <x v="23"/>
  </r>
  <r>
    <x v="22"/>
    <x v="22"/>
    <x v="19"/>
    <x v="6"/>
    <x v="6"/>
    <x v="0"/>
    <x v="5"/>
    <x v="5"/>
  </r>
  <r>
    <x v="23"/>
    <x v="23"/>
    <x v="20"/>
    <x v="17"/>
    <x v="11"/>
    <x v="0"/>
    <x v="28"/>
    <x v="33"/>
  </r>
  <r>
    <x v="24"/>
    <x v="24"/>
    <x v="21"/>
    <x v="14"/>
    <x v="14"/>
    <x v="0"/>
    <x v="5"/>
    <x v="5"/>
  </r>
  <r>
    <x v="24"/>
    <x v="24"/>
    <x v="21"/>
    <x v="10"/>
    <x v="10"/>
    <x v="0"/>
    <x v="13"/>
    <x v="14"/>
  </r>
  <r>
    <x v="24"/>
    <x v="24"/>
    <x v="21"/>
    <x v="27"/>
    <x v="24"/>
    <x v="1"/>
    <x v="29"/>
    <x v="34"/>
  </r>
  <r>
    <x v="25"/>
    <x v="25"/>
    <x v="22"/>
    <x v="19"/>
    <x v="17"/>
    <x v="0"/>
    <x v="26"/>
    <x v="30"/>
  </r>
  <r>
    <x v="25"/>
    <x v="25"/>
    <x v="22"/>
    <x v="26"/>
    <x v="13"/>
    <x v="0"/>
    <x v="30"/>
    <x v="35"/>
  </r>
  <r>
    <x v="26"/>
    <x v="26"/>
    <x v="23"/>
    <x v="3"/>
    <x v="3"/>
    <x v="0"/>
    <x v="2"/>
    <x v="36"/>
  </r>
  <r>
    <x v="27"/>
    <x v="27"/>
    <x v="24"/>
    <x v="6"/>
    <x v="6"/>
    <x v="0"/>
    <x v="5"/>
    <x v="5"/>
  </r>
  <r>
    <x v="28"/>
    <x v="28"/>
    <x v="25"/>
    <x v="6"/>
    <x v="6"/>
    <x v="1"/>
    <x v="5"/>
    <x v="37"/>
  </r>
  <r>
    <x v="29"/>
    <x v="29"/>
    <x v="26"/>
    <x v="15"/>
    <x v="15"/>
    <x v="0"/>
    <x v="14"/>
    <x v="18"/>
  </r>
  <r>
    <x v="29"/>
    <x v="29"/>
    <x v="26"/>
    <x v="10"/>
    <x v="10"/>
    <x v="0"/>
    <x v="13"/>
    <x v="14"/>
  </r>
  <r>
    <x v="30"/>
    <x v="30"/>
    <x v="27"/>
    <x v="19"/>
    <x v="17"/>
    <x v="0"/>
    <x v="19"/>
    <x v="22"/>
  </r>
  <r>
    <x v="31"/>
    <x v="31"/>
    <x v="28"/>
    <x v="28"/>
    <x v="25"/>
    <x v="1"/>
    <x v="31"/>
    <x v="38"/>
  </r>
  <r>
    <x v="32"/>
    <x v="32"/>
    <x v="29"/>
    <x v="17"/>
    <x v="11"/>
    <x v="0"/>
    <x v="16"/>
    <x v="19"/>
  </r>
  <r>
    <x v="33"/>
    <x v="33"/>
    <x v="30"/>
    <x v="6"/>
    <x v="6"/>
    <x v="0"/>
    <x v="5"/>
    <x v="5"/>
  </r>
  <r>
    <x v="33"/>
    <x v="33"/>
    <x v="30"/>
    <x v="12"/>
    <x v="12"/>
    <x v="0"/>
    <x v="11"/>
    <x v="12"/>
  </r>
  <r>
    <x v="34"/>
    <x v="34"/>
    <x v="31"/>
    <x v="12"/>
    <x v="12"/>
    <x v="1"/>
    <x v="11"/>
    <x v="39"/>
  </r>
  <r>
    <x v="35"/>
    <x v="35"/>
    <x v="32"/>
    <x v="17"/>
    <x v="11"/>
    <x v="0"/>
    <x v="16"/>
    <x v="19"/>
  </r>
  <r>
    <x v="36"/>
    <x v="36"/>
    <x v="33"/>
    <x v="28"/>
    <x v="25"/>
    <x v="0"/>
    <x v="31"/>
    <x v="40"/>
  </r>
  <r>
    <x v="36"/>
    <x v="36"/>
    <x v="33"/>
    <x v="6"/>
    <x v="6"/>
    <x v="1"/>
    <x v="5"/>
    <x v="37"/>
  </r>
  <r>
    <x v="37"/>
    <x v="37"/>
    <x v="34"/>
    <x v="17"/>
    <x v="11"/>
    <x v="0"/>
    <x v="16"/>
    <x v="19"/>
  </r>
  <r>
    <x v="38"/>
    <x v="38"/>
    <x v="35"/>
    <x v="6"/>
    <x v="6"/>
    <x v="1"/>
    <x v="5"/>
    <x v="37"/>
  </r>
  <r>
    <x v="38"/>
    <x v="38"/>
    <x v="35"/>
    <x v="10"/>
    <x v="10"/>
    <x v="0"/>
    <x v="13"/>
    <x v="14"/>
  </r>
  <r>
    <x v="38"/>
    <x v="38"/>
    <x v="35"/>
    <x v="9"/>
    <x v="9"/>
    <x v="1"/>
    <x v="8"/>
    <x v="41"/>
  </r>
  <r>
    <x v="39"/>
    <x v="39"/>
    <x v="36"/>
    <x v="11"/>
    <x v="11"/>
    <x v="0"/>
    <x v="10"/>
    <x v="23"/>
  </r>
  <r>
    <x v="40"/>
    <x v="39"/>
    <x v="36"/>
    <x v="11"/>
    <x v="26"/>
    <x v="0"/>
    <x v="3"/>
    <x v="3"/>
  </r>
  <r>
    <x v="41"/>
    <x v="40"/>
    <x v="37"/>
    <x v="15"/>
    <x v="15"/>
    <x v="2"/>
    <x v="32"/>
    <x v="42"/>
  </r>
  <r>
    <x v="41"/>
    <x v="40"/>
    <x v="37"/>
    <x v="10"/>
    <x v="10"/>
    <x v="2"/>
    <x v="33"/>
    <x v="43"/>
  </r>
  <r>
    <x v="41"/>
    <x v="40"/>
    <x v="37"/>
    <x v="8"/>
    <x v="8"/>
    <x v="0"/>
    <x v="34"/>
    <x v="44"/>
  </r>
  <r>
    <x v="41"/>
    <x v="40"/>
    <x v="37"/>
    <x v="10"/>
    <x v="10"/>
    <x v="8"/>
    <x v="33"/>
    <x v="45"/>
  </r>
  <r>
    <x v="42"/>
    <x v="41"/>
    <x v="38"/>
    <x v="20"/>
    <x v="18"/>
    <x v="0"/>
    <x v="10"/>
    <x v="23"/>
  </r>
  <r>
    <x v="43"/>
    <x v="42"/>
    <x v="39"/>
    <x v="16"/>
    <x v="16"/>
    <x v="0"/>
    <x v="15"/>
    <x v="17"/>
  </r>
  <r>
    <x v="43"/>
    <x v="42"/>
    <x v="39"/>
    <x v="29"/>
    <x v="1"/>
    <x v="0"/>
    <x v="35"/>
    <x v="46"/>
  </r>
  <r>
    <x v="44"/>
    <x v="43"/>
    <x v="40"/>
    <x v="28"/>
    <x v="25"/>
    <x v="0"/>
    <x v="31"/>
    <x v="40"/>
  </r>
  <r>
    <x v="45"/>
    <x v="30"/>
    <x v="41"/>
    <x v="20"/>
    <x v="18"/>
    <x v="1"/>
    <x v="10"/>
    <x v="11"/>
  </r>
  <r>
    <x v="45"/>
    <x v="30"/>
    <x v="41"/>
    <x v="6"/>
    <x v="6"/>
    <x v="1"/>
    <x v="5"/>
    <x v="37"/>
  </r>
  <r>
    <x v="45"/>
    <x v="30"/>
    <x v="41"/>
    <x v="5"/>
    <x v="5"/>
    <x v="1"/>
    <x v="4"/>
    <x v="47"/>
  </r>
  <r>
    <x v="45"/>
    <x v="30"/>
    <x v="41"/>
    <x v="14"/>
    <x v="14"/>
    <x v="1"/>
    <x v="5"/>
    <x v="37"/>
  </r>
  <r>
    <x v="45"/>
    <x v="30"/>
    <x v="41"/>
    <x v="10"/>
    <x v="10"/>
    <x v="1"/>
    <x v="13"/>
    <x v="48"/>
  </r>
  <r>
    <x v="46"/>
    <x v="29"/>
    <x v="42"/>
    <x v="15"/>
    <x v="15"/>
    <x v="0"/>
    <x v="14"/>
    <x v="18"/>
  </r>
  <r>
    <x v="46"/>
    <x v="29"/>
    <x v="42"/>
    <x v="10"/>
    <x v="10"/>
    <x v="0"/>
    <x v="13"/>
    <x v="14"/>
  </r>
  <r>
    <x v="47"/>
    <x v="44"/>
    <x v="43"/>
    <x v="11"/>
    <x v="11"/>
    <x v="0"/>
    <x v="10"/>
    <x v="23"/>
  </r>
  <r>
    <x v="48"/>
    <x v="19"/>
    <x v="44"/>
    <x v="30"/>
    <x v="27"/>
    <x v="3"/>
    <x v="36"/>
    <x v="49"/>
  </r>
  <r>
    <x v="48"/>
    <x v="19"/>
    <x v="44"/>
    <x v="31"/>
    <x v="27"/>
    <x v="3"/>
    <x v="37"/>
    <x v="50"/>
  </r>
  <r>
    <x v="48"/>
    <x v="19"/>
    <x v="44"/>
    <x v="32"/>
    <x v="27"/>
    <x v="9"/>
    <x v="38"/>
    <x v="51"/>
  </r>
  <r>
    <x v="48"/>
    <x v="19"/>
    <x v="44"/>
    <x v="26"/>
    <x v="13"/>
    <x v="0"/>
    <x v="39"/>
    <x v="52"/>
  </r>
  <r>
    <x v="49"/>
    <x v="45"/>
    <x v="45"/>
    <x v="19"/>
    <x v="17"/>
    <x v="0"/>
    <x v="19"/>
    <x v="22"/>
  </r>
  <r>
    <x v="49"/>
    <x v="45"/>
    <x v="45"/>
    <x v="20"/>
    <x v="18"/>
    <x v="0"/>
    <x v="10"/>
    <x v="23"/>
  </r>
  <r>
    <x v="49"/>
    <x v="45"/>
    <x v="45"/>
    <x v="14"/>
    <x v="14"/>
    <x v="0"/>
    <x v="5"/>
    <x v="5"/>
  </r>
  <r>
    <x v="49"/>
    <x v="45"/>
    <x v="45"/>
    <x v="10"/>
    <x v="10"/>
    <x v="0"/>
    <x v="13"/>
    <x v="14"/>
  </r>
  <r>
    <x v="49"/>
    <x v="45"/>
    <x v="45"/>
    <x v="33"/>
    <x v="28"/>
    <x v="0"/>
    <x v="5"/>
    <x v="5"/>
  </r>
  <r>
    <x v="50"/>
    <x v="46"/>
    <x v="46"/>
    <x v="6"/>
    <x v="6"/>
    <x v="1"/>
    <x v="5"/>
    <x v="37"/>
  </r>
  <r>
    <x v="51"/>
    <x v="47"/>
    <x v="47"/>
    <x v="34"/>
    <x v="29"/>
    <x v="5"/>
    <x v="40"/>
    <x v="53"/>
  </r>
  <r>
    <x v="51"/>
    <x v="47"/>
    <x v="47"/>
    <x v="1"/>
    <x v="30"/>
    <x v="1"/>
    <x v="41"/>
    <x v="54"/>
  </r>
  <r>
    <x v="51"/>
    <x v="47"/>
    <x v="47"/>
    <x v="35"/>
    <x v="31"/>
    <x v="1"/>
    <x v="42"/>
    <x v="55"/>
  </r>
  <r>
    <x v="51"/>
    <x v="47"/>
    <x v="47"/>
    <x v="35"/>
    <x v="32"/>
    <x v="0"/>
    <x v="43"/>
    <x v="56"/>
  </r>
  <r>
    <x v="51"/>
    <x v="47"/>
    <x v="47"/>
    <x v="19"/>
    <x v="17"/>
    <x v="0"/>
    <x v="26"/>
    <x v="30"/>
  </r>
  <r>
    <x v="51"/>
    <x v="47"/>
    <x v="47"/>
    <x v="3"/>
    <x v="3"/>
    <x v="5"/>
    <x v="3"/>
    <x v="3"/>
  </r>
  <r>
    <x v="51"/>
    <x v="47"/>
    <x v="47"/>
    <x v="7"/>
    <x v="7"/>
    <x v="5"/>
    <x v="3"/>
    <x v="3"/>
  </r>
  <r>
    <x v="51"/>
    <x v="47"/>
    <x v="47"/>
    <x v="10"/>
    <x v="33"/>
    <x v="5"/>
    <x v="3"/>
    <x v="3"/>
  </r>
  <r>
    <x v="51"/>
    <x v="47"/>
    <x v="47"/>
    <x v="23"/>
    <x v="13"/>
    <x v="0"/>
    <x v="44"/>
    <x v="57"/>
  </r>
  <r>
    <x v="52"/>
    <x v="48"/>
    <x v="47"/>
    <x v="36"/>
    <x v="34"/>
    <x v="6"/>
    <x v="3"/>
    <x v="3"/>
  </r>
  <r>
    <x v="52"/>
    <x v="48"/>
    <x v="47"/>
    <x v="37"/>
    <x v="34"/>
    <x v="6"/>
    <x v="3"/>
    <x v="3"/>
  </r>
  <r>
    <x v="53"/>
    <x v="49"/>
    <x v="47"/>
    <x v="38"/>
    <x v="35"/>
    <x v="5"/>
    <x v="45"/>
    <x v="58"/>
  </r>
  <r>
    <x v="53"/>
    <x v="49"/>
    <x v="47"/>
    <x v="26"/>
    <x v="13"/>
    <x v="0"/>
    <x v="46"/>
    <x v="59"/>
  </r>
  <r>
    <x v="54"/>
    <x v="50"/>
    <x v="48"/>
    <x v="15"/>
    <x v="15"/>
    <x v="0"/>
    <x v="14"/>
    <x v="18"/>
  </r>
  <r>
    <x v="54"/>
    <x v="50"/>
    <x v="48"/>
    <x v="10"/>
    <x v="10"/>
    <x v="0"/>
    <x v="13"/>
    <x v="14"/>
  </r>
  <r>
    <x v="55"/>
    <x v="51"/>
    <x v="49"/>
    <x v="5"/>
    <x v="5"/>
    <x v="1"/>
    <x v="4"/>
    <x v="47"/>
  </r>
  <r>
    <x v="56"/>
    <x v="52"/>
    <x v="50"/>
    <x v="20"/>
    <x v="18"/>
    <x v="0"/>
    <x v="10"/>
    <x v="23"/>
  </r>
  <r>
    <x v="57"/>
    <x v="1"/>
    <x v="51"/>
    <x v="11"/>
    <x v="11"/>
    <x v="0"/>
    <x v="10"/>
    <x v="23"/>
  </r>
  <r>
    <x v="58"/>
    <x v="53"/>
    <x v="52"/>
    <x v="17"/>
    <x v="11"/>
    <x v="1"/>
    <x v="16"/>
    <x v="60"/>
  </r>
  <r>
    <x v="59"/>
    <x v="54"/>
    <x v="53"/>
    <x v="12"/>
    <x v="12"/>
    <x v="0"/>
    <x v="11"/>
    <x v="12"/>
  </r>
  <r>
    <x v="60"/>
    <x v="55"/>
    <x v="54"/>
    <x v="27"/>
    <x v="24"/>
    <x v="5"/>
    <x v="3"/>
    <x v="3"/>
  </r>
  <r>
    <x v="61"/>
    <x v="56"/>
    <x v="54"/>
    <x v="39"/>
    <x v="36"/>
    <x v="0"/>
    <x v="35"/>
    <x v="46"/>
  </r>
  <r>
    <x v="61"/>
    <x v="56"/>
    <x v="54"/>
    <x v="40"/>
    <x v="37"/>
    <x v="0"/>
    <x v="3"/>
    <x v="3"/>
  </r>
  <r>
    <x v="62"/>
    <x v="3"/>
    <x v="54"/>
    <x v="27"/>
    <x v="24"/>
    <x v="1"/>
    <x v="3"/>
    <x v="3"/>
  </r>
  <r>
    <x v="63"/>
    <x v="57"/>
    <x v="54"/>
    <x v="34"/>
    <x v="29"/>
    <x v="1"/>
    <x v="47"/>
    <x v="61"/>
  </r>
  <r>
    <x v="63"/>
    <x v="57"/>
    <x v="54"/>
    <x v="27"/>
    <x v="24"/>
    <x v="1"/>
    <x v="3"/>
    <x v="3"/>
  </r>
  <r>
    <x v="63"/>
    <x v="57"/>
    <x v="54"/>
    <x v="3"/>
    <x v="3"/>
    <x v="1"/>
    <x v="3"/>
    <x v="3"/>
  </r>
  <r>
    <x v="63"/>
    <x v="57"/>
    <x v="54"/>
    <x v="26"/>
    <x v="13"/>
    <x v="0"/>
    <x v="48"/>
    <x v="62"/>
  </r>
  <r>
    <x v="64"/>
    <x v="49"/>
    <x v="54"/>
    <x v="34"/>
    <x v="38"/>
    <x v="10"/>
    <x v="49"/>
    <x v="63"/>
  </r>
  <r>
    <x v="64"/>
    <x v="49"/>
    <x v="54"/>
    <x v="3"/>
    <x v="3"/>
    <x v="10"/>
    <x v="3"/>
    <x v="3"/>
  </r>
  <r>
    <x v="64"/>
    <x v="49"/>
    <x v="54"/>
    <x v="26"/>
    <x v="13"/>
    <x v="0"/>
    <x v="50"/>
    <x v="64"/>
  </r>
  <r>
    <x v="65"/>
    <x v="58"/>
    <x v="54"/>
    <x v="27"/>
    <x v="24"/>
    <x v="5"/>
    <x v="3"/>
    <x v="3"/>
  </r>
  <r>
    <x v="66"/>
    <x v="59"/>
    <x v="54"/>
    <x v="27"/>
    <x v="24"/>
    <x v="11"/>
    <x v="3"/>
    <x v="3"/>
  </r>
  <r>
    <x v="67"/>
    <x v="60"/>
    <x v="54"/>
    <x v="27"/>
    <x v="24"/>
    <x v="12"/>
    <x v="3"/>
    <x v="3"/>
  </r>
  <r>
    <x v="68"/>
    <x v="61"/>
    <x v="55"/>
    <x v="15"/>
    <x v="15"/>
    <x v="0"/>
    <x v="14"/>
    <x v="18"/>
  </r>
  <r>
    <x v="68"/>
    <x v="61"/>
    <x v="55"/>
    <x v="10"/>
    <x v="10"/>
    <x v="0"/>
    <x v="13"/>
    <x v="14"/>
  </r>
  <r>
    <x v="68"/>
    <x v="61"/>
    <x v="55"/>
    <x v="6"/>
    <x v="6"/>
    <x v="1"/>
    <x v="5"/>
    <x v="37"/>
  </r>
  <r>
    <x v="69"/>
    <x v="62"/>
    <x v="56"/>
    <x v="28"/>
    <x v="25"/>
    <x v="0"/>
    <x v="31"/>
    <x v="40"/>
  </r>
  <r>
    <x v="70"/>
    <x v="63"/>
    <x v="57"/>
    <x v="8"/>
    <x v="8"/>
    <x v="1"/>
    <x v="7"/>
    <x v="65"/>
  </r>
  <r>
    <x v="71"/>
    <x v="64"/>
    <x v="58"/>
    <x v="14"/>
    <x v="14"/>
    <x v="0"/>
    <x v="5"/>
    <x v="5"/>
  </r>
  <r>
    <x v="71"/>
    <x v="64"/>
    <x v="58"/>
    <x v="10"/>
    <x v="10"/>
    <x v="0"/>
    <x v="13"/>
    <x v="14"/>
  </r>
  <r>
    <x v="72"/>
    <x v="65"/>
    <x v="59"/>
    <x v="20"/>
    <x v="18"/>
    <x v="0"/>
    <x v="10"/>
    <x v="23"/>
  </r>
  <r>
    <x v="73"/>
    <x v="66"/>
    <x v="60"/>
    <x v="35"/>
    <x v="1"/>
    <x v="1"/>
    <x v="15"/>
    <x v="66"/>
  </r>
  <r>
    <x v="73"/>
    <x v="66"/>
    <x v="60"/>
    <x v="20"/>
    <x v="18"/>
    <x v="0"/>
    <x v="10"/>
    <x v="23"/>
  </r>
  <r>
    <x v="74"/>
    <x v="67"/>
    <x v="61"/>
    <x v="24"/>
    <x v="39"/>
    <x v="1"/>
    <x v="51"/>
    <x v="67"/>
  </r>
  <r>
    <x v="74"/>
    <x v="67"/>
    <x v="61"/>
    <x v="25"/>
    <x v="22"/>
    <x v="1"/>
    <x v="3"/>
    <x v="3"/>
  </r>
  <r>
    <x v="74"/>
    <x v="67"/>
    <x v="61"/>
    <x v="38"/>
    <x v="1"/>
    <x v="0"/>
    <x v="52"/>
    <x v="68"/>
  </r>
  <r>
    <x v="74"/>
    <x v="67"/>
    <x v="61"/>
    <x v="29"/>
    <x v="1"/>
    <x v="0"/>
    <x v="35"/>
    <x v="46"/>
  </r>
  <r>
    <x v="74"/>
    <x v="67"/>
    <x v="61"/>
    <x v="41"/>
    <x v="40"/>
    <x v="0"/>
    <x v="53"/>
    <x v="69"/>
  </r>
  <r>
    <x v="74"/>
    <x v="67"/>
    <x v="61"/>
    <x v="42"/>
    <x v="41"/>
    <x v="1"/>
    <x v="54"/>
    <x v="70"/>
  </r>
  <r>
    <x v="74"/>
    <x v="67"/>
    <x v="61"/>
    <x v="43"/>
    <x v="42"/>
    <x v="1"/>
    <x v="55"/>
    <x v="71"/>
  </r>
  <r>
    <x v="74"/>
    <x v="67"/>
    <x v="61"/>
    <x v="44"/>
    <x v="43"/>
    <x v="0"/>
    <x v="29"/>
    <x v="72"/>
  </r>
  <r>
    <x v="74"/>
    <x v="67"/>
    <x v="61"/>
    <x v="20"/>
    <x v="18"/>
    <x v="0"/>
    <x v="10"/>
    <x v="23"/>
  </r>
  <r>
    <x v="74"/>
    <x v="67"/>
    <x v="61"/>
    <x v="14"/>
    <x v="14"/>
    <x v="0"/>
    <x v="5"/>
    <x v="5"/>
  </r>
  <r>
    <x v="74"/>
    <x v="67"/>
    <x v="61"/>
    <x v="10"/>
    <x v="10"/>
    <x v="0"/>
    <x v="13"/>
    <x v="14"/>
  </r>
  <r>
    <x v="74"/>
    <x v="67"/>
    <x v="61"/>
    <x v="7"/>
    <x v="7"/>
    <x v="5"/>
    <x v="6"/>
    <x v="73"/>
  </r>
  <r>
    <x v="75"/>
    <x v="6"/>
    <x v="62"/>
    <x v="45"/>
    <x v="44"/>
    <x v="2"/>
    <x v="3"/>
    <x v="3"/>
  </r>
  <r>
    <x v="75"/>
    <x v="6"/>
    <x v="62"/>
    <x v="46"/>
    <x v="45"/>
    <x v="9"/>
    <x v="3"/>
    <x v="3"/>
  </r>
  <r>
    <x v="75"/>
    <x v="6"/>
    <x v="62"/>
    <x v="47"/>
    <x v="46"/>
    <x v="0"/>
    <x v="3"/>
    <x v="3"/>
  </r>
  <r>
    <x v="75"/>
    <x v="6"/>
    <x v="62"/>
    <x v="48"/>
    <x v="47"/>
    <x v="0"/>
    <x v="3"/>
    <x v="3"/>
  </r>
  <r>
    <x v="75"/>
    <x v="6"/>
    <x v="62"/>
    <x v="3"/>
    <x v="3"/>
    <x v="5"/>
    <x v="3"/>
    <x v="3"/>
  </r>
  <r>
    <x v="76"/>
    <x v="68"/>
    <x v="62"/>
    <x v="49"/>
    <x v="48"/>
    <x v="0"/>
    <x v="56"/>
    <x v="74"/>
  </r>
  <r>
    <x v="76"/>
    <x v="68"/>
    <x v="62"/>
    <x v="26"/>
    <x v="13"/>
    <x v="0"/>
    <x v="57"/>
    <x v="75"/>
  </r>
  <r>
    <x v="77"/>
    <x v="69"/>
    <x v="63"/>
    <x v="7"/>
    <x v="7"/>
    <x v="0"/>
    <x v="6"/>
    <x v="9"/>
  </r>
  <r>
    <x v="77"/>
    <x v="69"/>
    <x v="63"/>
    <x v="6"/>
    <x v="6"/>
    <x v="0"/>
    <x v="5"/>
    <x v="5"/>
  </r>
  <r>
    <x v="78"/>
    <x v="70"/>
    <x v="64"/>
    <x v="17"/>
    <x v="11"/>
    <x v="0"/>
    <x v="16"/>
    <x v="19"/>
  </r>
  <r>
    <x v="79"/>
    <x v="71"/>
    <x v="65"/>
    <x v="6"/>
    <x v="6"/>
    <x v="0"/>
    <x v="5"/>
    <x v="5"/>
  </r>
  <r>
    <x v="79"/>
    <x v="71"/>
    <x v="65"/>
    <x v="5"/>
    <x v="5"/>
    <x v="0"/>
    <x v="4"/>
    <x v="4"/>
  </r>
  <r>
    <x v="80"/>
    <x v="72"/>
    <x v="66"/>
    <x v="14"/>
    <x v="14"/>
    <x v="0"/>
    <x v="5"/>
    <x v="5"/>
  </r>
  <r>
    <x v="80"/>
    <x v="72"/>
    <x v="66"/>
    <x v="10"/>
    <x v="10"/>
    <x v="0"/>
    <x v="13"/>
    <x v="14"/>
  </r>
  <r>
    <x v="81"/>
    <x v="60"/>
    <x v="67"/>
    <x v="34"/>
    <x v="29"/>
    <x v="12"/>
    <x v="40"/>
    <x v="76"/>
  </r>
  <r>
    <x v="81"/>
    <x v="60"/>
    <x v="67"/>
    <x v="3"/>
    <x v="3"/>
    <x v="12"/>
    <x v="3"/>
    <x v="3"/>
  </r>
  <r>
    <x v="81"/>
    <x v="60"/>
    <x v="67"/>
    <x v="50"/>
    <x v="49"/>
    <x v="12"/>
    <x v="3"/>
    <x v="3"/>
  </r>
  <r>
    <x v="81"/>
    <x v="60"/>
    <x v="67"/>
    <x v="29"/>
    <x v="1"/>
    <x v="5"/>
    <x v="58"/>
    <x v="77"/>
  </r>
  <r>
    <x v="81"/>
    <x v="60"/>
    <x v="67"/>
    <x v="19"/>
    <x v="17"/>
    <x v="0"/>
    <x v="26"/>
    <x v="30"/>
  </r>
  <r>
    <x v="81"/>
    <x v="60"/>
    <x v="67"/>
    <x v="15"/>
    <x v="15"/>
    <x v="13"/>
    <x v="32"/>
    <x v="78"/>
  </r>
  <r>
    <x v="81"/>
    <x v="60"/>
    <x v="67"/>
    <x v="50"/>
    <x v="1"/>
    <x v="0"/>
    <x v="59"/>
    <x v="79"/>
  </r>
  <r>
    <x v="81"/>
    <x v="60"/>
    <x v="67"/>
    <x v="10"/>
    <x v="10"/>
    <x v="14"/>
    <x v="3"/>
    <x v="3"/>
  </r>
  <r>
    <x v="81"/>
    <x v="60"/>
    <x v="67"/>
    <x v="7"/>
    <x v="7"/>
    <x v="12"/>
    <x v="3"/>
    <x v="3"/>
  </r>
  <r>
    <x v="82"/>
    <x v="60"/>
    <x v="67"/>
    <x v="34"/>
    <x v="29"/>
    <x v="0"/>
    <x v="60"/>
    <x v="80"/>
  </r>
  <r>
    <x v="82"/>
    <x v="60"/>
    <x v="67"/>
    <x v="3"/>
    <x v="3"/>
    <x v="0"/>
    <x v="3"/>
    <x v="3"/>
  </r>
  <r>
    <x v="82"/>
    <x v="60"/>
    <x v="67"/>
    <x v="27"/>
    <x v="24"/>
    <x v="0"/>
    <x v="3"/>
    <x v="3"/>
  </r>
  <r>
    <x v="83"/>
    <x v="73"/>
    <x v="67"/>
    <x v="0"/>
    <x v="0"/>
    <x v="2"/>
    <x v="0"/>
    <x v="81"/>
  </r>
  <r>
    <x v="83"/>
    <x v="73"/>
    <x v="67"/>
    <x v="1"/>
    <x v="50"/>
    <x v="5"/>
    <x v="1"/>
    <x v="82"/>
  </r>
  <r>
    <x v="83"/>
    <x v="73"/>
    <x v="67"/>
    <x v="51"/>
    <x v="51"/>
    <x v="1"/>
    <x v="61"/>
    <x v="83"/>
  </r>
  <r>
    <x v="83"/>
    <x v="73"/>
    <x v="67"/>
    <x v="10"/>
    <x v="10"/>
    <x v="2"/>
    <x v="3"/>
    <x v="3"/>
  </r>
  <r>
    <x v="83"/>
    <x v="73"/>
    <x v="67"/>
    <x v="7"/>
    <x v="7"/>
    <x v="2"/>
    <x v="3"/>
    <x v="3"/>
  </r>
  <r>
    <x v="83"/>
    <x v="73"/>
    <x v="67"/>
    <x v="3"/>
    <x v="3"/>
    <x v="2"/>
    <x v="3"/>
    <x v="3"/>
  </r>
  <r>
    <x v="84"/>
    <x v="59"/>
    <x v="67"/>
    <x v="15"/>
    <x v="15"/>
    <x v="5"/>
    <x v="14"/>
    <x v="15"/>
  </r>
  <r>
    <x v="84"/>
    <x v="59"/>
    <x v="67"/>
    <x v="10"/>
    <x v="10"/>
    <x v="5"/>
    <x v="3"/>
    <x v="3"/>
  </r>
  <r>
    <x v="84"/>
    <x v="59"/>
    <x v="67"/>
    <x v="26"/>
    <x v="13"/>
    <x v="0"/>
    <x v="62"/>
    <x v="84"/>
  </r>
  <r>
    <x v="85"/>
    <x v="74"/>
    <x v="68"/>
    <x v="11"/>
    <x v="11"/>
    <x v="0"/>
    <x v="10"/>
    <x v="23"/>
  </r>
  <r>
    <x v="86"/>
    <x v="75"/>
    <x v="69"/>
    <x v="20"/>
    <x v="18"/>
    <x v="0"/>
    <x v="10"/>
    <x v="23"/>
  </r>
  <r>
    <x v="87"/>
    <x v="76"/>
    <x v="70"/>
    <x v="11"/>
    <x v="11"/>
    <x v="0"/>
    <x v="10"/>
    <x v="23"/>
  </r>
  <r>
    <x v="88"/>
    <x v="77"/>
    <x v="71"/>
    <x v="52"/>
    <x v="52"/>
    <x v="0"/>
    <x v="63"/>
    <x v="85"/>
  </r>
  <r>
    <x v="88"/>
    <x v="77"/>
    <x v="71"/>
    <x v="19"/>
    <x v="17"/>
    <x v="1"/>
    <x v="19"/>
    <x v="86"/>
  </r>
  <r>
    <x v="88"/>
    <x v="77"/>
    <x v="71"/>
    <x v="5"/>
    <x v="5"/>
    <x v="3"/>
    <x v="4"/>
    <x v="87"/>
  </r>
  <r>
    <x v="89"/>
    <x v="78"/>
    <x v="72"/>
    <x v="24"/>
    <x v="39"/>
    <x v="0"/>
    <x v="51"/>
    <x v="88"/>
  </r>
  <r>
    <x v="89"/>
    <x v="78"/>
    <x v="72"/>
    <x v="2"/>
    <x v="2"/>
    <x v="0"/>
    <x v="3"/>
    <x v="3"/>
  </r>
  <r>
    <x v="89"/>
    <x v="78"/>
    <x v="72"/>
    <x v="16"/>
    <x v="16"/>
    <x v="0"/>
    <x v="15"/>
    <x v="17"/>
  </r>
  <r>
    <x v="89"/>
    <x v="78"/>
    <x v="72"/>
    <x v="4"/>
    <x v="4"/>
    <x v="0"/>
    <x v="23"/>
    <x v="27"/>
  </r>
  <r>
    <x v="90"/>
    <x v="3"/>
    <x v="73"/>
    <x v="41"/>
    <x v="40"/>
    <x v="0"/>
    <x v="53"/>
    <x v="69"/>
  </r>
  <r>
    <x v="90"/>
    <x v="3"/>
    <x v="73"/>
    <x v="42"/>
    <x v="41"/>
    <x v="8"/>
    <x v="54"/>
    <x v="89"/>
  </r>
  <r>
    <x v="91"/>
    <x v="49"/>
    <x v="74"/>
    <x v="34"/>
    <x v="38"/>
    <x v="2"/>
    <x v="49"/>
    <x v="90"/>
  </r>
  <r>
    <x v="91"/>
    <x v="49"/>
    <x v="74"/>
    <x v="3"/>
    <x v="3"/>
    <x v="2"/>
    <x v="3"/>
    <x v="3"/>
  </r>
  <r>
    <x v="91"/>
    <x v="49"/>
    <x v="74"/>
    <x v="5"/>
    <x v="5"/>
    <x v="2"/>
    <x v="64"/>
    <x v="91"/>
  </r>
  <r>
    <x v="91"/>
    <x v="49"/>
    <x v="74"/>
    <x v="26"/>
    <x v="13"/>
    <x v="0"/>
    <x v="65"/>
    <x v="55"/>
  </r>
  <r>
    <x v="92"/>
    <x v="79"/>
    <x v="74"/>
    <x v="33"/>
    <x v="28"/>
    <x v="5"/>
    <x v="66"/>
    <x v="92"/>
  </r>
  <r>
    <x v="93"/>
    <x v="80"/>
    <x v="74"/>
    <x v="53"/>
    <x v="53"/>
    <x v="2"/>
    <x v="67"/>
    <x v="93"/>
  </r>
  <r>
    <x v="93"/>
    <x v="80"/>
    <x v="74"/>
    <x v="15"/>
    <x v="15"/>
    <x v="2"/>
    <x v="68"/>
    <x v="94"/>
  </r>
  <r>
    <x v="93"/>
    <x v="80"/>
    <x v="74"/>
    <x v="10"/>
    <x v="10"/>
    <x v="3"/>
    <x v="3"/>
    <x v="3"/>
  </r>
  <r>
    <x v="93"/>
    <x v="80"/>
    <x v="74"/>
    <x v="26"/>
    <x v="13"/>
    <x v="0"/>
    <x v="57"/>
    <x v="75"/>
  </r>
  <r>
    <x v="94"/>
    <x v="81"/>
    <x v="75"/>
    <x v="20"/>
    <x v="18"/>
    <x v="0"/>
    <x v="10"/>
    <x v="23"/>
  </r>
  <r>
    <x v="95"/>
    <x v="82"/>
    <x v="76"/>
    <x v="5"/>
    <x v="5"/>
    <x v="1"/>
    <x v="4"/>
    <x v="47"/>
  </r>
  <r>
    <x v="96"/>
    <x v="42"/>
    <x v="77"/>
    <x v="41"/>
    <x v="40"/>
    <x v="1"/>
    <x v="53"/>
    <x v="95"/>
  </r>
  <r>
    <x v="96"/>
    <x v="42"/>
    <x v="77"/>
    <x v="43"/>
    <x v="42"/>
    <x v="5"/>
    <x v="55"/>
    <x v="96"/>
  </r>
  <r>
    <x v="96"/>
    <x v="42"/>
    <x v="77"/>
    <x v="54"/>
    <x v="54"/>
    <x v="5"/>
    <x v="69"/>
    <x v="97"/>
  </r>
  <r>
    <x v="96"/>
    <x v="42"/>
    <x v="77"/>
    <x v="38"/>
    <x v="1"/>
    <x v="1"/>
    <x v="3"/>
    <x v="3"/>
  </r>
  <r>
    <x v="96"/>
    <x v="42"/>
    <x v="77"/>
    <x v="3"/>
    <x v="3"/>
    <x v="1"/>
    <x v="3"/>
    <x v="3"/>
  </r>
  <r>
    <x v="96"/>
    <x v="42"/>
    <x v="77"/>
    <x v="4"/>
    <x v="4"/>
    <x v="1"/>
    <x v="3"/>
    <x v="3"/>
  </r>
  <r>
    <x v="96"/>
    <x v="42"/>
    <x v="77"/>
    <x v="18"/>
    <x v="0"/>
    <x v="1"/>
    <x v="17"/>
    <x v="98"/>
  </r>
  <r>
    <x v="97"/>
    <x v="83"/>
    <x v="78"/>
    <x v="48"/>
    <x v="47"/>
    <x v="5"/>
    <x v="70"/>
    <x v="99"/>
  </r>
  <r>
    <x v="98"/>
    <x v="84"/>
    <x v="79"/>
    <x v="20"/>
    <x v="18"/>
    <x v="0"/>
    <x v="10"/>
    <x v="23"/>
  </r>
  <r>
    <x v="99"/>
    <x v="85"/>
    <x v="80"/>
    <x v="20"/>
    <x v="18"/>
    <x v="0"/>
    <x v="10"/>
    <x v="23"/>
  </r>
  <r>
    <x v="100"/>
    <x v="86"/>
    <x v="81"/>
    <x v="55"/>
    <x v="55"/>
    <x v="0"/>
    <x v="3"/>
    <x v="3"/>
  </r>
  <r>
    <x v="101"/>
    <x v="87"/>
    <x v="81"/>
    <x v="56"/>
    <x v="56"/>
    <x v="8"/>
    <x v="71"/>
    <x v="100"/>
  </r>
  <r>
    <x v="102"/>
    <x v="88"/>
    <x v="82"/>
    <x v="17"/>
    <x v="11"/>
    <x v="0"/>
    <x v="16"/>
    <x v="19"/>
  </r>
  <r>
    <x v="103"/>
    <x v="89"/>
    <x v="83"/>
    <x v="34"/>
    <x v="29"/>
    <x v="0"/>
    <x v="72"/>
    <x v="101"/>
  </r>
  <r>
    <x v="103"/>
    <x v="89"/>
    <x v="83"/>
    <x v="3"/>
    <x v="3"/>
    <x v="0"/>
    <x v="3"/>
    <x v="3"/>
  </r>
  <r>
    <x v="103"/>
    <x v="89"/>
    <x v="83"/>
    <x v="4"/>
    <x v="4"/>
    <x v="0"/>
    <x v="3"/>
    <x v="3"/>
  </r>
  <r>
    <x v="103"/>
    <x v="89"/>
    <x v="83"/>
    <x v="38"/>
    <x v="1"/>
    <x v="0"/>
    <x v="3"/>
    <x v="3"/>
  </r>
  <r>
    <x v="104"/>
    <x v="90"/>
    <x v="84"/>
    <x v="12"/>
    <x v="12"/>
    <x v="0"/>
    <x v="11"/>
    <x v="12"/>
  </r>
  <r>
    <x v="104"/>
    <x v="90"/>
    <x v="84"/>
    <x v="6"/>
    <x v="6"/>
    <x v="0"/>
    <x v="5"/>
    <x v="5"/>
  </r>
  <r>
    <x v="105"/>
    <x v="56"/>
    <x v="85"/>
    <x v="57"/>
    <x v="1"/>
    <x v="0"/>
    <x v="73"/>
    <x v="102"/>
  </r>
  <r>
    <x v="105"/>
    <x v="56"/>
    <x v="85"/>
    <x v="4"/>
    <x v="4"/>
    <x v="0"/>
    <x v="23"/>
    <x v="27"/>
  </r>
  <r>
    <x v="106"/>
    <x v="63"/>
    <x v="86"/>
    <x v="0"/>
    <x v="0"/>
    <x v="0"/>
    <x v="0"/>
    <x v="0"/>
  </r>
  <r>
    <x v="106"/>
    <x v="63"/>
    <x v="86"/>
    <x v="1"/>
    <x v="1"/>
    <x v="0"/>
    <x v="1"/>
    <x v="1"/>
  </r>
  <r>
    <x v="106"/>
    <x v="63"/>
    <x v="86"/>
    <x v="3"/>
    <x v="3"/>
    <x v="0"/>
    <x v="3"/>
    <x v="3"/>
  </r>
  <r>
    <x v="106"/>
    <x v="63"/>
    <x v="86"/>
    <x v="4"/>
    <x v="4"/>
    <x v="0"/>
    <x v="3"/>
    <x v="3"/>
  </r>
  <r>
    <x v="106"/>
    <x v="63"/>
    <x v="86"/>
    <x v="20"/>
    <x v="18"/>
    <x v="0"/>
    <x v="10"/>
    <x v="23"/>
  </r>
  <r>
    <x v="106"/>
    <x v="63"/>
    <x v="86"/>
    <x v="41"/>
    <x v="40"/>
    <x v="0"/>
    <x v="53"/>
    <x v="69"/>
  </r>
  <r>
    <x v="106"/>
    <x v="63"/>
    <x v="86"/>
    <x v="42"/>
    <x v="41"/>
    <x v="5"/>
    <x v="54"/>
    <x v="103"/>
  </r>
  <r>
    <x v="106"/>
    <x v="63"/>
    <x v="86"/>
    <x v="0"/>
    <x v="0"/>
    <x v="0"/>
    <x v="0"/>
    <x v="0"/>
  </r>
  <r>
    <x v="106"/>
    <x v="63"/>
    <x v="86"/>
    <x v="1"/>
    <x v="1"/>
    <x v="0"/>
    <x v="1"/>
    <x v="1"/>
  </r>
  <r>
    <x v="106"/>
    <x v="63"/>
    <x v="86"/>
    <x v="3"/>
    <x v="3"/>
    <x v="0"/>
    <x v="3"/>
    <x v="3"/>
  </r>
  <r>
    <x v="106"/>
    <x v="63"/>
    <x v="86"/>
    <x v="4"/>
    <x v="4"/>
    <x v="0"/>
    <x v="3"/>
    <x v="3"/>
  </r>
  <r>
    <x v="107"/>
    <x v="91"/>
    <x v="87"/>
    <x v="17"/>
    <x v="11"/>
    <x v="0"/>
    <x v="16"/>
    <x v="19"/>
  </r>
  <r>
    <x v="108"/>
    <x v="92"/>
    <x v="88"/>
    <x v="28"/>
    <x v="25"/>
    <x v="0"/>
    <x v="31"/>
    <x v="40"/>
  </r>
  <r>
    <x v="109"/>
    <x v="93"/>
    <x v="89"/>
    <x v="6"/>
    <x v="6"/>
    <x v="0"/>
    <x v="5"/>
    <x v="5"/>
  </r>
  <r>
    <x v="110"/>
    <x v="94"/>
    <x v="90"/>
    <x v="58"/>
    <x v="1"/>
    <x v="0"/>
    <x v="74"/>
    <x v="104"/>
  </r>
  <r>
    <x v="111"/>
    <x v="95"/>
    <x v="91"/>
    <x v="18"/>
    <x v="0"/>
    <x v="0"/>
    <x v="17"/>
    <x v="105"/>
  </r>
  <r>
    <x v="111"/>
    <x v="95"/>
    <x v="91"/>
    <x v="19"/>
    <x v="17"/>
    <x v="0"/>
    <x v="19"/>
    <x v="22"/>
  </r>
  <r>
    <x v="111"/>
    <x v="95"/>
    <x v="91"/>
    <x v="20"/>
    <x v="18"/>
    <x v="0"/>
    <x v="10"/>
    <x v="23"/>
  </r>
  <r>
    <x v="111"/>
    <x v="95"/>
    <x v="91"/>
    <x v="24"/>
    <x v="39"/>
    <x v="0"/>
    <x v="51"/>
    <x v="88"/>
  </r>
  <r>
    <x v="111"/>
    <x v="95"/>
    <x v="91"/>
    <x v="2"/>
    <x v="2"/>
    <x v="5"/>
    <x v="2"/>
    <x v="32"/>
  </r>
  <r>
    <x v="111"/>
    <x v="95"/>
    <x v="91"/>
    <x v="5"/>
    <x v="5"/>
    <x v="0"/>
    <x v="4"/>
    <x v="4"/>
  </r>
  <r>
    <x v="112"/>
    <x v="96"/>
    <x v="91"/>
    <x v="59"/>
    <x v="57"/>
    <x v="0"/>
    <x v="3"/>
    <x v="3"/>
  </r>
  <r>
    <x v="113"/>
    <x v="97"/>
    <x v="92"/>
    <x v="20"/>
    <x v="18"/>
    <x v="0"/>
    <x v="10"/>
    <x v="23"/>
  </r>
  <r>
    <x v="114"/>
    <x v="98"/>
    <x v="93"/>
    <x v="28"/>
    <x v="25"/>
    <x v="1"/>
    <x v="31"/>
    <x v="38"/>
  </r>
  <r>
    <x v="114"/>
    <x v="98"/>
    <x v="93"/>
    <x v="6"/>
    <x v="6"/>
    <x v="1"/>
    <x v="5"/>
    <x v="37"/>
  </r>
  <r>
    <x v="115"/>
    <x v="99"/>
    <x v="94"/>
    <x v="11"/>
    <x v="11"/>
    <x v="1"/>
    <x v="10"/>
    <x v="11"/>
  </r>
  <r>
    <x v="116"/>
    <x v="100"/>
    <x v="95"/>
    <x v="38"/>
    <x v="1"/>
    <x v="0"/>
    <x v="52"/>
    <x v="68"/>
  </r>
  <r>
    <x v="116"/>
    <x v="100"/>
    <x v="95"/>
    <x v="46"/>
    <x v="45"/>
    <x v="0"/>
    <x v="75"/>
    <x v="106"/>
  </r>
  <r>
    <x v="117"/>
    <x v="101"/>
    <x v="96"/>
    <x v="14"/>
    <x v="14"/>
    <x v="0"/>
    <x v="5"/>
    <x v="5"/>
  </r>
  <r>
    <x v="117"/>
    <x v="101"/>
    <x v="96"/>
    <x v="10"/>
    <x v="10"/>
    <x v="0"/>
    <x v="13"/>
    <x v="14"/>
  </r>
  <r>
    <x v="118"/>
    <x v="102"/>
    <x v="97"/>
    <x v="17"/>
    <x v="11"/>
    <x v="0"/>
    <x v="16"/>
    <x v="19"/>
  </r>
  <r>
    <x v="119"/>
    <x v="103"/>
    <x v="98"/>
    <x v="28"/>
    <x v="25"/>
    <x v="0"/>
    <x v="31"/>
    <x v="40"/>
  </r>
  <r>
    <x v="120"/>
    <x v="104"/>
    <x v="99"/>
    <x v="41"/>
    <x v="40"/>
    <x v="1"/>
    <x v="53"/>
    <x v="95"/>
  </r>
  <r>
    <x v="120"/>
    <x v="104"/>
    <x v="99"/>
    <x v="44"/>
    <x v="43"/>
    <x v="1"/>
    <x v="29"/>
    <x v="34"/>
  </r>
  <r>
    <x v="120"/>
    <x v="104"/>
    <x v="99"/>
    <x v="10"/>
    <x v="10"/>
    <x v="0"/>
    <x v="13"/>
    <x v="14"/>
  </r>
  <r>
    <x v="121"/>
    <x v="105"/>
    <x v="100"/>
    <x v="20"/>
    <x v="18"/>
    <x v="0"/>
    <x v="10"/>
    <x v="23"/>
  </r>
  <r>
    <x v="122"/>
    <x v="106"/>
    <x v="101"/>
    <x v="11"/>
    <x v="11"/>
    <x v="0"/>
    <x v="10"/>
    <x v="23"/>
  </r>
  <r>
    <x v="123"/>
    <x v="107"/>
    <x v="102"/>
    <x v="5"/>
    <x v="5"/>
    <x v="7"/>
    <x v="4"/>
    <x v="107"/>
  </r>
  <r>
    <x v="124"/>
    <x v="108"/>
    <x v="103"/>
    <x v="14"/>
    <x v="14"/>
    <x v="0"/>
    <x v="5"/>
    <x v="5"/>
  </r>
  <r>
    <x v="124"/>
    <x v="108"/>
    <x v="103"/>
    <x v="10"/>
    <x v="10"/>
    <x v="0"/>
    <x v="13"/>
    <x v="14"/>
  </r>
  <r>
    <x v="125"/>
    <x v="109"/>
    <x v="104"/>
    <x v="6"/>
    <x v="6"/>
    <x v="8"/>
    <x v="5"/>
    <x v="92"/>
  </r>
  <r>
    <x v="126"/>
    <x v="110"/>
    <x v="105"/>
    <x v="3"/>
    <x v="3"/>
    <x v="1"/>
    <x v="2"/>
    <x v="2"/>
  </r>
  <r>
    <x v="127"/>
    <x v="111"/>
    <x v="106"/>
    <x v="19"/>
    <x v="17"/>
    <x v="0"/>
    <x v="19"/>
    <x v="22"/>
  </r>
  <r>
    <x v="128"/>
    <x v="59"/>
    <x v="107"/>
    <x v="34"/>
    <x v="29"/>
    <x v="11"/>
    <x v="72"/>
    <x v="108"/>
  </r>
  <r>
    <x v="128"/>
    <x v="59"/>
    <x v="107"/>
    <x v="38"/>
    <x v="1"/>
    <x v="5"/>
    <x v="3"/>
    <x v="3"/>
  </r>
  <r>
    <x v="128"/>
    <x v="59"/>
    <x v="107"/>
    <x v="60"/>
    <x v="1"/>
    <x v="5"/>
    <x v="3"/>
    <x v="3"/>
  </r>
  <r>
    <x v="128"/>
    <x v="59"/>
    <x v="107"/>
    <x v="61"/>
    <x v="58"/>
    <x v="5"/>
    <x v="3"/>
    <x v="3"/>
  </r>
  <r>
    <x v="128"/>
    <x v="59"/>
    <x v="107"/>
    <x v="7"/>
    <x v="7"/>
    <x v="11"/>
    <x v="3"/>
    <x v="3"/>
  </r>
  <r>
    <x v="128"/>
    <x v="59"/>
    <x v="107"/>
    <x v="10"/>
    <x v="33"/>
    <x v="11"/>
    <x v="3"/>
    <x v="3"/>
  </r>
  <r>
    <x v="128"/>
    <x v="59"/>
    <x v="107"/>
    <x v="3"/>
    <x v="3"/>
    <x v="11"/>
    <x v="3"/>
    <x v="3"/>
  </r>
  <r>
    <x v="128"/>
    <x v="59"/>
    <x v="107"/>
    <x v="62"/>
    <x v="59"/>
    <x v="11"/>
    <x v="3"/>
    <x v="3"/>
  </r>
  <r>
    <x v="128"/>
    <x v="59"/>
    <x v="107"/>
    <x v="21"/>
    <x v="23"/>
    <x v="11"/>
    <x v="3"/>
    <x v="3"/>
  </r>
  <r>
    <x v="128"/>
    <x v="59"/>
    <x v="107"/>
    <x v="22"/>
    <x v="60"/>
    <x v="5"/>
    <x v="3"/>
    <x v="3"/>
  </r>
  <r>
    <x v="129"/>
    <x v="112"/>
    <x v="108"/>
    <x v="8"/>
    <x v="8"/>
    <x v="0"/>
    <x v="7"/>
    <x v="7"/>
  </r>
  <r>
    <x v="130"/>
    <x v="113"/>
    <x v="109"/>
    <x v="7"/>
    <x v="7"/>
    <x v="1"/>
    <x v="6"/>
    <x v="6"/>
  </r>
  <r>
    <x v="131"/>
    <x v="78"/>
    <x v="110"/>
    <x v="24"/>
    <x v="39"/>
    <x v="0"/>
    <x v="51"/>
    <x v="88"/>
  </r>
  <r>
    <x v="131"/>
    <x v="78"/>
    <x v="110"/>
    <x v="2"/>
    <x v="2"/>
    <x v="0"/>
    <x v="3"/>
    <x v="3"/>
  </r>
  <r>
    <x v="131"/>
    <x v="78"/>
    <x v="110"/>
    <x v="16"/>
    <x v="16"/>
    <x v="0"/>
    <x v="15"/>
    <x v="17"/>
  </r>
  <r>
    <x v="131"/>
    <x v="78"/>
    <x v="110"/>
    <x v="4"/>
    <x v="4"/>
    <x v="0"/>
    <x v="23"/>
    <x v="27"/>
  </r>
  <r>
    <x v="132"/>
    <x v="114"/>
    <x v="111"/>
    <x v="10"/>
    <x v="10"/>
    <x v="1"/>
    <x v="6"/>
    <x v="6"/>
  </r>
  <r>
    <x v="133"/>
    <x v="115"/>
    <x v="112"/>
    <x v="20"/>
    <x v="18"/>
    <x v="9"/>
    <x v="76"/>
    <x v="109"/>
  </r>
  <r>
    <x v="133"/>
    <x v="115"/>
    <x v="112"/>
    <x v="6"/>
    <x v="6"/>
    <x v="9"/>
    <x v="66"/>
    <x v="110"/>
  </r>
  <r>
    <x v="133"/>
    <x v="115"/>
    <x v="112"/>
    <x v="63"/>
    <x v="61"/>
    <x v="1"/>
    <x v="3"/>
    <x v="3"/>
  </r>
  <r>
    <x v="133"/>
    <x v="115"/>
    <x v="112"/>
    <x v="64"/>
    <x v="62"/>
    <x v="1"/>
    <x v="3"/>
    <x v="3"/>
  </r>
  <r>
    <x v="133"/>
    <x v="115"/>
    <x v="112"/>
    <x v="65"/>
    <x v="63"/>
    <x v="1"/>
    <x v="3"/>
    <x v="3"/>
  </r>
  <r>
    <x v="133"/>
    <x v="115"/>
    <x v="112"/>
    <x v="26"/>
    <x v="13"/>
    <x v="0"/>
    <x v="77"/>
    <x v="111"/>
  </r>
  <r>
    <x v="134"/>
    <x v="116"/>
    <x v="113"/>
    <x v="15"/>
    <x v="15"/>
    <x v="0"/>
    <x v="14"/>
    <x v="18"/>
  </r>
  <r>
    <x v="134"/>
    <x v="116"/>
    <x v="113"/>
    <x v="10"/>
    <x v="10"/>
    <x v="0"/>
    <x v="6"/>
    <x v="9"/>
  </r>
  <r>
    <x v="134"/>
    <x v="116"/>
    <x v="113"/>
    <x v="6"/>
    <x v="6"/>
    <x v="0"/>
    <x v="5"/>
    <x v="5"/>
  </r>
  <r>
    <x v="135"/>
    <x v="117"/>
    <x v="114"/>
    <x v="20"/>
    <x v="18"/>
    <x v="0"/>
    <x v="10"/>
    <x v="23"/>
  </r>
  <r>
    <x v="136"/>
    <x v="118"/>
    <x v="115"/>
    <x v="7"/>
    <x v="7"/>
    <x v="0"/>
    <x v="6"/>
    <x v="9"/>
  </r>
</pivotCacheRecords>
</file>

<file path=xl/pivotCache/pivotCacheRecords49.xml><?xml version="1.0" encoding="utf-8"?>
<pivotCacheRecords xmlns:r="http://schemas.openxmlformats.org/officeDocument/2006/relationships" xmlns="http://schemas.openxmlformats.org/spreadsheetml/2006/main" count="307">
  <r>
    <x v="0"/>
    <x v="0"/>
    <x v="0"/>
  </r>
  <r>
    <x v="1"/>
    <x v="1"/>
    <x v="0"/>
  </r>
  <r>
    <x v="2"/>
    <x v="2"/>
    <x v="1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1"/>
  </r>
  <r>
    <x v="8"/>
    <x v="8"/>
    <x v="0"/>
  </r>
  <r>
    <x v="9"/>
    <x v="9"/>
    <x v="2"/>
  </r>
  <r>
    <x v="7"/>
    <x v="7"/>
    <x v="0"/>
  </r>
  <r>
    <x v="10"/>
    <x v="10"/>
    <x v="3"/>
  </r>
  <r>
    <x v="11"/>
    <x v="11"/>
    <x v="1"/>
  </r>
  <r>
    <x v="2"/>
    <x v="2"/>
    <x v="0"/>
  </r>
  <r>
    <x v="12"/>
    <x v="12"/>
    <x v="0"/>
  </r>
  <r>
    <x v="6"/>
    <x v="6"/>
    <x v="0"/>
  </r>
  <r>
    <x v="13"/>
    <x v="13"/>
    <x v="0"/>
  </r>
  <r>
    <x v="9"/>
    <x v="9"/>
    <x v="4"/>
  </r>
  <r>
    <x v="14"/>
    <x v="14"/>
    <x v="0"/>
  </r>
  <r>
    <x v="10"/>
    <x v="10"/>
    <x v="0"/>
  </r>
  <r>
    <x v="10"/>
    <x v="10"/>
    <x v="0"/>
  </r>
  <r>
    <x v="5"/>
    <x v="5"/>
    <x v="0"/>
  </r>
  <r>
    <x v="15"/>
    <x v="15"/>
    <x v="5"/>
  </r>
  <r>
    <x v="10"/>
    <x v="10"/>
    <x v="5"/>
  </r>
  <r>
    <x v="16"/>
    <x v="16"/>
    <x v="0"/>
  </r>
  <r>
    <x v="15"/>
    <x v="15"/>
    <x v="0"/>
  </r>
  <r>
    <x v="10"/>
    <x v="10"/>
    <x v="0"/>
  </r>
  <r>
    <x v="7"/>
    <x v="7"/>
    <x v="0"/>
  </r>
  <r>
    <x v="17"/>
    <x v="11"/>
    <x v="0"/>
  </r>
  <r>
    <x v="18"/>
    <x v="0"/>
    <x v="6"/>
  </r>
  <r>
    <x v="16"/>
    <x v="16"/>
    <x v="6"/>
  </r>
  <r>
    <x v="3"/>
    <x v="3"/>
    <x v="6"/>
  </r>
  <r>
    <x v="4"/>
    <x v="4"/>
    <x v="6"/>
  </r>
  <r>
    <x v="19"/>
    <x v="17"/>
    <x v="0"/>
  </r>
  <r>
    <x v="20"/>
    <x v="18"/>
    <x v="0"/>
  </r>
  <r>
    <x v="7"/>
    <x v="7"/>
    <x v="1"/>
  </r>
  <r>
    <x v="11"/>
    <x v="11"/>
    <x v="0"/>
  </r>
  <r>
    <x v="12"/>
    <x v="12"/>
    <x v="0"/>
  </r>
  <r>
    <x v="21"/>
    <x v="19"/>
    <x v="7"/>
  </r>
  <r>
    <x v="22"/>
    <x v="20"/>
    <x v="7"/>
  </r>
  <r>
    <x v="23"/>
    <x v="13"/>
    <x v="0"/>
  </r>
  <r>
    <x v="24"/>
    <x v="21"/>
    <x v="5"/>
  </r>
  <r>
    <x v="3"/>
    <x v="3"/>
    <x v="5"/>
  </r>
  <r>
    <x v="25"/>
    <x v="22"/>
    <x v="5"/>
  </r>
  <r>
    <x v="19"/>
    <x v="17"/>
    <x v="0"/>
  </r>
  <r>
    <x v="26"/>
    <x v="13"/>
    <x v="0"/>
  </r>
  <r>
    <x v="21"/>
    <x v="23"/>
    <x v="5"/>
  </r>
  <r>
    <x v="11"/>
    <x v="11"/>
    <x v="0"/>
  </r>
  <r>
    <x v="6"/>
    <x v="6"/>
    <x v="0"/>
  </r>
  <r>
    <x v="17"/>
    <x v="11"/>
    <x v="0"/>
  </r>
  <r>
    <x v="14"/>
    <x v="14"/>
    <x v="0"/>
  </r>
  <r>
    <x v="10"/>
    <x v="10"/>
    <x v="0"/>
  </r>
  <r>
    <x v="27"/>
    <x v="24"/>
    <x v="1"/>
  </r>
  <r>
    <x v="19"/>
    <x v="17"/>
    <x v="0"/>
  </r>
  <r>
    <x v="26"/>
    <x v="13"/>
    <x v="0"/>
  </r>
  <r>
    <x v="3"/>
    <x v="3"/>
    <x v="0"/>
  </r>
  <r>
    <x v="6"/>
    <x v="6"/>
    <x v="0"/>
  </r>
  <r>
    <x v="6"/>
    <x v="6"/>
    <x v="1"/>
  </r>
  <r>
    <x v="15"/>
    <x v="15"/>
    <x v="0"/>
  </r>
  <r>
    <x v="10"/>
    <x v="10"/>
    <x v="0"/>
  </r>
  <r>
    <x v="19"/>
    <x v="17"/>
    <x v="0"/>
  </r>
  <r>
    <x v="28"/>
    <x v="25"/>
    <x v="1"/>
  </r>
  <r>
    <x v="17"/>
    <x v="11"/>
    <x v="0"/>
  </r>
  <r>
    <x v="6"/>
    <x v="6"/>
    <x v="0"/>
  </r>
  <r>
    <x v="12"/>
    <x v="12"/>
    <x v="0"/>
  </r>
  <r>
    <x v="12"/>
    <x v="12"/>
    <x v="1"/>
  </r>
  <r>
    <x v="17"/>
    <x v="11"/>
    <x v="0"/>
  </r>
  <r>
    <x v="28"/>
    <x v="25"/>
    <x v="0"/>
  </r>
  <r>
    <x v="6"/>
    <x v="6"/>
    <x v="1"/>
  </r>
  <r>
    <x v="17"/>
    <x v="11"/>
    <x v="0"/>
  </r>
  <r>
    <x v="6"/>
    <x v="6"/>
    <x v="1"/>
  </r>
  <r>
    <x v="10"/>
    <x v="10"/>
    <x v="0"/>
  </r>
  <r>
    <x v="9"/>
    <x v="9"/>
    <x v="1"/>
  </r>
  <r>
    <x v="11"/>
    <x v="11"/>
    <x v="0"/>
  </r>
  <r>
    <x v="11"/>
    <x v="26"/>
    <x v="0"/>
  </r>
  <r>
    <x v="15"/>
    <x v="15"/>
    <x v="2"/>
  </r>
  <r>
    <x v="10"/>
    <x v="10"/>
    <x v="2"/>
  </r>
  <r>
    <x v="8"/>
    <x v="8"/>
    <x v="0"/>
  </r>
  <r>
    <x v="10"/>
    <x v="10"/>
    <x v="8"/>
  </r>
  <r>
    <x v="20"/>
    <x v="18"/>
    <x v="0"/>
  </r>
  <r>
    <x v="16"/>
    <x v="16"/>
    <x v="0"/>
  </r>
  <r>
    <x v="29"/>
    <x v="1"/>
    <x v="0"/>
  </r>
  <r>
    <x v="28"/>
    <x v="25"/>
    <x v="0"/>
  </r>
  <r>
    <x v="20"/>
    <x v="18"/>
    <x v="1"/>
  </r>
  <r>
    <x v="6"/>
    <x v="6"/>
    <x v="1"/>
  </r>
  <r>
    <x v="5"/>
    <x v="5"/>
    <x v="1"/>
  </r>
  <r>
    <x v="14"/>
    <x v="14"/>
    <x v="1"/>
  </r>
  <r>
    <x v="10"/>
    <x v="10"/>
    <x v="1"/>
  </r>
  <r>
    <x v="15"/>
    <x v="15"/>
    <x v="0"/>
  </r>
  <r>
    <x v="10"/>
    <x v="10"/>
    <x v="0"/>
  </r>
  <r>
    <x v="11"/>
    <x v="11"/>
    <x v="0"/>
  </r>
  <r>
    <x v="30"/>
    <x v="27"/>
    <x v="3"/>
  </r>
  <r>
    <x v="31"/>
    <x v="27"/>
    <x v="3"/>
  </r>
  <r>
    <x v="32"/>
    <x v="27"/>
    <x v="9"/>
  </r>
  <r>
    <x v="26"/>
    <x v="13"/>
    <x v="0"/>
  </r>
  <r>
    <x v="19"/>
    <x v="17"/>
    <x v="0"/>
  </r>
  <r>
    <x v="20"/>
    <x v="18"/>
    <x v="0"/>
  </r>
  <r>
    <x v="14"/>
    <x v="14"/>
    <x v="0"/>
  </r>
  <r>
    <x v="10"/>
    <x v="10"/>
    <x v="0"/>
  </r>
  <r>
    <x v="33"/>
    <x v="28"/>
    <x v="0"/>
  </r>
  <r>
    <x v="6"/>
    <x v="6"/>
    <x v="1"/>
  </r>
  <r>
    <x v="34"/>
    <x v="29"/>
    <x v="5"/>
  </r>
  <r>
    <x v="1"/>
    <x v="30"/>
    <x v="1"/>
  </r>
  <r>
    <x v="35"/>
    <x v="31"/>
    <x v="1"/>
  </r>
  <r>
    <x v="35"/>
    <x v="32"/>
    <x v="0"/>
  </r>
  <r>
    <x v="19"/>
    <x v="17"/>
    <x v="0"/>
  </r>
  <r>
    <x v="3"/>
    <x v="3"/>
    <x v="5"/>
  </r>
  <r>
    <x v="7"/>
    <x v="7"/>
    <x v="5"/>
  </r>
  <r>
    <x v="10"/>
    <x v="33"/>
    <x v="5"/>
  </r>
  <r>
    <x v="23"/>
    <x v="13"/>
    <x v="0"/>
  </r>
  <r>
    <x v="36"/>
    <x v="34"/>
    <x v="6"/>
  </r>
  <r>
    <x v="37"/>
    <x v="34"/>
    <x v="6"/>
  </r>
  <r>
    <x v="38"/>
    <x v="35"/>
    <x v="5"/>
  </r>
  <r>
    <x v="26"/>
    <x v="13"/>
    <x v="0"/>
  </r>
  <r>
    <x v="15"/>
    <x v="15"/>
    <x v="0"/>
  </r>
  <r>
    <x v="10"/>
    <x v="10"/>
    <x v="0"/>
  </r>
  <r>
    <x v="5"/>
    <x v="5"/>
    <x v="1"/>
  </r>
  <r>
    <x v="20"/>
    <x v="18"/>
    <x v="0"/>
  </r>
  <r>
    <x v="11"/>
    <x v="11"/>
    <x v="0"/>
  </r>
  <r>
    <x v="17"/>
    <x v="11"/>
    <x v="1"/>
  </r>
  <r>
    <x v="12"/>
    <x v="12"/>
    <x v="0"/>
  </r>
  <r>
    <x v="27"/>
    <x v="24"/>
    <x v="5"/>
  </r>
  <r>
    <x v="39"/>
    <x v="36"/>
    <x v="0"/>
  </r>
  <r>
    <x v="40"/>
    <x v="37"/>
    <x v="0"/>
  </r>
  <r>
    <x v="27"/>
    <x v="24"/>
    <x v="1"/>
  </r>
  <r>
    <x v="34"/>
    <x v="29"/>
    <x v="1"/>
  </r>
  <r>
    <x v="27"/>
    <x v="24"/>
    <x v="1"/>
  </r>
  <r>
    <x v="3"/>
    <x v="3"/>
    <x v="1"/>
  </r>
  <r>
    <x v="26"/>
    <x v="13"/>
    <x v="0"/>
  </r>
  <r>
    <x v="34"/>
    <x v="38"/>
    <x v="10"/>
  </r>
  <r>
    <x v="3"/>
    <x v="3"/>
    <x v="10"/>
  </r>
  <r>
    <x v="26"/>
    <x v="13"/>
    <x v="0"/>
  </r>
  <r>
    <x v="27"/>
    <x v="24"/>
    <x v="5"/>
  </r>
  <r>
    <x v="27"/>
    <x v="24"/>
    <x v="11"/>
  </r>
  <r>
    <x v="27"/>
    <x v="24"/>
    <x v="12"/>
  </r>
  <r>
    <x v="15"/>
    <x v="15"/>
    <x v="0"/>
  </r>
  <r>
    <x v="10"/>
    <x v="10"/>
    <x v="0"/>
  </r>
  <r>
    <x v="6"/>
    <x v="6"/>
    <x v="1"/>
  </r>
  <r>
    <x v="28"/>
    <x v="25"/>
    <x v="0"/>
  </r>
  <r>
    <x v="8"/>
    <x v="8"/>
    <x v="1"/>
  </r>
  <r>
    <x v="14"/>
    <x v="14"/>
    <x v="0"/>
  </r>
  <r>
    <x v="10"/>
    <x v="10"/>
    <x v="0"/>
  </r>
  <r>
    <x v="20"/>
    <x v="18"/>
    <x v="0"/>
  </r>
  <r>
    <x v="35"/>
    <x v="1"/>
    <x v="1"/>
  </r>
  <r>
    <x v="20"/>
    <x v="18"/>
    <x v="0"/>
  </r>
  <r>
    <x v="24"/>
    <x v="39"/>
    <x v="1"/>
  </r>
  <r>
    <x v="25"/>
    <x v="22"/>
    <x v="1"/>
  </r>
  <r>
    <x v="38"/>
    <x v="1"/>
    <x v="0"/>
  </r>
  <r>
    <x v="29"/>
    <x v="1"/>
    <x v="0"/>
  </r>
  <r>
    <x v="41"/>
    <x v="40"/>
    <x v="0"/>
  </r>
  <r>
    <x v="42"/>
    <x v="41"/>
    <x v="1"/>
  </r>
  <r>
    <x v="43"/>
    <x v="42"/>
    <x v="1"/>
  </r>
  <r>
    <x v="44"/>
    <x v="43"/>
    <x v="0"/>
  </r>
  <r>
    <x v="20"/>
    <x v="18"/>
    <x v="0"/>
  </r>
  <r>
    <x v="14"/>
    <x v="14"/>
    <x v="0"/>
  </r>
  <r>
    <x v="10"/>
    <x v="10"/>
    <x v="0"/>
  </r>
  <r>
    <x v="7"/>
    <x v="7"/>
    <x v="5"/>
  </r>
  <r>
    <x v="45"/>
    <x v="44"/>
    <x v="2"/>
  </r>
  <r>
    <x v="46"/>
    <x v="45"/>
    <x v="9"/>
  </r>
  <r>
    <x v="47"/>
    <x v="46"/>
    <x v="0"/>
  </r>
  <r>
    <x v="48"/>
    <x v="47"/>
    <x v="0"/>
  </r>
  <r>
    <x v="3"/>
    <x v="3"/>
    <x v="5"/>
  </r>
  <r>
    <x v="49"/>
    <x v="48"/>
    <x v="0"/>
  </r>
  <r>
    <x v="26"/>
    <x v="13"/>
    <x v="0"/>
  </r>
  <r>
    <x v="7"/>
    <x v="7"/>
    <x v="0"/>
  </r>
  <r>
    <x v="6"/>
    <x v="6"/>
    <x v="0"/>
  </r>
  <r>
    <x v="17"/>
    <x v="11"/>
    <x v="0"/>
  </r>
  <r>
    <x v="6"/>
    <x v="6"/>
    <x v="0"/>
  </r>
  <r>
    <x v="5"/>
    <x v="5"/>
    <x v="0"/>
  </r>
  <r>
    <x v="14"/>
    <x v="14"/>
    <x v="0"/>
  </r>
  <r>
    <x v="10"/>
    <x v="10"/>
    <x v="0"/>
  </r>
  <r>
    <x v="34"/>
    <x v="29"/>
    <x v="12"/>
  </r>
  <r>
    <x v="3"/>
    <x v="3"/>
    <x v="12"/>
  </r>
  <r>
    <x v="50"/>
    <x v="49"/>
    <x v="12"/>
  </r>
  <r>
    <x v="29"/>
    <x v="1"/>
    <x v="5"/>
  </r>
  <r>
    <x v="19"/>
    <x v="17"/>
    <x v="0"/>
  </r>
  <r>
    <x v="15"/>
    <x v="15"/>
    <x v="13"/>
  </r>
  <r>
    <x v="50"/>
    <x v="1"/>
    <x v="0"/>
  </r>
  <r>
    <x v="10"/>
    <x v="10"/>
    <x v="14"/>
  </r>
  <r>
    <x v="7"/>
    <x v="7"/>
    <x v="12"/>
  </r>
  <r>
    <x v="34"/>
    <x v="29"/>
    <x v="0"/>
  </r>
  <r>
    <x v="3"/>
    <x v="3"/>
    <x v="0"/>
  </r>
  <r>
    <x v="27"/>
    <x v="24"/>
    <x v="0"/>
  </r>
  <r>
    <x v="0"/>
    <x v="0"/>
    <x v="2"/>
  </r>
  <r>
    <x v="1"/>
    <x v="50"/>
    <x v="5"/>
  </r>
  <r>
    <x v="51"/>
    <x v="51"/>
    <x v="1"/>
  </r>
  <r>
    <x v="10"/>
    <x v="10"/>
    <x v="2"/>
  </r>
  <r>
    <x v="7"/>
    <x v="7"/>
    <x v="2"/>
  </r>
  <r>
    <x v="3"/>
    <x v="3"/>
    <x v="2"/>
  </r>
  <r>
    <x v="15"/>
    <x v="15"/>
    <x v="5"/>
  </r>
  <r>
    <x v="10"/>
    <x v="10"/>
    <x v="5"/>
  </r>
  <r>
    <x v="26"/>
    <x v="13"/>
    <x v="0"/>
  </r>
  <r>
    <x v="11"/>
    <x v="11"/>
    <x v="0"/>
  </r>
  <r>
    <x v="20"/>
    <x v="18"/>
    <x v="0"/>
  </r>
  <r>
    <x v="11"/>
    <x v="11"/>
    <x v="0"/>
  </r>
  <r>
    <x v="52"/>
    <x v="52"/>
    <x v="0"/>
  </r>
  <r>
    <x v="19"/>
    <x v="17"/>
    <x v="1"/>
  </r>
  <r>
    <x v="5"/>
    <x v="5"/>
    <x v="3"/>
  </r>
  <r>
    <x v="24"/>
    <x v="39"/>
    <x v="0"/>
  </r>
  <r>
    <x v="2"/>
    <x v="2"/>
    <x v="0"/>
  </r>
  <r>
    <x v="16"/>
    <x v="16"/>
    <x v="0"/>
  </r>
  <r>
    <x v="4"/>
    <x v="4"/>
    <x v="0"/>
  </r>
  <r>
    <x v="41"/>
    <x v="40"/>
    <x v="0"/>
  </r>
  <r>
    <x v="42"/>
    <x v="41"/>
    <x v="8"/>
  </r>
  <r>
    <x v="34"/>
    <x v="38"/>
    <x v="2"/>
  </r>
  <r>
    <x v="3"/>
    <x v="3"/>
    <x v="2"/>
  </r>
  <r>
    <x v="5"/>
    <x v="5"/>
    <x v="2"/>
  </r>
  <r>
    <x v="26"/>
    <x v="13"/>
    <x v="0"/>
  </r>
  <r>
    <x v="33"/>
    <x v="28"/>
    <x v="5"/>
  </r>
  <r>
    <x v="53"/>
    <x v="53"/>
    <x v="2"/>
  </r>
  <r>
    <x v="15"/>
    <x v="15"/>
    <x v="2"/>
  </r>
  <r>
    <x v="10"/>
    <x v="10"/>
    <x v="3"/>
  </r>
  <r>
    <x v="26"/>
    <x v="13"/>
    <x v="0"/>
  </r>
  <r>
    <x v="20"/>
    <x v="18"/>
    <x v="0"/>
  </r>
  <r>
    <x v="5"/>
    <x v="5"/>
    <x v="1"/>
  </r>
  <r>
    <x v="41"/>
    <x v="40"/>
    <x v="1"/>
  </r>
  <r>
    <x v="43"/>
    <x v="42"/>
    <x v="5"/>
  </r>
  <r>
    <x v="54"/>
    <x v="54"/>
    <x v="5"/>
  </r>
  <r>
    <x v="38"/>
    <x v="1"/>
    <x v="1"/>
  </r>
  <r>
    <x v="3"/>
    <x v="3"/>
    <x v="1"/>
  </r>
  <r>
    <x v="4"/>
    <x v="4"/>
    <x v="1"/>
  </r>
  <r>
    <x v="18"/>
    <x v="0"/>
    <x v="1"/>
  </r>
  <r>
    <x v="48"/>
    <x v="47"/>
    <x v="5"/>
  </r>
  <r>
    <x v="20"/>
    <x v="18"/>
    <x v="0"/>
  </r>
  <r>
    <x v="20"/>
    <x v="18"/>
    <x v="0"/>
  </r>
  <r>
    <x v="55"/>
    <x v="55"/>
    <x v="0"/>
  </r>
  <r>
    <x v="56"/>
    <x v="56"/>
    <x v="8"/>
  </r>
  <r>
    <x v="17"/>
    <x v="11"/>
    <x v="0"/>
  </r>
  <r>
    <x v="34"/>
    <x v="29"/>
    <x v="0"/>
  </r>
  <r>
    <x v="3"/>
    <x v="3"/>
    <x v="0"/>
  </r>
  <r>
    <x v="4"/>
    <x v="4"/>
    <x v="0"/>
  </r>
  <r>
    <x v="38"/>
    <x v="1"/>
    <x v="0"/>
  </r>
  <r>
    <x v="12"/>
    <x v="12"/>
    <x v="0"/>
  </r>
  <r>
    <x v="6"/>
    <x v="6"/>
    <x v="0"/>
  </r>
  <r>
    <x v="57"/>
    <x v="1"/>
    <x v="0"/>
  </r>
  <r>
    <x v="4"/>
    <x v="4"/>
    <x v="0"/>
  </r>
  <r>
    <x v="0"/>
    <x v="0"/>
    <x v="0"/>
  </r>
  <r>
    <x v="1"/>
    <x v="1"/>
    <x v="0"/>
  </r>
  <r>
    <x v="3"/>
    <x v="3"/>
    <x v="0"/>
  </r>
  <r>
    <x v="4"/>
    <x v="4"/>
    <x v="0"/>
  </r>
  <r>
    <x v="20"/>
    <x v="18"/>
    <x v="0"/>
  </r>
  <r>
    <x v="41"/>
    <x v="40"/>
    <x v="0"/>
  </r>
  <r>
    <x v="42"/>
    <x v="41"/>
    <x v="5"/>
  </r>
  <r>
    <x v="0"/>
    <x v="0"/>
    <x v="0"/>
  </r>
  <r>
    <x v="1"/>
    <x v="1"/>
    <x v="0"/>
  </r>
  <r>
    <x v="3"/>
    <x v="3"/>
    <x v="0"/>
  </r>
  <r>
    <x v="4"/>
    <x v="4"/>
    <x v="0"/>
  </r>
  <r>
    <x v="17"/>
    <x v="11"/>
    <x v="0"/>
  </r>
  <r>
    <x v="28"/>
    <x v="25"/>
    <x v="0"/>
  </r>
  <r>
    <x v="6"/>
    <x v="6"/>
    <x v="0"/>
  </r>
  <r>
    <x v="58"/>
    <x v="1"/>
    <x v="0"/>
  </r>
  <r>
    <x v="18"/>
    <x v="0"/>
    <x v="0"/>
  </r>
  <r>
    <x v="19"/>
    <x v="17"/>
    <x v="0"/>
  </r>
  <r>
    <x v="20"/>
    <x v="18"/>
    <x v="0"/>
  </r>
  <r>
    <x v="24"/>
    <x v="39"/>
    <x v="0"/>
  </r>
  <r>
    <x v="2"/>
    <x v="2"/>
    <x v="5"/>
  </r>
  <r>
    <x v="5"/>
    <x v="5"/>
    <x v="0"/>
  </r>
  <r>
    <x v="59"/>
    <x v="57"/>
    <x v="0"/>
  </r>
  <r>
    <x v="20"/>
    <x v="18"/>
    <x v="0"/>
  </r>
  <r>
    <x v="28"/>
    <x v="25"/>
    <x v="1"/>
  </r>
  <r>
    <x v="6"/>
    <x v="6"/>
    <x v="1"/>
  </r>
  <r>
    <x v="11"/>
    <x v="11"/>
    <x v="1"/>
  </r>
  <r>
    <x v="38"/>
    <x v="1"/>
    <x v="0"/>
  </r>
  <r>
    <x v="46"/>
    <x v="45"/>
    <x v="0"/>
  </r>
  <r>
    <x v="14"/>
    <x v="14"/>
    <x v="0"/>
  </r>
  <r>
    <x v="10"/>
    <x v="10"/>
    <x v="0"/>
  </r>
  <r>
    <x v="17"/>
    <x v="11"/>
    <x v="0"/>
  </r>
  <r>
    <x v="28"/>
    <x v="25"/>
    <x v="0"/>
  </r>
  <r>
    <x v="41"/>
    <x v="40"/>
    <x v="1"/>
  </r>
  <r>
    <x v="44"/>
    <x v="43"/>
    <x v="1"/>
  </r>
  <r>
    <x v="10"/>
    <x v="10"/>
    <x v="0"/>
  </r>
  <r>
    <x v="20"/>
    <x v="18"/>
    <x v="0"/>
  </r>
  <r>
    <x v="11"/>
    <x v="11"/>
    <x v="0"/>
  </r>
  <r>
    <x v="5"/>
    <x v="5"/>
    <x v="7"/>
  </r>
  <r>
    <x v="14"/>
    <x v="14"/>
    <x v="0"/>
  </r>
  <r>
    <x v="10"/>
    <x v="10"/>
    <x v="0"/>
  </r>
  <r>
    <x v="6"/>
    <x v="6"/>
    <x v="8"/>
  </r>
  <r>
    <x v="3"/>
    <x v="3"/>
    <x v="1"/>
  </r>
  <r>
    <x v="19"/>
    <x v="17"/>
    <x v="0"/>
  </r>
  <r>
    <x v="34"/>
    <x v="29"/>
    <x v="11"/>
  </r>
  <r>
    <x v="38"/>
    <x v="1"/>
    <x v="5"/>
  </r>
  <r>
    <x v="60"/>
    <x v="1"/>
    <x v="5"/>
  </r>
  <r>
    <x v="61"/>
    <x v="58"/>
    <x v="5"/>
  </r>
  <r>
    <x v="7"/>
    <x v="7"/>
    <x v="11"/>
  </r>
  <r>
    <x v="10"/>
    <x v="33"/>
    <x v="11"/>
  </r>
  <r>
    <x v="3"/>
    <x v="3"/>
    <x v="11"/>
  </r>
  <r>
    <x v="62"/>
    <x v="59"/>
    <x v="11"/>
  </r>
  <r>
    <x v="21"/>
    <x v="23"/>
    <x v="11"/>
  </r>
  <r>
    <x v="22"/>
    <x v="60"/>
    <x v="5"/>
  </r>
  <r>
    <x v="8"/>
    <x v="8"/>
    <x v="0"/>
  </r>
  <r>
    <x v="7"/>
    <x v="7"/>
    <x v="1"/>
  </r>
  <r>
    <x v="24"/>
    <x v="39"/>
    <x v="0"/>
  </r>
  <r>
    <x v="2"/>
    <x v="2"/>
    <x v="0"/>
  </r>
  <r>
    <x v="16"/>
    <x v="16"/>
    <x v="0"/>
  </r>
  <r>
    <x v="4"/>
    <x v="4"/>
    <x v="0"/>
  </r>
  <r>
    <x v="10"/>
    <x v="10"/>
    <x v="1"/>
  </r>
  <r>
    <x v="20"/>
    <x v="18"/>
    <x v="9"/>
  </r>
  <r>
    <x v="6"/>
    <x v="6"/>
    <x v="9"/>
  </r>
  <r>
    <x v="63"/>
    <x v="61"/>
    <x v="1"/>
  </r>
  <r>
    <x v="64"/>
    <x v="62"/>
    <x v="1"/>
  </r>
  <r>
    <x v="65"/>
    <x v="63"/>
    <x v="1"/>
  </r>
  <r>
    <x v="26"/>
    <x v="13"/>
    <x v="0"/>
  </r>
  <r>
    <x v="15"/>
    <x v="15"/>
    <x v="0"/>
  </r>
  <r>
    <x v="10"/>
    <x v="10"/>
    <x v="0"/>
  </r>
  <r>
    <x v="6"/>
    <x v="6"/>
    <x v="0"/>
  </r>
  <r>
    <x v="20"/>
    <x v="18"/>
    <x v="0"/>
  </r>
  <r>
    <x v="7"/>
    <x v="7"/>
    <x v="0"/>
  </r>
</pivotCacheRecords>
</file>

<file path=xl/pivotCache/pivotCacheRecords50.xml><?xml version="1.0" encoding="utf-8"?>
<pivotCacheRecords xmlns:r="http://schemas.openxmlformats.org/officeDocument/2006/relationships" xmlns="http://schemas.openxmlformats.org/spreadsheetml/2006/main" count="307">
  <r>
    <x v="0"/>
    <x v="0"/>
    <x v="0"/>
    <x v="0"/>
    <x v="0"/>
  </r>
  <r>
    <x v="1"/>
    <x v="1"/>
    <x v="0"/>
    <x v="1"/>
    <x v="1"/>
  </r>
  <r>
    <x v="2"/>
    <x v="2"/>
    <x v="1"/>
    <x v="2"/>
    <x v="2"/>
  </r>
  <r>
    <x v="3"/>
    <x v="3"/>
    <x v="0"/>
    <x v="3"/>
    <x v="3"/>
  </r>
  <r>
    <x v="4"/>
    <x v="4"/>
    <x v="0"/>
    <x v="3"/>
    <x v="3"/>
  </r>
  <r>
    <x v="5"/>
    <x v="5"/>
    <x v="0"/>
    <x v="4"/>
    <x v="4"/>
  </r>
  <r>
    <x v="6"/>
    <x v="6"/>
    <x v="0"/>
    <x v="5"/>
    <x v="5"/>
  </r>
  <r>
    <x v="7"/>
    <x v="7"/>
    <x v="1"/>
    <x v="6"/>
    <x v="6"/>
  </r>
  <r>
    <x v="8"/>
    <x v="8"/>
    <x v="0"/>
    <x v="7"/>
    <x v="7"/>
  </r>
  <r>
    <x v="9"/>
    <x v="9"/>
    <x v="2"/>
    <x v="8"/>
    <x v="8"/>
  </r>
  <r>
    <x v="7"/>
    <x v="7"/>
    <x v="0"/>
    <x v="6"/>
    <x v="9"/>
  </r>
  <r>
    <x v="10"/>
    <x v="10"/>
    <x v="3"/>
    <x v="9"/>
    <x v="10"/>
  </r>
  <r>
    <x v="11"/>
    <x v="11"/>
    <x v="1"/>
    <x v="10"/>
    <x v="11"/>
  </r>
  <r>
    <x v="2"/>
    <x v="2"/>
    <x v="0"/>
    <x v="3"/>
    <x v="3"/>
  </r>
  <r>
    <x v="12"/>
    <x v="12"/>
    <x v="0"/>
    <x v="11"/>
    <x v="12"/>
  </r>
  <r>
    <x v="6"/>
    <x v="6"/>
    <x v="0"/>
    <x v="5"/>
    <x v="5"/>
  </r>
  <r>
    <x v="13"/>
    <x v="13"/>
    <x v="0"/>
    <x v="12"/>
    <x v="13"/>
  </r>
  <r>
    <x v="9"/>
    <x v="9"/>
    <x v="4"/>
    <x v="3"/>
    <x v="3"/>
  </r>
  <r>
    <x v="14"/>
    <x v="14"/>
    <x v="0"/>
    <x v="5"/>
    <x v="5"/>
  </r>
  <r>
    <x v="10"/>
    <x v="10"/>
    <x v="0"/>
    <x v="13"/>
    <x v="14"/>
  </r>
  <r>
    <x v="10"/>
    <x v="10"/>
    <x v="0"/>
    <x v="13"/>
    <x v="14"/>
  </r>
  <r>
    <x v="5"/>
    <x v="5"/>
    <x v="0"/>
    <x v="4"/>
    <x v="4"/>
  </r>
  <r>
    <x v="15"/>
    <x v="15"/>
    <x v="5"/>
    <x v="14"/>
    <x v="15"/>
  </r>
  <r>
    <x v="10"/>
    <x v="10"/>
    <x v="5"/>
    <x v="13"/>
    <x v="16"/>
  </r>
  <r>
    <x v="16"/>
    <x v="16"/>
    <x v="0"/>
    <x v="15"/>
    <x v="17"/>
  </r>
  <r>
    <x v="15"/>
    <x v="15"/>
    <x v="0"/>
    <x v="14"/>
    <x v="18"/>
  </r>
  <r>
    <x v="10"/>
    <x v="10"/>
    <x v="0"/>
    <x v="13"/>
    <x v="14"/>
  </r>
  <r>
    <x v="7"/>
    <x v="7"/>
    <x v="0"/>
    <x v="6"/>
    <x v="9"/>
  </r>
  <r>
    <x v="17"/>
    <x v="11"/>
    <x v="0"/>
    <x v="16"/>
    <x v="19"/>
  </r>
  <r>
    <x v="18"/>
    <x v="0"/>
    <x v="6"/>
    <x v="17"/>
    <x v="20"/>
  </r>
  <r>
    <x v="16"/>
    <x v="16"/>
    <x v="6"/>
    <x v="18"/>
    <x v="21"/>
  </r>
  <r>
    <x v="3"/>
    <x v="3"/>
    <x v="6"/>
    <x v="3"/>
    <x v="3"/>
  </r>
  <r>
    <x v="4"/>
    <x v="4"/>
    <x v="6"/>
    <x v="3"/>
    <x v="3"/>
  </r>
  <r>
    <x v="19"/>
    <x v="17"/>
    <x v="0"/>
    <x v="19"/>
    <x v="22"/>
  </r>
  <r>
    <x v="20"/>
    <x v="18"/>
    <x v="0"/>
    <x v="10"/>
    <x v="23"/>
  </r>
  <r>
    <x v="7"/>
    <x v="7"/>
    <x v="1"/>
    <x v="6"/>
    <x v="6"/>
  </r>
  <r>
    <x v="11"/>
    <x v="11"/>
    <x v="0"/>
    <x v="20"/>
    <x v="24"/>
  </r>
  <r>
    <x v="12"/>
    <x v="12"/>
    <x v="0"/>
    <x v="11"/>
    <x v="12"/>
  </r>
  <r>
    <x v="21"/>
    <x v="19"/>
    <x v="7"/>
    <x v="21"/>
    <x v="25"/>
  </r>
  <r>
    <x v="22"/>
    <x v="20"/>
    <x v="7"/>
    <x v="22"/>
    <x v="26"/>
  </r>
  <r>
    <x v="23"/>
    <x v="13"/>
    <x v="0"/>
    <x v="23"/>
    <x v="27"/>
  </r>
  <r>
    <x v="24"/>
    <x v="21"/>
    <x v="5"/>
    <x v="24"/>
    <x v="28"/>
  </r>
  <r>
    <x v="3"/>
    <x v="3"/>
    <x v="5"/>
    <x v="25"/>
    <x v="29"/>
  </r>
  <r>
    <x v="25"/>
    <x v="22"/>
    <x v="5"/>
    <x v="3"/>
    <x v="3"/>
  </r>
  <r>
    <x v="19"/>
    <x v="17"/>
    <x v="0"/>
    <x v="26"/>
    <x v="30"/>
  </r>
  <r>
    <x v="26"/>
    <x v="13"/>
    <x v="0"/>
    <x v="27"/>
    <x v="31"/>
  </r>
  <r>
    <x v="21"/>
    <x v="23"/>
    <x v="5"/>
    <x v="2"/>
    <x v="32"/>
  </r>
  <r>
    <x v="11"/>
    <x v="11"/>
    <x v="0"/>
    <x v="10"/>
    <x v="23"/>
  </r>
  <r>
    <x v="6"/>
    <x v="6"/>
    <x v="0"/>
    <x v="5"/>
    <x v="5"/>
  </r>
  <r>
    <x v="17"/>
    <x v="11"/>
    <x v="0"/>
    <x v="28"/>
    <x v="33"/>
  </r>
  <r>
    <x v="14"/>
    <x v="14"/>
    <x v="0"/>
    <x v="5"/>
    <x v="5"/>
  </r>
  <r>
    <x v="10"/>
    <x v="10"/>
    <x v="0"/>
    <x v="13"/>
    <x v="14"/>
  </r>
  <r>
    <x v="27"/>
    <x v="24"/>
    <x v="1"/>
    <x v="29"/>
    <x v="34"/>
  </r>
  <r>
    <x v="19"/>
    <x v="17"/>
    <x v="0"/>
    <x v="26"/>
    <x v="30"/>
  </r>
  <r>
    <x v="26"/>
    <x v="13"/>
    <x v="0"/>
    <x v="30"/>
    <x v="35"/>
  </r>
  <r>
    <x v="3"/>
    <x v="3"/>
    <x v="0"/>
    <x v="2"/>
    <x v="36"/>
  </r>
  <r>
    <x v="6"/>
    <x v="6"/>
    <x v="0"/>
    <x v="5"/>
    <x v="5"/>
  </r>
  <r>
    <x v="6"/>
    <x v="6"/>
    <x v="1"/>
    <x v="5"/>
    <x v="37"/>
  </r>
  <r>
    <x v="15"/>
    <x v="15"/>
    <x v="0"/>
    <x v="14"/>
    <x v="18"/>
  </r>
  <r>
    <x v="10"/>
    <x v="10"/>
    <x v="0"/>
    <x v="13"/>
    <x v="14"/>
  </r>
  <r>
    <x v="19"/>
    <x v="17"/>
    <x v="0"/>
    <x v="19"/>
    <x v="22"/>
  </r>
  <r>
    <x v="28"/>
    <x v="25"/>
    <x v="1"/>
    <x v="31"/>
    <x v="38"/>
  </r>
  <r>
    <x v="17"/>
    <x v="11"/>
    <x v="0"/>
    <x v="16"/>
    <x v="19"/>
  </r>
  <r>
    <x v="6"/>
    <x v="6"/>
    <x v="0"/>
    <x v="5"/>
    <x v="5"/>
  </r>
  <r>
    <x v="12"/>
    <x v="12"/>
    <x v="0"/>
    <x v="11"/>
    <x v="12"/>
  </r>
  <r>
    <x v="12"/>
    <x v="12"/>
    <x v="1"/>
    <x v="11"/>
    <x v="39"/>
  </r>
  <r>
    <x v="17"/>
    <x v="11"/>
    <x v="0"/>
    <x v="16"/>
    <x v="19"/>
  </r>
  <r>
    <x v="28"/>
    <x v="25"/>
    <x v="0"/>
    <x v="31"/>
    <x v="40"/>
  </r>
  <r>
    <x v="6"/>
    <x v="6"/>
    <x v="1"/>
    <x v="5"/>
    <x v="37"/>
  </r>
  <r>
    <x v="17"/>
    <x v="11"/>
    <x v="0"/>
    <x v="16"/>
    <x v="19"/>
  </r>
  <r>
    <x v="6"/>
    <x v="6"/>
    <x v="1"/>
    <x v="5"/>
    <x v="37"/>
  </r>
  <r>
    <x v="10"/>
    <x v="10"/>
    <x v="0"/>
    <x v="13"/>
    <x v="14"/>
  </r>
  <r>
    <x v="9"/>
    <x v="9"/>
    <x v="1"/>
    <x v="8"/>
    <x v="41"/>
  </r>
  <r>
    <x v="11"/>
    <x v="11"/>
    <x v="0"/>
    <x v="10"/>
    <x v="23"/>
  </r>
  <r>
    <x v="11"/>
    <x v="26"/>
    <x v="0"/>
    <x v="3"/>
    <x v="3"/>
  </r>
  <r>
    <x v="15"/>
    <x v="15"/>
    <x v="2"/>
    <x v="32"/>
    <x v="42"/>
  </r>
  <r>
    <x v="10"/>
    <x v="10"/>
    <x v="2"/>
    <x v="33"/>
    <x v="43"/>
  </r>
  <r>
    <x v="8"/>
    <x v="8"/>
    <x v="0"/>
    <x v="34"/>
    <x v="44"/>
  </r>
  <r>
    <x v="10"/>
    <x v="10"/>
    <x v="8"/>
    <x v="33"/>
    <x v="45"/>
  </r>
  <r>
    <x v="20"/>
    <x v="18"/>
    <x v="0"/>
    <x v="10"/>
    <x v="23"/>
  </r>
  <r>
    <x v="16"/>
    <x v="16"/>
    <x v="0"/>
    <x v="15"/>
    <x v="17"/>
  </r>
  <r>
    <x v="29"/>
    <x v="1"/>
    <x v="0"/>
    <x v="35"/>
    <x v="46"/>
  </r>
  <r>
    <x v="28"/>
    <x v="25"/>
    <x v="0"/>
    <x v="31"/>
    <x v="40"/>
  </r>
  <r>
    <x v="20"/>
    <x v="18"/>
    <x v="1"/>
    <x v="10"/>
    <x v="11"/>
  </r>
  <r>
    <x v="6"/>
    <x v="6"/>
    <x v="1"/>
    <x v="5"/>
    <x v="37"/>
  </r>
  <r>
    <x v="5"/>
    <x v="5"/>
    <x v="1"/>
    <x v="4"/>
    <x v="47"/>
  </r>
  <r>
    <x v="14"/>
    <x v="14"/>
    <x v="1"/>
    <x v="5"/>
    <x v="37"/>
  </r>
  <r>
    <x v="10"/>
    <x v="10"/>
    <x v="1"/>
    <x v="13"/>
    <x v="48"/>
  </r>
  <r>
    <x v="15"/>
    <x v="15"/>
    <x v="0"/>
    <x v="14"/>
    <x v="18"/>
  </r>
  <r>
    <x v="10"/>
    <x v="10"/>
    <x v="0"/>
    <x v="13"/>
    <x v="14"/>
  </r>
  <r>
    <x v="11"/>
    <x v="11"/>
    <x v="0"/>
    <x v="10"/>
    <x v="23"/>
  </r>
  <r>
    <x v="30"/>
    <x v="27"/>
    <x v="3"/>
    <x v="36"/>
    <x v="49"/>
  </r>
  <r>
    <x v="31"/>
    <x v="27"/>
    <x v="3"/>
    <x v="37"/>
    <x v="50"/>
  </r>
  <r>
    <x v="32"/>
    <x v="27"/>
    <x v="9"/>
    <x v="38"/>
    <x v="51"/>
  </r>
  <r>
    <x v="26"/>
    <x v="13"/>
    <x v="0"/>
    <x v="39"/>
    <x v="52"/>
  </r>
  <r>
    <x v="19"/>
    <x v="17"/>
    <x v="0"/>
    <x v="19"/>
    <x v="22"/>
  </r>
  <r>
    <x v="20"/>
    <x v="18"/>
    <x v="0"/>
    <x v="10"/>
    <x v="23"/>
  </r>
  <r>
    <x v="14"/>
    <x v="14"/>
    <x v="0"/>
    <x v="5"/>
    <x v="5"/>
  </r>
  <r>
    <x v="10"/>
    <x v="10"/>
    <x v="0"/>
    <x v="13"/>
    <x v="14"/>
  </r>
  <r>
    <x v="33"/>
    <x v="28"/>
    <x v="0"/>
    <x v="5"/>
    <x v="5"/>
  </r>
  <r>
    <x v="6"/>
    <x v="6"/>
    <x v="1"/>
    <x v="5"/>
    <x v="37"/>
  </r>
  <r>
    <x v="34"/>
    <x v="29"/>
    <x v="5"/>
    <x v="40"/>
    <x v="53"/>
  </r>
  <r>
    <x v="1"/>
    <x v="30"/>
    <x v="1"/>
    <x v="41"/>
    <x v="54"/>
  </r>
  <r>
    <x v="35"/>
    <x v="31"/>
    <x v="1"/>
    <x v="42"/>
    <x v="55"/>
  </r>
  <r>
    <x v="35"/>
    <x v="32"/>
    <x v="0"/>
    <x v="43"/>
    <x v="56"/>
  </r>
  <r>
    <x v="19"/>
    <x v="17"/>
    <x v="0"/>
    <x v="26"/>
    <x v="30"/>
  </r>
  <r>
    <x v="3"/>
    <x v="3"/>
    <x v="5"/>
    <x v="3"/>
    <x v="3"/>
  </r>
  <r>
    <x v="7"/>
    <x v="7"/>
    <x v="5"/>
    <x v="3"/>
    <x v="3"/>
  </r>
  <r>
    <x v="10"/>
    <x v="33"/>
    <x v="5"/>
    <x v="3"/>
    <x v="3"/>
  </r>
  <r>
    <x v="23"/>
    <x v="13"/>
    <x v="0"/>
    <x v="44"/>
    <x v="57"/>
  </r>
  <r>
    <x v="36"/>
    <x v="34"/>
    <x v="6"/>
    <x v="3"/>
    <x v="3"/>
  </r>
  <r>
    <x v="37"/>
    <x v="34"/>
    <x v="6"/>
    <x v="3"/>
    <x v="3"/>
  </r>
  <r>
    <x v="38"/>
    <x v="35"/>
    <x v="5"/>
    <x v="45"/>
    <x v="58"/>
  </r>
  <r>
    <x v="26"/>
    <x v="13"/>
    <x v="0"/>
    <x v="46"/>
    <x v="59"/>
  </r>
  <r>
    <x v="15"/>
    <x v="15"/>
    <x v="0"/>
    <x v="14"/>
    <x v="18"/>
  </r>
  <r>
    <x v="10"/>
    <x v="10"/>
    <x v="0"/>
    <x v="13"/>
    <x v="14"/>
  </r>
  <r>
    <x v="5"/>
    <x v="5"/>
    <x v="1"/>
    <x v="4"/>
    <x v="47"/>
  </r>
  <r>
    <x v="20"/>
    <x v="18"/>
    <x v="0"/>
    <x v="10"/>
    <x v="23"/>
  </r>
  <r>
    <x v="11"/>
    <x v="11"/>
    <x v="0"/>
    <x v="10"/>
    <x v="23"/>
  </r>
  <r>
    <x v="17"/>
    <x v="11"/>
    <x v="1"/>
    <x v="16"/>
    <x v="60"/>
  </r>
  <r>
    <x v="12"/>
    <x v="12"/>
    <x v="0"/>
    <x v="11"/>
    <x v="12"/>
  </r>
  <r>
    <x v="27"/>
    <x v="24"/>
    <x v="5"/>
    <x v="3"/>
    <x v="3"/>
  </r>
  <r>
    <x v="39"/>
    <x v="36"/>
    <x v="0"/>
    <x v="35"/>
    <x v="46"/>
  </r>
  <r>
    <x v="40"/>
    <x v="37"/>
    <x v="0"/>
    <x v="3"/>
    <x v="3"/>
  </r>
  <r>
    <x v="27"/>
    <x v="24"/>
    <x v="1"/>
    <x v="3"/>
    <x v="3"/>
  </r>
  <r>
    <x v="34"/>
    <x v="29"/>
    <x v="1"/>
    <x v="47"/>
    <x v="61"/>
  </r>
  <r>
    <x v="27"/>
    <x v="24"/>
    <x v="1"/>
    <x v="3"/>
    <x v="3"/>
  </r>
  <r>
    <x v="3"/>
    <x v="3"/>
    <x v="1"/>
    <x v="3"/>
    <x v="3"/>
  </r>
  <r>
    <x v="26"/>
    <x v="13"/>
    <x v="0"/>
    <x v="48"/>
    <x v="62"/>
  </r>
  <r>
    <x v="34"/>
    <x v="38"/>
    <x v="10"/>
    <x v="49"/>
    <x v="63"/>
  </r>
  <r>
    <x v="3"/>
    <x v="3"/>
    <x v="10"/>
    <x v="3"/>
    <x v="3"/>
  </r>
  <r>
    <x v="26"/>
    <x v="13"/>
    <x v="0"/>
    <x v="50"/>
    <x v="64"/>
  </r>
  <r>
    <x v="27"/>
    <x v="24"/>
    <x v="5"/>
    <x v="3"/>
    <x v="3"/>
  </r>
  <r>
    <x v="27"/>
    <x v="24"/>
    <x v="11"/>
    <x v="3"/>
    <x v="3"/>
  </r>
  <r>
    <x v="27"/>
    <x v="24"/>
    <x v="12"/>
    <x v="3"/>
    <x v="3"/>
  </r>
  <r>
    <x v="15"/>
    <x v="15"/>
    <x v="0"/>
    <x v="14"/>
    <x v="18"/>
  </r>
  <r>
    <x v="10"/>
    <x v="10"/>
    <x v="0"/>
    <x v="13"/>
    <x v="14"/>
  </r>
  <r>
    <x v="6"/>
    <x v="6"/>
    <x v="1"/>
    <x v="5"/>
    <x v="37"/>
  </r>
  <r>
    <x v="28"/>
    <x v="25"/>
    <x v="0"/>
    <x v="31"/>
    <x v="40"/>
  </r>
  <r>
    <x v="8"/>
    <x v="8"/>
    <x v="1"/>
    <x v="7"/>
    <x v="65"/>
  </r>
  <r>
    <x v="14"/>
    <x v="14"/>
    <x v="0"/>
    <x v="5"/>
    <x v="5"/>
  </r>
  <r>
    <x v="10"/>
    <x v="10"/>
    <x v="0"/>
    <x v="13"/>
    <x v="14"/>
  </r>
  <r>
    <x v="20"/>
    <x v="18"/>
    <x v="0"/>
    <x v="10"/>
    <x v="23"/>
  </r>
  <r>
    <x v="35"/>
    <x v="1"/>
    <x v="1"/>
    <x v="15"/>
    <x v="66"/>
  </r>
  <r>
    <x v="20"/>
    <x v="18"/>
    <x v="0"/>
    <x v="10"/>
    <x v="23"/>
  </r>
  <r>
    <x v="24"/>
    <x v="39"/>
    <x v="1"/>
    <x v="51"/>
    <x v="67"/>
  </r>
  <r>
    <x v="25"/>
    <x v="22"/>
    <x v="1"/>
    <x v="3"/>
    <x v="3"/>
  </r>
  <r>
    <x v="38"/>
    <x v="1"/>
    <x v="0"/>
    <x v="52"/>
    <x v="68"/>
  </r>
  <r>
    <x v="29"/>
    <x v="1"/>
    <x v="0"/>
    <x v="35"/>
    <x v="46"/>
  </r>
  <r>
    <x v="41"/>
    <x v="40"/>
    <x v="0"/>
    <x v="53"/>
    <x v="69"/>
  </r>
  <r>
    <x v="42"/>
    <x v="41"/>
    <x v="1"/>
    <x v="54"/>
    <x v="70"/>
  </r>
  <r>
    <x v="43"/>
    <x v="42"/>
    <x v="1"/>
    <x v="55"/>
    <x v="71"/>
  </r>
  <r>
    <x v="44"/>
    <x v="43"/>
    <x v="0"/>
    <x v="29"/>
    <x v="72"/>
  </r>
  <r>
    <x v="20"/>
    <x v="18"/>
    <x v="0"/>
    <x v="10"/>
    <x v="23"/>
  </r>
  <r>
    <x v="14"/>
    <x v="14"/>
    <x v="0"/>
    <x v="5"/>
    <x v="5"/>
  </r>
  <r>
    <x v="10"/>
    <x v="10"/>
    <x v="0"/>
    <x v="13"/>
    <x v="14"/>
  </r>
  <r>
    <x v="7"/>
    <x v="7"/>
    <x v="5"/>
    <x v="6"/>
    <x v="73"/>
  </r>
  <r>
    <x v="45"/>
    <x v="44"/>
    <x v="2"/>
    <x v="3"/>
    <x v="3"/>
  </r>
  <r>
    <x v="46"/>
    <x v="45"/>
    <x v="9"/>
    <x v="3"/>
    <x v="3"/>
  </r>
  <r>
    <x v="47"/>
    <x v="46"/>
    <x v="0"/>
    <x v="3"/>
    <x v="3"/>
  </r>
  <r>
    <x v="48"/>
    <x v="47"/>
    <x v="0"/>
    <x v="3"/>
    <x v="3"/>
  </r>
  <r>
    <x v="3"/>
    <x v="3"/>
    <x v="5"/>
    <x v="3"/>
    <x v="3"/>
  </r>
  <r>
    <x v="49"/>
    <x v="48"/>
    <x v="0"/>
    <x v="56"/>
    <x v="74"/>
  </r>
  <r>
    <x v="26"/>
    <x v="13"/>
    <x v="0"/>
    <x v="57"/>
    <x v="75"/>
  </r>
  <r>
    <x v="7"/>
    <x v="7"/>
    <x v="0"/>
    <x v="6"/>
    <x v="9"/>
  </r>
  <r>
    <x v="6"/>
    <x v="6"/>
    <x v="0"/>
    <x v="5"/>
    <x v="5"/>
  </r>
  <r>
    <x v="17"/>
    <x v="11"/>
    <x v="0"/>
    <x v="16"/>
    <x v="19"/>
  </r>
  <r>
    <x v="6"/>
    <x v="6"/>
    <x v="0"/>
    <x v="5"/>
    <x v="5"/>
  </r>
  <r>
    <x v="5"/>
    <x v="5"/>
    <x v="0"/>
    <x v="4"/>
    <x v="4"/>
  </r>
  <r>
    <x v="14"/>
    <x v="14"/>
    <x v="0"/>
    <x v="5"/>
    <x v="5"/>
  </r>
  <r>
    <x v="10"/>
    <x v="10"/>
    <x v="0"/>
    <x v="13"/>
    <x v="14"/>
  </r>
  <r>
    <x v="34"/>
    <x v="29"/>
    <x v="12"/>
    <x v="40"/>
    <x v="76"/>
  </r>
  <r>
    <x v="3"/>
    <x v="3"/>
    <x v="12"/>
    <x v="3"/>
    <x v="3"/>
  </r>
  <r>
    <x v="50"/>
    <x v="49"/>
    <x v="12"/>
    <x v="3"/>
    <x v="3"/>
  </r>
  <r>
    <x v="29"/>
    <x v="1"/>
    <x v="5"/>
    <x v="58"/>
    <x v="77"/>
  </r>
  <r>
    <x v="19"/>
    <x v="17"/>
    <x v="0"/>
    <x v="26"/>
    <x v="30"/>
  </r>
  <r>
    <x v="15"/>
    <x v="15"/>
    <x v="13"/>
    <x v="32"/>
    <x v="78"/>
  </r>
  <r>
    <x v="50"/>
    <x v="1"/>
    <x v="0"/>
    <x v="59"/>
    <x v="79"/>
  </r>
  <r>
    <x v="10"/>
    <x v="10"/>
    <x v="14"/>
    <x v="3"/>
    <x v="3"/>
  </r>
  <r>
    <x v="7"/>
    <x v="7"/>
    <x v="12"/>
    <x v="3"/>
    <x v="3"/>
  </r>
  <r>
    <x v="34"/>
    <x v="29"/>
    <x v="0"/>
    <x v="60"/>
    <x v="80"/>
  </r>
  <r>
    <x v="3"/>
    <x v="3"/>
    <x v="0"/>
    <x v="3"/>
    <x v="3"/>
  </r>
  <r>
    <x v="27"/>
    <x v="24"/>
    <x v="0"/>
    <x v="3"/>
    <x v="3"/>
  </r>
  <r>
    <x v="0"/>
    <x v="0"/>
    <x v="2"/>
    <x v="0"/>
    <x v="81"/>
  </r>
  <r>
    <x v="1"/>
    <x v="50"/>
    <x v="5"/>
    <x v="1"/>
    <x v="82"/>
  </r>
  <r>
    <x v="51"/>
    <x v="51"/>
    <x v="1"/>
    <x v="61"/>
    <x v="83"/>
  </r>
  <r>
    <x v="10"/>
    <x v="10"/>
    <x v="2"/>
    <x v="3"/>
    <x v="3"/>
  </r>
  <r>
    <x v="7"/>
    <x v="7"/>
    <x v="2"/>
    <x v="3"/>
    <x v="3"/>
  </r>
  <r>
    <x v="3"/>
    <x v="3"/>
    <x v="2"/>
    <x v="3"/>
    <x v="3"/>
  </r>
  <r>
    <x v="15"/>
    <x v="15"/>
    <x v="5"/>
    <x v="14"/>
    <x v="15"/>
  </r>
  <r>
    <x v="10"/>
    <x v="10"/>
    <x v="5"/>
    <x v="3"/>
    <x v="3"/>
  </r>
  <r>
    <x v="26"/>
    <x v="13"/>
    <x v="0"/>
    <x v="62"/>
    <x v="84"/>
  </r>
  <r>
    <x v="11"/>
    <x v="11"/>
    <x v="0"/>
    <x v="10"/>
    <x v="23"/>
  </r>
  <r>
    <x v="20"/>
    <x v="18"/>
    <x v="0"/>
    <x v="10"/>
    <x v="23"/>
  </r>
  <r>
    <x v="11"/>
    <x v="11"/>
    <x v="0"/>
    <x v="10"/>
    <x v="23"/>
  </r>
  <r>
    <x v="52"/>
    <x v="52"/>
    <x v="0"/>
    <x v="63"/>
    <x v="85"/>
  </r>
  <r>
    <x v="19"/>
    <x v="17"/>
    <x v="1"/>
    <x v="19"/>
    <x v="86"/>
  </r>
  <r>
    <x v="5"/>
    <x v="5"/>
    <x v="3"/>
    <x v="4"/>
    <x v="87"/>
  </r>
  <r>
    <x v="24"/>
    <x v="39"/>
    <x v="0"/>
    <x v="51"/>
    <x v="88"/>
  </r>
  <r>
    <x v="2"/>
    <x v="2"/>
    <x v="0"/>
    <x v="3"/>
    <x v="3"/>
  </r>
  <r>
    <x v="16"/>
    <x v="16"/>
    <x v="0"/>
    <x v="15"/>
    <x v="17"/>
  </r>
  <r>
    <x v="4"/>
    <x v="4"/>
    <x v="0"/>
    <x v="23"/>
    <x v="27"/>
  </r>
  <r>
    <x v="41"/>
    <x v="40"/>
    <x v="0"/>
    <x v="53"/>
    <x v="69"/>
  </r>
  <r>
    <x v="42"/>
    <x v="41"/>
    <x v="8"/>
    <x v="54"/>
    <x v="89"/>
  </r>
  <r>
    <x v="34"/>
    <x v="38"/>
    <x v="2"/>
    <x v="49"/>
    <x v="90"/>
  </r>
  <r>
    <x v="3"/>
    <x v="3"/>
    <x v="2"/>
    <x v="3"/>
    <x v="3"/>
  </r>
  <r>
    <x v="5"/>
    <x v="5"/>
    <x v="2"/>
    <x v="64"/>
    <x v="91"/>
  </r>
  <r>
    <x v="26"/>
    <x v="13"/>
    <x v="0"/>
    <x v="65"/>
    <x v="55"/>
  </r>
  <r>
    <x v="33"/>
    <x v="28"/>
    <x v="5"/>
    <x v="66"/>
    <x v="92"/>
  </r>
  <r>
    <x v="53"/>
    <x v="53"/>
    <x v="2"/>
    <x v="67"/>
    <x v="93"/>
  </r>
  <r>
    <x v="15"/>
    <x v="15"/>
    <x v="2"/>
    <x v="68"/>
    <x v="94"/>
  </r>
  <r>
    <x v="10"/>
    <x v="10"/>
    <x v="3"/>
    <x v="3"/>
    <x v="3"/>
  </r>
  <r>
    <x v="26"/>
    <x v="13"/>
    <x v="0"/>
    <x v="57"/>
    <x v="75"/>
  </r>
  <r>
    <x v="20"/>
    <x v="18"/>
    <x v="0"/>
    <x v="10"/>
    <x v="23"/>
  </r>
  <r>
    <x v="5"/>
    <x v="5"/>
    <x v="1"/>
    <x v="4"/>
    <x v="47"/>
  </r>
  <r>
    <x v="41"/>
    <x v="40"/>
    <x v="1"/>
    <x v="53"/>
    <x v="95"/>
  </r>
  <r>
    <x v="43"/>
    <x v="42"/>
    <x v="5"/>
    <x v="55"/>
    <x v="96"/>
  </r>
  <r>
    <x v="54"/>
    <x v="54"/>
    <x v="5"/>
    <x v="69"/>
    <x v="97"/>
  </r>
  <r>
    <x v="38"/>
    <x v="1"/>
    <x v="1"/>
    <x v="3"/>
    <x v="3"/>
  </r>
  <r>
    <x v="3"/>
    <x v="3"/>
    <x v="1"/>
    <x v="3"/>
    <x v="3"/>
  </r>
  <r>
    <x v="4"/>
    <x v="4"/>
    <x v="1"/>
    <x v="3"/>
    <x v="3"/>
  </r>
  <r>
    <x v="18"/>
    <x v="0"/>
    <x v="1"/>
    <x v="17"/>
    <x v="98"/>
  </r>
  <r>
    <x v="48"/>
    <x v="47"/>
    <x v="5"/>
    <x v="70"/>
    <x v="99"/>
  </r>
  <r>
    <x v="20"/>
    <x v="18"/>
    <x v="0"/>
    <x v="10"/>
    <x v="23"/>
  </r>
  <r>
    <x v="20"/>
    <x v="18"/>
    <x v="0"/>
    <x v="10"/>
    <x v="23"/>
  </r>
  <r>
    <x v="55"/>
    <x v="55"/>
    <x v="0"/>
    <x v="3"/>
    <x v="3"/>
  </r>
  <r>
    <x v="56"/>
    <x v="56"/>
    <x v="8"/>
    <x v="71"/>
    <x v="100"/>
  </r>
  <r>
    <x v="17"/>
    <x v="11"/>
    <x v="0"/>
    <x v="16"/>
    <x v="19"/>
  </r>
  <r>
    <x v="34"/>
    <x v="29"/>
    <x v="0"/>
    <x v="72"/>
    <x v="101"/>
  </r>
  <r>
    <x v="3"/>
    <x v="3"/>
    <x v="0"/>
    <x v="3"/>
    <x v="3"/>
  </r>
  <r>
    <x v="4"/>
    <x v="4"/>
    <x v="0"/>
    <x v="3"/>
    <x v="3"/>
  </r>
  <r>
    <x v="38"/>
    <x v="1"/>
    <x v="0"/>
    <x v="3"/>
    <x v="3"/>
  </r>
  <r>
    <x v="12"/>
    <x v="12"/>
    <x v="0"/>
    <x v="11"/>
    <x v="12"/>
  </r>
  <r>
    <x v="6"/>
    <x v="6"/>
    <x v="0"/>
    <x v="5"/>
    <x v="5"/>
  </r>
  <r>
    <x v="57"/>
    <x v="1"/>
    <x v="0"/>
    <x v="73"/>
    <x v="102"/>
  </r>
  <r>
    <x v="4"/>
    <x v="4"/>
    <x v="0"/>
    <x v="23"/>
    <x v="27"/>
  </r>
  <r>
    <x v="0"/>
    <x v="0"/>
    <x v="0"/>
    <x v="0"/>
    <x v="0"/>
  </r>
  <r>
    <x v="1"/>
    <x v="1"/>
    <x v="0"/>
    <x v="1"/>
    <x v="1"/>
  </r>
  <r>
    <x v="3"/>
    <x v="3"/>
    <x v="0"/>
    <x v="3"/>
    <x v="3"/>
  </r>
  <r>
    <x v="4"/>
    <x v="4"/>
    <x v="0"/>
    <x v="3"/>
    <x v="3"/>
  </r>
  <r>
    <x v="20"/>
    <x v="18"/>
    <x v="0"/>
    <x v="10"/>
    <x v="23"/>
  </r>
  <r>
    <x v="41"/>
    <x v="40"/>
    <x v="0"/>
    <x v="53"/>
    <x v="69"/>
  </r>
  <r>
    <x v="42"/>
    <x v="41"/>
    <x v="5"/>
    <x v="54"/>
    <x v="103"/>
  </r>
  <r>
    <x v="0"/>
    <x v="0"/>
    <x v="0"/>
    <x v="0"/>
    <x v="0"/>
  </r>
  <r>
    <x v="1"/>
    <x v="1"/>
    <x v="0"/>
    <x v="1"/>
    <x v="1"/>
  </r>
  <r>
    <x v="3"/>
    <x v="3"/>
    <x v="0"/>
    <x v="3"/>
    <x v="3"/>
  </r>
  <r>
    <x v="4"/>
    <x v="4"/>
    <x v="0"/>
    <x v="3"/>
    <x v="3"/>
  </r>
  <r>
    <x v="17"/>
    <x v="11"/>
    <x v="0"/>
    <x v="16"/>
    <x v="19"/>
  </r>
  <r>
    <x v="28"/>
    <x v="25"/>
    <x v="0"/>
    <x v="31"/>
    <x v="40"/>
  </r>
  <r>
    <x v="6"/>
    <x v="6"/>
    <x v="0"/>
    <x v="5"/>
    <x v="5"/>
  </r>
  <r>
    <x v="58"/>
    <x v="1"/>
    <x v="0"/>
    <x v="74"/>
    <x v="104"/>
  </r>
  <r>
    <x v="18"/>
    <x v="0"/>
    <x v="0"/>
    <x v="17"/>
    <x v="105"/>
  </r>
  <r>
    <x v="19"/>
    <x v="17"/>
    <x v="0"/>
    <x v="19"/>
    <x v="22"/>
  </r>
  <r>
    <x v="20"/>
    <x v="18"/>
    <x v="0"/>
    <x v="10"/>
    <x v="23"/>
  </r>
  <r>
    <x v="24"/>
    <x v="39"/>
    <x v="0"/>
    <x v="51"/>
    <x v="88"/>
  </r>
  <r>
    <x v="2"/>
    <x v="2"/>
    <x v="5"/>
    <x v="2"/>
    <x v="32"/>
  </r>
  <r>
    <x v="5"/>
    <x v="5"/>
    <x v="0"/>
    <x v="4"/>
    <x v="4"/>
  </r>
  <r>
    <x v="59"/>
    <x v="57"/>
    <x v="0"/>
    <x v="3"/>
    <x v="3"/>
  </r>
  <r>
    <x v="20"/>
    <x v="18"/>
    <x v="0"/>
    <x v="10"/>
    <x v="23"/>
  </r>
  <r>
    <x v="28"/>
    <x v="25"/>
    <x v="1"/>
    <x v="31"/>
    <x v="38"/>
  </r>
  <r>
    <x v="6"/>
    <x v="6"/>
    <x v="1"/>
    <x v="5"/>
    <x v="37"/>
  </r>
  <r>
    <x v="11"/>
    <x v="11"/>
    <x v="1"/>
    <x v="10"/>
    <x v="11"/>
  </r>
  <r>
    <x v="38"/>
    <x v="1"/>
    <x v="0"/>
    <x v="52"/>
    <x v="68"/>
  </r>
  <r>
    <x v="46"/>
    <x v="45"/>
    <x v="0"/>
    <x v="75"/>
    <x v="106"/>
  </r>
  <r>
    <x v="14"/>
    <x v="14"/>
    <x v="0"/>
    <x v="5"/>
    <x v="5"/>
  </r>
  <r>
    <x v="10"/>
    <x v="10"/>
    <x v="0"/>
    <x v="13"/>
    <x v="14"/>
  </r>
  <r>
    <x v="17"/>
    <x v="11"/>
    <x v="0"/>
    <x v="16"/>
    <x v="19"/>
  </r>
  <r>
    <x v="28"/>
    <x v="25"/>
    <x v="0"/>
    <x v="31"/>
    <x v="40"/>
  </r>
  <r>
    <x v="41"/>
    <x v="40"/>
    <x v="1"/>
    <x v="53"/>
    <x v="95"/>
  </r>
  <r>
    <x v="44"/>
    <x v="43"/>
    <x v="1"/>
    <x v="29"/>
    <x v="34"/>
  </r>
  <r>
    <x v="10"/>
    <x v="10"/>
    <x v="0"/>
    <x v="13"/>
    <x v="14"/>
  </r>
  <r>
    <x v="20"/>
    <x v="18"/>
    <x v="0"/>
    <x v="10"/>
    <x v="23"/>
  </r>
  <r>
    <x v="11"/>
    <x v="11"/>
    <x v="0"/>
    <x v="10"/>
    <x v="23"/>
  </r>
  <r>
    <x v="5"/>
    <x v="5"/>
    <x v="7"/>
    <x v="4"/>
    <x v="107"/>
  </r>
  <r>
    <x v="14"/>
    <x v="14"/>
    <x v="0"/>
    <x v="5"/>
    <x v="5"/>
  </r>
  <r>
    <x v="10"/>
    <x v="10"/>
    <x v="0"/>
    <x v="13"/>
    <x v="14"/>
  </r>
  <r>
    <x v="6"/>
    <x v="6"/>
    <x v="8"/>
    <x v="5"/>
    <x v="92"/>
  </r>
  <r>
    <x v="3"/>
    <x v="3"/>
    <x v="1"/>
    <x v="2"/>
    <x v="2"/>
  </r>
  <r>
    <x v="19"/>
    <x v="17"/>
    <x v="0"/>
    <x v="19"/>
    <x v="22"/>
  </r>
  <r>
    <x v="34"/>
    <x v="29"/>
    <x v="11"/>
    <x v="72"/>
    <x v="108"/>
  </r>
  <r>
    <x v="38"/>
    <x v="1"/>
    <x v="5"/>
    <x v="3"/>
    <x v="3"/>
  </r>
  <r>
    <x v="60"/>
    <x v="1"/>
    <x v="5"/>
    <x v="3"/>
    <x v="3"/>
  </r>
  <r>
    <x v="61"/>
    <x v="58"/>
    <x v="5"/>
    <x v="3"/>
    <x v="3"/>
  </r>
  <r>
    <x v="7"/>
    <x v="7"/>
    <x v="11"/>
    <x v="3"/>
    <x v="3"/>
  </r>
  <r>
    <x v="10"/>
    <x v="33"/>
    <x v="11"/>
    <x v="3"/>
    <x v="3"/>
  </r>
  <r>
    <x v="3"/>
    <x v="3"/>
    <x v="11"/>
    <x v="3"/>
    <x v="3"/>
  </r>
  <r>
    <x v="62"/>
    <x v="59"/>
    <x v="11"/>
    <x v="3"/>
    <x v="3"/>
  </r>
  <r>
    <x v="21"/>
    <x v="23"/>
    <x v="11"/>
    <x v="3"/>
    <x v="3"/>
  </r>
  <r>
    <x v="22"/>
    <x v="60"/>
    <x v="5"/>
    <x v="3"/>
    <x v="3"/>
  </r>
  <r>
    <x v="8"/>
    <x v="8"/>
    <x v="0"/>
    <x v="7"/>
    <x v="7"/>
  </r>
  <r>
    <x v="7"/>
    <x v="7"/>
    <x v="1"/>
    <x v="6"/>
    <x v="6"/>
  </r>
  <r>
    <x v="24"/>
    <x v="39"/>
    <x v="0"/>
    <x v="51"/>
    <x v="88"/>
  </r>
  <r>
    <x v="2"/>
    <x v="2"/>
    <x v="0"/>
    <x v="3"/>
    <x v="3"/>
  </r>
  <r>
    <x v="16"/>
    <x v="16"/>
    <x v="0"/>
    <x v="15"/>
    <x v="17"/>
  </r>
  <r>
    <x v="4"/>
    <x v="4"/>
    <x v="0"/>
    <x v="23"/>
    <x v="27"/>
  </r>
  <r>
    <x v="10"/>
    <x v="10"/>
    <x v="1"/>
    <x v="6"/>
    <x v="6"/>
  </r>
  <r>
    <x v="20"/>
    <x v="18"/>
    <x v="9"/>
    <x v="76"/>
    <x v="109"/>
  </r>
  <r>
    <x v="6"/>
    <x v="6"/>
    <x v="9"/>
    <x v="66"/>
    <x v="110"/>
  </r>
  <r>
    <x v="63"/>
    <x v="61"/>
    <x v="1"/>
    <x v="3"/>
    <x v="3"/>
  </r>
  <r>
    <x v="64"/>
    <x v="62"/>
    <x v="1"/>
    <x v="3"/>
    <x v="3"/>
  </r>
  <r>
    <x v="65"/>
    <x v="63"/>
    <x v="1"/>
    <x v="3"/>
    <x v="3"/>
  </r>
  <r>
    <x v="26"/>
    <x v="13"/>
    <x v="0"/>
    <x v="77"/>
    <x v="111"/>
  </r>
  <r>
    <x v="15"/>
    <x v="15"/>
    <x v="0"/>
    <x v="14"/>
    <x v="18"/>
  </r>
  <r>
    <x v="10"/>
    <x v="10"/>
    <x v="0"/>
    <x v="6"/>
    <x v="9"/>
  </r>
  <r>
    <x v="6"/>
    <x v="6"/>
    <x v="0"/>
    <x v="5"/>
    <x v="5"/>
  </r>
  <r>
    <x v="20"/>
    <x v="18"/>
    <x v="0"/>
    <x v="10"/>
    <x v="23"/>
  </r>
  <r>
    <x v="7"/>
    <x v="7"/>
    <x v="0"/>
    <x v="6"/>
    <x v="9"/>
  </r>
</pivotCacheRecords>
</file>

<file path=xl/pivotCache/pivotCacheRecords51.xml><?xml version="1.0" encoding="utf-8"?>
<pivotCacheRecords xmlns:r="http://schemas.openxmlformats.org/officeDocument/2006/relationships" xmlns="http://schemas.openxmlformats.org/spreadsheetml/2006/main" count="390">
  <r>
    <x v="0"/>
    <x v="0"/>
    <x v="0"/>
  </r>
  <r>
    <x v="1"/>
    <x v="1"/>
    <x v="1"/>
  </r>
  <r>
    <x v="2"/>
    <x v="2"/>
    <x v="1"/>
  </r>
  <r>
    <x v="3"/>
    <x v="3"/>
    <x v="1"/>
  </r>
  <r>
    <x v="4"/>
    <x v="4"/>
    <x v="1"/>
  </r>
  <r>
    <x v="5"/>
    <x v="5"/>
    <x v="1"/>
  </r>
  <r>
    <x v="6"/>
    <x v="6"/>
    <x v="1"/>
  </r>
  <r>
    <x v="7"/>
    <x v="7"/>
    <x v="0"/>
  </r>
  <r>
    <x v="8"/>
    <x v="8"/>
    <x v="0"/>
  </r>
  <r>
    <x v="9"/>
    <x v="9"/>
    <x v="0"/>
  </r>
  <r>
    <x v="10"/>
    <x v="10"/>
    <x v="2"/>
  </r>
  <r>
    <x v="8"/>
    <x v="8"/>
    <x v="3"/>
  </r>
  <r>
    <x v="11"/>
    <x v="11"/>
    <x v="4"/>
  </r>
  <r>
    <x v="12"/>
    <x v="12"/>
    <x v="5"/>
  </r>
  <r>
    <x v="0"/>
    <x v="0"/>
    <x v="0"/>
  </r>
  <r>
    <x v="11"/>
    <x v="11"/>
    <x v="0"/>
  </r>
  <r>
    <x v="13"/>
    <x v="13"/>
    <x v="0"/>
  </r>
  <r>
    <x v="14"/>
    <x v="14"/>
    <x v="0"/>
  </r>
  <r>
    <x v="15"/>
    <x v="15"/>
    <x v="0"/>
  </r>
  <r>
    <x v="15"/>
    <x v="16"/>
    <x v="0"/>
  </r>
  <r>
    <x v="11"/>
    <x v="11"/>
    <x v="4"/>
  </r>
  <r>
    <x v="16"/>
    <x v="17"/>
    <x v="4"/>
  </r>
  <r>
    <x v="17"/>
    <x v="18"/>
    <x v="4"/>
  </r>
  <r>
    <x v="18"/>
    <x v="19"/>
    <x v="4"/>
  </r>
  <r>
    <x v="4"/>
    <x v="20"/>
    <x v="4"/>
  </r>
  <r>
    <x v="6"/>
    <x v="6"/>
    <x v="4"/>
  </r>
  <r>
    <x v="19"/>
    <x v="21"/>
    <x v="0"/>
  </r>
  <r>
    <x v="0"/>
    <x v="0"/>
    <x v="0"/>
  </r>
  <r>
    <x v="20"/>
    <x v="14"/>
    <x v="4"/>
  </r>
  <r>
    <x v="11"/>
    <x v="11"/>
    <x v="0"/>
  </r>
  <r>
    <x v="14"/>
    <x v="14"/>
    <x v="0"/>
  </r>
  <r>
    <x v="1"/>
    <x v="1"/>
    <x v="5"/>
  </r>
  <r>
    <x v="21"/>
    <x v="22"/>
    <x v="6"/>
  </r>
  <r>
    <x v="22"/>
    <x v="15"/>
    <x v="1"/>
  </r>
  <r>
    <x v="23"/>
    <x v="23"/>
    <x v="1"/>
  </r>
  <r>
    <x v="8"/>
    <x v="8"/>
    <x v="5"/>
  </r>
  <r>
    <x v="24"/>
    <x v="15"/>
    <x v="5"/>
  </r>
  <r>
    <x v="5"/>
    <x v="5"/>
    <x v="4"/>
  </r>
  <r>
    <x v="4"/>
    <x v="4"/>
    <x v="5"/>
  </r>
  <r>
    <x v="1"/>
    <x v="1"/>
    <x v="4"/>
  </r>
  <r>
    <x v="2"/>
    <x v="2"/>
    <x v="4"/>
  </r>
  <r>
    <x v="5"/>
    <x v="5"/>
    <x v="4"/>
  </r>
  <r>
    <x v="6"/>
    <x v="6"/>
    <x v="4"/>
  </r>
  <r>
    <x v="0"/>
    <x v="0"/>
    <x v="0"/>
  </r>
  <r>
    <x v="25"/>
    <x v="24"/>
    <x v="0"/>
  </r>
  <r>
    <x v="26"/>
    <x v="25"/>
    <x v="0"/>
  </r>
  <r>
    <x v="27"/>
    <x v="15"/>
    <x v="4"/>
  </r>
  <r>
    <x v="23"/>
    <x v="23"/>
    <x v="4"/>
  </r>
  <r>
    <x v="7"/>
    <x v="7"/>
    <x v="0"/>
  </r>
  <r>
    <x v="21"/>
    <x v="22"/>
    <x v="4"/>
  </r>
  <r>
    <x v="8"/>
    <x v="8"/>
    <x v="4"/>
  </r>
  <r>
    <x v="21"/>
    <x v="22"/>
    <x v="1"/>
  </r>
  <r>
    <x v="8"/>
    <x v="8"/>
    <x v="1"/>
  </r>
  <r>
    <x v="11"/>
    <x v="11"/>
    <x v="4"/>
  </r>
  <r>
    <x v="9"/>
    <x v="9"/>
    <x v="0"/>
  </r>
  <r>
    <x v="11"/>
    <x v="11"/>
    <x v="0"/>
  </r>
  <r>
    <x v="12"/>
    <x v="12"/>
    <x v="1"/>
  </r>
  <r>
    <x v="2"/>
    <x v="2"/>
    <x v="0"/>
  </r>
  <r>
    <x v="28"/>
    <x v="26"/>
    <x v="0"/>
  </r>
  <r>
    <x v="7"/>
    <x v="7"/>
    <x v="0"/>
  </r>
  <r>
    <x v="0"/>
    <x v="0"/>
    <x v="0"/>
  </r>
  <r>
    <x v="25"/>
    <x v="24"/>
    <x v="4"/>
  </r>
  <r>
    <x v="29"/>
    <x v="27"/>
    <x v="1"/>
  </r>
  <r>
    <x v="30"/>
    <x v="28"/>
    <x v="1"/>
  </r>
  <r>
    <x v="8"/>
    <x v="8"/>
    <x v="0"/>
  </r>
  <r>
    <x v="13"/>
    <x v="13"/>
    <x v="0"/>
  </r>
  <r>
    <x v="0"/>
    <x v="0"/>
    <x v="0"/>
  </r>
  <r>
    <x v="31"/>
    <x v="29"/>
    <x v="0"/>
  </r>
  <r>
    <x v="21"/>
    <x v="22"/>
    <x v="2"/>
  </r>
  <r>
    <x v="8"/>
    <x v="8"/>
    <x v="2"/>
  </r>
  <r>
    <x v="28"/>
    <x v="26"/>
    <x v="0"/>
  </r>
  <r>
    <x v="2"/>
    <x v="2"/>
    <x v="5"/>
  </r>
  <r>
    <x v="13"/>
    <x v="13"/>
    <x v="0"/>
  </r>
  <r>
    <x v="21"/>
    <x v="22"/>
    <x v="4"/>
  </r>
  <r>
    <x v="8"/>
    <x v="8"/>
    <x v="4"/>
  </r>
  <r>
    <x v="14"/>
    <x v="14"/>
    <x v="0"/>
  </r>
  <r>
    <x v="13"/>
    <x v="13"/>
    <x v="3"/>
  </r>
  <r>
    <x v="32"/>
    <x v="30"/>
    <x v="5"/>
  </r>
  <r>
    <x v="14"/>
    <x v="14"/>
    <x v="0"/>
  </r>
  <r>
    <x v="33"/>
    <x v="31"/>
    <x v="7"/>
  </r>
  <r>
    <x v="0"/>
    <x v="0"/>
    <x v="3"/>
  </r>
  <r>
    <x v="25"/>
    <x v="24"/>
    <x v="5"/>
  </r>
  <r>
    <x v="34"/>
    <x v="32"/>
    <x v="7"/>
  </r>
  <r>
    <x v="22"/>
    <x v="15"/>
    <x v="7"/>
  </r>
  <r>
    <x v="35"/>
    <x v="15"/>
    <x v="5"/>
  </r>
  <r>
    <x v="36"/>
    <x v="33"/>
    <x v="8"/>
  </r>
  <r>
    <x v="37"/>
    <x v="34"/>
    <x v="3"/>
  </r>
  <r>
    <x v="38"/>
    <x v="35"/>
    <x v="7"/>
  </r>
  <r>
    <x v="2"/>
    <x v="2"/>
    <x v="7"/>
  </r>
  <r>
    <x v="39"/>
    <x v="26"/>
    <x v="0"/>
  </r>
  <r>
    <x v="40"/>
    <x v="36"/>
    <x v="4"/>
  </r>
  <r>
    <x v="28"/>
    <x v="26"/>
    <x v="0"/>
  </r>
  <r>
    <x v="41"/>
    <x v="37"/>
    <x v="3"/>
  </r>
  <r>
    <x v="42"/>
    <x v="38"/>
    <x v="2"/>
  </r>
  <r>
    <x v="14"/>
    <x v="14"/>
    <x v="0"/>
  </r>
  <r>
    <x v="25"/>
    <x v="24"/>
    <x v="0"/>
  </r>
  <r>
    <x v="34"/>
    <x v="32"/>
    <x v="1"/>
  </r>
  <r>
    <x v="30"/>
    <x v="28"/>
    <x v="1"/>
  </r>
  <r>
    <x v="14"/>
    <x v="14"/>
    <x v="0"/>
  </r>
  <r>
    <x v="20"/>
    <x v="14"/>
    <x v="0"/>
  </r>
  <r>
    <x v="43"/>
    <x v="39"/>
    <x v="4"/>
  </r>
  <r>
    <x v="8"/>
    <x v="8"/>
    <x v="4"/>
  </r>
  <r>
    <x v="0"/>
    <x v="0"/>
    <x v="0"/>
  </r>
  <r>
    <x v="28"/>
    <x v="26"/>
    <x v="0"/>
  </r>
  <r>
    <x v="0"/>
    <x v="0"/>
    <x v="4"/>
  </r>
  <r>
    <x v="28"/>
    <x v="26"/>
    <x v="0"/>
  </r>
  <r>
    <x v="14"/>
    <x v="14"/>
    <x v="0"/>
  </r>
  <r>
    <x v="43"/>
    <x v="39"/>
    <x v="5"/>
  </r>
  <r>
    <x v="8"/>
    <x v="8"/>
    <x v="5"/>
  </r>
  <r>
    <x v="12"/>
    <x v="12"/>
    <x v="0"/>
  </r>
  <r>
    <x v="14"/>
    <x v="14"/>
    <x v="0"/>
  </r>
  <r>
    <x v="10"/>
    <x v="10"/>
    <x v="6"/>
  </r>
  <r>
    <x v="2"/>
    <x v="2"/>
    <x v="0"/>
  </r>
  <r>
    <x v="43"/>
    <x v="39"/>
    <x v="4"/>
  </r>
  <r>
    <x v="8"/>
    <x v="8"/>
    <x v="4"/>
  </r>
  <r>
    <x v="10"/>
    <x v="10"/>
    <x v="9"/>
  </r>
  <r>
    <x v="8"/>
    <x v="8"/>
    <x v="2"/>
  </r>
  <r>
    <x v="7"/>
    <x v="7"/>
    <x v="0"/>
  </r>
  <r>
    <x v="44"/>
    <x v="40"/>
    <x v="0"/>
  </r>
  <r>
    <x v="32"/>
    <x v="30"/>
    <x v="0"/>
  </r>
  <r>
    <x v="20"/>
    <x v="14"/>
    <x v="0"/>
  </r>
  <r>
    <x v="37"/>
    <x v="34"/>
    <x v="0"/>
  </r>
  <r>
    <x v="32"/>
    <x v="30"/>
    <x v="4"/>
  </r>
  <r>
    <x v="32"/>
    <x v="30"/>
    <x v="0"/>
  </r>
  <r>
    <x v="12"/>
    <x v="12"/>
    <x v="0"/>
  </r>
  <r>
    <x v="8"/>
    <x v="8"/>
    <x v="0"/>
  </r>
  <r>
    <x v="11"/>
    <x v="11"/>
    <x v="0"/>
  </r>
  <r>
    <x v="9"/>
    <x v="9"/>
    <x v="0"/>
  </r>
  <r>
    <x v="7"/>
    <x v="7"/>
    <x v="0"/>
  </r>
  <r>
    <x v="45"/>
    <x v="41"/>
    <x v="0"/>
  </r>
  <r>
    <x v="46"/>
    <x v="31"/>
    <x v="1"/>
  </r>
  <r>
    <x v="2"/>
    <x v="2"/>
    <x v="1"/>
  </r>
  <r>
    <x v="47"/>
    <x v="42"/>
    <x v="1"/>
  </r>
  <r>
    <x v="38"/>
    <x v="43"/>
    <x v="1"/>
  </r>
  <r>
    <x v="8"/>
    <x v="44"/>
    <x v="1"/>
  </r>
  <r>
    <x v="48"/>
    <x v="45"/>
    <x v="1"/>
  </r>
  <r>
    <x v="10"/>
    <x v="10"/>
    <x v="1"/>
  </r>
  <r>
    <x v="49"/>
    <x v="46"/>
    <x v="1"/>
  </r>
  <r>
    <x v="28"/>
    <x v="26"/>
    <x v="0"/>
  </r>
  <r>
    <x v="46"/>
    <x v="31"/>
    <x v="1"/>
  </r>
  <r>
    <x v="2"/>
    <x v="2"/>
    <x v="1"/>
  </r>
  <r>
    <x v="47"/>
    <x v="42"/>
    <x v="1"/>
  </r>
  <r>
    <x v="38"/>
    <x v="43"/>
    <x v="1"/>
  </r>
  <r>
    <x v="8"/>
    <x v="44"/>
    <x v="1"/>
  </r>
  <r>
    <x v="48"/>
    <x v="45"/>
    <x v="1"/>
  </r>
  <r>
    <x v="28"/>
    <x v="26"/>
    <x v="0"/>
  </r>
  <r>
    <x v="1"/>
    <x v="1"/>
    <x v="3"/>
  </r>
  <r>
    <x v="3"/>
    <x v="3"/>
    <x v="3"/>
  </r>
  <r>
    <x v="2"/>
    <x v="2"/>
    <x v="3"/>
  </r>
  <r>
    <x v="50"/>
    <x v="47"/>
    <x v="0"/>
  </r>
  <r>
    <x v="11"/>
    <x v="11"/>
    <x v="4"/>
  </r>
  <r>
    <x v="20"/>
    <x v="14"/>
    <x v="0"/>
  </r>
  <r>
    <x v="21"/>
    <x v="22"/>
    <x v="4"/>
  </r>
  <r>
    <x v="8"/>
    <x v="8"/>
    <x v="4"/>
  </r>
  <r>
    <x v="5"/>
    <x v="5"/>
    <x v="0"/>
  </r>
  <r>
    <x v="32"/>
    <x v="30"/>
    <x v="0"/>
  </r>
  <r>
    <x v="18"/>
    <x v="19"/>
    <x v="7"/>
  </r>
  <r>
    <x v="14"/>
    <x v="14"/>
    <x v="4"/>
  </r>
  <r>
    <x v="10"/>
    <x v="10"/>
    <x v="9"/>
  </r>
  <r>
    <x v="23"/>
    <x v="23"/>
    <x v="4"/>
  </r>
  <r>
    <x v="11"/>
    <x v="11"/>
    <x v="0"/>
  </r>
  <r>
    <x v="47"/>
    <x v="15"/>
    <x v="0"/>
  </r>
  <r>
    <x v="1"/>
    <x v="1"/>
    <x v="4"/>
  </r>
  <r>
    <x v="2"/>
    <x v="2"/>
    <x v="4"/>
  </r>
  <r>
    <x v="3"/>
    <x v="3"/>
    <x v="4"/>
  </r>
  <r>
    <x v="51"/>
    <x v="48"/>
    <x v="4"/>
  </r>
  <r>
    <x v="15"/>
    <x v="15"/>
    <x v="4"/>
  </r>
  <r>
    <x v="52"/>
    <x v="15"/>
    <x v="4"/>
  </r>
  <r>
    <x v="6"/>
    <x v="6"/>
    <x v="4"/>
  </r>
  <r>
    <x v="23"/>
    <x v="23"/>
    <x v="1"/>
  </r>
  <r>
    <x v="53"/>
    <x v="49"/>
    <x v="1"/>
  </r>
  <r>
    <x v="45"/>
    <x v="41"/>
    <x v="4"/>
  </r>
  <r>
    <x v="54"/>
    <x v="15"/>
    <x v="4"/>
  </r>
  <r>
    <x v="4"/>
    <x v="4"/>
    <x v="4"/>
  </r>
  <r>
    <x v="12"/>
    <x v="12"/>
    <x v="0"/>
  </r>
  <r>
    <x v="11"/>
    <x v="11"/>
    <x v="4"/>
  </r>
  <r>
    <x v="8"/>
    <x v="8"/>
    <x v="0"/>
  </r>
  <r>
    <x v="53"/>
    <x v="49"/>
    <x v="2"/>
  </r>
  <r>
    <x v="52"/>
    <x v="15"/>
    <x v="4"/>
  </r>
  <r>
    <x v="45"/>
    <x v="41"/>
    <x v="1"/>
  </r>
  <r>
    <x v="55"/>
    <x v="50"/>
    <x v="0"/>
  </r>
  <r>
    <x v="56"/>
    <x v="51"/>
    <x v="0"/>
  </r>
  <r>
    <x v="16"/>
    <x v="52"/>
    <x v="1"/>
  </r>
  <r>
    <x v="57"/>
    <x v="53"/>
    <x v="1"/>
  </r>
  <r>
    <x v="28"/>
    <x v="26"/>
    <x v="0"/>
  </r>
  <r>
    <x v="21"/>
    <x v="22"/>
    <x v="0"/>
  </r>
  <r>
    <x v="8"/>
    <x v="8"/>
    <x v="0"/>
  </r>
  <r>
    <x v="43"/>
    <x v="39"/>
    <x v="0"/>
  </r>
  <r>
    <x v="8"/>
    <x v="8"/>
    <x v="0"/>
  </r>
  <r>
    <x v="12"/>
    <x v="12"/>
    <x v="0"/>
  </r>
  <r>
    <x v="58"/>
    <x v="19"/>
    <x v="0"/>
  </r>
  <r>
    <x v="18"/>
    <x v="19"/>
    <x v="0"/>
  </r>
  <r>
    <x v="11"/>
    <x v="11"/>
    <x v="0"/>
  </r>
  <r>
    <x v="14"/>
    <x v="14"/>
    <x v="0"/>
  </r>
  <r>
    <x v="14"/>
    <x v="14"/>
    <x v="0"/>
  </r>
  <r>
    <x v="12"/>
    <x v="12"/>
    <x v="4"/>
  </r>
  <r>
    <x v="11"/>
    <x v="11"/>
    <x v="4"/>
  </r>
  <r>
    <x v="43"/>
    <x v="39"/>
    <x v="0"/>
  </r>
  <r>
    <x v="8"/>
    <x v="8"/>
    <x v="0"/>
  </r>
  <r>
    <x v="0"/>
    <x v="0"/>
    <x v="0"/>
  </r>
  <r>
    <x v="21"/>
    <x v="22"/>
    <x v="0"/>
  </r>
  <r>
    <x v="8"/>
    <x v="8"/>
    <x v="0"/>
  </r>
  <r>
    <x v="7"/>
    <x v="7"/>
    <x v="0"/>
  </r>
  <r>
    <x v="11"/>
    <x v="11"/>
    <x v="0"/>
  </r>
  <r>
    <x v="46"/>
    <x v="31"/>
    <x v="0"/>
  </r>
  <r>
    <x v="22"/>
    <x v="15"/>
    <x v="0"/>
  </r>
  <r>
    <x v="6"/>
    <x v="6"/>
    <x v="4"/>
  </r>
  <r>
    <x v="2"/>
    <x v="2"/>
    <x v="0"/>
  </r>
  <r>
    <x v="51"/>
    <x v="48"/>
    <x v="0"/>
  </r>
  <r>
    <x v="14"/>
    <x v="14"/>
    <x v="0"/>
  </r>
  <r>
    <x v="8"/>
    <x v="8"/>
    <x v="0"/>
  </r>
  <r>
    <x v="21"/>
    <x v="22"/>
    <x v="0"/>
  </r>
  <r>
    <x v="8"/>
    <x v="8"/>
    <x v="0"/>
  </r>
  <r>
    <x v="14"/>
    <x v="14"/>
    <x v="0"/>
  </r>
  <r>
    <x v="1"/>
    <x v="54"/>
    <x v="1"/>
  </r>
  <r>
    <x v="59"/>
    <x v="55"/>
    <x v="0"/>
  </r>
  <r>
    <x v="47"/>
    <x v="56"/>
    <x v="4"/>
  </r>
  <r>
    <x v="22"/>
    <x v="57"/>
    <x v="4"/>
  </r>
  <r>
    <x v="3"/>
    <x v="58"/>
    <x v="1"/>
  </r>
  <r>
    <x v="38"/>
    <x v="43"/>
    <x v="1"/>
  </r>
  <r>
    <x v="8"/>
    <x v="44"/>
    <x v="1"/>
  </r>
  <r>
    <x v="2"/>
    <x v="59"/>
    <x v="1"/>
  </r>
  <r>
    <x v="24"/>
    <x v="60"/>
    <x v="3"/>
  </r>
  <r>
    <x v="25"/>
    <x v="24"/>
    <x v="4"/>
  </r>
  <r>
    <x v="29"/>
    <x v="27"/>
    <x v="1"/>
  </r>
  <r>
    <x v="34"/>
    <x v="32"/>
    <x v="1"/>
  </r>
  <r>
    <x v="30"/>
    <x v="28"/>
    <x v="4"/>
  </r>
  <r>
    <x v="60"/>
    <x v="61"/>
    <x v="0"/>
  </r>
  <r>
    <x v="59"/>
    <x v="62"/>
    <x v="0"/>
  </r>
  <r>
    <x v="44"/>
    <x v="40"/>
    <x v="0"/>
  </r>
  <r>
    <x v="0"/>
    <x v="0"/>
    <x v="0"/>
  </r>
  <r>
    <x v="21"/>
    <x v="22"/>
    <x v="2"/>
  </r>
  <r>
    <x v="8"/>
    <x v="8"/>
    <x v="2"/>
  </r>
  <r>
    <x v="0"/>
    <x v="0"/>
    <x v="0"/>
  </r>
  <r>
    <x v="61"/>
    <x v="63"/>
    <x v="0"/>
  </r>
  <r>
    <x v="10"/>
    <x v="10"/>
    <x v="6"/>
  </r>
  <r>
    <x v="11"/>
    <x v="11"/>
    <x v="0"/>
  </r>
  <r>
    <x v="0"/>
    <x v="0"/>
    <x v="0"/>
  </r>
  <r>
    <x v="8"/>
    <x v="8"/>
    <x v="6"/>
  </r>
  <r>
    <x v="9"/>
    <x v="9"/>
    <x v="0"/>
  </r>
  <r>
    <x v="21"/>
    <x v="22"/>
    <x v="1"/>
  </r>
  <r>
    <x v="8"/>
    <x v="8"/>
    <x v="1"/>
  </r>
  <r>
    <x v="20"/>
    <x v="14"/>
    <x v="0"/>
  </r>
  <r>
    <x v="14"/>
    <x v="14"/>
    <x v="0"/>
  </r>
  <r>
    <x v="9"/>
    <x v="9"/>
    <x v="0"/>
  </r>
  <r>
    <x v="11"/>
    <x v="11"/>
    <x v="0"/>
  </r>
  <r>
    <x v="62"/>
    <x v="64"/>
    <x v="0"/>
  </r>
  <r>
    <x v="63"/>
    <x v="65"/>
    <x v="0"/>
  </r>
  <r>
    <x v="12"/>
    <x v="12"/>
    <x v="4"/>
  </r>
  <r>
    <x v="43"/>
    <x v="39"/>
    <x v="1"/>
  </r>
  <r>
    <x v="8"/>
    <x v="8"/>
    <x v="1"/>
  </r>
  <r>
    <x v="12"/>
    <x v="12"/>
    <x v="4"/>
  </r>
  <r>
    <x v="11"/>
    <x v="11"/>
    <x v="0"/>
  </r>
  <r>
    <x v="14"/>
    <x v="14"/>
    <x v="0"/>
  </r>
  <r>
    <x v="11"/>
    <x v="11"/>
    <x v="3"/>
  </r>
  <r>
    <x v="64"/>
    <x v="66"/>
    <x v="1"/>
  </r>
  <r>
    <x v="6"/>
    <x v="6"/>
    <x v="1"/>
  </r>
  <r>
    <x v="7"/>
    <x v="7"/>
    <x v="0"/>
  </r>
  <r>
    <x v="59"/>
    <x v="55"/>
    <x v="0"/>
  </r>
  <r>
    <x v="59"/>
    <x v="55"/>
    <x v="0"/>
  </r>
  <r>
    <x v="46"/>
    <x v="31"/>
    <x v="1"/>
  </r>
  <r>
    <x v="25"/>
    <x v="24"/>
    <x v="1"/>
  </r>
  <r>
    <x v="21"/>
    <x v="22"/>
    <x v="10"/>
  </r>
  <r>
    <x v="58"/>
    <x v="19"/>
    <x v="7"/>
  </r>
  <r>
    <x v="43"/>
    <x v="39"/>
    <x v="11"/>
  </r>
  <r>
    <x v="10"/>
    <x v="10"/>
    <x v="12"/>
  </r>
  <r>
    <x v="8"/>
    <x v="8"/>
    <x v="13"/>
  </r>
  <r>
    <x v="9"/>
    <x v="9"/>
    <x v="4"/>
  </r>
  <r>
    <x v="47"/>
    <x v="67"/>
    <x v="1"/>
  </r>
  <r>
    <x v="45"/>
    <x v="41"/>
    <x v="5"/>
  </r>
  <r>
    <x v="23"/>
    <x v="23"/>
    <x v="7"/>
  </r>
  <r>
    <x v="44"/>
    <x v="68"/>
    <x v="0"/>
  </r>
  <r>
    <x v="28"/>
    <x v="26"/>
    <x v="0"/>
  </r>
  <r>
    <x v="14"/>
    <x v="14"/>
    <x v="0"/>
  </r>
  <r>
    <x v="18"/>
    <x v="19"/>
    <x v="0"/>
  </r>
  <r>
    <x v="7"/>
    <x v="7"/>
    <x v="0"/>
  </r>
  <r>
    <x v="18"/>
    <x v="19"/>
    <x v="14"/>
  </r>
  <r>
    <x v="11"/>
    <x v="11"/>
    <x v="0"/>
  </r>
  <r>
    <x v="9"/>
    <x v="9"/>
    <x v="0"/>
  </r>
  <r>
    <x v="11"/>
    <x v="11"/>
    <x v="0"/>
  </r>
  <r>
    <x v="13"/>
    <x v="13"/>
    <x v="0"/>
  </r>
  <r>
    <x v="21"/>
    <x v="22"/>
    <x v="6"/>
  </r>
  <r>
    <x v="8"/>
    <x v="8"/>
    <x v="6"/>
  </r>
  <r>
    <x v="43"/>
    <x v="39"/>
    <x v="4"/>
  </r>
  <r>
    <x v="8"/>
    <x v="8"/>
    <x v="4"/>
  </r>
  <r>
    <x v="8"/>
    <x v="8"/>
    <x v="4"/>
  </r>
  <r>
    <x v="13"/>
    <x v="13"/>
    <x v="4"/>
  </r>
  <r>
    <x v="28"/>
    <x v="26"/>
    <x v="0"/>
  </r>
  <r>
    <x v="44"/>
    <x v="40"/>
    <x v="0"/>
  </r>
  <r>
    <x v="37"/>
    <x v="34"/>
    <x v="0"/>
  </r>
  <r>
    <x v="5"/>
    <x v="5"/>
    <x v="0"/>
  </r>
  <r>
    <x v="9"/>
    <x v="9"/>
    <x v="4"/>
  </r>
  <r>
    <x v="11"/>
    <x v="11"/>
    <x v="4"/>
  </r>
  <r>
    <x v="14"/>
    <x v="14"/>
    <x v="0"/>
  </r>
  <r>
    <x v="11"/>
    <x v="11"/>
    <x v="0"/>
  </r>
  <r>
    <x v="14"/>
    <x v="14"/>
    <x v="0"/>
  </r>
  <r>
    <x v="10"/>
    <x v="10"/>
    <x v="6"/>
  </r>
  <r>
    <x v="12"/>
    <x v="12"/>
    <x v="4"/>
  </r>
  <r>
    <x v="8"/>
    <x v="8"/>
    <x v="0"/>
  </r>
  <r>
    <x v="1"/>
    <x v="1"/>
    <x v="1"/>
  </r>
  <r>
    <x v="2"/>
    <x v="2"/>
    <x v="1"/>
  </r>
  <r>
    <x v="3"/>
    <x v="3"/>
    <x v="1"/>
  </r>
  <r>
    <x v="38"/>
    <x v="35"/>
    <x v="1"/>
  </r>
  <r>
    <x v="8"/>
    <x v="8"/>
    <x v="10"/>
  </r>
  <r>
    <x v="21"/>
    <x v="22"/>
    <x v="1"/>
  </r>
  <r>
    <x v="47"/>
    <x v="69"/>
    <x v="1"/>
  </r>
  <r>
    <x v="5"/>
    <x v="70"/>
    <x v="1"/>
  </r>
  <r>
    <x v="1"/>
    <x v="1"/>
    <x v="1"/>
  </r>
  <r>
    <x v="2"/>
    <x v="2"/>
    <x v="1"/>
  </r>
  <r>
    <x v="38"/>
    <x v="35"/>
    <x v="1"/>
  </r>
  <r>
    <x v="8"/>
    <x v="8"/>
    <x v="2"/>
  </r>
  <r>
    <x v="21"/>
    <x v="22"/>
    <x v="1"/>
  </r>
  <r>
    <x v="47"/>
    <x v="69"/>
    <x v="1"/>
  </r>
  <r>
    <x v="5"/>
    <x v="70"/>
    <x v="1"/>
  </r>
  <r>
    <x v="1"/>
    <x v="1"/>
    <x v="4"/>
  </r>
  <r>
    <x v="2"/>
    <x v="2"/>
    <x v="4"/>
  </r>
  <r>
    <x v="3"/>
    <x v="3"/>
    <x v="4"/>
  </r>
  <r>
    <x v="38"/>
    <x v="35"/>
    <x v="4"/>
  </r>
  <r>
    <x v="8"/>
    <x v="8"/>
    <x v="4"/>
  </r>
  <r>
    <x v="6"/>
    <x v="6"/>
    <x v="4"/>
  </r>
  <r>
    <x v="15"/>
    <x v="15"/>
    <x v="4"/>
  </r>
  <r>
    <x v="45"/>
    <x v="41"/>
    <x v="1"/>
  </r>
  <r>
    <x v="65"/>
    <x v="71"/>
    <x v="4"/>
  </r>
  <r>
    <x v="52"/>
    <x v="15"/>
    <x v="4"/>
  </r>
  <r>
    <x v="39"/>
    <x v="26"/>
    <x v="0"/>
  </r>
  <r>
    <x v="66"/>
    <x v="72"/>
    <x v="1"/>
  </r>
  <r>
    <x v="67"/>
    <x v="73"/>
    <x v="14"/>
  </r>
  <r>
    <x v="8"/>
    <x v="74"/>
    <x v="4"/>
  </r>
  <r>
    <x v="68"/>
    <x v="26"/>
    <x v="0"/>
  </r>
  <r>
    <x v="53"/>
    <x v="49"/>
    <x v="1"/>
  </r>
  <r>
    <x v="9"/>
    <x v="9"/>
    <x v="0"/>
  </r>
  <r>
    <x v="12"/>
    <x v="12"/>
    <x v="0"/>
  </r>
  <r>
    <x v="8"/>
    <x v="8"/>
    <x v="0"/>
  </r>
  <r>
    <x v="43"/>
    <x v="39"/>
    <x v="0"/>
  </r>
  <r>
    <x v="8"/>
    <x v="8"/>
    <x v="0"/>
  </r>
  <r>
    <x v="69"/>
    <x v="75"/>
    <x v="5"/>
  </r>
  <r>
    <x v="61"/>
    <x v="63"/>
    <x v="4"/>
  </r>
  <r>
    <x v="46"/>
    <x v="31"/>
    <x v="4"/>
  </r>
  <r>
    <x v="5"/>
    <x v="5"/>
    <x v="4"/>
  </r>
  <r>
    <x v="2"/>
    <x v="2"/>
    <x v="4"/>
  </r>
  <r>
    <x v="43"/>
    <x v="39"/>
    <x v="4"/>
  </r>
  <r>
    <x v="8"/>
    <x v="8"/>
    <x v="4"/>
  </r>
  <r>
    <x v="70"/>
    <x v="15"/>
    <x v="0"/>
  </r>
  <r>
    <x v="11"/>
    <x v="11"/>
    <x v="4"/>
  </r>
  <r>
    <x v="46"/>
    <x v="31"/>
    <x v="4"/>
  </r>
  <r>
    <x v="2"/>
    <x v="2"/>
    <x v="4"/>
  </r>
  <r>
    <x v="4"/>
    <x v="4"/>
    <x v="4"/>
  </r>
  <r>
    <x v="0"/>
    <x v="0"/>
    <x v="0"/>
  </r>
  <r>
    <x v="71"/>
    <x v="76"/>
    <x v="4"/>
  </r>
  <r>
    <x v="41"/>
    <x v="37"/>
    <x v="0"/>
  </r>
  <r>
    <x v="32"/>
    <x v="30"/>
    <x v="4"/>
  </r>
  <r>
    <x v="61"/>
    <x v="63"/>
    <x v="0"/>
  </r>
  <r>
    <x v="10"/>
    <x v="10"/>
    <x v="10"/>
  </r>
  <r>
    <x v="47"/>
    <x v="15"/>
    <x v="0"/>
  </r>
  <r>
    <x v="8"/>
    <x v="8"/>
    <x v="0"/>
  </r>
  <r>
    <x v="61"/>
    <x v="63"/>
    <x v="0"/>
  </r>
  <r>
    <x v="12"/>
    <x v="12"/>
    <x v="0"/>
  </r>
  <r>
    <x v="37"/>
    <x v="34"/>
    <x v="0"/>
  </r>
  <r>
    <x v="11"/>
    <x v="11"/>
    <x v="0"/>
  </r>
  <r>
    <x v="16"/>
    <x v="77"/>
    <x v="5"/>
  </r>
  <r>
    <x v="6"/>
    <x v="78"/>
    <x v="5"/>
  </r>
  <r>
    <x v="5"/>
    <x v="5"/>
    <x v="5"/>
  </r>
  <r>
    <x v="22"/>
    <x v="15"/>
    <x v="5"/>
  </r>
  <r>
    <x v="21"/>
    <x v="22"/>
    <x v="5"/>
  </r>
  <r>
    <x v="38"/>
    <x v="79"/>
    <x v="5"/>
  </r>
  <r>
    <x v="8"/>
    <x v="74"/>
    <x v="2"/>
  </r>
  <r>
    <x v="53"/>
    <x v="49"/>
    <x v="5"/>
  </r>
  <r>
    <x v="72"/>
    <x v="15"/>
    <x v="0"/>
  </r>
  <r>
    <x v="51"/>
    <x v="48"/>
    <x v="0"/>
  </r>
  <r>
    <x v="2"/>
    <x v="2"/>
    <x v="0"/>
  </r>
  <r>
    <x v="12"/>
    <x v="12"/>
    <x v="0"/>
  </r>
  <r>
    <x v="8"/>
    <x v="8"/>
    <x v="0"/>
  </r>
  <r>
    <x v="12"/>
    <x v="12"/>
    <x v="0"/>
  </r>
  <r>
    <x v="21"/>
    <x v="22"/>
    <x v="4"/>
  </r>
  <r>
    <x v="8"/>
    <x v="8"/>
    <x v="4"/>
  </r>
  <r>
    <x v="23"/>
    <x v="23"/>
    <x v="4"/>
  </r>
  <r>
    <x v="2"/>
    <x v="2"/>
    <x v="4"/>
  </r>
  <r>
    <x v="7"/>
    <x v="7"/>
    <x v="0"/>
  </r>
  <r>
    <x v="70"/>
    <x v="15"/>
    <x v="0"/>
  </r>
  <r>
    <x v="38"/>
    <x v="35"/>
    <x v="0"/>
  </r>
  <r>
    <x v="16"/>
    <x v="80"/>
    <x v="4"/>
  </r>
  <r>
    <x v="6"/>
    <x v="6"/>
    <x v="4"/>
  </r>
  <r>
    <x v="4"/>
    <x v="4"/>
    <x v="4"/>
  </r>
  <r>
    <x v="70"/>
    <x v="15"/>
    <x v="4"/>
  </r>
  <r>
    <x v="0"/>
    <x v="0"/>
    <x v="0"/>
  </r>
  <r>
    <x v="2"/>
    <x v="2"/>
    <x v="4"/>
  </r>
  <r>
    <x v="73"/>
    <x v="81"/>
    <x v="4"/>
  </r>
  <r>
    <x v="28"/>
    <x v="26"/>
    <x v="0"/>
  </r>
  <r>
    <x v="5"/>
    <x v="82"/>
    <x v="15"/>
  </r>
  <r>
    <x v="28"/>
    <x v="26"/>
    <x v="0"/>
  </r>
</pivotCacheRecords>
</file>

<file path=xl/pivotCache/pivotCacheRecords52.xml><?xml version="1.0" encoding="utf-8"?>
<pivotCacheRecords xmlns:r="http://schemas.openxmlformats.org/officeDocument/2006/relationships" xmlns="http://schemas.openxmlformats.org/spreadsheetml/2006/main" count="390">
  <r>
    <x v="0"/>
    <x v="0"/>
    <x v="0"/>
    <x v="0"/>
    <x v="0"/>
  </r>
  <r>
    <x v="1"/>
    <x v="1"/>
    <x v="1"/>
    <x v="1"/>
    <x v="1"/>
  </r>
  <r>
    <x v="2"/>
    <x v="2"/>
    <x v="1"/>
    <x v="2"/>
    <x v="2"/>
  </r>
  <r>
    <x v="3"/>
    <x v="3"/>
    <x v="1"/>
    <x v="2"/>
    <x v="2"/>
  </r>
  <r>
    <x v="4"/>
    <x v="4"/>
    <x v="1"/>
    <x v="2"/>
    <x v="2"/>
  </r>
  <r>
    <x v="5"/>
    <x v="5"/>
    <x v="1"/>
    <x v="3"/>
    <x v="3"/>
  </r>
  <r>
    <x v="6"/>
    <x v="6"/>
    <x v="1"/>
    <x v="4"/>
    <x v="4"/>
  </r>
  <r>
    <x v="7"/>
    <x v="7"/>
    <x v="0"/>
    <x v="5"/>
    <x v="5"/>
  </r>
  <r>
    <x v="8"/>
    <x v="8"/>
    <x v="0"/>
    <x v="6"/>
    <x v="6"/>
  </r>
  <r>
    <x v="9"/>
    <x v="9"/>
    <x v="0"/>
    <x v="7"/>
    <x v="7"/>
  </r>
  <r>
    <x v="10"/>
    <x v="10"/>
    <x v="2"/>
    <x v="8"/>
    <x v="8"/>
  </r>
  <r>
    <x v="8"/>
    <x v="8"/>
    <x v="3"/>
    <x v="6"/>
    <x v="9"/>
  </r>
  <r>
    <x v="11"/>
    <x v="11"/>
    <x v="4"/>
    <x v="9"/>
    <x v="10"/>
  </r>
  <r>
    <x v="12"/>
    <x v="12"/>
    <x v="5"/>
    <x v="6"/>
    <x v="11"/>
  </r>
  <r>
    <x v="0"/>
    <x v="0"/>
    <x v="0"/>
    <x v="0"/>
    <x v="0"/>
  </r>
  <r>
    <x v="11"/>
    <x v="11"/>
    <x v="0"/>
    <x v="9"/>
    <x v="12"/>
  </r>
  <r>
    <x v="13"/>
    <x v="13"/>
    <x v="0"/>
    <x v="10"/>
    <x v="13"/>
  </r>
  <r>
    <x v="14"/>
    <x v="14"/>
    <x v="0"/>
    <x v="11"/>
    <x v="14"/>
  </r>
  <r>
    <x v="15"/>
    <x v="15"/>
    <x v="0"/>
    <x v="12"/>
    <x v="15"/>
  </r>
  <r>
    <x v="15"/>
    <x v="16"/>
    <x v="0"/>
    <x v="2"/>
    <x v="2"/>
  </r>
  <r>
    <x v="11"/>
    <x v="11"/>
    <x v="4"/>
    <x v="9"/>
    <x v="10"/>
  </r>
  <r>
    <x v="16"/>
    <x v="17"/>
    <x v="4"/>
    <x v="13"/>
    <x v="16"/>
  </r>
  <r>
    <x v="17"/>
    <x v="18"/>
    <x v="4"/>
    <x v="14"/>
    <x v="17"/>
  </r>
  <r>
    <x v="18"/>
    <x v="19"/>
    <x v="4"/>
    <x v="2"/>
    <x v="2"/>
  </r>
  <r>
    <x v="4"/>
    <x v="20"/>
    <x v="4"/>
    <x v="2"/>
    <x v="2"/>
  </r>
  <r>
    <x v="6"/>
    <x v="6"/>
    <x v="4"/>
    <x v="2"/>
    <x v="2"/>
  </r>
  <r>
    <x v="19"/>
    <x v="21"/>
    <x v="0"/>
    <x v="2"/>
    <x v="2"/>
  </r>
  <r>
    <x v="0"/>
    <x v="0"/>
    <x v="0"/>
    <x v="0"/>
    <x v="0"/>
  </r>
  <r>
    <x v="20"/>
    <x v="14"/>
    <x v="4"/>
    <x v="0"/>
    <x v="18"/>
  </r>
  <r>
    <x v="11"/>
    <x v="11"/>
    <x v="0"/>
    <x v="9"/>
    <x v="12"/>
  </r>
  <r>
    <x v="14"/>
    <x v="14"/>
    <x v="0"/>
    <x v="15"/>
    <x v="19"/>
  </r>
  <r>
    <x v="1"/>
    <x v="1"/>
    <x v="5"/>
    <x v="16"/>
    <x v="20"/>
  </r>
  <r>
    <x v="21"/>
    <x v="22"/>
    <x v="6"/>
    <x v="17"/>
    <x v="21"/>
  </r>
  <r>
    <x v="22"/>
    <x v="15"/>
    <x v="1"/>
    <x v="18"/>
    <x v="22"/>
  </r>
  <r>
    <x v="23"/>
    <x v="23"/>
    <x v="1"/>
    <x v="9"/>
    <x v="23"/>
  </r>
  <r>
    <x v="8"/>
    <x v="8"/>
    <x v="5"/>
    <x v="19"/>
    <x v="24"/>
  </r>
  <r>
    <x v="24"/>
    <x v="15"/>
    <x v="5"/>
    <x v="2"/>
    <x v="2"/>
  </r>
  <r>
    <x v="5"/>
    <x v="5"/>
    <x v="4"/>
    <x v="20"/>
    <x v="25"/>
  </r>
  <r>
    <x v="4"/>
    <x v="4"/>
    <x v="5"/>
    <x v="2"/>
    <x v="2"/>
  </r>
  <r>
    <x v="1"/>
    <x v="1"/>
    <x v="4"/>
    <x v="1"/>
    <x v="26"/>
  </r>
  <r>
    <x v="2"/>
    <x v="2"/>
    <x v="4"/>
    <x v="2"/>
    <x v="2"/>
  </r>
  <r>
    <x v="5"/>
    <x v="5"/>
    <x v="4"/>
    <x v="3"/>
    <x v="27"/>
  </r>
  <r>
    <x v="6"/>
    <x v="6"/>
    <x v="4"/>
    <x v="4"/>
    <x v="28"/>
  </r>
  <r>
    <x v="0"/>
    <x v="0"/>
    <x v="0"/>
    <x v="0"/>
    <x v="0"/>
  </r>
  <r>
    <x v="25"/>
    <x v="24"/>
    <x v="0"/>
    <x v="21"/>
    <x v="29"/>
  </r>
  <r>
    <x v="26"/>
    <x v="25"/>
    <x v="0"/>
    <x v="22"/>
    <x v="30"/>
  </r>
  <r>
    <x v="27"/>
    <x v="15"/>
    <x v="4"/>
    <x v="20"/>
    <x v="25"/>
  </r>
  <r>
    <x v="23"/>
    <x v="23"/>
    <x v="4"/>
    <x v="9"/>
    <x v="10"/>
  </r>
  <r>
    <x v="7"/>
    <x v="7"/>
    <x v="0"/>
    <x v="5"/>
    <x v="5"/>
  </r>
  <r>
    <x v="21"/>
    <x v="22"/>
    <x v="4"/>
    <x v="17"/>
    <x v="31"/>
  </r>
  <r>
    <x v="8"/>
    <x v="8"/>
    <x v="4"/>
    <x v="6"/>
    <x v="32"/>
  </r>
  <r>
    <x v="21"/>
    <x v="22"/>
    <x v="1"/>
    <x v="17"/>
    <x v="33"/>
  </r>
  <r>
    <x v="8"/>
    <x v="8"/>
    <x v="1"/>
    <x v="6"/>
    <x v="34"/>
  </r>
  <r>
    <x v="11"/>
    <x v="11"/>
    <x v="4"/>
    <x v="9"/>
    <x v="10"/>
  </r>
  <r>
    <x v="9"/>
    <x v="9"/>
    <x v="0"/>
    <x v="7"/>
    <x v="7"/>
  </r>
  <r>
    <x v="11"/>
    <x v="11"/>
    <x v="0"/>
    <x v="9"/>
    <x v="12"/>
  </r>
  <r>
    <x v="12"/>
    <x v="12"/>
    <x v="1"/>
    <x v="6"/>
    <x v="34"/>
  </r>
  <r>
    <x v="2"/>
    <x v="2"/>
    <x v="0"/>
    <x v="23"/>
    <x v="35"/>
  </r>
  <r>
    <x v="28"/>
    <x v="26"/>
    <x v="0"/>
    <x v="24"/>
    <x v="36"/>
  </r>
  <r>
    <x v="7"/>
    <x v="7"/>
    <x v="0"/>
    <x v="5"/>
    <x v="5"/>
  </r>
  <r>
    <x v="0"/>
    <x v="0"/>
    <x v="0"/>
    <x v="0"/>
    <x v="0"/>
  </r>
  <r>
    <x v="25"/>
    <x v="24"/>
    <x v="4"/>
    <x v="21"/>
    <x v="37"/>
  </r>
  <r>
    <x v="29"/>
    <x v="27"/>
    <x v="1"/>
    <x v="25"/>
    <x v="38"/>
  </r>
  <r>
    <x v="30"/>
    <x v="28"/>
    <x v="1"/>
    <x v="26"/>
    <x v="39"/>
  </r>
  <r>
    <x v="8"/>
    <x v="8"/>
    <x v="0"/>
    <x v="6"/>
    <x v="6"/>
  </r>
  <r>
    <x v="13"/>
    <x v="13"/>
    <x v="0"/>
    <x v="27"/>
    <x v="40"/>
  </r>
  <r>
    <x v="0"/>
    <x v="0"/>
    <x v="0"/>
    <x v="0"/>
    <x v="0"/>
  </r>
  <r>
    <x v="31"/>
    <x v="29"/>
    <x v="0"/>
    <x v="2"/>
    <x v="2"/>
  </r>
  <r>
    <x v="21"/>
    <x v="22"/>
    <x v="2"/>
    <x v="28"/>
    <x v="41"/>
  </r>
  <r>
    <x v="8"/>
    <x v="8"/>
    <x v="2"/>
    <x v="2"/>
    <x v="2"/>
  </r>
  <r>
    <x v="28"/>
    <x v="26"/>
    <x v="0"/>
    <x v="29"/>
    <x v="42"/>
  </r>
  <r>
    <x v="2"/>
    <x v="2"/>
    <x v="5"/>
    <x v="30"/>
    <x v="43"/>
  </r>
  <r>
    <x v="13"/>
    <x v="13"/>
    <x v="0"/>
    <x v="27"/>
    <x v="40"/>
  </r>
  <r>
    <x v="21"/>
    <x v="22"/>
    <x v="4"/>
    <x v="17"/>
    <x v="31"/>
  </r>
  <r>
    <x v="8"/>
    <x v="8"/>
    <x v="4"/>
    <x v="6"/>
    <x v="32"/>
  </r>
  <r>
    <x v="14"/>
    <x v="14"/>
    <x v="0"/>
    <x v="11"/>
    <x v="14"/>
  </r>
  <r>
    <x v="13"/>
    <x v="13"/>
    <x v="3"/>
    <x v="27"/>
    <x v="44"/>
  </r>
  <r>
    <x v="32"/>
    <x v="30"/>
    <x v="5"/>
    <x v="31"/>
    <x v="45"/>
  </r>
  <r>
    <x v="14"/>
    <x v="14"/>
    <x v="0"/>
    <x v="15"/>
    <x v="19"/>
  </r>
  <r>
    <x v="33"/>
    <x v="31"/>
    <x v="7"/>
    <x v="32"/>
    <x v="46"/>
  </r>
  <r>
    <x v="0"/>
    <x v="0"/>
    <x v="3"/>
    <x v="33"/>
    <x v="47"/>
  </r>
  <r>
    <x v="25"/>
    <x v="24"/>
    <x v="5"/>
    <x v="34"/>
    <x v="48"/>
  </r>
  <r>
    <x v="34"/>
    <x v="32"/>
    <x v="7"/>
    <x v="35"/>
    <x v="49"/>
  </r>
  <r>
    <x v="22"/>
    <x v="15"/>
    <x v="7"/>
    <x v="36"/>
    <x v="50"/>
  </r>
  <r>
    <x v="35"/>
    <x v="15"/>
    <x v="5"/>
    <x v="37"/>
    <x v="51"/>
  </r>
  <r>
    <x v="36"/>
    <x v="33"/>
    <x v="8"/>
    <x v="2"/>
    <x v="2"/>
  </r>
  <r>
    <x v="37"/>
    <x v="34"/>
    <x v="3"/>
    <x v="38"/>
    <x v="52"/>
  </r>
  <r>
    <x v="38"/>
    <x v="35"/>
    <x v="7"/>
    <x v="39"/>
    <x v="53"/>
  </r>
  <r>
    <x v="2"/>
    <x v="2"/>
    <x v="7"/>
    <x v="2"/>
    <x v="2"/>
  </r>
  <r>
    <x v="39"/>
    <x v="26"/>
    <x v="0"/>
    <x v="40"/>
    <x v="3"/>
  </r>
  <r>
    <x v="40"/>
    <x v="36"/>
    <x v="4"/>
    <x v="41"/>
    <x v="54"/>
  </r>
  <r>
    <x v="28"/>
    <x v="26"/>
    <x v="0"/>
    <x v="42"/>
    <x v="55"/>
  </r>
  <r>
    <x v="41"/>
    <x v="37"/>
    <x v="3"/>
    <x v="2"/>
    <x v="2"/>
  </r>
  <r>
    <x v="42"/>
    <x v="38"/>
    <x v="2"/>
    <x v="2"/>
    <x v="2"/>
  </r>
  <r>
    <x v="14"/>
    <x v="14"/>
    <x v="0"/>
    <x v="15"/>
    <x v="19"/>
  </r>
  <r>
    <x v="25"/>
    <x v="24"/>
    <x v="0"/>
    <x v="21"/>
    <x v="29"/>
  </r>
  <r>
    <x v="34"/>
    <x v="32"/>
    <x v="1"/>
    <x v="43"/>
    <x v="56"/>
  </r>
  <r>
    <x v="30"/>
    <x v="28"/>
    <x v="1"/>
    <x v="26"/>
    <x v="39"/>
  </r>
  <r>
    <x v="14"/>
    <x v="14"/>
    <x v="0"/>
    <x v="11"/>
    <x v="14"/>
  </r>
  <r>
    <x v="20"/>
    <x v="14"/>
    <x v="0"/>
    <x v="0"/>
    <x v="0"/>
  </r>
  <r>
    <x v="43"/>
    <x v="39"/>
    <x v="4"/>
    <x v="9"/>
    <x v="10"/>
  </r>
  <r>
    <x v="8"/>
    <x v="8"/>
    <x v="4"/>
    <x v="6"/>
    <x v="32"/>
  </r>
  <r>
    <x v="0"/>
    <x v="0"/>
    <x v="0"/>
    <x v="44"/>
    <x v="57"/>
  </r>
  <r>
    <x v="28"/>
    <x v="26"/>
    <x v="0"/>
    <x v="45"/>
    <x v="58"/>
  </r>
  <r>
    <x v="0"/>
    <x v="0"/>
    <x v="4"/>
    <x v="33"/>
    <x v="59"/>
  </r>
  <r>
    <x v="28"/>
    <x v="26"/>
    <x v="0"/>
    <x v="46"/>
    <x v="60"/>
  </r>
  <r>
    <x v="14"/>
    <x v="14"/>
    <x v="0"/>
    <x v="11"/>
    <x v="14"/>
  </r>
  <r>
    <x v="43"/>
    <x v="39"/>
    <x v="5"/>
    <x v="9"/>
    <x v="61"/>
  </r>
  <r>
    <x v="8"/>
    <x v="8"/>
    <x v="5"/>
    <x v="19"/>
    <x v="24"/>
  </r>
  <r>
    <x v="12"/>
    <x v="12"/>
    <x v="0"/>
    <x v="6"/>
    <x v="6"/>
  </r>
  <r>
    <x v="14"/>
    <x v="14"/>
    <x v="0"/>
    <x v="11"/>
    <x v="14"/>
  </r>
  <r>
    <x v="10"/>
    <x v="10"/>
    <x v="6"/>
    <x v="8"/>
    <x v="62"/>
  </r>
  <r>
    <x v="2"/>
    <x v="2"/>
    <x v="0"/>
    <x v="4"/>
    <x v="63"/>
  </r>
  <r>
    <x v="43"/>
    <x v="39"/>
    <x v="4"/>
    <x v="9"/>
    <x v="10"/>
  </r>
  <r>
    <x v="8"/>
    <x v="8"/>
    <x v="4"/>
    <x v="6"/>
    <x v="32"/>
  </r>
  <r>
    <x v="10"/>
    <x v="10"/>
    <x v="9"/>
    <x v="8"/>
    <x v="64"/>
  </r>
  <r>
    <x v="8"/>
    <x v="8"/>
    <x v="2"/>
    <x v="47"/>
    <x v="65"/>
  </r>
  <r>
    <x v="7"/>
    <x v="7"/>
    <x v="0"/>
    <x v="5"/>
    <x v="5"/>
  </r>
  <r>
    <x v="44"/>
    <x v="40"/>
    <x v="0"/>
    <x v="2"/>
    <x v="2"/>
  </r>
  <r>
    <x v="32"/>
    <x v="30"/>
    <x v="0"/>
    <x v="31"/>
    <x v="66"/>
  </r>
  <r>
    <x v="20"/>
    <x v="14"/>
    <x v="0"/>
    <x v="0"/>
    <x v="0"/>
  </r>
  <r>
    <x v="37"/>
    <x v="34"/>
    <x v="0"/>
    <x v="48"/>
    <x v="67"/>
  </r>
  <r>
    <x v="32"/>
    <x v="30"/>
    <x v="4"/>
    <x v="31"/>
    <x v="68"/>
  </r>
  <r>
    <x v="32"/>
    <x v="30"/>
    <x v="0"/>
    <x v="31"/>
    <x v="66"/>
  </r>
  <r>
    <x v="12"/>
    <x v="12"/>
    <x v="0"/>
    <x v="6"/>
    <x v="6"/>
  </r>
  <r>
    <x v="8"/>
    <x v="8"/>
    <x v="0"/>
    <x v="6"/>
    <x v="6"/>
  </r>
  <r>
    <x v="11"/>
    <x v="11"/>
    <x v="0"/>
    <x v="9"/>
    <x v="12"/>
  </r>
  <r>
    <x v="9"/>
    <x v="9"/>
    <x v="0"/>
    <x v="49"/>
    <x v="69"/>
  </r>
  <r>
    <x v="7"/>
    <x v="7"/>
    <x v="0"/>
    <x v="5"/>
    <x v="5"/>
  </r>
  <r>
    <x v="45"/>
    <x v="41"/>
    <x v="0"/>
    <x v="4"/>
    <x v="63"/>
  </r>
  <r>
    <x v="46"/>
    <x v="31"/>
    <x v="1"/>
    <x v="50"/>
    <x v="70"/>
  </r>
  <r>
    <x v="2"/>
    <x v="2"/>
    <x v="1"/>
    <x v="2"/>
    <x v="2"/>
  </r>
  <r>
    <x v="47"/>
    <x v="42"/>
    <x v="1"/>
    <x v="2"/>
    <x v="2"/>
  </r>
  <r>
    <x v="38"/>
    <x v="43"/>
    <x v="1"/>
    <x v="2"/>
    <x v="2"/>
  </r>
  <r>
    <x v="8"/>
    <x v="44"/>
    <x v="1"/>
    <x v="2"/>
    <x v="2"/>
  </r>
  <r>
    <x v="48"/>
    <x v="45"/>
    <x v="1"/>
    <x v="2"/>
    <x v="2"/>
  </r>
  <r>
    <x v="10"/>
    <x v="10"/>
    <x v="1"/>
    <x v="2"/>
    <x v="2"/>
  </r>
  <r>
    <x v="49"/>
    <x v="46"/>
    <x v="1"/>
    <x v="2"/>
    <x v="2"/>
  </r>
  <r>
    <x v="28"/>
    <x v="26"/>
    <x v="0"/>
    <x v="51"/>
    <x v="71"/>
  </r>
  <r>
    <x v="46"/>
    <x v="31"/>
    <x v="1"/>
    <x v="50"/>
    <x v="70"/>
  </r>
  <r>
    <x v="2"/>
    <x v="2"/>
    <x v="1"/>
    <x v="2"/>
    <x v="2"/>
  </r>
  <r>
    <x v="47"/>
    <x v="42"/>
    <x v="1"/>
    <x v="2"/>
    <x v="2"/>
  </r>
  <r>
    <x v="38"/>
    <x v="43"/>
    <x v="1"/>
    <x v="2"/>
    <x v="2"/>
  </r>
  <r>
    <x v="8"/>
    <x v="44"/>
    <x v="1"/>
    <x v="2"/>
    <x v="2"/>
  </r>
  <r>
    <x v="48"/>
    <x v="45"/>
    <x v="1"/>
    <x v="2"/>
    <x v="2"/>
  </r>
  <r>
    <x v="28"/>
    <x v="26"/>
    <x v="0"/>
    <x v="52"/>
    <x v="72"/>
  </r>
  <r>
    <x v="1"/>
    <x v="1"/>
    <x v="3"/>
    <x v="53"/>
    <x v="73"/>
  </r>
  <r>
    <x v="3"/>
    <x v="3"/>
    <x v="3"/>
    <x v="2"/>
    <x v="2"/>
  </r>
  <r>
    <x v="2"/>
    <x v="2"/>
    <x v="3"/>
    <x v="2"/>
    <x v="2"/>
  </r>
  <r>
    <x v="50"/>
    <x v="47"/>
    <x v="0"/>
    <x v="54"/>
    <x v="74"/>
  </r>
  <r>
    <x v="11"/>
    <x v="11"/>
    <x v="4"/>
    <x v="9"/>
    <x v="10"/>
  </r>
  <r>
    <x v="20"/>
    <x v="14"/>
    <x v="0"/>
    <x v="0"/>
    <x v="0"/>
  </r>
  <r>
    <x v="21"/>
    <x v="22"/>
    <x v="4"/>
    <x v="17"/>
    <x v="31"/>
  </r>
  <r>
    <x v="8"/>
    <x v="8"/>
    <x v="4"/>
    <x v="6"/>
    <x v="32"/>
  </r>
  <r>
    <x v="5"/>
    <x v="5"/>
    <x v="0"/>
    <x v="55"/>
    <x v="75"/>
  </r>
  <r>
    <x v="32"/>
    <x v="30"/>
    <x v="0"/>
    <x v="31"/>
    <x v="66"/>
  </r>
  <r>
    <x v="18"/>
    <x v="19"/>
    <x v="7"/>
    <x v="56"/>
    <x v="76"/>
  </r>
  <r>
    <x v="14"/>
    <x v="14"/>
    <x v="4"/>
    <x v="11"/>
    <x v="77"/>
  </r>
  <r>
    <x v="10"/>
    <x v="10"/>
    <x v="9"/>
    <x v="8"/>
    <x v="64"/>
  </r>
  <r>
    <x v="23"/>
    <x v="23"/>
    <x v="4"/>
    <x v="9"/>
    <x v="10"/>
  </r>
  <r>
    <x v="11"/>
    <x v="11"/>
    <x v="0"/>
    <x v="9"/>
    <x v="12"/>
  </r>
  <r>
    <x v="47"/>
    <x v="15"/>
    <x v="0"/>
    <x v="20"/>
    <x v="78"/>
  </r>
  <r>
    <x v="1"/>
    <x v="1"/>
    <x v="4"/>
    <x v="1"/>
    <x v="26"/>
  </r>
  <r>
    <x v="2"/>
    <x v="2"/>
    <x v="4"/>
    <x v="2"/>
    <x v="2"/>
  </r>
  <r>
    <x v="3"/>
    <x v="3"/>
    <x v="4"/>
    <x v="2"/>
    <x v="2"/>
  </r>
  <r>
    <x v="51"/>
    <x v="48"/>
    <x v="4"/>
    <x v="2"/>
    <x v="2"/>
  </r>
  <r>
    <x v="15"/>
    <x v="15"/>
    <x v="4"/>
    <x v="57"/>
    <x v="3"/>
  </r>
  <r>
    <x v="52"/>
    <x v="15"/>
    <x v="4"/>
    <x v="14"/>
    <x v="17"/>
  </r>
  <r>
    <x v="6"/>
    <x v="6"/>
    <x v="4"/>
    <x v="4"/>
    <x v="28"/>
  </r>
  <r>
    <x v="23"/>
    <x v="23"/>
    <x v="1"/>
    <x v="9"/>
    <x v="23"/>
  </r>
  <r>
    <x v="53"/>
    <x v="49"/>
    <x v="1"/>
    <x v="26"/>
    <x v="39"/>
  </r>
  <r>
    <x v="45"/>
    <x v="41"/>
    <x v="4"/>
    <x v="4"/>
    <x v="28"/>
  </r>
  <r>
    <x v="54"/>
    <x v="15"/>
    <x v="4"/>
    <x v="18"/>
    <x v="79"/>
  </r>
  <r>
    <x v="4"/>
    <x v="4"/>
    <x v="4"/>
    <x v="58"/>
    <x v="80"/>
  </r>
  <r>
    <x v="12"/>
    <x v="12"/>
    <x v="0"/>
    <x v="6"/>
    <x v="6"/>
  </r>
  <r>
    <x v="11"/>
    <x v="11"/>
    <x v="4"/>
    <x v="9"/>
    <x v="10"/>
  </r>
  <r>
    <x v="8"/>
    <x v="8"/>
    <x v="0"/>
    <x v="6"/>
    <x v="6"/>
  </r>
  <r>
    <x v="53"/>
    <x v="49"/>
    <x v="2"/>
    <x v="26"/>
    <x v="81"/>
  </r>
  <r>
    <x v="52"/>
    <x v="15"/>
    <x v="4"/>
    <x v="14"/>
    <x v="17"/>
  </r>
  <r>
    <x v="45"/>
    <x v="41"/>
    <x v="1"/>
    <x v="4"/>
    <x v="4"/>
  </r>
  <r>
    <x v="55"/>
    <x v="50"/>
    <x v="0"/>
    <x v="2"/>
    <x v="2"/>
  </r>
  <r>
    <x v="56"/>
    <x v="51"/>
    <x v="0"/>
    <x v="2"/>
    <x v="2"/>
  </r>
  <r>
    <x v="16"/>
    <x v="52"/>
    <x v="1"/>
    <x v="59"/>
    <x v="82"/>
  </r>
  <r>
    <x v="57"/>
    <x v="53"/>
    <x v="1"/>
    <x v="2"/>
    <x v="2"/>
  </r>
  <r>
    <x v="28"/>
    <x v="26"/>
    <x v="0"/>
    <x v="46"/>
    <x v="60"/>
  </r>
  <r>
    <x v="21"/>
    <x v="22"/>
    <x v="0"/>
    <x v="17"/>
    <x v="83"/>
  </r>
  <r>
    <x v="8"/>
    <x v="8"/>
    <x v="0"/>
    <x v="6"/>
    <x v="6"/>
  </r>
  <r>
    <x v="43"/>
    <x v="39"/>
    <x v="0"/>
    <x v="9"/>
    <x v="12"/>
  </r>
  <r>
    <x v="8"/>
    <x v="8"/>
    <x v="0"/>
    <x v="6"/>
    <x v="6"/>
  </r>
  <r>
    <x v="12"/>
    <x v="12"/>
    <x v="0"/>
    <x v="6"/>
    <x v="6"/>
  </r>
  <r>
    <x v="58"/>
    <x v="19"/>
    <x v="0"/>
    <x v="56"/>
    <x v="84"/>
  </r>
  <r>
    <x v="18"/>
    <x v="19"/>
    <x v="0"/>
    <x v="56"/>
    <x v="84"/>
  </r>
  <r>
    <x v="11"/>
    <x v="11"/>
    <x v="0"/>
    <x v="9"/>
    <x v="12"/>
  </r>
  <r>
    <x v="14"/>
    <x v="14"/>
    <x v="0"/>
    <x v="60"/>
    <x v="85"/>
  </r>
  <r>
    <x v="14"/>
    <x v="14"/>
    <x v="0"/>
    <x v="60"/>
    <x v="85"/>
  </r>
  <r>
    <x v="12"/>
    <x v="12"/>
    <x v="4"/>
    <x v="6"/>
    <x v="32"/>
  </r>
  <r>
    <x v="11"/>
    <x v="11"/>
    <x v="4"/>
    <x v="9"/>
    <x v="10"/>
  </r>
  <r>
    <x v="43"/>
    <x v="39"/>
    <x v="0"/>
    <x v="9"/>
    <x v="12"/>
  </r>
  <r>
    <x v="8"/>
    <x v="8"/>
    <x v="0"/>
    <x v="6"/>
    <x v="6"/>
  </r>
  <r>
    <x v="0"/>
    <x v="0"/>
    <x v="0"/>
    <x v="0"/>
    <x v="0"/>
  </r>
  <r>
    <x v="21"/>
    <x v="22"/>
    <x v="0"/>
    <x v="17"/>
    <x v="83"/>
  </r>
  <r>
    <x v="8"/>
    <x v="8"/>
    <x v="0"/>
    <x v="6"/>
    <x v="6"/>
  </r>
  <r>
    <x v="7"/>
    <x v="7"/>
    <x v="0"/>
    <x v="5"/>
    <x v="5"/>
  </r>
  <r>
    <x v="11"/>
    <x v="11"/>
    <x v="0"/>
    <x v="9"/>
    <x v="12"/>
  </r>
  <r>
    <x v="46"/>
    <x v="31"/>
    <x v="0"/>
    <x v="50"/>
    <x v="86"/>
  </r>
  <r>
    <x v="22"/>
    <x v="15"/>
    <x v="0"/>
    <x v="61"/>
    <x v="87"/>
  </r>
  <r>
    <x v="6"/>
    <x v="6"/>
    <x v="4"/>
    <x v="4"/>
    <x v="28"/>
  </r>
  <r>
    <x v="2"/>
    <x v="2"/>
    <x v="0"/>
    <x v="2"/>
    <x v="2"/>
  </r>
  <r>
    <x v="51"/>
    <x v="48"/>
    <x v="0"/>
    <x v="2"/>
    <x v="2"/>
  </r>
  <r>
    <x v="14"/>
    <x v="14"/>
    <x v="0"/>
    <x v="11"/>
    <x v="14"/>
  </r>
  <r>
    <x v="8"/>
    <x v="8"/>
    <x v="0"/>
    <x v="6"/>
    <x v="6"/>
  </r>
  <r>
    <x v="21"/>
    <x v="22"/>
    <x v="0"/>
    <x v="17"/>
    <x v="83"/>
  </r>
  <r>
    <x v="8"/>
    <x v="8"/>
    <x v="0"/>
    <x v="6"/>
    <x v="6"/>
  </r>
  <r>
    <x v="14"/>
    <x v="14"/>
    <x v="0"/>
    <x v="11"/>
    <x v="14"/>
  </r>
  <r>
    <x v="1"/>
    <x v="54"/>
    <x v="1"/>
    <x v="1"/>
    <x v="1"/>
  </r>
  <r>
    <x v="59"/>
    <x v="55"/>
    <x v="0"/>
    <x v="62"/>
    <x v="88"/>
  </r>
  <r>
    <x v="47"/>
    <x v="56"/>
    <x v="4"/>
    <x v="2"/>
    <x v="2"/>
  </r>
  <r>
    <x v="22"/>
    <x v="57"/>
    <x v="4"/>
    <x v="61"/>
    <x v="89"/>
  </r>
  <r>
    <x v="3"/>
    <x v="58"/>
    <x v="1"/>
    <x v="2"/>
    <x v="2"/>
  </r>
  <r>
    <x v="38"/>
    <x v="43"/>
    <x v="1"/>
    <x v="2"/>
    <x v="2"/>
  </r>
  <r>
    <x v="8"/>
    <x v="44"/>
    <x v="1"/>
    <x v="2"/>
    <x v="2"/>
  </r>
  <r>
    <x v="2"/>
    <x v="59"/>
    <x v="1"/>
    <x v="2"/>
    <x v="2"/>
  </r>
  <r>
    <x v="24"/>
    <x v="60"/>
    <x v="3"/>
    <x v="63"/>
    <x v="90"/>
  </r>
  <r>
    <x v="25"/>
    <x v="24"/>
    <x v="4"/>
    <x v="21"/>
    <x v="37"/>
  </r>
  <r>
    <x v="29"/>
    <x v="27"/>
    <x v="1"/>
    <x v="25"/>
    <x v="38"/>
  </r>
  <r>
    <x v="34"/>
    <x v="32"/>
    <x v="1"/>
    <x v="43"/>
    <x v="56"/>
  </r>
  <r>
    <x v="30"/>
    <x v="28"/>
    <x v="4"/>
    <x v="26"/>
    <x v="91"/>
  </r>
  <r>
    <x v="60"/>
    <x v="61"/>
    <x v="0"/>
    <x v="2"/>
    <x v="2"/>
  </r>
  <r>
    <x v="59"/>
    <x v="62"/>
    <x v="0"/>
    <x v="2"/>
    <x v="2"/>
  </r>
  <r>
    <x v="44"/>
    <x v="40"/>
    <x v="0"/>
    <x v="2"/>
    <x v="2"/>
  </r>
  <r>
    <x v="0"/>
    <x v="0"/>
    <x v="0"/>
    <x v="0"/>
    <x v="0"/>
  </r>
  <r>
    <x v="21"/>
    <x v="22"/>
    <x v="2"/>
    <x v="17"/>
    <x v="92"/>
  </r>
  <r>
    <x v="8"/>
    <x v="8"/>
    <x v="2"/>
    <x v="47"/>
    <x v="65"/>
  </r>
  <r>
    <x v="0"/>
    <x v="0"/>
    <x v="0"/>
    <x v="0"/>
    <x v="0"/>
  </r>
  <r>
    <x v="61"/>
    <x v="63"/>
    <x v="0"/>
    <x v="64"/>
    <x v="93"/>
  </r>
  <r>
    <x v="10"/>
    <x v="10"/>
    <x v="6"/>
    <x v="8"/>
    <x v="62"/>
  </r>
  <r>
    <x v="11"/>
    <x v="11"/>
    <x v="0"/>
    <x v="9"/>
    <x v="12"/>
  </r>
  <r>
    <x v="0"/>
    <x v="0"/>
    <x v="0"/>
    <x v="0"/>
    <x v="0"/>
  </r>
  <r>
    <x v="8"/>
    <x v="8"/>
    <x v="6"/>
    <x v="19"/>
    <x v="94"/>
  </r>
  <r>
    <x v="9"/>
    <x v="9"/>
    <x v="0"/>
    <x v="7"/>
    <x v="7"/>
  </r>
  <r>
    <x v="21"/>
    <x v="22"/>
    <x v="1"/>
    <x v="17"/>
    <x v="33"/>
  </r>
  <r>
    <x v="8"/>
    <x v="8"/>
    <x v="1"/>
    <x v="6"/>
    <x v="34"/>
  </r>
  <r>
    <x v="20"/>
    <x v="14"/>
    <x v="0"/>
    <x v="0"/>
    <x v="0"/>
  </r>
  <r>
    <x v="14"/>
    <x v="14"/>
    <x v="0"/>
    <x v="11"/>
    <x v="14"/>
  </r>
  <r>
    <x v="9"/>
    <x v="9"/>
    <x v="0"/>
    <x v="7"/>
    <x v="7"/>
  </r>
  <r>
    <x v="11"/>
    <x v="11"/>
    <x v="0"/>
    <x v="9"/>
    <x v="12"/>
  </r>
  <r>
    <x v="62"/>
    <x v="64"/>
    <x v="0"/>
    <x v="2"/>
    <x v="2"/>
  </r>
  <r>
    <x v="63"/>
    <x v="65"/>
    <x v="0"/>
    <x v="2"/>
    <x v="2"/>
  </r>
  <r>
    <x v="12"/>
    <x v="12"/>
    <x v="4"/>
    <x v="6"/>
    <x v="32"/>
  </r>
  <r>
    <x v="43"/>
    <x v="39"/>
    <x v="1"/>
    <x v="9"/>
    <x v="23"/>
  </r>
  <r>
    <x v="8"/>
    <x v="8"/>
    <x v="1"/>
    <x v="6"/>
    <x v="34"/>
  </r>
  <r>
    <x v="12"/>
    <x v="12"/>
    <x v="4"/>
    <x v="6"/>
    <x v="32"/>
  </r>
  <r>
    <x v="11"/>
    <x v="11"/>
    <x v="0"/>
    <x v="9"/>
    <x v="12"/>
  </r>
  <r>
    <x v="14"/>
    <x v="14"/>
    <x v="0"/>
    <x v="11"/>
    <x v="14"/>
  </r>
  <r>
    <x v="11"/>
    <x v="11"/>
    <x v="3"/>
    <x v="9"/>
    <x v="95"/>
  </r>
  <r>
    <x v="64"/>
    <x v="66"/>
    <x v="1"/>
    <x v="13"/>
    <x v="96"/>
  </r>
  <r>
    <x v="6"/>
    <x v="6"/>
    <x v="1"/>
    <x v="2"/>
    <x v="2"/>
  </r>
  <r>
    <x v="7"/>
    <x v="7"/>
    <x v="0"/>
    <x v="5"/>
    <x v="5"/>
  </r>
  <r>
    <x v="59"/>
    <x v="55"/>
    <x v="0"/>
    <x v="62"/>
    <x v="88"/>
  </r>
  <r>
    <x v="59"/>
    <x v="55"/>
    <x v="0"/>
    <x v="65"/>
    <x v="97"/>
  </r>
  <r>
    <x v="46"/>
    <x v="31"/>
    <x v="1"/>
    <x v="66"/>
    <x v="98"/>
  </r>
  <r>
    <x v="25"/>
    <x v="24"/>
    <x v="1"/>
    <x v="34"/>
    <x v="99"/>
  </r>
  <r>
    <x v="21"/>
    <x v="22"/>
    <x v="10"/>
    <x v="28"/>
    <x v="100"/>
  </r>
  <r>
    <x v="58"/>
    <x v="19"/>
    <x v="7"/>
    <x v="67"/>
    <x v="101"/>
  </r>
  <r>
    <x v="43"/>
    <x v="39"/>
    <x v="11"/>
    <x v="68"/>
    <x v="102"/>
  </r>
  <r>
    <x v="10"/>
    <x v="10"/>
    <x v="12"/>
    <x v="69"/>
    <x v="103"/>
  </r>
  <r>
    <x v="8"/>
    <x v="8"/>
    <x v="13"/>
    <x v="2"/>
    <x v="2"/>
  </r>
  <r>
    <x v="9"/>
    <x v="9"/>
    <x v="4"/>
    <x v="70"/>
    <x v="104"/>
  </r>
  <r>
    <x v="47"/>
    <x v="67"/>
    <x v="1"/>
    <x v="2"/>
    <x v="2"/>
  </r>
  <r>
    <x v="45"/>
    <x v="41"/>
    <x v="5"/>
    <x v="23"/>
    <x v="105"/>
  </r>
  <r>
    <x v="23"/>
    <x v="23"/>
    <x v="7"/>
    <x v="68"/>
    <x v="106"/>
  </r>
  <r>
    <x v="44"/>
    <x v="68"/>
    <x v="0"/>
    <x v="2"/>
    <x v="2"/>
  </r>
  <r>
    <x v="28"/>
    <x v="26"/>
    <x v="0"/>
    <x v="71"/>
    <x v="107"/>
  </r>
  <r>
    <x v="14"/>
    <x v="14"/>
    <x v="0"/>
    <x v="11"/>
    <x v="14"/>
  </r>
  <r>
    <x v="18"/>
    <x v="19"/>
    <x v="0"/>
    <x v="56"/>
    <x v="84"/>
  </r>
  <r>
    <x v="7"/>
    <x v="7"/>
    <x v="0"/>
    <x v="5"/>
    <x v="5"/>
  </r>
  <r>
    <x v="18"/>
    <x v="19"/>
    <x v="14"/>
    <x v="2"/>
    <x v="2"/>
  </r>
  <r>
    <x v="11"/>
    <x v="11"/>
    <x v="0"/>
    <x v="9"/>
    <x v="12"/>
  </r>
  <r>
    <x v="9"/>
    <x v="9"/>
    <x v="0"/>
    <x v="7"/>
    <x v="7"/>
  </r>
  <r>
    <x v="11"/>
    <x v="11"/>
    <x v="0"/>
    <x v="9"/>
    <x v="12"/>
  </r>
  <r>
    <x v="13"/>
    <x v="13"/>
    <x v="0"/>
    <x v="27"/>
    <x v="40"/>
  </r>
  <r>
    <x v="21"/>
    <x v="22"/>
    <x v="6"/>
    <x v="17"/>
    <x v="21"/>
  </r>
  <r>
    <x v="8"/>
    <x v="8"/>
    <x v="6"/>
    <x v="19"/>
    <x v="94"/>
  </r>
  <r>
    <x v="43"/>
    <x v="39"/>
    <x v="4"/>
    <x v="9"/>
    <x v="10"/>
  </r>
  <r>
    <x v="8"/>
    <x v="8"/>
    <x v="4"/>
    <x v="6"/>
    <x v="32"/>
  </r>
  <r>
    <x v="8"/>
    <x v="8"/>
    <x v="4"/>
    <x v="6"/>
    <x v="32"/>
  </r>
  <r>
    <x v="13"/>
    <x v="13"/>
    <x v="4"/>
    <x v="72"/>
    <x v="108"/>
  </r>
  <r>
    <x v="28"/>
    <x v="26"/>
    <x v="0"/>
    <x v="73"/>
    <x v="109"/>
  </r>
  <r>
    <x v="44"/>
    <x v="40"/>
    <x v="0"/>
    <x v="2"/>
    <x v="2"/>
  </r>
  <r>
    <x v="37"/>
    <x v="34"/>
    <x v="0"/>
    <x v="48"/>
    <x v="67"/>
  </r>
  <r>
    <x v="5"/>
    <x v="5"/>
    <x v="0"/>
    <x v="55"/>
    <x v="75"/>
  </r>
  <r>
    <x v="9"/>
    <x v="9"/>
    <x v="4"/>
    <x v="7"/>
    <x v="110"/>
  </r>
  <r>
    <x v="11"/>
    <x v="11"/>
    <x v="4"/>
    <x v="9"/>
    <x v="10"/>
  </r>
  <r>
    <x v="14"/>
    <x v="14"/>
    <x v="0"/>
    <x v="11"/>
    <x v="14"/>
  </r>
  <r>
    <x v="11"/>
    <x v="11"/>
    <x v="0"/>
    <x v="9"/>
    <x v="12"/>
  </r>
  <r>
    <x v="14"/>
    <x v="14"/>
    <x v="0"/>
    <x v="11"/>
    <x v="14"/>
  </r>
  <r>
    <x v="10"/>
    <x v="10"/>
    <x v="6"/>
    <x v="8"/>
    <x v="62"/>
  </r>
  <r>
    <x v="12"/>
    <x v="12"/>
    <x v="4"/>
    <x v="6"/>
    <x v="32"/>
  </r>
  <r>
    <x v="8"/>
    <x v="8"/>
    <x v="0"/>
    <x v="6"/>
    <x v="6"/>
  </r>
  <r>
    <x v="1"/>
    <x v="1"/>
    <x v="1"/>
    <x v="74"/>
    <x v="111"/>
  </r>
  <r>
    <x v="2"/>
    <x v="2"/>
    <x v="1"/>
    <x v="2"/>
    <x v="2"/>
  </r>
  <r>
    <x v="3"/>
    <x v="3"/>
    <x v="1"/>
    <x v="2"/>
    <x v="2"/>
  </r>
  <r>
    <x v="38"/>
    <x v="35"/>
    <x v="1"/>
    <x v="2"/>
    <x v="2"/>
  </r>
  <r>
    <x v="8"/>
    <x v="8"/>
    <x v="10"/>
    <x v="2"/>
    <x v="2"/>
  </r>
  <r>
    <x v="21"/>
    <x v="22"/>
    <x v="1"/>
    <x v="28"/>
    <x v="112"/>
  </r>
  <r>
    <x v="47"/>
    <x v="69"/>
    <x v="1"/>
    <x v="2"/>
    <x v="2"/>
  </r>
  <r>
    <x v="5"/>
    <x v="70"/>
    <x v="1"/>
    <x v="37"/>
    <x v="113"/>
  </r>
  <r>
    <x v="1"/>
    <x v="1"/>
    <x v="1"/>
    <x v="74"/>
    <x v="111"/>
  </r>
  <r>
    <x v="2"/>
    <x v="2"/>
    <x v="1"/>
    <x v="2"/>
    <x v="2"/>
  </r>
  <r>
    <x v="38"/>
    <x v="35"/>
    <x v="1"/>
    <x v="2"/>
    <x v="2"/>
  </r>
  <r>
    <x v="8"/>
    <x v="8"/>
    <x v="2"/>
    <x v="75"/>
    <x v="114"/>
  </r>
  <r>
    <x v="21"/>
    <x v="22"/>
    <x v="1"/>
    <x v="28"/>
    <x v="112"/>
  </r>
  <r>
    <x v="47"/>
    <x v="69"/>
    <x v="1"/>
    <x v="2"/>
    <x v="2"/>
  </r>
  <r>
    <x v="5"/>
    <x v="70"/>
    <x v="1"/>
    <x v="37"/>
    <x v="113"/>
  </r>
  <r>
    <x v="1"/>
    <x v="1"/>
    <x v="4"/>
    <x v="74"/>
    <x v="115"/>
  </r>
  <r>
    <x v="2"/>
    <x v="2"/>
    <x v="4"/>
    <x v="2"/>
    <x v="2"/>
  </r>
  <r>
    <x v="3"/>
    <x v="3"/>
    <x v="4"/>
    <x v="2"/>
    <x v="2"/>
  </r>
  <r>
    <x v="38"/>
    <x v="35"/>
    <x v="4"/>
    <x v="2"/>
    <x v="2"/>
  </r>
  <r>
    <x v="8"/>
    <x v="8"/>
    <x v="4"/>
    <x v="2"/>
    <x v="2"/>
  </r>
  <r>
    <x v="6"/>
    <x v="6"/>
    <x v="4"/>
    <x v="23"/>
    <x v="116"/>
  </r>
  <r>
    <x v="15"/>
    <x v="15"/>
    <x v="4"/>
    <x v="76"/>
    <x v="117"/>
  </r>
  <r>
    <x v="45"/>
    <x v="41"/>
    <x v="1"/>
    <x v="23"/>
    <x v="118"/>
  </r>
  <r>
    <x v="65"/>
    <x v="71"/>
    <x v="4"/>
    <x v="77"/>
    <x v="119"/>
  </r>
  <r>
    <x v="52"/>
    <x v="15"/>
    <x v="4"/>
    <x v="78"/>
    <x v="120"/>
  </r>
  <r>
    <x v="39"/>
    <x v="26"/>
    <x v="0"/>
    <x v="79"/>
    <x v="121"/>
  </r>
  <r>
    <x v="66"/>
    <x v="72"/>
    <x v="1"/>
    <x v="18"/>
    <x v="22"/>
  </r>
  <r>
    <x v="67"/>
    <x v="73"/>
    <x v="14"/>
    <x v="80"/>
    <x v="122"/>
  </r>
  <r>
    <x v="8"/>
    <x v="74"/>
    <x v="4"/>
    <x v="2"/>
    <x v="2"/>
  </r>
  <r>
    <x v="68"/>
    <x v="26"/>
    <x v="0"/>
    <x v="81"/>
    <x v="123"/>
  </r>
  <r>
    <x v="53"/>
    <x v="49"/>
    <x v="1"/>
    <x v="26"/>
    <x v="39"/>
  </r>
  <r>
    <x v="9"/>
    <x v="9"/>
    <x v="0"/>
    <x v="7"/>
    <x v="7"/>
  </r>
  <r>
    <x v="12"/>
    <x v="12"/>
    <x v="0"/>
    <x v="6"/>
    <x v="6"/>
  </r>
  <r>
    <x v="8"/>
    <x v="8"/>
    <x v="0"/>
    <x v="6"/>
    <x v="6"/>
  </r>
  <r>
    <x v="43"/>
    <x v="39"/>
    <x v="0"/>
    <x v="9"/>
    <x v="12"/>
  </r>
  <r>
    <x v="8"/>
    <x v="8"/>
    <x v="0"/>
    <x v="6"/>
    <x v="6"/>
  </r>
  <r>
    <x v="69"/>
    <x v="75"/>
    <x v="5"/>
    <x v="82"/>
    <x v="124"/>
  </r>
  <r>
    <x v="61"/>
    <x v="63"/>
    <x v="4"/>
    <x v="64"/>
    <x v="125"/>
  </r>
  <r>
    <x v="46"/>
    <x v="31"/>
    <x v="4"/>
    <x v="50"/>
    <x v="126"/>
  </r>
  <r>
    <x v="5"/>
    <x v="5"/>
    <x v="4"/>
    <x v="3"/>
    <x v="27"/>
  </r>
  <r>
    <x v="2"/>
    <x v="2"/>
    <x v="4"/>
    <x v="2"/>
    <x v="2"/>
  </r>
  <r>
    <x v="43"/>
    <x v="39"/>
    <x v="4"/>
    <x v="9"/>
    <x v="10"/>
  </r>
  <r>
    <x v="8"/>
    <x v="8"/>
    <x v="4"/>
    <x v="6"/>
    <x v="32"/>
  </r>
  <r>
    <x v="70"/>
    <x v="15"/>
    <x v="0"/>
    <x v="14"/>
    <x v="127"/>
  </r>
  <r>
    <x v="11"/>
    <x v="11"/>
    <x v="4"/>
    <x v="9"/>
    <x v="10"/>
  </r>
  <r>
    <x v="46"/>
    <x v="31"/>
    <x v="4"/>
    <x v="50"/>
    <x v="126"/>
  </r>
  <r>
    <x v="2"/>
    <x v="2"/>
    <x v="4"/>
    <x v="2"/>
    <x v="2"/>
  </r>
  <r>
    <x v="4"/>
    <x v="4"/>
    <x v="4"/>
    <x v="2"/>
    <x v="2"/>
  </r>
  <r>
    <x v="0"/>
    <x v="0"/>
    <x v="0"/>
    <x v="0"/>
    <x v="0"/>
  </r>
  <r>
    <x v="71"/>
    <x v="76"/>
    <x v="4"/>
    <x v="83"/>
    <x v="128"/>
  </r>
  <r>
    <x v="41"/>
    <x v="37"/>
    <x v="0"/>
    <x v="2"/>
    <x v="2"/>
  </r>
  <r>
    <x v="32"/>
    <x v="30"/>
    <x v="4"/>
    <x v="31"/>
    <x v="68"/>
  </r>
  <r>
    <x v="61"/>
    <x v="63"/>
    <x v="0"/>
    <x v="64"/>
    <x v="93"/>
  </r>
  <r>
    <x v="10"/>
    <x v="10"/>
    <x v="10"/>
    <x v="8"/>
    <x v="129"/>
  </r>
  <r>
    <x v="47"/>
    <x v="15"/>
    <x v="0"/>
    <x v="20"/>
    <x v="78"/>
  </r>
  <r>
    <x v="8"/>
    <x v="8"/>
    <x v="0"/>
    <x v="6"/>
    <x v="6"/>
  </r>
  <r>
    <x v="61"/>
    <x v="63"/>
    <x v="0"/>
    <x v="64"/>
    <x v="93"/>
  </r>
  <r>
    <x v="12"/>
    <x v="12"/>
    <x v="0"/>
    <x v="6"/>
    <x v="6"/>
  </r>
  <r>
    <x v="37"/>
    <x v="34"/>
    <x v="0"/>
    <x v="48"/>
    <x v="67"/>
  </r>
  <r>
    <x v="11"/>
    <x v="11"/>
    <x v="0"/>
    <x v="9"/>
    <x v="12"/>
  </r>
  <r>
    <x v="16"/>
    <x v="77"/>
    <x v="5"/>
    <x v="13"/>
    <x v="130"/>
  </r>
  <r>
    <x v="6"/>
    <x v="78"/>
    <x v="5"/>
    <x v="2"/>
    <x v="2"/>
  </r>
  <r>
    <x v="5"/>
    <x v="5"/>
    <x v="5"/>
    <x v="55"/>
    <x v="131"/>
  </r>
  <r>
    <x v="22"/>
    <x v="15"/>
    <x v="5"/>
    <x v="18"/>
    <x v="132"/>
  </r>
  <r>
    <x v="21"/>
    <x v="22"/>
    <x v="5"/>
    <x v="17"/>
    <x v="100"/>
  </r>
  <r>
    <x v="38"/>
    <x v="79"/>
    <x v="5"/>
    <x v="2"/>
    <x v="2"/>
  </r>
  <r>
    <x v="8"/>
    <x v="74"/>
    <x v="2"/>
    <x v="47"/>
    <x v="65"/>
  </r>
  <r>
    <x v="53"/>
    <x v="49"/>
    <x v="5"/>
    <x v="26"/>
    <x v="133"/>
  </r>
  <r>
    <x v="72"/>
    <x v="15"/>
    <x v="0"/>
    <x v="63"/>
    <x v="134"/>
  </r>
  <r>
    <x v="51"/>
    <x v="48"/>
    <x v="0"/>
    <x v="58"/>
    <x v="135"/>
  </r>
  <r>
    <x v="2"/>
    <x v="2"/>
    <x v="0"/>
    <x v="4"/>
    <x v="63"/>
  </r>
  <r>
    <x v="12"/>
    <x v="12"/>
    <x v="0"/>
    <x v="6"/>
    <x v="6"/>
  </r>
  <r>
    <x v="8"/>
    <x v="8"/>
    <x v="0"/>
    <x v="6"/>
    <x v="6"/>
  </r>
  <r>
    <x v="12"/>
    <x v="12"/>
    <x v="0"/>
    <x v="6"/>
    <x v="6"/>
  </r>
  <r>
    <x v="21"/>
    <x v="22"/>
    <x v="4"/>
    <x v="17"/>
    <x v="31"/>
  </r>
  <r>
    <x v="8"/>
    <x v="8"/>
    <x v="4"/>
    <x v="6"/>
    <x v="32"/>
  </r>
  <r>
    <x v="23"/>
    <x v="23"/>
    <x v="4"/>
    <x v="9"/>
    <x v="10"/>
  </r>
  <r>
    <x v="2"/>
    <x v="2"/>
    <x v="4"/>
    <x v="4"/>
    <x v="28"/>
  </r>
  <r>
    <x v="7"/>
    <x v="7"/>
    <x v="0"/>
    <x v="5"/>
    <x v="5"/>
  </r>
  <r>
    <x v="70"/>
    <x v="15"/>
    <x v="0"/>
    <x v="14"/>
    <x v="127"/>
  </r>
  <r>
    <x v="38"/>
    <x v="35"/>
    <x v="0"/>
    <x v="6"/>
    <x v="6"/>
  </r>
  <r>
    <x v="16"/>
    <x v="80"/>
    <x v="4"/>
    <x v="13"/>
    <x v="16"/>
  </r>
  <r>
    <x v="6"/>
    <x v="6"/>
    <x v="4"/>
    <x v="2"/>
    <x v="2"/>
  </r>
  <r>
    <x v="4"/>
    <x v="4"/>
    <x v="4"/>
    <x v="2"/>
    <x v="2"/>
  </r>
  <r>
    <x v="70"/>
    <x v="15"/>
    <x v="4"/>
    <x v="14"/>
    <x v="17"/>
  </r>
  <r>
    <x v="0"/>
    <x v="0"/>
    <x v="0"/>
    <x v="0"/>
    <x v="0"/>
  </r>
  <r>
    <x v="2"/>
    <x v="2"/>
    <x v="4"/>
    <x v="4"/>
    <x v="28"/>
  </r>
  <r>
    <x v="73"/>
    <x v="81"/>
    <x v="4"/>
    <x v="84"/>
    <x v="136"/>
  </r>
  <r>
    <x v="28"/>
    <x v="26"/>
    <x v="0"/>
    <x v="58"/>
    <x v="135"/>
  </r>
  <r>
    <x v="5"/>
    <x v="82"/>
    <x v="15"/>
    <x v="71"/>
    <x v="137"/>
  </r>
  <r>
    <x v="28"/>
    <x v="26"/>
    <x v="0"/>
    <x v="79"/>
    <x v="121"/>
  </r>
</pivotCacheRecords>
</file>

<file path=xl/pivotCache/pivotCacheRecords53.xml><?xml version="1.0" encoding="utf-8"?>
<pivotCacheRecords xmlns:r="http://schemas.openxmlformats.org/officeDocument/2006/relationships" xmlns="http://schemas.openxmlformats.org/spreadsheetml/2006/main" count="386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1"/>
    <x v="2"/>
    <x v="2"/>
  </r>
  <r>
    <x v="2"/>
    <x v="2"/>
    <x v="2"/>
    <x v="3"/>
    <x v="3"/>
    <x v="1"/>
    <x v="3"/>
    <x v="3"/>
  </r>
  <r>
    <x v="3"/>
    <x v="3"/>
    <x v="3"/>
    <x v="4"/>
    <x v="4"/>
    <x v="2"/>
    <x v="4"/>
    <x v="4"/>
  </r>
  <r>
    <x v="4"/>
    <x v="4"/>
    <x v="4"/>
    <x v="5"/>
    <x v="5"/>
    <x v="1"/>
    <x v="5"/>
    <x v="5"/>
  </r>
  <r>
    <x v="5"/>
    <x v="5"/>
    <x v="5"/>
    <x v="6"/>
    <x v="6"/>
    <x v="3"/>
    <x v="6"/>
    <x v="6"/>
  </r>
  <r>
    <x v="5"/>
    <x v="5"/>
    <x v="5"/>
    <x v="7"/>
    <x v="7"/>
    <x v="3"/>
    <x v="7"/>
    <x v="7"/>
  </r>
  <r>
    <x v="5"/>
    <x v="5"/>
    <x v="5"/>
    <x v="8"/>
    <x v="8"/>
    <x v="0"/>
    <x v="8"/>
    <x v="8"/>
  </r>
  <r>
    <x v="5"/>
    <x v="5"/>
    <x v="5"/>
    <x v="9"/>
    <x v="9"/>
    <x v="0"/>
    <x v="9"/>
    <x v="9"/>
  </r>
  <r>
    <x v="6"/>
    <x v="6"/>
    <x v="6"/>
    <x v="10"/>
    <x v="10"/>
    <x v="0"/>
    <x v="10"/>
    <x v="10"/>
  </r>
  <r>
    <x v="6"/>
    <x v="6"/>
    <x v="6"/>
    <x v="11"/>
    <x v="11"/>
    <x v="4"/>
    <x v="11"/>
    <x v="11"/>
  </r>
  <r>
    <x v="6"/>
    <x v="6"/>
    <x v="6"/>
    <x v="12"/>
    <x v="12"/>
    <x v="1"/>
    <x v="12"/>
    <x v="12"/>
  </r>
  <r>
    <x v="6"/>
    <x v="6"/>
    <x v="6"/>
    <x v="13"/>
    <x v="13"/>
    <x v="3"/>
    <x v="13"/>
    <x v="13"/>
  </r>
  <r>
    <x v="6"/>
    <x v="6"/>
    <x v="6"/>
    <x v="14"/>
    <x v="14"/>
    <x v="4"/>
    <x v="13"/>
    <x v="13"/>
  </r>
  <r>
    <x v="6"/>
    <x v="6"/>
    <x v="6"/>
    <x v="15"/>
    <x v="15"/>
    <x v="5"/>
    <x v="13"/>
    <x v="13"/>
  </r>
  <r>
    <x v="6"/>
    <x v="6"/>
    <x v="6"/>
    <x v="7"/>
    <x v="16"/>
    <x v="5"/>
    <x v="13"/>
    <x v="13"/>
  </r>
  <r>
    <x v="6"/>
    <x v="6"/>
    <x v="6"/>
    <x v="5"/>
    <x v="5"/>
    <x v="4"/>
    <x v="14"/>
    <x v="14"/>
  </r>
  <r>
    <x v="6"/>
    <x v="6"/>
    <x v="6"/>
    <x v="16"/>
    <x v="17"/>
    <x v="6"/>
    <x v="15"/>
    <x v="15"/>
  </r>
  <r>
    <x v="6"/>
    <x v="6"/>
    <x v="6"/>
    <x v="17"/>
    <x v="18"/>
    <x v="1"/>
    <x v="16"/>
    <x v="16"/>
  </r>
  <r>
    <x v="6"/>
    <x v="6"/>
    <x v="6"/>
    <x v="18"/>
    <x v="18"/>
    <x v="1"/>
    <x v="17"/>
    <x v="17"/>
  </r>
  <r>
    <x v="7"/>
    <x v="7"/>
    <x v="6"/>
    <x v="12"/>
    <x v="12"/>
    <x v="1"/>
    <x v="12"/>
    <x v="12"/>
  </r>
  <r>
    <x v="7"/>
    <x v="7"/>
    <x v="6"/>
    <x v="10"/>
    <x v="19"/>
    <x v="7"/>
    <x v="18"/>
    <x v="18"/>
  </r>
  <r>
    <x v="7"/>
    <x v="7"/>
    <x v="6"/>
    <x v="10"/>
    <x v="20"/>
    <x v="1"/>
    <x v="10"/>
    <x v="19"/>
  </r>
  <r>
    <x v="7"/>
    <x v="7"/>
    <x v="6"/>
    <x v="19"/>
    <x v="21"/>
    <x v="3"/>
    <x v="19"/>
    <x v="20"/>
  </r>
  <r>
    <x v="7"/>
    <x v="7"/>
    <x v="6"/>
    <x v="13"/>
    <x v="22"/>
    <x v="8"/>
    <x v="13"/>
    <x v="13"/>
  </r>
  <r>
    <x v="7"/>
    <x v="7"/>
    <x v="6"/>
    <x v="15"/>
    <x v="23"/>
    <x v="8"/>
    <x v="13"/>
    <x v="13"/>
  </r>
  <r>
    <x v="7"/>
    <x v="7"/>
    <x v="6"/>
    <x v="7"/>
    <x v="7"/>
    <x v="8"/>
    <x v="13"/>
    <x v="13"/>
  </r>
  <r>
    <x v="7"/>
    <x v="7"/>
    <x v="6"/>
    <x v="16"/>
    <x v="17"/>
    <x v="9"/>
    <x v="13"/>
    <x v="13"/>
  </r>
  <r>
    <x v="7"/>
    <x v="7"/>
    <x v="6"/>
    <x v="20"/>
    <x v="18"/>
    <x v="1"/>
    <x v="20"/>
    <x v="21"/>
  </r>
  <r>
    <x v="7"/>
    <x v="7"/>
    <x v="6"/>
    <x v="21"/>
    <x v="18"/>
    <x v="1"/>
    <x v="21"/>
    <x v="22"/>
  </r>
  <r>
    <x v="8"/>
    <x v="8"/>
    <x v="6"/>
    <x v="22"/>
    <x v="24"/>
    <x v="0"/>
    <x v="13"/>
    <x v="13"/>
  </r>
  <r>
    <x v="9"/>
    <x v="9"/>
    <x v="7"/>
    <x v="15"/>
    <x v="23"/>
    <x v="0"/>
    <x v="22"/>
    <x v="23"/>
  </r>
  <r>
    <x v="9"/>
    <x v="9"/>
    <x v="7"/>
    <x v="7"/>
    <x v="7"/>
    <x v="1"/>
    <x v="22"/>
    <x v="24"/>
  </r>
  <r>
    <x v="10"/>
    <x v="10"/>
    <x v="8"/>
    <x v="23"/>
    <x v="25"/>
    <x v="4"/>
    <x v="2"/>
    <x v="25"/>
  </r>
  <r>
    <x v="10"/>
    <x v="10"/>
    <x v="8"/>
    <x v="19"/>
    <x v="21"/>
    <x v="1"/>
    <x v="23"/>
    <x v="26"/>
  </r>
  <r>
    <x v="10"/>
    <x v="10"/>
    <x v="8"/>
    <x v="7"/>
    <x v="7"/>
    <x v="1"/>
    <x v="22"/>
    <x v="24"/>
  </r>
  <r>
    <x v="10"/>
    <x v="10"/>
    <x v="8"/>
    <x v="24"/>
    <x v="26"/>
    <x v="0"/>
    <x v="24"/>
    <x v="27"/>
  </r>
  <r>
    <x v="10"/>
    <x v="10"/>
    <x v="8"/>
    <x v="6"/>
    <x v="6"/>
    <x v="0"/>
    <x v="6"/>
    <x v="28"/>
  </r>
  <r>
    <x v="10"/>
    <x v="10"/>
    <x v="8"/>
    <x v="7"/>
    <x v="7"/>
    <x v="0"/>
    <x v="22"/>
    <x v="23"/>
  </r>
  <r>
    <x v="11"/>
    <x v="11"/>
    <x v="9"/>
    <x v="6"/>
    <x v="6"/>
    <x v="0"/>
    <x v="6"/>
    <x v="28"/>
  </r>
  <r>
    <x v="11"/>
    <x v="11"/>
    <x v="9"/>
    <x v="7"/>
    <x v="7"/>
    <x v="0"/>
    <x v="22"/>
    <x v="23"/>
  </r>
  <r>
    <x v="11"/>
    <x v="11"/>
    <x v="9"/>
    <x v="19"/>
    <x v="21"/>
    <x v="0"/>
    <x v="23"/>
    <x v="29"/>
  </r>
  <r>
    <x v="11"/>
    <x v="11"/>
    <x v="9"/>
    <x v="7"/>
    <x v="7"/>
    <x v="0"/>
    <x v="22"/>
    <x v="23"/>
  </r>
  <r>
    <x v="11"/>
    <x v="11"/>
    <x v="9"/>
    <x v="7"/>
    <x v="7"/>
    <x v="0"/>
    <x v="22"/>
    <x v="23"/>
  </r>
  <r>
    <x v="12"/>
    <x v="12"/>
    <x v="10"/>
    <x v="25"/>
    <x v="27"/>
    <x v="0"/>
    <x v="25"/>
    <x v="30"/>
  </r>
  <r>
    <x v="13"/>
    <x v="13"/>
    <x v="11"/>
    <x v="26"/>
    <x v="1"/>
    <x v="0"/>
    <x v="26"/>
    <x v="31"/>
  </r>
  <r>
    <x v="13"/>
    <x v="13"/>
    <x v="11"/>
    <x v="27"/>
    <x v="28"/>
    <x v="1"/>
    <x v="27"/>
    <x v="32"/>
  </r>
  <r>
    <x v="13"/>
    <x v="13"/>
    <x v="11"/>
    <x v="28"/>
    <x v="29"/>
    <x v="0"/>
    <x v="13"/>
    <x v="13"/>
  </r>
  <r>
    <x v="13"/>
    <x v="13"/>
    <x v="11"/>
    <x v="18"/>
    <x v="18"/>
    <x v="1"/>
    <x v="28"/>
    <x v="33"/>
  </r>
  <r>
    <x v="14"/>
    <x v="14"/>
    <x v="12"/>
    <x v="4"/>
    <x v="4"/>
    <x v="2"/>
    <x v="4"/>
    <x v="4"/>
  </r>
  <r>
    <x v="15"/>
    <x v="15"/>
    <x v="13"/>
    <x v="19"/>
    <x v="21"/>
    <x v="1"/>
    <x v="23"/>
    <x v="26"/>
  </r>
  <r>
    <x v="15"/>
    <x v="15"/>
    <x v="13"/>
    <x v="7"/>
    <x v="7"/>
    <x v="1"/>
    <x v="22"/>
    <x v="24"/>
  </r>
  <r>
    <x v="16"/>
    <x v="15"/>
    <x v="14"/>
    <x v="25"/>
    <x v="27"/>
    <x v="1"/>
    <x v="25"/>
    <x v="34"/>
  </r>
  <r>
    <x v="17"/>
    <x v="16"/>
    <x v="15"/>
    <x v="25"/>
    <x v="27"/>
    <x v="1"/>
    <x v="29"/>
    <x v="35"/>
  </r>
  <r>
    <x v="18"/>
    <x v="17"/>
    <x v="15"/>
    <x v="4"/>
    <x v="4"/>
    <x v="10"/>
    <x v="13"/>
    <x v="13"/>
  </r>
  <r>
    <x v="19"/>
    <x v="2"/>
    <x v="16"/>
    <x v="29"/>
    <x v="8"/>
    <x v="1"/>
    <x v="24"/>
    <x v="36"/>
  </r>
  <r>
    <x v="19"/>
    <x v="2"/>
    <x v="16"/>
    <x v="30"/>
    <x v="30"/>
    <x v="1"/>
    <x v="30"/>
    <x v="37"/>
  </r>
  <r>
    <x v="20"/>
    <x v="18"/>
    <x v="17"/>
    <x v="27"/>
    <x v="28"/>
    <x v="1"/>
    <x v="31"/>
    <x v="38"/>
  </r>
  <r>
    <x v="20"/>
    <x v="18"/>
    <x v="17"/>
    <x v="7"/>
    <x v="7"/>
    <x v="1"/>
    <x v="22"/>
    <x v="24"/>
  </r>
  <r>
    <x v="21"/>
    <x v="19"/>
    <x v="18"/>
    <x v="13"/>
    <x v="8"/>
    <x v="1"/>
    <x v="32"/>
    <x v="39"/>
  </r>
  <r>
    <x v="22"/>
    <x v="20"/>
    <x v="19"/>
    <x v="3"/>
    <x v="3"/>
    <x v="0"/>
    <x v="3"/>
    <x v="40"/>
  </r>
  <r>
    <x v="23"/>
    <x v="21"/>
    <x v="20"/>
    <x v="0"/>
    <x v="0"/>
    <x v="1"/>
    <x v="0"/>
    <x v="41"/>
  </r>
  <r>
    <x v="24"/>
    <x v="22"/>
    <x v="21"/>
    <x v="31"/>
    <x v="31"/>
    <x v="0"/>
    <x v="33"/>
    <x v="42"/>
  </r>
  <r>
    <x v="25"/>
    <x v="23"/>
    <x v="22"/>
    <x v="32"/>
    <x v="32"/>
    <x v="1"/>
    <x v="34"/>
    <x v="43"/>
  </r>
  <r>
    <x v="25"/>
    <x v="23"/>
    <x v="22"/>
    <x v="33"/>
    <x v="33"/>
    <x v="0"/>
    <x v="2"/>
    <x v="44"/>
  </r>
  <r>
    <x v="25"/>
    <x v="23"/>
    <x v="22"/>
    <x v="4"/>
    <x v="4"/>
    <x v="10"/>
    <x v="4"/>
    <x v="45"/>
  </r>
  <r>
    <x v="26"/>
    <x v="24"/>
    <x v="23"/>
    <x v="23"/>
    <x v="25"/>
    <x v="0"/>
    <x v="2"/>
    <x v="44"/>
  </r>
  <r>
    <x v="27"/>
    <x v="25"/>
    <x v="24"/>
    <x v="12"/>
    <x v="12"/>
    <x v="1"/>
    <x v="35"/>
    <x v="46"/>
  </r>
  <r>
    <x v="28"/>
    <x v="26"/>
    <x v="25"/>
    <x v="34"/>
    <x v="34"/>
    <x v="1"/>
    <x v="23"/>
    <x v="26"/>
  </r>
  <r>
    <x v="29"/>
    <x v="27"/>
    <x v="26"/>
    <x v="32"/>
    <x v="32"/>
    <x v="2"/>
    <x v="36"/>
    <x v="47"/>
  </r>
  <r>
    <x v="29"/>
    <x v="27"/>
    <x v="26"/>
    <x v="35"/>
    <x v="35"/>
    <x v="8"/>
    <x v="37"/>
    <x v="48"/>
  </r>
  <r>
    <x v="29"/>
    <x v="27"/>
    <x v="26"/>
    <x v="6"/>
    <x v="6"/>
    <x v="3"/>
    <x v="38"/>
    <x v="49"/>
  </r>
  <r>
    <x v="29"/>
    <x v="27"/>
    <x v="26"/>
    <x v="36"/>
    <x v="36"/>
    <x v="11"/>
    <x v="39"/>
    <x v="50"/>
  </r>
  <r>
    <x v="29"/>
    <x v="27"/>
    <x v="26"/>
    <x v="13"/>
    <x v="37"/>
    <x v="11"/>
    <x v="13"/>
    <x v="13"/>
  </r>
  <r>
    <x v="29"/>
    <x v="27"/>
    <x v="26"/>
    <x v="15"/>
    <x v="15"/>
    <x v="11"/>
    <x v="13"/>
    <x v="13"/>
  </r>
  <r>
    <x v="29"/>
    <x v="27"/>
    <x v="26"/>
    <x v="7"/>
    <x v="38"/>
    <x v="12"/>
    <x v="13"/>
    <x v="13"/>
  </r>
  <r>
    <x v="29"/>
    <x v="27"/>
    <x v="26"/>
    <x v="16"/>
    <x v="17"/>
    <x v="11"/>
    <x v="13"/>
    <x v="13"/>
  </r>
  <r>
    <x v="29"/>
    <x v="27"/>
    <x v="26"/>
    <x v="18"/>
    <x v="18"/>
    <x v="1"/>
    <x v="40"/>
    <x v="51"/>
  </r>
  <r>
    <x v="30"/>
    <x v="28"/>
    <x v="26"/>
    <x v="25"/>
    <x v="27"/>
    <x v="1"/>
    <x v="26"/>
    <x v="52"/>
  </r>
  <r>
    <x v="30"/>
    <x v="28"/>
    <x v="26"/>
    <x v="18"/>
    <x v="18"/>
    <x v="1"/>
    <x v="41"/>
    <x v="53"/>
  </r>
  <r>
    <x v="31"/>
    <x v="29"/>
    <x v="26"/>
    <x v="23"/>
    <x v="25"/>
    <x v="4"/>
    <x v="42"/>
    <x v="54"/>
  </r>
  <r>
    <x v="31"/>
    <x v="29"/>
    <x v="26"/>
    <x v="18"/>
    <x v="18"/>
    <x v="1"/>
    <x v="30"/>
    <x v="37"/>
  </r>
  <r>
    <x v="32"/>
    <x v="30"/>
    <x v="27"/>
    <x v="25"/>
    <x v="27"/>
    <x v="1"/>
    <x v="25"/>
    <x v="34"/>
  </r>
  <r>
    <x v="33"/>
    <x v="25"/>
    <x v="28"/>
    <x v="34"/>
    <x v="34"/>
    <x v="0"/>
    <x v="23"/>
    <x v="29"/>
  </r>
  <r>
    <x v="34"/>
    <x v="31"/>
    <x v="29"/>
    <x v="6"/>
    <x v="6"/>
    <x v="9"/>
    <x v="6"/>
    <x v="55"/>
  </r>
  <r>
    <x v="34"/>
    <x v="31"/>
    <x v="29"/>
    <x v="7"/>
    <x v="7"/>
    <x v="9"/>
    <x v="22"/>
    <x v="56"/>
  </r>
  <r>
    <x v="35"/>
    <x v="28"/>
    <x v="30"/>
    <x v="37"/>
    <x v="39"/>
    <x v="9"/>
    <x v="43"/>
    <x v="57"/>
  </r>
  <r>
    <x v="35"/>
    <x v="28"/>
    <x v="30"/>
    <x v="38"/>
    <x v="40"/>
    <x v="9"/>
    <x v="13"/>
    <x v="13"/>
  </r>
  <r>
    <x v="35"/>
    <x v="28"/>
    <x v="30"/>
    <x v="39"/>
    <x v="41"/>
    <x v="0"/>
    <x v="13"/>
    <x v="13"/>
  </r>
  <r>
    <x v="35"/>
    <x v="28"/>
    <x v="30"/>
    <x v="16"/>
    <x v="42"/>
    <x v="9"/>
    <x v="13"/>
    <x v="13"/>
  </r>
  <r>
    <x v="35"/>
    <x v="28"/>
    <x v="30"/>
    <x v="20"/>
    <x v="18"/>
    <x v="1"/>
    <x v="44"/>
    <x v="58"/>
  </r>
  <r>
    <x v="36"/>
    <x v="32"/>
    <x v="30"/>
    <x v="28"/>
    <x v="29"/>
    <x v="1"/>
    <x v="13"/>
    <x v="13"/>
  </r>
  <r>
    <x v="37"/>
    <x v="33"/>
    <x v="31"/>
    <x v="27"/>
    <x v="28"/>
    <x v="1"/>
    <x v="45"/>
    <x v="59"/>
  </r>
  <r>
    <x v="38"/>
    <x v="11"/>
    <x v="32"/>
    <x v="11"/>
    <x v="36"/>
    <x v="0"/>
    <x v="46"/>
    <x v="60"/>
  </r>
  <r>
    <x v="38"/>
    <x v="11"/>
    <x v="32"/>
    <x v="16"/>
    <x v="17"/>
    <x v="0"/>
    <x v="13"/>
    <x v="13"/>
  </r>
  <r>
    <x v="38"/>
    <x v="11"/>
    <x v="32"/>
    <x v="30"/>
    <x v="30"/>
    <x v="0"/>
    <x v="13"/>
    <x v="13"/>
  </r>
  <r>
    <x v="38"/>
    <x v="11"/>
    <x v="32"/>
    <x v="13"/>
    <x v="8"/>
    <x v="0"/>
    <x v="13"/>
    <x v="13"/>
  </r>
  <r>
    <x v="38"/>
    <x v="11"/>
    <x v="32"/>
    <x v="40"/>
    <x v="43"/>
    <x v="9"/>
    <x v="47"/>
    <x v="61"/>
  </r>
  <r>
    <x v="38"/>
    <x v="11"/>
    <x v="32"/>
    <x v="37"/>
    <x v="44"/>
    <x v="0"/>
    <x v="48"/>
    <x v="62"/>
  </r>
  <r>
    <x v="38"/>
    <x v="11"/>
    <x v="32"/>
    <x v="16"/>
    <x v="17"/>
    <x v="0"/>
    <x v="13"/>
    <x v="13"/>
  </r>
  <r>
    <x v="38"/>
    <x v="11"/>
    <x v="32"/>
    <x v="23"/>
    <x v="25"/>
    <x v="0"/>
    <x v="13"/>
    <x v="13"/>
  </r>
  <r>
    <x v="38"/>
    <x v="11"/>
    <x v="32"/>
    <x v="30"/>
    <x v="30"/>
    <x v="0"/>
    <x v="13"/>
    <x v="13"/>
  </r>
  <r>
    <x v="38"/>
    <x v="11"/>
    <x v="32"/>
    <x v="13"/>
    <x v="8"/>
    <x v="0"/>
    <x v="13"/>
    <x v="13"/>
  </r>
  <r>
    <x v="38"/>
    <x v="11"/>
    <x v="32"/>
    <x v="41"/>
    <x v="8"/>
    <x v="0"/>
    <x v="49"/>
    <x v="63"/>
  </r>
  <r>
    <x v="39"/>
    <x v="34"/>
    <x v="33"/>
    <x v="6"/>
    <x v="6"/>
    <x v="9"/>
    <x v="6"/>
    <x v="55"/>
  </r>
  <r>
    <x v="39"/>
    <x v="34"/>
    <x v="33"/>
    <x v="7"/>
    <x v="7"/>
    <x v="9"/>
    <x v="22"/>
    <x v="56"/>
  </r>
  <r>
    <x v="40"/>
    <x v="35"/>
    <x v="34"/>
    <x v="34"/>
    <x v="34"/>
    <x v="0"/>
    <x v="23"/>
    <x v="29"/>
  </r>
  <r>
    <x v="41"/>
    <x v="36"/>
    <x v="35"/>
    <x v="0"/>
    <x v="0"/>
    <x v="1"/>
    <x v="0"/>
    <x v="41"/>
  </r>
  <r>
    <x v="42"/>
    <x v="37"/>
    <x v="36"/>
    <x v="19"/>
    <x v="21"/>
    <x v="9"/>
    <x v="23"/>
    <x v="64"/>
  </r>
  <r>
    <x v="42"/>
    <x v="37"/>
    <x v="36"/>
    <x v="7"/>
    <x v="7"/>
    <x v="9"/>
    <x v="22"/>
    <x v="56"/>
  </r>
  <r>
    <x v="43"/>
    <x v="38"/>
    <x v="37"/>
    <x v="42"/>
    <x v="45"/>
    <x v="13"/>
    <x v="50"/>
    <x v="65"/>
  </r>
  <r>
    <x v="43"/>
    <x v="38"/>
    <x v="37"/>
    <x v="43"/>
    <x v="46"/>
    <x v="14"/>
    <x v="51"/>
    <x v="66"/>
  </r>
  <r>
    <x v="44"/>
    <x v="39"/>
    <x v="38"/>
    <x v="26"/>
    <x v="1"/>
    <x v="1"/>
    <x v="25"/>
    <x v="34"/>
  </r>
  <r>
    <x v="45"/>
    <x v="40"/>
    <x v="39"/>
    <x v="26"/>
    <x v="1"/>
    <x v="1"/>
    <x v="52"/>
    <x v="67"/>
  </r>
  <r>
    <x v="45"/>
    <x v="40"/>
    <x v="39"/>
    <x v="34"/>
    <x v="34"/>
    <x v="1"/>
    <x v="53"/>
    <x v="68"/>
  </r>
  <r>
    <x v="46"/>
    <x v="41"/>
    <x v="40"/>
    <x v="44"/>
    <x v="47"/>
    <x v="1"/>
    <x v="54"/>
    <x v="69"/>
  </r>
  <r>
    <x v="47"/>
    <x v="8"/>
    <x v="41"/>
    <x v="36"/>
    <x v="36"/>
    <x v="0"/>
    <x v="55"/>
    <x v="70"/>
  </r>
  <r>
    <x v="47"/>
    <x v="8"/>
    <x v="41"/>
    <x v="16"/>
    <x v="17"/>
    <x v="0"/>
    <x v="13"/>
    <x v="13"/>
  </r>
  <r>
    <x v="47"/>
    <x v="8"/>
    <x v="41"/>
    <x v="30"/>
    <x v="30"/>
    <x v="0"/>
    <x v="13"/>
    <x v="13"/>
  </r>
  <r>
    <x v="47"/>
    <x v="8"/>
    <x v="41"/>
    <x v="13"/>
    <x v="8"/>
    <x v="0"/>
    <x v="13"/>
    <x v="13"/>
  </r>
  <r>
    <x v="48"/>
    <x v="42"/>
    <x v="42"/>
    <x v="1"/>
    <x v="1"/>
    <x v="1"/>
    <x v="1"/>
    <x v="1"/>
  </r>
  <r>
    <x v="49"/>
    <x v="43"/>
    <x v="43"/>
    <x v="45"/>
    <x v="48"/>
    <x v="0"/>
    <x v="13"/>
    <x v="13"/>
  </r>
  <r>
    <x v="49"/>
    <x v="43"/>
    <x v="43"/>
    <x v="46"/>
    <x v="49"/>
    <x v="0"/>
    <x v="13"/>
    <x v="13"/>
  </r>
  <r>
    <x v="49"/>
    <x v="43"/>
    <x v="43"/>
    <x v="47"/>
    <x v="50"/>
    <x v="1"/>
    <x v="13"/>
    <x v="13"/>
  </r>
  <r>
    <x v="50"/>
    <x v="44"/>
    <x v="44"/>
    <x v="13"/>
    <x v="8"/>
    <x v="1"/>
    <x v="32"/>
    <x v="39"/>
  </r>
  <r>
    <x v="50"/>
    <x v="44"/>
    <x v="44"/>
    <x v="30"/>
    <x v="30"/>
    <x v="1"/>
    <x v="30"/>
    <x v="37"/>
  </r>
  <r>
    <x v="51"/>
    <x v="45"/>
    <x v="45"/>
    <x v="25"/>
    <x v="27"/>
    <x v="7"/>
    <x v="25"/>
    <x v="71"/>
  </r>
  <r>
    <x v="52"/>
    <x v="46"/>
    <x v="46"/>
    <x v="5"/>
    <x v="5"/>
    <x v="1"/>
    <x v="5"/>
    <x v="5"/>
  </r>
  <r>
    <x v="53"/>
    <x v="47"/>
    <x v="47"/>
    <x v="34"/>
    <x v="34"/>
    <x v="1"/>
    <x v="23"/>
    <x v="26"/>
  </r>
  <r>
    <x v="54"/>
    <x v="48"/>
    <x v="48"/>
    <x v="27"/>
    <x v="28"/>
    <x v="1"/>
    <x v="45"/>
    <x v="59"/>
  </r>
  <r>
    <x v="55"/>
    <x v="49"/>
    <x v="49"/>
    <x v="34"/>
    <x v="34"/>
    <x v="1"/>
    <x v="23"/>
    <x v="26"/>
  </r>
  <r>
    <x v="56"/>
    <x v="50"/>
    <x v="50"/>
    <x v="48"/>
    <x v="8"/>
    <x v="1"/>
    <x v="56"/>
    <x v="72"/>
  </r>
  <r>
    <x v="57"/>
    <x v="51"/>
    <x v="51"/>
    <x v="1"/>
    <x v="1"/>
    <x v="1"/>
    <x v="1"/>
    <x v="1"/>
  </r>
  <r>
    <x v="58"/>
    <x v="52"/>
    <x v="52"/>
    <x v="19"/>
    <x v="21"/>
    <x v="0"/>
    <x v="23"/>
    <x v="29"/>
  </r>
  <r>
    <x v="58"/>
    <x v="52"/>
    <x v="52"/>
    <x v="7"/>
    <x v="7"/>
    <x v="0"/>
    <x v="22"/>
    <x v="23"/>
  </r>
  <r>
    <x v="58"/>
    <x v="52"/>
    <x v="52"/>
    <x v="15"/>
    <x v="23"/>
    <x v="0"/>
    <x v="22"/>
    <x v="23"/>
  </r>
  <r>
    <x v="59"/>
    <x v="53"/>
    <x v="53"/>
    <x v="26"/>
    <x v="1"/>
    <x v="1"/>
    <x v="25"/>
    <x v="34"/>
  </r>
  <r>
    <x v="60"/>
    <x v="54"/>
    <x v="54"/>
    <x v="48"/>
    <x v="8"/>
    <x v="0"/>
    <x v="56"/>
    <x v="73"/>
  </r>
  <r>
    <x v="61"/>
    <x v="55"/>
    <x v="55"/>
    <x v="49"/>
    <x v="51"/>
    <x v="1"/>
    <x v="49"/>
    <x v="74"/>
  </r>
  <r>
    <x v="62"/>
    <x v="56"/>
    <x v="56"/>
    <x v="36"/>
    <x v="36"/>
    <x v="0"/>
    <x v="55"/>
    <x v="70"/>
  </r>
  <r>
    <x v="62"/>
    <x v="56"/>
    <x v="56"/>
    <x v="16"/>
    <x v="17"/>
    <x v="0"/>
    <x v="13"/>
    <x v="13"/>
  </r>
  <r>
    <x v="62"/>
    <x v="56"/>
    <x v="56"/>
    <x v="13"/>
    <x v="8"/>
    <x v="0"/>
    <x v="13"/>
    <x v="13"/>
  </r>
  <r>
    <x v="62"/>
    <x v="56"/>
    <x v="56"/>
    <x v="25"/>
    <x v="27"/>
    <x v="1"/>
    <x v="25"/>
    <x v="34"/>
  </r>
  <r>
    <x v="62"/>
    <x v="56"/>
    <x v="56"/>
    <x v="34"/>
    <x v="34"/>
    <x v="1"/>
    <x v="23"/>
    <x v="26"/>
  </r>
  <r>
    <x v="63"/>
    <x v="57"/>
    <x v="57"/>
    <x v="49"/>
    <x v="51"/>
    <x v="0"/>
    <x v="49"/>
    <x v="63"/>
  </r>
  <r>
    <x v="63"/>
    <x v="57"/>
    <x v="57"/>
    <x v="8"/>
    <x v="8"/>
    <x v="0"/>
    <x v="8"/>
    <x v="8"/>
  </r>
  <r>
    <x v="64"/>
    <x v="58"/>
    <x v="58"/>
    <x v="50"/>
    <x v="52"/>
    <x v="0"/>
    <x v="57"/>
    <x v="75"/>
  </r>
  <r>
    <x v="64"/>
    <x v="58"/>
    <x v="58"/>
    <x v="2"/>
    <x v="2"/>
    <x v="7"/>
    <x v="2"/>
    <x v="76"/>
  </r>
  <r>
    <x v="65"/>
    <x v="59"/>
    <x v="59"/>
    <x v="1"/>
    <x v="1"/>
    <x v="1"/>
    <x v="1"/>
    <x v="1"/>
  </r>
  <r>
    <x v="65"/>
    <x v="59"/>
    <x v="59"/>
    <x v="34"/>
    <x v="34"/>
    <x v="1"/>
    <x v="23"/>
    <x v="26"/>
  </r>
  <r>
    <x v="66"/>
    <x v="60"/>
    <x v="60"/>
    <x v="6"/>
    <x v="6"/>
    <x v="1"/>
    <x v="6"/>
    <x v="77"/>
  </r>
  <r>
    <x v="66"/>
    <x v="60"/>
    <x v="60"/>
    <x v="7"/>
    <x v="7"/>
    <x v="1"/>
    <x v="22"/>
    <x v="24"/>
  </r>
  <r>
    <x v="66"/>
    <x v="60"/>
    <x v="60"/>
    <x v="15"/>
    <x v="23"/>
    <x v="0"/>
    <x v="22"/>
    <x v="23"/>
  </r>
  <r>
    <x v="67"/>
    <x v="61"/>
    <x v="61"/>
    <x v="15"/>
    <x v="23"/>
    <x v="1"/>
    <x v="22"/>
    <x v="24"/>
  </r>
  <r>
    <x v="67"/>
    <x v="61"/>
    <x v="61"/>
    <x v="6"/>
    <x v="6"/>
    <x v="1"/>
    <x v="6"/>
    <x v="77"/>
  </r>
  <r>
    <x v="67"/>
    <x v="61"/>
    <x v="61"/>
    <x v="7"/>
    <x v="7"/>
    <x v="1"/>
    <x v="22"/>
    <x v="24"/>
  </r>
  <r>
    <x v="68"/>
    <x v="62"/>
    <x v="62"/>
    <x v="12"/>
    <x v="12"/>
    <x v="1"/>
    <x v="35"/>
    <x v="46"/>
  </r>
  <r>
    <x v="69"/>
    <x v="63"/>
    <x v="63"/>
    <x v="46"/>
    <x v="49"/>
    <x v="5"/>
    <x v="13"/>
    <x v="13"/>
  </r>
  <r>
    <x v="69"/>
    <x v="63"/>
    <x v="63"/>
    <x v="45"/>
    <x v="48"/>
    <x v="5"/>
    <x v="13"/>
    <x v="13"/>
  </r>
  <r>
    <x v="70"/>
    <x v="64"/>
    <x v="64"/>
    <x v="51"/>
    <x v="53"/>
    <x v="1"/>
    <x v="23"/>
    <x v="26"/>
  </r>
  <r>
    <x v="70"/>
    <x v="64"/>
    <x v="64"/>
    <x v="3"/>
    <x v="3"/>
    <x v="0"/>
    <x v="3"/>
    <x v="40"/>
  </r>
  <r>
    <x v="70"/>
    <x v="64"/>
    <x v="64"/>
    <x v="2"/>
    <x v="2"/>
    <x v="0"/>
    <x v="2"/>
    <x v="44"/>
  </r>
  <r>
    <x v="70"/>
    <x v="64"/>
    <x v="64"/>
    <x v="9"/>
    <x v="9"/>
    <x v="0"/>
    <x v="9"/>
    <x v="9"/>
  </r>
  <r>
    <x v="70"/>
    <x v="64"/>
    <x v="64"/>
    <x v="23"/>
    <x v="25"/>
    <x v="1"/>
    <x v="2"/>
    <x v="2"/>
  </r>
  <r>
    <x v="70"/>
    <x v="64"/>
    <x v="64"/>
    <x v="49"/>
    <x v="51"/>
    <x v="1"/>
    <x v="49"/>
    <x v="74"/>
  </r>
  <r>
    <x v="70"/>
    <x v="64"/>
    <x v="64"/>
    <x v="6"/>
    <x v="6"/>
    <x v="1"/>
    <x v="6"/>
    <x v="77"/>
  </r>
  <r>
    <x v="70"/>
    <x v="64"/>
    <x v="64"/>
    <x v="7"/>
    <x v="7"/>
    <x v="1"/>
    <x v="22"/>
    <x v="24"/>
  </r>
  <r>
    <x v="71"/>
    <x v="65"/>
    <x v="65"/>
    <x v="34"/>
    <x v="34"/>
    <x v="1"/>
    <x v="23"/>
    <x v="26"/>
  </r>
  <r>
    <x v="72"/>
    <x v="66"/>
    <x v="66"/>
    <x v="34"/>
    <x v="34"/>
    <x v="7"/>
    <x v="19"/>
    <x v="78"/>
  </r>
  <r>
    <x v="72"/>
    <x v="66"/>
    <x v="66"/>
    <x v="5"/>
    <x v="5"/>
    <x v="7"/>
    <x v="14"/>
    <x v="79"/>
  </r>
  <r>
    <x v="72"/>
    <x v="66"/>
    <x v="66"/>
    <x v="25"/>
    <x v="27"/>
    <x v="7"/>
    <x v="26"/>
    <x v="80"/>
  </r>
  <r>
    <x v="72"/>
    <x v="66"/>
    <x v="66"/>
    <x v="26"/>
    <x v="1"/>
    <x v="0"/>
    <x v="26"/>
    <x v="31"/>
  </r>
  <r>
    <x v="72"/>
    <x v="66"/>
    <x v="66"/>
    <x v="36"/>
    <x v="36"/>
    <x v="9"/>
    <x v="39"/>
    <x v="81"/>
  </r>
  <r>
    <x v="72"/>
    <x v="66"/>
    <x v="66"/>
    <x v="44"/>
    <x v="47"/>
    <x v="1"/>
    <x v="58"/>
    <x v="82"/>
  </r>
  <r>
    <x v="72"/>
    <x v="66"/>
    <x v="66"/>
    <x v="13"/>
    <x v="54"/>
    <x v="9"/>
    <x v="13"/>
    <x v="13"/>
  </r>
  <r>
    <x v="72"/>
    <x v="66"/>
    <x v="66"/>
    <x v="37"/>
    <x v="44"/>
    <x v="9"/>
    <x v="43"/>
    <x v="57"/>
  </r>
  <r>
    <x v="72"/>
    <x v="66"/>
    <x v="66"/>
    <x v="49"/>
    <x v="55"/>
    <x v="9"/>
    <x v="59"/>
    <x v="83"/>
  </r>
  <r>
    <x v="72"/>
    <x v="66"/>
    <x v="66"/>
    <x v="52"/>
    <x v="8"/>
    <x v="0"/>
    <x v="60"/>
    <x v="84"/>
  </r>
  <r>
    <x v="72"/>
    <x v="66"/>
    <x v="66"/>
    <x v="23"/>
    <x v="56"/>
    <x v="9"/>
    <x v="13"/>
    <x v="13"/>
  </r>
  <r>
    <x v="72"/>
    <x v="66"/>
    <x v="66"/>
    <x v="16"/>
    <x v="57"/>
    <x v="3"/>
    <x v="13"/>
    <x v="13"/>
  </r>
  <r>
    <x v="72"/>
    <x v="66"/>
    <x v="66"/>
    <x v="30"/>
    <x v="58"/>
    <x v="3"/>
    <x v="13"/>
    <x v="13"/>
  </r>
  <r>
    <x v="72"/>
    <x v="66"/>
    <x v="66"/>
    <x v="25"/>
    <x v="27"/>
    <x v="1"/>
    <x v="26"/>
    <x v="52"/>
  </r>
  <r>
    <x v="72"/>
    <x v="66"/>
    <x v="66"/>
    <x v="18"/>
    <x v="18"/>
    <x v="1"/>
    <x v="61"/>
    <x v="85"/>
  </r>
  <r>
    <x v="73"/>
    <x v="67"/>
    <x v="66"/>
    <x v="53"/>
    <x v="59"/>
    <x v="1"/>
    <x v="62"/>
    <x v="86"/>
  </r>
  <r>
    <x v="74"/>
    <x v="68"/>
    <x v="67"/>
    <x v="54"/>
    <x v="8"/>
    <x v="0"/>
    <x v="20"/>
    <x v="87"/>
  </r>
  <r>
    <x v="74"/>
    <x v="68"/>
    <x v="67"/>
    <x v="36"/>
    <x v="36"/>
    <x v="0"/>
    <x v="55"/>
    <x v="70"/>
  </r>
  <r>
    <x v="75"/>
    <x v="57"/>
    <x v="68"/>
    <x v="2"/>
    <x v="2"/>
    <x v="9"/>
    <x v="2"/>
    <x v="88"/>
  </r>
  <r>
    <x v="75"/>
    <x v="57"/>
    <x v="68"/>
    <x v="6"/>
    <x v="6"/>
    <x v="3"/>
    <x v="6"/>
    <x v="6"/>
  </r>
  <r>
    <x v="75"/>
    <x v="57"/>
    <x v="68"/>
    <x v="7"/>
    <x v="7"/>
    <x v="3"/>
    <x v="7"/>
    <x v="7"/>
  </r>
  <r>
    <x v="75"/>
    <x v="57"/>
    <x v="68"/>
    <x v="37"/>
    <x v="44"/>
    <x v="3"/>
    <x v="48"/>
    <x v="89"/>
  </r>
  <r>
    <x v="75"/>
    <x v="57"/>
    <x v="68"/>
    <x v="16"/>
    <x v="17"/>
    <x v="3"/>
    <x v="13"/>
    <x v="13"/>
  </r>
  <r>
    <x v="75"/>
    <x v="57"/>
    <x v="68"/>
    <x v="13"/>
    <x v="8"/>
    <x v="3"/>
    <x v="13"/>
    <x v="13"/>
  </r>
  <r>
    <x v="75"/>
    <x v="57"/>
    <x v="68"/>
    <x v="44"/>
    <x v="47"/>
    <x v="1"/>
    <x v="54"/>
    <x v="69"/>
  </r>
  <r>
    <x v="76"/>
    <x v="69"/>
    <x v="69"/>
    <x v="55"/>
    <x v="52"/>
    <x v="1"/>
    <x v="57"/>
    <x v="90"/>
  </r>
  <r>
    <x v="77"/>
    <x v="55"/>
    <x v="70"/>
    <x v="34"/>
    <x v="34"/>
    <x v="1"/>
    <x v="23"/>
    <x v="26"/>
  </r>
  <r>
    <x v="77"/>
    <x v="55"/>
    <x v="70"/>
    <x v="5"/>
    <x v="5"/>
    <x v="1"/>
    <x v="5"/>
    <x v="5"/>
  </r>
  <r>
    <x v="78"/>
    <x v="70"/>
    <x v="71"/>
    <x v="34"/>
    <x v="34"/>
    <x v="9"/>
    <x v="23"/>
    <x v="64"/>
  </r>
  <r>
    <x v="78"/>
    <x v="70"/>
    <x v="71"/>
    <x v="15"/>
    <x v="23"/>
    <x v="0"/>
    <x v="22"/>
    <x v="23"/>
  </r>
  <r>
    <x v="79"/>
    <x v="71"/>
    <x v="72"/>
    <x v="2"/>
    <x v="2"/>
    <x v="1"/>
    <x v="2"/>
    <x v="2"/>
  </r>
  <r>
    <x v="80"/>
    <x v="72"/>
    <x v="73"/>
    <x v="27"/>
    <x v="28"/>
    <x v="1"/>
    <x v="45"/>
    <x v="59"/>
  </r>
  <r>
    <x v="81"/>
    <x v="61"/>
    <x v="74"/>
    <x v="25"/>
    <x v="27"/>
    <x v="1"/>
    <x v="25"/>
    <x v="34"/>
  </r>
  <r>
    <x v="81"/>
    <x v="61"/>
    <x v="74"/>
    <x v="34"/>
    <x v="34"/>
    <x v="0"/>
    <x v="23"/>
    <x v="29"/>
  </r>
  <r>
    <x v="81"/>
    <x v="61"/>
    <x v="74"/>
    <x v="5"/>
    <x v="5"/>
    <x v="0"/>
    <x v="5"/>
    <x v="91"/>
  </r>
  <r>
    <x v="82"/>
    <x v="73"/>
    <x v="75"/>
    <x v="26"/>
    <x v="1"/>
    <x v="1"/>
    <x v="25"/>
    <x v="34"/>
  </r>
  <r>
    <x v="83"/>
    <x v="74"/>
    <x v="76"/>
    <x v="56"/>
    <x v="60"/>
    <x v="3"/>
    <x v="18"/>
    <x v="92"/>
  </r>
  <r>
    <x v="83"/>
    <x v="74"/>
    <x v="76"/>
    <x v="13"/>
    <x v="61"/>
    <x v="8"/>
    <x v="13"/>
    <x v="13"/>
  </r>
  <r>
    <x v="83"/>
    <x v="74"/>
    <x v="76"/>
    <x v="49"/>
    <x v="62"/>
    <x v="8"/>
    <x v="59"/>
    <x v="93"/>
  </r>
  <r>
    <x v="83"/>
    <x v="74"/>
    <x v="76"/>
    <x v="51"/>
    <x v="53"/>
    <x v="15"/>
    <x v="19"/>
    <x v="94"/>
  </r>
  <r>
    <x v="83"/>
    <x v="74"/>
    <x v="76"/>
    <x v="16"/>
    <x v="17"/>
    <x v="3"/>
    <x v="13"/>
    <x v="13"/>
  </r>
  <r>
    <x v="83"/>
    <x v="74"/>
    <x v="76"/>
    <x v="20"/>
    <x v="18"/>
    <x v="1"/>
    <x v="63"/>
    <x v="95"/>
  </r>
  <r>
    <x v="84"/>
    <x v="43"/>
    <x v="76"/>
    <x v="57"/>
    <x v="18"/>
    <x v="1"/>
    <x v="13"/>
    <x v="13"/>
  </r>
  <r>
    <x v="84"/>
    <x v="43"/>
    <x v="76"/>
    <x v="58"/>
    <x v="63"/>
    <x v="1"/>
    <x v="13"/>
    <x v="13"/>
  </r>
  <r>
    <x v="84"/>
    <x v="43"/>
    <x v="76"/>
    <x v="18"/>
    <x v="18"/>
    <x v="1"/>
    <x v="64"/>
    <x v="96"/>
  </r>
  <r>
    <x v="85"/>
    <x v="43"/>
    <x v="76"/>
    <x v="25"/>
    <x v="27"/>
    <x v="7"/>
    <x v="26"/>
    <x v="80"/>
  </r>
  <r>
    <x v="85"/>
    <x v="43"/>
    <x v="76"/>
    <x v="18"/>
    <x v="18"/>
    <x v="1"/>
    <x v="65"/>
    <x v="97"/>
  </r>
  <r>
    <x v="86"/>
    <x v="32"/>
    <x v="76"/>
    <x v="44"/>
    <x v="47"/>
    <x v="1"/>
    <x v="58"/>
    <x v="82"/>
  </r>
  <r>
    <x v="87"/>
    <x v="75"/>
    <x v="77"/>
    <x v="0"/>
    <x v="0"/>
    <x v="1"/>
    <x v="0"/>
    <x v="41"/>
  </r>
  <r>
    <x v="88"/>
    <x v="76"/>
    <x v="78"/>
    <x v="25"/>
    <x v="27"/>
    <x v="1"/>
    <x v="25"/>
    <x v="34"/>
  </r>
  <r>
    <x v="89"/>
    <x v="77"/>
    <x v="79"/>
    <x v="59"/>
    <x v="64"/>
    <x v="1"/>
    <x v="66"/>
    <x v="98"/>
  </r>
  <r>
    <x v="90"/>
    <x v="27"/>
    <x v="80"/>
    <x v="27"/>
    <x v="28"/>
    <x v="9"/>
    <x v="27"/>
    <x v="99"/>
  </r>
  <r>
    <x v="90"/>
    <x v="27"/>
    <x v="80"/>
    <x v="44"/>
    <x v="47"/>
    <x v="0"/>
    <x v="58"/>
    <x v="100"/>
  </r>
  <r>
    <x v="90"/>
    <x v="27"/>
    <x v="80"/>
    <x v="12"/>
    <x v="12"/>
    <x v="0"/>
    <x v="12"/>
    <x v="101"/>
  </r>
  <r>
    <x v="90"/>
    <x v="27"/>
    <x v="80"/>
    <x v="25"/>
    <x v="27"/>
    <x v="3"/>
    <x v="26"/>
    <x v="102"/>
  </r>
  <r>
    <x v="90"/>
    <x v="27"/>
    <x v="80"/>
    <x v="34"/>
    <x v="34"/>
    <x v="4"/>
    <x v="19"/>
    <x v="103"/>
  </r>
  <r>
    <x v="90"/>
    <x v="27"/>
    <x v="80"/>
    <x v="5"/>
    <x v="5"/>
    <x v="4"/>
    <x v="14"/>
    <x v="14"/>
  </r>
  <r>
    <x v="90"/>
    <x v="27"/>
    <x v="80"/>
    <x v="32"/>
    <x v="32"/>
    <x v="9"/>
    <x v="36"/>
    <x v="104"/>
  </r>
  <r>
    <x v="90"/>
    <x v="27"/>
    <x v="80"/>
    <x v="15"/>
    <x v="23"/>
    <x v="2"/>
    <x v="67"/>
    <x v="105"/>
  </r>
  <r>
    <x v="90"/>
    <x v="27"/>
    <x v="80"/>
    <x v="18"/>
    <x v="18"/>
    <x v="1"/>
    <x v="68"/>
    <x v="106"/>
  </r>
  <r>
    <x v="91"/>
    <x v="17"/>
    <x v="80"/>
    <x v="60"/>
    <x v="65"/>
    <x v="3"/>
    <x v="69"/>
    <x v="107"/>
  </r>
  <r>
    <x v="91"/>
    <x v="17"/>
    <x v="80"/>
    <x v="18"/>
    <x v="18"/>
    <x v="1"/>
    <x v="70"/>
    <x v="108"/>
  </r>
  <r>
    <x v="92"/>
    <x v="78"/>
    <x v="81"/>
    <x v="1"/>
    <x v="1"/>
    <x v="1"/>
    <x v="1"/>
    <x v="1"/>
  </r>
  <r>
    <x v="92"/>
    <x v="78"/>
    <x v="81"/>
    <x v="6"/>
    <x v="6"/>
    <x v="0"/>
    <x v="6"/>
    <x v="28"/>
  </r>
  <r>
    <x v="92"/>
    <x v="78"/>
    <x v="81"/>
    <x v="7"/>
    <x v="7"/>
    <x v="0"/>
    <x v="22"/>
    <x v="23"/>
  </r>
  <r>
    <x v="93"/>
    <x v="79"/>
    <x v="82"/>
    <x v="6"/>
    <x v="6"/>
    <x v="0"/>
    <x v="6"/>
    <x v="28"/>
  </r>
  <r>
    <x v="93"/>
    <x v="79"/>
    <x v="82"/>
    <x v="7"/>
    <x v="7"/>
    <x v="0"/>
    <x v="22"/>
    <x v="23"/>
  </r>
  <r>
    <x v="93"/>
    <x v="79"/>
    <x v="82"/>
    <x v="19"/>
    <x v="21"/>
    <x v="1"/>
    <x v="23"/>
    <x v="26"/>
  </r>
  <r>
    <x v="93"/>
    <x v="79"/>
    <x v="82"/>
    <x v="7"/>
    <x v="7"/>
    <x v="1"/>
    <x v="22"/>
    <x v="24"/>
  </r>
  <r>
    <x v="94"/>
    <x v="80"/>
    <x v="83"/>
    <x v="61"/>
    <x v="66"/>
    <x v="0"/>
    <x v="71"/>
    <x v="109"/>
  </r>
  <r>
    <x v="95"/>
    <x v="81"/>
    <x v="84"/>
    <x v="26"/>
    <x v="1"/>
    <x v="0"/>
    <x v="25"/>
    <x v="30"/>
  </r>
  <r>
    <x v="95"/>
    <x v="81"/>
    <x v="84"/>
    <x v="4"/>
    <x v="4"/>
    <x v="9"/>
    <x v="4"/>
    <x v="110"/>
  </r>
  <r>
    <x v="95"/>
    <x v="81"/>
    <x v="84"/>
    <x v="19"/>
    <x v="21"/>
    <x v="1"/>
    <x v="23"/>
    <x v="26"/>
  </r>
  <r>
    <x v="95"/>
    <x v="81"/>
    <x v="84"/>
    <x v="7"/>
    <x v="7"/>
    <x v="1"/>
    <x v="22"/>
    <x v="24"/>
  </r>
  <r>
    <x v="96"/>
    <x v="82"/>
    <x v="85"/>
    <x v="13"/>
    <x v="8"/>
    <x v="1"/>
    <x v="32"/>
    <x v="39"/>
  </r>
  <r>
    <x v="96"/>
    <x v="82"/>
    <x v="85"/>
    <x v="7"/>
    <x v="7"/>
    <x v="7"/>
    <x v="22"/>
    <x v="111"/>
  </r>
  <r>
    <x v="97"/>
    <x v="83"/>
    <x v="86"/>
    <x v="34"/>
    <x v="34"/>
    <x v="0"/>
    <x v="23"/>
    <x v="29"/>
  </r>
  <r>
    <x v="98"/>
    <x v="84"/>
    <x v="87"/>
    <x v="34"/>
    <x v="34"/>
    <x v="0"/>
    <x v="23"/>
    <x v="29"/>
  </r>
  <r>
    <x v="98"/>
    <x v="84"/>
    <x v="87"/>
    <x v="7"/>
    <x v="7"/>
    <x v="1"/>
    <x v="22"/>
    <x v="24"/>
  </r>
  <r>
    <x v="98"/>
    <x v="84"/>
    <x v="87"/>
    <x v="15"/>
    <x v="23"/>
    <x v="1"/>
    <x v="22"/>
    <x v="24"/>
  </r>
  <r>
    <x v="98"/>
    <x v="84"/>
    <x v="87"/>
    <x v="16"/>
    <x v="17"/>
    <x v="0"/>
    <x v="47"/>
    <x v="112"/>
  </r>
  <r>
    <x v="99"/>
    <x v="85"/>
    <x v="88"/>
    <x v="62"/>
    <x v="8"/>
    <x v="1"/>
    <x v="49"/>
    <x v="74"/>
  </r>
  <r>
    <x v="99"/>
    <x v="85"/>
    <x v="88"/>
    <x v="48"/>
    <x v="8"/>
    <x v="1"/>
    <x v="56"/>
    <x v="72"/>
  </r>
  <r>
    <x v="100"/>
    <x v="85"/>
    <x v="88"/>
    <x v="63"/>
    <x v="8"/>
    <x v="0"/>
    <x v="32"/>
    <x v="113"/>
  </r>
  <r>
    <x v="101"/>
    <x v="86"/>
    <x v="89"/>
    <x v="64"/>
    <x v="67"/>
    <x v="9"/>
    <x v="72"/>
    <x v="114"/>
  </r>
  <r>
    <x v="101"/>
    <x v="86"/>
    <x v="89"/>
    <x v="49"/>
    <x v="51"/>
    <x v="0"/>
    <x v="73"/>
    <x v="115"/>
  </r>
  <r>
    <x v="101"/>
    <x v="86"/>
    <x v="89"/>
    <x v="8"/>
    <x v="8"/>
    <x v="0"/>
    <x v="62"/>
    <x v="116"/>
  </r>
  <r>
    <x v="101"/>
    <x v="86"/>
    <x v="89"/>
    <x v="63"/>
    <x v="8"/>
    <x v="9"/>
    <x v="60"/>
    <x v="117"/>
  </r>
  <r>
    <x v="101"/>
    <x v="86"/>
    <x v="89"/>
    <x v="19"/>
    <x v="21"/>
    <x v="1"/>
    <x v="19"/>
    <x v="118"/>
  </r>
  <r>
    <x v="101"/>
    <x v="86"/>
    <x v="89"/>
    <x v="30"/>
    <x v="30"/>
    <x v="9"/>
    <x v="13"/>
    <x v="13"/>
  </r>
  <r>
    <x v="101"/>
    <x v="86"/>
    <x v="89"/>
    <x v="18"/>
    <x v="18"/>
    <x v="1"/>
    <x v="44"/>
    <x v="58"/>
  </r>
  <r>
    <x v="102"/>
    <x v="87"/>
    <x v="89"/>
    <x v="55"/>
    <x v="52"/>
    <x v="1"/>
    <x v="57"/>
    <x v="90"/>
  </r>
  <r>
    <x v="102"/>
    <x v="87"/>
    <x v="89"/>
    <x v="9"/>
    <x v="9"/>
    <x v="1"/>
    <x v="9"/>
    <x v="119"/>
  </r>
  <r>
    <x v="102"/>
    <x v="87"/>
    <x v="89"/>
    <x v="65"/>
    <x v="68"/>
    <x v="3"/>
    <x v="13"/>
    <x v="13"/>
  </r>
  <r>
    <x v="102"/>
    <x v="87"/>
    <x v="89"/>
    <x v="66"/>
    <x v="69"/>
    <x v="4"/>
    <x v="13"/>
    <x v="13"/>
  </r>
  <r>
    <x v="102"/>
    <x v="87"/>
    <x v="89"/>
    <x v="67"/>
    <x v="70"/>
    <x v="1"/>
    <x v="13"/>
    <x v="13"/>
  </r>
  <r>
    <x v="102"/>
    <x v="87"/>
    <x v="89"/>
    <x v="68"/>
    <x v="71"/>
    <x v="9"/>
    <x v="13"/>
    <x v="13"/>
  </r>
  <r>
    <x v="102"/>
    <x v="87"/>
    <x v="89"/>
    <x v="69"/>
    <x v="72"/>
    <x v="16"/>
    <x v="13"/>
    <x v="13"/>
  </r>
  <r>
    <x v="102"/>
    <x v="87"/>
    <x v="89"/>
    <x v="58"/>
    <x v="73"/>
    <x v="1"/>
    <x v="74"/>
    <x v="83"/>
  </r>
  <r>
    <x v="102"/>
    <x v="87"/>
    <x v="89"/>
    <x v="18"/>
    <x v="18"/>
    <x v="1"/>
    <x v="75"/>
    <x v="120"/>
  </r>
  <r>
    <x v="103"/>
    <x v="88"/>
    <x v="90"/>
    <x v="34"/>
    <x v="34"/>
    <x v="1"/>
    <x v="23"/>
    <x v="26"/>
  </r>
  <r>
    <x v="104"/>
    <x v="89"/>
    <x v="91"/>
    <x v="19"/>
    <x v="21"/>
    <x v="1"/>
    <x v="23"/>
    <x v="26"/>
  </r>
  <r>
    <x v="104"/>
    <x v="89"/>
    <x v="91"/>
    <x v="7"/>
    <x v="7"/>
    <x v="1"/>
    <x v="22"/>
    <x v="24"/>
  </r>
  <r>
    <x v="104"/>
    <x v="89"/>
    <x v="91"/>
    <x v="7"/>
    <x v="7"/>
    <x v="1"/>
    <x v="22"/>
    <x v="24"/>
  </r>
  <r>
    <x v="105"/>
    <x v="90"/>
    <x v="92"/>
    <x v="3"/>
    <x v="3"/>
    <x v="1"/>
    <x v="3"/>
    <x v="3"/>
  </r>
  <r>
    <x v="105"/>
    <x v="90"/>
    <x v="92"/>
    <x v="2"/>
    <x v="2"/>
    <x v="1"/>
    <x v="2"/>
    <x v="2"/>
  </r>
  <r>
    <x v="105"/>
    <x v="90"/>
    <x v="92"/>
    <x v="70"/>
    <x v="74"/>
    <x v="1"/>
    <x v="47"/>
    <x v="121"/>
  </r>
  <r>
    <x v="106"/>
    <x v="91"/>
    <x v="93"/>
    <x v="25"/>
    <x v="27"/>
    <x v="1"/>
    <x v="25"/>
    <x v="34"/>
  </r>
  <r>
    <x v="107"/>
    <x v="92"/>
    <x v="94"/>
    <x v="1"/>
    <x v="1"/>
    <x v="1"/>
    <x v="1"/>
    <x v="1"/>
  </r>
  <r>
    <x v="108"/>
    <x v="93"/>
    <x v="95"/>
    <x v="25"/>
    <x v="27"/>
    <x v="1"/>
    <x v="25"/>
    <x v="34"/>
  </r>
  <r>
    <x v="108"/>
    <x v="93"/>
    <x v="95"/>
    <x v="36"/>
    <x v="36"/>
    <x v="0"/>
    <x v="55"/>
    <x v="70"/>
  </r>
  <r>
    <x v="108"/>
    <x v="93"/>
    <x v="95"/>
    <x v="16"/>
    <x v="17"/>
    <x v="0"/>
    <x v="13"/>
    <x v="13"/>
  </r>
  <r>
    <x v="108"/>
    <x v="93"/>
    <x v="95"/>
    <x v="13"/>
    <x v="8"/>
    <x v="0"/>
    <x v="13"/>
    <x v="13"/>
  </r>
  <r>
    <x v="108"/>
    <x v="93"/>
    <x v="95"/>
    <x v="40"/>
    <x v="43"/>
    <x v="9"/>
    <x v="47"/>
    <x v="61"/>
  </r>
  <r>
    <x v="109"/>
    <x v="94"/>
    <x v="96"/>
    <x v="2"/>
    <x v="2"/>
    <x v="0"/>
    <x v="2"/>
    <x v="44"/>
  </r>
  <r>
    <x v="109"/>
    <x v="94"/>
    <x v="96"/>
    <x v="9"/>
    <x v="9"/>
    <x v="0"/>
    <x v="9"/>
    <x v="9"/>
  </r>
  <r>
    <x v="110"/>
    <x v="95"/>
    <x v="97"/>
    <x v="0"/>
    <x v="0"/>
    <x v="1"/>
    <x v="0"/>
    <x v="41"/>
  </r>
  <r>
    <x v="111"/>
    <x v="94"/>
    <x v="98"/>
    <x v="54"/>
    <x v="8"/>
    <x v="1"/>
    <x v="56"/>
    <x v="72"/>
  </r>
  <r>
    <x v="112"/>
    <x v="96"/>
    <x v="99"/>
    <x v="71"/>
    <x v="75"/>
    <x v="17"/>
    <x v="13"/>
    <x v="13"/>
  </r>
  <r>
    <x v="112"/>
    <x v="96"/>
    <x v="99"/>
    <x v="72"/>
    <x v="75"/>
    <x v="17"/>
    <x v="13"/>
    <x v="13"/>
  </r>
  <r>
    <x v="113"/>
    <x v="97"/>
    <x v="99"/>
    <x v="71"/>
    <x v="75"/>
    <x v="17"/>
    <x v="13"/>
    <x v="13"/>
  </r>
  <r>
    <x v="113"/>
    <x v="97"/>
    <x v="99"/>
    <x v="72"/>
    <x v="75"/>
    <x v="17"/>
    <x v="13"/>
    <x v="13"/>
  </r>
  <r>
    <x v="114"/>
    <x v="98"/>
    <x v="99"/>
    <x v="71"/>
    <x v="75"/>
    <x v="17"/>
    <x v="13"/>
    <x v="13"/>
  </r>
  <r>
    <x v="114"/>
    <x v="98"/>
    <x v="99"/>
    <x v="72"/>
    <x v="75"/>
    <x v="17"/>
    <x v="13"/>
    <x v="13"/>
  </r>
  <r>
    <x v="115"/>
    <x v="99"/>
    <x v="99"/>
    <x v="36"/>
    <x v="36"/>
    <x v="0"/>
    <x v="55"/>
    <x v="70"/>
  </r>
  <r>
    <x v="115"/>
    <x v="99"/>
    <x v="99"/>
    <x v="16"/>
    <x v="17"/>
    <x v="0"/>
    <x v="13"/>
    <x v="13"/>
  </r>
  <r>
    <x v="115"/>
    <x v="99"/>
    <x v="99"/>
    <x v="30"/>
    <x v="30"/>
    <x v="0"/>
    <x v="13"/>
    <x v="13"/>
  </r>
  <r>
    <x v="115"/>
    <x v="99"/>
    <x v="99"/>
    <x v="13"/>
    <x v="8"/>
    <x v="0"/>
    <x v="13"/>
    <x v="13"/>
  </r>
  <r>
    <x v="115"/>
    <x v="99"/>
    <x v="99"/>
    <x v="20"/>
    <x v="18"/>
    <x v="1"/>
    <x v="76"/>
    <x v="122"/>
  </r>
  <r>
    <x v="116"/>
    <x v="100"/>
    <x v="99"/>
    <x v="71"/>
    <x v="75"/>
    <x v="17"/>
    <x v="13"/>
    <x v="13"/>
  </r>
  <r>
    <x v="116"/>
    <x v="100"/>
    <x v="99"/>
    <x v="72"/>
    <x v="75"/>
    <x v="17"/>
    <x v="13"/>
    <x v="13"/>
  </r>
  <r>
    <x v="117"/>
    <x v="43"/>
    <x v="99"/>
    <x v="72"/>
    <x v="75"/>
    <x v="17"/>
    <x v="13"/>
    <x v="13"/>
  </r>
  <r>
    <x v="118"/>
    <x v="101"/>
    <x v="100"/>
    <x v="32"/>
    <x v="32"/>
    <x v="1"/>
    <x v="34"/>
    <x v="43"/>
  </r>
  <r>
    <x v="118"/>
    <x v="101"/>
    <x v="100"/>
    <x v="73"/>
    <x v="76"/>
    <x v="9"/>
    <x v="77"/>
    <x v="123"/>
  </r>
  <r>
    <x v="119"/>
    <x v="20"/>
    <x v="101"/>
    <x v="26"/>
    <x v="1"/>
    <x v="0"/>
    <x v="25"/>
    <x v="30"/>
  </r>
  <r>
    <x v="120"/>
    <x v="60"/>
    <x v="102"/>
    <x v="27"/>
    <x v="28"/>
    <x v="1"/>
    <x v="78"/>
    <x v="124"/>
  </r>
  <r>
    <x v="121"/>
    <x v="102"/>
    <x v="103"/>
    <x v="26"/>
    <x v="1"/>
    <x v="1"/>
    <x v="25"/>
    <x v="34"/>
  </r>
  <r>
    <x v="122"/>
    <x v="103"/>
    <x v="104"/>
    <x v="49"/>
    <x v="51"/>
    <x v="1"/>
    <x v="49"/>
    <x v="74"/>
  </r>
  <r>
    <x v="123"/>
    <x v="104"/>
    <x v="105"/>
    <x v="44"/>
    <x v="47"/>
    <x v="1"/>
    <x v="54"/>
    <x v="69"/>
  </r>
  <r>
    <x v="124"/>
    <x v="100"/>
    <x v="106"/>
    <x v="44"/>
    <x v="47"/>
    <x v="1"/>
    <x v="58"/>
    <x v="82"/>
  </r>
  <r>
    <x v="124"/>
    <x v="100"/>
    <x v="106"/>
    <x v="61"/>
    <x v="66"/>
    <x v="0"/>
    <x v="79"/>
    <x v="125"/>
  </r>
  <r>
    <x v="124"/>
    <x v="100"/>
    <x v="106"/>
    <x v="18"/>
    <x v="18"/>
    <x v="1"/>
    <x v="30"/>
    <x v="37"/>
  </r>
  <r>
    <x v="125"/>
    <x v="105"/>
    <x v="107"/>
    <x v="7"/>
    <x v="7"/>
    <x v="1"/>
    <x v="22"/>
    <x v="24"/>
  </r>
  <r>
    <x v="125"/>
    <x v="105"/>
    <x v="107"/>
    <x v="15"/>
    <x v="23"/>
    <x v="1"/>
    <x v="22"/>
    <x v="24"/>
  </r>
  <r>
    <x v="126"/>
    <x v="106"/>
    <x v="108"/>
    <x v="25"/>
    <x v="27"/>
    <x v="1"/>
    <x v="25"/>
    <x v="34"/>
  </r>
  <r>
    <x v="127"/>
    <x v="107"/>
    <x v="109"/>
    <x v="1"/>
    <x v="1"/>
    <x v="1"/>
    <x v="80"/>
    <x v="126"/>
  </r>
  <r>
    <x v="128"/>
    <x v="108"/>
    <x v="110"/>
    <x v="14"/>
    <x v="8"/>
    <x v="7"/>
    <x v="81"/>
    <x v="127"/>
  </r>
  <r>
    <x v="129"/>
    <x v="109"/>
    <x v="111"/>
    <x v="27"/>
    <x v="28"/>
    <x v="1"/>
    <x v="45"/>
    <x v="59"/>
  </r>
  <r>
    <x v="130"/>
    <x v="110"/>
    <x v="112"/>
    <x v="34"/>
    <x v="34"/>
    <x v="0"/>
    <x v="23"/>
    <x v="29"/>
  </r>
  <r>
    <x v="131"/>
    <x v="111"/>
    <x v="113"/>
    <x v="19"/>
    <x v="21"/>
    <x v="1"/>
    <x v="23"/>
    <x v="26"/>
  </r>
  <r>
    <x v="131"/>
    <x v="111"/>
    <x v="113"/>
    <x v="7"/>
    <x v="7"/>
    <x v="1"/>
    <x v="22"/>
    <x v="24"/>
  </r>
  <r>
    <x v="132"/>
    <x v="112"/>
    <x v="114"/>
    <x v="37"/>
    <x v="44"/>
    <x v="0"/>
    <x v="48"/>
    <x v="62"/>
  </r>
  <r>
    <x v="132"/>
    <x v="112"/>
    <x v="114"/>
    <x v="16"/>
    <x v="17"/>
    <x v="0"/>
    <x v="13"/>
    <x v="13"/>
  </r>
  <r>
    <x v="132"/>
    <x v="112"/>
    <x v="114"/>
    <x v="23"/>
    <x v="25"/>
    <x v="0"/>
    <x v="13"/>
    <x v="13"/>
  </r>
  <r>
    <x v="132"/>
    <x v="112"/>
    <x v="114"/>
    <x v="8"/>
    <x v="8"/>
    <x v="0"/>
    <x v="82"/>
    <x v="128"/>
  </r>
  <r>
    <x v="132"/>
    <x v="112"/>
    <x v="114"/>
    <x v="40"/>
    <x v="43"/>
    <x v="0"/>
    <x v="47"/>
    <x v="112"/>
  </r>
  <r>
    <x v="132"/>
    <x v="112"/>
    <x v="114"/>
    <x v="37"/>
    <x v="44"/>
    <x v="9"/>
    <x v="48"/>
    <x v="129"/>
  </r>
  <r>
    <x v="132"/>
    <x v="112"/>
    <x v="114"/>
    <x v="16"/>
    <x v="17"/>
    <x v="9"/>
    <x v="13"/>
    <x v="13"/>
  </r>
  <r>
    <x v="132"/>
    <x v="112"/>
    <x v="114"/>
    <x v="23"/>
    <x v="25"/>
    <x v="9"/>
    <x v="13"/>
    <x v="13"/>
  </r>
  <r>
    <x v="132"/>
    <x v="112"/>
    <x v="114"/>
    <x v="49"/>
    <x v="51"/>
    <x v="9"/>
    <x v="83"/>
    <x v="128"/>
  </r>
  <r>
    <x v="132"/>
    <x v="112"/>
    <x v="114"/>
    <x v="40"/>
    <x v="43"/>
    <x v="9"/>
    <x v="47"/>
    <x v="61"/>
  </r>
  <r>
    <x v="132"/>
    <x v="112"/>
    <x v="114"/>
    <x v="32"/>
    <x v="32"/>
    <x v="1"/>
    <x v="34"/>
    <x v="43"/>
  </r>
  <r>
    <x v="132"/>
    <x v="112"/>
    <x v="114"/>
    <x v="35"/>
    <x v="35"/>
    <x v="0"/>
    <x v="84"/>
    <x v="130"/>
  </r>
  <r>
    <x v="132"/>
    <x v="112"/>
    <x v="114"/>
    <x v="32"/>
    <x v="32"/>
    <x v="7"/>
    <x v="34"/>
    <x v="104"/>
  </r>
  <r>
    <x v="132"/>
    <x v="112"/>
    <x v="114"/>
    <x v="73"/>
    <x v="76"/>
    <x v="17"/>
    <x v="77"/>
    <x v="131"/>
  </r>
  <r>
    <x v="132"/>
    <x v="112"/>
    <x v="114"/>
    <x v="74"/>
    <x v="77"/>
    <x v="9"/>
    <x v="77"/>
    <x v="123"/>
  </r>
  <r>
    <x v="132"/>
    <x v="112"/>
    <x v="114"/>
    <x v="75"/>
    <x v="78"/>
    <x v="9"/>
    <x v="24"/>
    <x v="132"/>
  </r>
  <r>
    <x v="133"/>
    <x v="113"/>
    <x v="115"/>
    <x v="76"/>
    <x v="79"/>
    <x v="0"/>
    <x v="85"/>
    <x v="133"/>
  </r>
  <r>
    <x v="133"/>
    <x v="113"/>
    <x v="115"/>
    <x v="50"/>
    <x v="52"/>
    <x v="0"/>
    <x v="57"/>
    <x v="75"/>
  </r>
  <r>
    <x v="133"/>
    <x v="113"/>
    <x v="115"/>
    <x v="73"/>
    <x v="76"/>
    <x v="0"/>
    <x v="77"/>
    <x v="134"/>
  </r>
  <r>
    <x v="134"/>
    <x v="113"/>
    <x v="116"/>
    <x v="32"/>
    <x v="32"/>
    <x v="9"/>
    <x v="34"/>
    <x v="135"/>
  </r>
  <r>
    <x v="134"/>
    <x v="113"/>
    <x v="116"/>
    <x v="73"/>
    <x v="76"/>
    <x v="9"/>
    <x v="77"/>
    <x v="123"/>
  </r>
  <r>
    <x v="135"/>
    <x v="114"/>
    <x v="117"/>
    <x v="12"/>
    <x v="12"/>
    <x v="1"/>
    <x v="86"/>
    <x v="136"/>
  </r>
  <r>
    <x v="135"/>
    <x v="114"/>
    <x v="117"/>
    <x v="18"/>
    <x v="18"/>
    <x v="1"/>
    <x v="30"/>
    <x v="37"/>
  </r>
  <r>
    <x v="136"/>
    <x v="32"/>
    <x v="117"/>
    <x v="77"/>
    <x v="80"/>
    <x v="1"/>
    <x v="13"/>
    <x v="13"/>
  </r>
  <r>
    <x v="137"/>
    <x v="31"/>
    <x v="118"/>
    <x v="36"/>
    <x v="36"/>
    <x v="0"/>
    <x v="55"/>
    <x v="70"/>
  </r>
  <r>
    <x v="137"/>
    <x v="31"/>
    <x v="118"/>
    <x v="16"/>
    <x v="17"/>
    <x v="0"/>
    <x v="13"/>
    <x v="13"/>
  </r>
  <r>
    <x v="137"/>
    <x v="31"/>
    <x v="118"/>
    <x v="30"/>
    <x v="30"/>
    <x v="0"/>
    <x v="13"/>
    <x v="13"/>
  </r>
  <r>
    <x v="137"/>
    <x v="31"/>
    <x v="118"/>
    <x v="13"/>
    <x v="8"/>
    <x v="0"/>
    <x v="13"/>
    <x v="13"/>
  </r>
  <r>
    <x v="137"/>
    <x v="31"/>
    <x v="118"/>
    <x v="36"/>
    <x v="36"/>
    <x v="0"/>
    <x v="55"/>
    <x v="70"/>
  </r>
  <r>
    <x v="137"/>
    <x v="31"/>
    <x v="118"/>
    <x v="16"/>
    <x v="17"/>
    <x v="0"/>
    <x v="13"/>
    <x v="13"/>
  </r>
  <r>
    <x v="137"/>
    <x v="31"/>
    <x v="118"/>
    <x v="30"/>
    <x v="30"/>
    <x v="0"/>
    <x v="13"/>
    <x v="13"/>
  </r>
  <r>
    <x v="137"/>
    <x v="31"/>
    <x v="118"/>
    <x v="49"/>
    <x v="51"/>
    <x v="0"/>
    <x v="83"/>
    <x v="137"/>
  </r>
  <r>
    <x v="138"/>
    <x v="58"/>
    <x v="119"/>
    <x v="54"/>
    <x v="8"/>
    <x v="1"/>
    <x v="56"/>
    <x v="72"/>
  </r>
  <r>
    <x v="139"/>
    <x v="115"/>
    <x v="120"/>
    <x v="19"/>
    <x v="21"/>
    <x v="1"/>
    <x v="23"/>
    <x v="26"/>
  </r>
  <r>
    <x v="139"/>
    <x v="115"/>
    <x v="120"/>
    <x v="7"/>
    <x v="7"/>
    <x v="1"/>
    <x v="13"/>
    <x v="13"/>
  </r>
  <r>
    <x v="139"/>
    <x v="115"/>
    <x v="120"/>
    <x v="24"/>
    <x v="26"/>
    <x v="1"/>
    <x v="24"/>
    <x v="36"/>
  </r>
  <r>
    <x v="140"/>
    <x v="116"/>
    <x v="121"/>
    <x v="44"/>
    <x v="47"/>
    <x v="1"/>
    <x v="54"/>
    <x v="69"/>
  </r>
  <r>
    <x v="141"/>
    <x v="117"/>
    <x v="122"/>
    <x v="44"/>
    <x v="47"/>
    <x v="1"/>
    <x v="54"/>
    <x v="69"/>
  </r>
  <r>
    <x v="142"/>
    <x v="118"/>
    <x v="123"/>
    <x v="50"/>
    <x v="52"/>
    <x v="7"/>
    <x v="57"/>
    <x v="138"/>
  </r>
  <r>
    <x v="143"/>
    <x v="119"/>
    <x v="124"/>
    <x v="44"/>
    <x v="47"/>
    <x v="1"/>
    <x v="58"/>
    <x v="82"/>
  </r>
  <r>
    <x v="143"/>
    <x v="119"/>
    <x v="124"/>
    <x v="78"/>
    <x v="81"/>
    <x v="1"/>
    <x v="58"/>
    <x v="82"/>
  </r>
  <r>
    <x v="143"/>
    <x v="119"/>
    <x v="124"/>
    <x v="25"/>
    <x v="27"/>
    <x v="1"/>
    <x v="26"/>
    <x v="52"/>
  </r>
  <r>
    <x v="143"/>
    <x v="119"/>
    <x v="124"/>
    <x v="79"/>
    <x v="82"/>
    <x v="0"/>
    <x v="13"/>
    <x v="13"/>
  </r>
  <r>
    <x v="143"/>
    <x v="119"/>
    <x v="124"/>
    <x v="45"/>
    <x v="83"/>
    <x v="0"/>
    <x v="13"/>
    <x v="13"/>
  </r>
  <r>
    <x v="143"/>
    <x v="119"/>
    <x v="124"/>
    <x v="80"/>
    <x v="84"/>
    <x v="1"/>
    <x v="13"/>
    <x v="13"/>
  </r>
  <r>
    <x v="143"/>
    <x v="119"/>
    <x v="124"/>
    <x v="81"/>
    <x v="85"/>
    <x v="1"/>
    <x v="13"/>
    <x v="13"/>
  </r>
  <r>
    <x v="143"/>
    <x v="119"/>
    <x v="124"/>
    <x v="18"/>
    <x v="18"/>
    <x v="1"/>
    <x v="87"/>
    <x v="139"/>
  </r>
  <r>
    <x v="144"/>
    <x v="120"/>
    <x v="124"/>
    <x v="26"/>
    <x v="86"/>
    <x v="1"/>
    <x v="25"/>
    <x v="34"/>
  </r>
  <r>
    <x v="144"/>
    <x v="120"/>
    <x v="124"/>
    <x v="18"/>
    <x v="18"/>
    <x v="1"/>
    <x v="88"/>
    <x v="140"/>
  </r>
  <r>
    <x v="145"/>
    <x v="121"/>
    <x v="124"/>
    <x v="2"/>
    <x v="2"/>
    <x v="9"/>
    <x v="42"/>
    <x v="76"/>
  </r>
  <r>
    <x v="145"/>
    <x v="121"/>
    <x v="124"/>
    <x v="18"/>
    <x v="18"/>
    <x v="1"/>
    <x v="30"/>
    <x v="37"/>
  </r>
  <r>
    <x v="146"/>
    <x v="122"/>
    <x v="125"/>
    <x v="44"/>
    <x v="47"/>
    <x v="1"/>
    <x v="54"/>
    <x v="69"/>
  </r>
  <r>
    <x v="146"/>
    <x v="122"/>
    <x v="125"/>
    <x v="25"/>
    <x v="27"/>
    <x v="1"/>
    <x v="25"/>
    <x v="34"/>
  </r>
  <r>
    <x v="146"/>
    <x v="122"/>
    <x v="125"/>
    <x v="12"/>
    <x v="12"/>
    <x v="1"/>
    <x v="35"/>
    <x v="46"/>
  </r>
  <r>
    <x v="147"/>
    <x v="123"/>
    <x v="126"/>
    <x v="34"/>
    <x v="34"/>
    <x v="0"/>
    <x v="23"/>
    <x v="29"/>
  </r>
  <r>
    <x v="148"/>
    <x v="124"/>
    <x v="127"/>
    <x v="34"/>
    <x v="34"/>
    <x v="0"/>
    <x v="23"/>
    <x v="29"/>
  </r>
  <r>
    <x v="148"/>
    <x v="124"/>
    <x v="127"/>
    <x v="15"/>
    <x v="23"/>
    <x v="0"/>
    <x v="22"/>
    <x v="23"/>
  </r>
  <r>
    <x v="148"/>
    <x v="124"/>
    <x v="127"/>
    <x v="29"/>
    <x v="8"/>
    <x v="1"/>
    <x v="24"/>
    <x v="36"/>
  </r>
  <r>
    <x v="149"/>
    <x v="54"/>
    <x v="128"/>
    <x v="24"/>
    <x v="26"/>
    <x v="1"/>
    <x v="24"/>
    <x v="36"/>
  </r>
  <r>
    <x v="150"/>
    <x v="125"/>
    <x v="129"/>
    <x v="63"/>
    <x v="8"/>
    <x v="0"/>
    <x v="32"/>
    <x v="113"/>
  </r>
  <r>
    <x v="151"/>
    <x v="126"/>
    <x v="130"/>
    <x v="44"/>
    <x v="47"/>
    <x v="1"/>
    <x v="54"/>
    <x v="69"/>
  </r>
  <r>
    <x v="152"/>
    <x v="62"/>
    <x v="131"/>
    <x v="44"/>
    <x v="47"/>
    <x v="0"/>
    <x v="54"/>
    <x v="141"/>
  </r>
  <r>
    <x v="153"/>
    <x v="28"/>
    <x v="132"/>
    <x v="10"/>
    <x v="87"/>
    <x v="16"/>
    <x v="89"/>
    <x v="142"/>
  </r>
  <r>
    <x v="153"/>
    <x v="28"/>
    <x v="132"/>
    <x v="16"/>
    <x v="88"/>
    <x v="16"/>
    <x v="13"/>
    <x v="13"/>
  </r>
  <r>
    <x v="153"/>
    <x v="28"/>
    <x v="132"/>
    <x v="82"/>
    <x v="89"/>
    <x v="10"/>
    <x v="13"/>
    <x v="13"/>
  </r>
  <r>
    <x v="153"/>
    <x v="28"/>
    <x v="132"/>
    <x v="20"/>
    <x v="18"/>
    <x v="1"/>
    <x v="90"/>
    <x v="128"/>
  </r>
</pivotCacheRecords>
</file>

<file path=xl/pivotCache/pivotCacheRecords54.xml><?xml version="1.0" encoding="utf-8"?>
<pivotCacheRecords xmlns:r="http://schemas.openxmlformats.org/officeDocument/2006/relationships" xmlns="http://schemas.openxmlformats.org/spreadsheetml/2006/main" count="386">
  <r>
    <x v="0"/>
    <x v="0"/>
    <x v="0"/>
  </r>
  <r>
    <x v="1"/>
    <x v="1"/>
    <x v="1"/>
  </r>
  <r>
    <x v="2"/>
    <x v="2"/>
    <x v="1"/>
  </r>
  <r>
    <x v="3"/>
    <x v="3"/>
    <x v="1"/>
  </r>
  <r>
    <x v="4"/>
    <x v="4"/>
    <x v="2"/>
  </r>
  <r>
    <x v="5"/>
    <x v="5"/>
    <x v="1"/>
  </r>
  <r>
    <x v="6"/>
    <x v="6"/>
    <x v="3"/>
  </r>
  <r>
    <x v="7"/>
    <x v="7"/>
    <x v="3"/>
  </r>
  <r>
    <x v="8"/>
    <x v="8"/>
    <x v="0"/>
  </r>
  <r>
    <x v="9"/>
    <x v="9"/>
    <x v="0"/>
  </r>
  <r>
    <x v="10"/>
    <x v="10"/>
    <x v="0"/>
  </r>
  <r>
    <x v="11"/>
    <x v="11"/>
    <x v="4"/>
  </r>
  <r>
    <x v="12"/>
    <x v="12"/>
    <x v="1"/>
  </r>
  <r>
    <x v="13"/>
    <x v="13"/>
    <x v="3"/>
  </r>
  <r>
    <x v="14"/>
    <x v="14"/>
    <x v="4"/>
  </r>
  <r>
    <x v="15"/>
    <x v="15"/>
    <x v="5"/>
  </r>
  <r>
    <x v="7"/>
    <x v="16"/>
    <x v="5"/>
  </r>
  <r>
    <x v="5"/>
    <x v="5"/>
    <x v="4"/>
  </r>
  <r>
    <x v="16"/>
    <x v="17"/>
    <x v="6"/>
  </r>
  <r>
    <x v="17"/>
    <x v="18"/>
    <x v="1"/>
  </r>
  <r>
    <x v="18"/>
    <x v="18"/>
    <x v="1"/>
  </r>
  <r>
    <x v="12"/>
    <x v="12"/>
    <x v="1"/>
  </r>
  <r>
    <x v="10"/>
    <x v="19"/>
    <x v="7"/>
  </r>
  <r>
    <x v="10"/>
    <x v="20"/>
    <x v="1"/>
  </r>
  <r>
    <x v="19"/>
    <x v="21"/>
    <x v="3"/>
  </r>
  <r>
    <x v="13"/>
    <x v="22"/>
    <x v="8"/>
  </r>
  <r>
    <x v="15"/>
    <x v="23"/>
    <x v="8"/>
  </r>
  <r>
    <x v="7"/>
    <x v="7"/>
    <x v="8"/>
  </r>
  <r>
    <x v="16"/>
    <x v="17"/>
    <x v="9"/>
  </r>
  <r>
    <x v="20"/>
    <x v="18"/>
    <x v="1"/>
  </r>
  <r>
    <x v="21"/>
    <x v="18"/>
    <x v="1"/>
  </r>
  <r>
    <x v="22"/>
    <x v="24"/>
    <x v="0"/>
  </r>
  <r>
    <x v="15"/>
    <x v="23"/>
    <x v="0"/>
  </r>
  <r>
    <x v="7"/>
    <x v="7"/>
    <x v="1"/>
  </r>
  <r>
    <x v="23"/>
    <x v="25"/>
    <x v="4"/>
  </r>
  <r>
    <x v="19"/>
    <x v="21"/>
    <x v="1"/>
  </r>
  <r>
    <x v="7"/>
    <x v="7"/>
    <x v="1"/>
  </r>
  <r>
    <x v="24"/>
    <x v="26"/>
    <x v="0"/>
  </r>
  <r>
    <x v="6"/>
    <x v="6"/>
    <x v="0"/>
  </r>
  <r>
    <x v="7"/>
    <x v="7"/>
    <x v="0"/>
  </r>
  <r>
    <x v="6"/>
    <x v="6"/>
    <x v="0"/>
  </r>
  <r>
    <x v="7"/>
    <x v="7"/>
    <x v="0"/>
  </r>
  <r>
    <x v="19"/>
    <x v="21"/>
    <x v="0"/>
  </r>
  <r>
    <x v="7"/>
    <x v="7"/>
    <x v="0"/>
  </r>
  <r>
    <x v="7"/>
    <x v="7"/>
    <x v="0"/>
  </r>
  <r>
    <x v="25"/>
    <x v="27"/>
    <x v="0"/>
  </r>
  <r>
    <x v="26"/>
    <x v="1"/>
    <x v="0"/>
  </r>
  <r>
    <x v="27"/>
    <x v="28"/>
    <x v="1"/>
  </r>
  <r>
    <x v="28"/>
    <x v="29"/>
    <x v="0"/>
  </r>
  <r>
    <x v="18"/>
    <x v="18"/>
    <x v="1"/>
  </r>
  <r>
    <x v="4"/>
    <x v="4"/>
    <x v="2"/>
  </r>
  <r>
    <x v="19"/>
    <x v="21"/>
    <x v="1"/>
  </r>
  <r>
    <x v="7"/>
    <x v="7"/>
    <x v="1"/>
  </r>
  <r>
    <x v="25"/>
    <x v="27"/>
    <x v="1"/>
  </r>
  <r>
    <x v="25"/>
    <x v="27"/>
    <x v="1"/>
  </r>
  <r>
    <x v="4"/>
    <x v="4"/>
    <x v="10"/>
  </r>
  <r>
    <x v="29"/>
    <x v="8"/>
    <x v="1"/>
  </r>
  <r>
    <x v="30"/>
    <x v="30"/>
    <x v="1"/>
  </r>
  <r>
    <x v="27"/>
    <x v="28"/>
    <x v="1"/>
  </r>
  <r>
    <x v="7"/>
    <x v="7"/>
    <x v="1"/>
  </r>
  <r>
    <x v="13"/>
    <x v="8"/>
    <x v="1"/>
  </r>
  <r>
    <x v="3"/>
    <x v="3"/>
    <x v="0"/>
  </r>
  <r>
    <x v="0"/>
    <x v="0"/>
    <x v="1"/>
  </r>
  <r>
    <x v="31"/>
    <x v="31"/>
    <x v="0"/>
  </r>
  <r>
    <x v="32"/>
    <x v="32"/>
    <x v="1"/>
  </r>
  <r>
    <x v="33"/>
    <x v="33"/>
    <x v="0"/>
  </r>
  <r>
    <x v="4"/>
    <x v="4"/>
    <x v="10"/>
  </r>
  <r>
    <x v="23"/>
    <x v="25"/>
    <x v="0"/>
  </r>
  <r>
    <x v="12"/>
    <x v="12"/>
    <x v="1"/>
  </r>
  <r>
    <x v="34"/>
    <x v="34"/>
    <x v="1"/>
  </r>
  <r>
    <x v="32"/>
    <x v="32"/>
    <x v="2"/>
  </r>
  <r>
    <x v="35"/>
    <x v="35"/>
    <x v="8"/>
  </r>
  <r>
    <x v="6"/>
    <x v="6"/>
    <x v="3"/>
  </r>
  <r>
    <x v="36"/>
    <x v="36"/>
    <x v="11"/>
  </r>
  <r>
    <x v="13"/>
    <x v="37"/>
    <x v="11"/>
  </r>
  <r>
    <x v="15"/>
    <x v="15"/>
    <x v="11"/>
  </r>
  <r>
    <x v="7"/>
    <x v="38"/>
    <x v="12"/>
  </r>
  <r>
    <x v="16"/>
    <x v="17"/>
    <x v="11"/>
  </r>
  <r>
    <x v="18"/>
    <x v="18"/>
    <x v="1"/>
  </r>
  <r>
    <x v="25"/>
    <x v="27"/>
    <x v="1"/>
  </r>
  <r>
    <x v="18"/>
    <x v="18"/>
    <x v="1"/>
  </r>
  <r>
    <x v="23"/>
    <x v="25"/>
    <x v="4"/>
  </r>
  <r>
    <x v="18"/>
    <x v="18"/>
    <x v="1"/>
  </r>
  <r>
    <x v="25"/>
    <x v="27"/>
    <x v="1"/>
  </r>
  <r>
    <x v="34"/>
    <x v="34"/>
    <x v="0"/>
  </r>
  <r>
    <x v="6"/>
    <x v="6"/>
    <x v="9"/>
  </r>
  <r>
    <x v="7"/>
    <x v="7"/>
    <x v="9"/>
  </r>
  <r>
    <x v="37"/>
    <x v="39"/>
    <x v="9"/>
  </r>
  <r>
    <x v="38"/>
    <x v="40"/>
    <x v="9"/>
  </r>
  <r>
    <x v="39"/>
    <x v="41"/>
    <x v="0"/>
  </r>
  <r>
    <x v="16"/>
    <x v="42"/>
    <x v="9"/>
  </r>
  <r>
    <x v="20"/>
    <x v="18"/>
    <x v="1"/>
  </r>
  <r>
    <x v="28"/>
    <x v="29"/>
    <x v="1"/>
  </r>
  <r>
    <x v="27"/>
    <x v="28"/>
    <x v="1"/>
  </r>
  <r>
    <x v="11"/>
    <x v="36"/>
    <x v="0"/>
  </r>
  <r>
    <x v="16"/>
    <x v="17"/>
    <x v="0"/>
  </r>
  <r>
    <x v="30"/>
    <x v="30"/>
    <x v="0"/>
  </r>
  <r>
    <x v="13"/>
    <x v="8"/>
    <x v="0"/>
  </r>
  <r>
    <x v="40"/>
    <x v="43"/>
    <x v="9"/>
  </r>
  <r>
    <x v="37"/>
    <x v="44"/>
    <x v="0"/>
  </r>
  <r>
    <x v="16"/>
    <x v="17"/>
    <x v="0"/>
  </r>
  <r>
    <x v="23"/>
    <x v="25"/>
    <x v="0"/>
  </r>
  <r>
    <x v="30"/>
    <x v="30"/>
    <x v="0"/>
  </r>
  <r>
    <x v="13"/>
    <x v="8"/>
    <x v="0"/>
  </r>
  <r>
    <x v="41"/>
    <x v="8"/>
    <x v="0"/>
  </r>
  <r>
    <x v="6"/>
    <x v="6"/>
    <x v="9"/>
  </r>
  <r>
    <x v="7"/>
    <x v="7"/>
    <x v="9"/>
  </r>
  <r>
    <x v="34"/>
    <x v="34"/>
    <x v="0"/>
  </r>
  <r>
    <x v="0"/>
    <x v="0"/>
    <x v="1"/>
  </r>
  <r>
    <x v="19"/>
    <x v="21"/>
    <x v="9"/>
  </r>
  <r>
    <x v="7"/>
    <x v="7"/>
    <x v="9"/>
  </r>
  <r>
    <x v="42"/>
    <x v="45"/>
    <x v="13"/>
  </r>
  <r>
    <x v="43"/>
    <x v="46"/>
    <x v="14"/>
  </r>
  <r>
    <x v="26"/>
    <x v="1"/>
    <x v="1"/>
  </r>
  <r>
    <x v="26"/>
    <x v="1"/>
    <x v="1"/>
  </r>
  <r>
    <x v="34"/>
    <x v="34"/>
    <x v="1"/>
  </r>
  <r>
    <x v="44"/>
    <x v="47"/>
    <x v="1"/>
  </r>
  <r>
    <x v="36"/>
    <x v="36"/>
    <x v="0"/>
  </r>
  <r>
    <x v="16"/>
    <x v="17"/>
    <x v="0"/>
  </r>
  <r>
    <x v="30"/>
    <x v="30"/>
    <x v="0"/>
  </r>
  <r>
    <x v="13"/>
    <x v="8"/>
    <x v="0"/>
  </r>
  <r>
    <x v="1"/>
    <x v="1"/>
    <x v="1"/>
  </r>
  <r>
    <x v="45"/>
    <x v="48"/>
    <x v="0"/>
  </r>
  <r>
    <x v="46"/>
    <x v="49"/>
    <x v="0"/>
  </r>
  <r>
    <x v="47"/>
    <x v="50"/>
    <x v="1"/>
  </r>
  <r>
    <x v="13"/>
    <x v="8"/>
    <x v="1"/>
  </r>
  <r>
    <x v="30"/>
    <x v="30"/>
    <x v="1"/>
  </r>
  <r>
    <x v="25"/>
    <x v="27"/>
    <x v="7"/>
  </r>
  <r>
    <x v="5"/>
    <x v="5"/>
    <x v="1"/>
  </r>
  <r>
    <x v="34"/>
    <x v="34"/>
    <x v="1"/>
  </r>
  <r>
    <x v="27"/>
    <x v="28"/>
    <x v="1"/>
  </r>
  <r>
    <x v="34"/>
    <x v="34"/>
    <x v="1"/>
  </r>
  <r>
    <x v="48"/>
    <x v="8"/>
    <x v="1"/>
  </r>
  <r>
    <x v="1"/>
    <x v="1"/>
    <x v="1"/>
  </r>
  <r>
    <x v="19"/>
    <x v="21"/>
    <x v="0"/>
  </r>
  <r>
    <x v="7"/>
    <x v="7"/>
    <x v="0"/>
  </r>
  <r>
    <x v="15"/>
    <x v="23"/>
    <x v="0"/>
  </r>
  <r>
    <x v="26"/>
    <x v="1"/>
    <x v="1"/>
  </r>
  <r>
    <x v="48"/>
    <x v="8"/>
    <x v="0"/>
  </r>
  <r>
    <x v="49"/>
    <x v="51"/>
    <x v="1"/>
  </r>
  <r>
    <x v="36"/>
    <x v="36"/>
    <x v="0"/>
  </r>
  <r>
    <x v="16"/>
    <x v="17"/>
    <x v="0"/>
  </r>
  <r>
    <x v="13"/>
    <x v="8"/>
    <x v="0"/>
  </r>
  <r>
    <x v="25"/>
    <x v="27"/>
    <x v="1"/>
  </r>
  <r>
    <x v="34"/>
    <x v="34"/>
    <x v="1"/>
  </r>
  <r>
    <x v="49"/>
    <x v="51"/>
    <x v="0"/>
  </r>
  <r>
    <x v="8"/>
    <x v="8"/>
    <x v="0"/>
  </r>
  <r>
    <x v="50"/>
    <x v="52"/>
    <x v="0"/>
  </r>
  <r>
    <x v="2"/>
    <x v="2"/>
    <x v="7"/>
  </r>
  <r>
    <x v="1"/>
    <x v="1"/>
    <x v="1"/>
  </r>
  <r>
    <x v="34"/>
    <x v="34"/>
    <x v="1"/>
  </r>
  <r>
    <x v="6"/>
    <x v="6"/>
    <x v="1"/>
  </r>
  <r>
    <x v="7"/>
    <x v="7"/>
    <x v="1"/>
  </r>
  <r>
    <x v="15"/>
    <x v="23"/>
    <x v="0"/>
  </r>
  <r>
    <x v="15"/>
    <x v="23"/>
    <x v="1"/>
  </r>
  <r>
    <x v="6"/>
    <x v="6"/>
    <x v="1"/>
  </r>
  <r>
    <x v="7"/>
    <x v="7"/>
    <x v="1"/>
  </r>
  <r>
    <x v="12"/>
    <x v="12"/>
    <x v="1"/>
  </r>
  <r>
    <x v="46"/>
    <x v="49"/>
    <x v="5"/>
  </r>
  <r>
    <x v="45"/>
    <x v="48"/>
    <x v="5"/>
  </r>
  <r>
    <x v="51"/>
    <x v="53"/>
    <x v="1"/>
  </r>
  <r>
    <x v="3"/>
    <x v="3"/>
    <x v="0"/>
  </r>
  <r>
    <x v="2"/>
    <x v="2"/>
    <x v="0"/>
  </r>
  <r>
    <x v="9"/>
    <x v="9"/>
    <x v="0"/>
  </r>
  <r>
    <x v="23"/>
    <x v="25"/>
    <x v="1"/>
  </r>
  <r>
    <x v="49"/>
    <x v="51"/>
    <x v="1"/>
  </r>
  <r>
    <x v="6"/>
    <x v="6"/>
    <x v="1"/>
  </r>
  <r>
    <x v="7"/>
    <x v="7"/>
    <x v="1"/>
  </r>
  <r>
    <x v="34"/>
    <x v="34"/>
    <x v="1"/>
  </r>
  <r>
    <x v="34"/>
    <x v="34"/>
    <x v="7"/>
  </r>
  <r>
    <x v="5"/>
    <x v="5"/>
    <x v="7"/>
  </r>
  <r>
    <x v="25"/>
    <x v="27"/>
    <x v="7"/>
  </r>
  <r>
    <x v="26"/>
    <x v="1"/>
    <x v="0"/>
  </r>
  <r>
    <x v="36"/>
    <x v="36"/>
    <x v="9"/>
  </r>
  <r>
    <x v="44"/>
    <x v="47"/>
    <x v="1"/>
  </r>
  <r>
    <x v="13"/>
    <x v="54"/>
    <x v="9"/>
  </r>
  <r>
    <x v="37"/>
    <x v="44"/>
    <x v="9"/>
  </r>
  <r>
    <x v="49"/>
    <x v="55"/>
    <x v="9"/>
  </r>
  <r>
    <x v="52"/>
    <x v="8"/>
    <x v="0"/>
  </r>
  <r>
    <x v="23"/>
    <x v="56"/>
    <x v="9"/>
  </r>
  <r>
    <x v="16"/>
    <x v="57"/>
    <x v="3"/>
  </r>
  <r>
    <x v="30"/>
    <x v="58"/>
    <x v="3"/>
  </r>
  <r>
    <x v="25"/>
    <x v="27"/>
    <x v="1"/>
  </r>
  <r>
    <x v="18"/>
    <x v="18"/>
    <x v="1"/>
  </r>
  <r>
    <x v="53"/>
    <x v="59"/>
    <x v="1"/>
  </r>
  <r>
    <x v="54"/>
    <x v="8"/>
    <x v="0"/>
  </r>
  <r>
    <x v="36"/>
    <x v="36"/>
    <x v="0"/>
  </r>
  <r>
    <x v="2"/>
    <x v="2"/>
    <x v="9"/>
  </r>
  <r>
    <x v="6"/>
    <x v="6"/>
    <x v="3"/>
  </r>
  <r>
    <x v="7"/>
    <x v="7"/>
    <x v="3"/>
  </r>
  <r>
    <x v="37"/>
    <x v="44"/>
    <x v="3"/>
  </r>
  <r>
    <x v="16"/>
    <x v="17"/>
    <x v="3"/>
  </r>
  <r>
    <x v="13"/>
    <x v="8"/>
    <x v="3"/>
  </r>
  <r>
    <x v="44"/>
    <x v="47"/>
    <x v="1"/>
  </r>
  <r>
    <x v="55"/>
    <x v="52"/>
    <x v="1"/>
  </r>
  <r>
    <x v="34"/>
    <x v="34"/>
    <x v="1"/>
  </r>
  <r>
    <x v="5"/>
    <x v="5"/>
    <x v="1"/>
  </r>
  <r>
    <x v="34"/>
    <x v="34"/>
    <x v="9"/>
  </r>
  <r>
    <x v="15"/>
    <x v="23"/>
    <x v="0"/>
  </r>
  <r>
    <x v="2"/>
    <x v="2"/>
    <x v="1"/>
  </r>
  <r>
    <x v="27"/>
    <x v="28"/>
    <x v="1"/>
  </r>
  <r>
    <x v="25"/>
    <x v="27"/>
    <x v="1"/>
  </r>
  <r>
    <x v="34"/>
    <x v="34"/>
    <x v="0"/>
  </r>
  <r>
    <x v="5"/>
    <x v="5"/>
    <x v="0"/>
  </r>
  <r>
    <x v="26"/>
    <x v="1"/>
    <x v="1"/>
  </r>
  <r>
    <x v="56"/>
    <x v="60"/>
    <x v="3"/>
  </r>
  <r>
    <x v="13"/>
    <x v="61"/>
    <x v="8"/>
  </r>
  <r>
    <x v="49"/>
    <x v="62"/>
    <x v="8"/>
  </r>
  <r>
    <x v="51"/>
    <x v="53"/>
    <x v="15"/>
  </r>
  <r>
    <x v="16"/>
    <x v="17"/>
    <x v="3"/>
  </r>
  <r>
    <x v="20"/>
    <x v="18"/>
    <x v="1"/>
  </r>
  <r>
    <x v="57"/>
    <x v="18"/>
    <x v="1"/>
  </r>
  <r>
    <x v="58"/>
    <x v="63"/>
    <x v="1"/>
  </r>
  <r>
    <x v="18"/>
    <x v="18"/>
    <x v="1"/>
  </r>
  <r>
    <x v="25"/>
    <x v="27"/>
    <x v="7"/>
  </r>
  <r>
    <x v="18"/>
    <x v="18"/>
    <x v="1"/>
  </r>
  <r>
    <x v="44"/>
    <x v="47"/>
    <x v="1"/>
  </r>
  <r>
    <x v="0"/>
    <x v="0"/>
    <x v="1"/>
  </r>
  <r>
    <x v="25"/>
    <x v="27"/>
    <x v="1"/>
  </r>
  <r>
    <x v="59"/>
    <x v="64"/>
    <x v="1"/>
  </r>
  <r>
    <x v="27"/>
    <x v="28"/>
    <x v="9"/>
  </r>
  <r>
    <x v="44"/>
    <x v="47"/>
    <x v="0"/>
  </r>
  <r>
    <x v="12"/>
    <x v="12"/>
    <x v="0"/>
  </r>
  <r>
    <x v="25"/>
    <x v="27"/>
    <x v="3"/>
  </r>
  <r>
    <x v="34"/>
    <x v="34"/>
    <x v="4"/>
  </r>
  <r>
    <x v="5"/>
    <x v="5"/>
    <x v="4"/>
  </r>
  <r>
    <x v="32"/>
    <x v="32"/>
    <x v="9"/>
  </r>
  <r>
    <x v="15"/>
    <x v="23"/>
    <x v="2"/>
  </r>
  <r>
    <x v="18"/>
    <x v="18"/>
    <x v="1"/>
  </r>
  <r>
    <x v="60"/>
    <x v="65"/>
    <x v="3"/>
  </r>
  <r>
    <x v="18"/>
    <x v="18"/>
    <x v="1"/>
  </r>
  <r>
    <x v="1"/>
    <x v="1"/>
    <x v="1"/>
  </r>
  <r>
    <x v="6"/>
    <x v="6"/>
    <x v="0"/>
  </r>
  <r>
    <x v="7"/>
    <x v="7"/>
    <x v="0"/>
  </r>
  <r>
    <x v="6"/>
    <x v="6"/>
    <x v="0"/>
  </r>
  <r>
    <x v="7"/>
    <x v="7"/>
    <x v="0"/>
  </r>
  <r>
    <x v="19"/>
    <x v="21"/>
    <x v="1"/>
  </r>
  <r>
    <x v="7"/>
    <x v="7"/>
    <x v="1"/>
  </r>
  <r>
    <x v="61"/>
    <x v="66"/>
    <x v="0"/>
  </r>
  <r>
    <x v="26"/>
    <x v="1"/>
    <x v="0"/>
  </r>
  <r>
    <x v="4"/>
    <x v="4"/>
    <x v="9"/>
  </r>
  <r>
    <x v="19"/>
    <x v="21"/>
    <x v="1"/>
  </r>
  <r>
    <x v="7"/>
    <x v="7"/>
    <x v="1"/>
  </r>
  <r>
    <x v="13"/>
    <x v="8"/>
    <x v="1"/>
  </r>
  <r>
    <x v="7"/>
    <x v="7"/>
    <x v="7"/>
  </r>
  <r>
    <x v="34"/>
    <x v="34"/>
    <x v="0"/>
  </r>
  <r>
    <x v="34"/>
    <x v="34"/>
    <x v="0"/>
  </r>
  <r>
    <x v="7"/>
    <x v="7"/>
    <x v="1"/>
  </r>
  <r>
    <x v="15"/>
    <x v="23"/>
    <x v="1"/>
  </r>
  <r>
    <x v="16"/>
    <x v="17"/>
    <x v="0"/>
  </r>
  <r>
    <x v="62"/>
    <x v="8"/>
    <x v="1"/>
  </r>
  <r>
    <x v="48"/>
    <x v="8"/>
    <x v="1"/>
  </r>
  <r>
    <x v="63"/>
    <x v="8"/>
    <x v="0"/>
  </r>
  <r>
    <x v="64"/>
    <x v="67"/>
    <x v="9"/>
  </r>
  <r>
    <x v="49"/>
    <x v="51"/>
    <x v="0"/>
  </r>
  <r>
    <x v="8"/>
    <x v="8"/>
    <x v="0"/>
  </r>
  <r>
    <x v="63"/>
    <x v="8"/>
    <x v="9"/>
  </r>
  <r>
    <x v="19"/>
    <x v="21"/>
    <x v="1"/>
  </r>
  <r>
    <x v="30"/>
    <x v="30"/>
    <x v="9"/>
  </r>
  <r>
    <x v="18"/>
    <x v="18"/>
    <x v="1"/>
  </r>
  <r>
    <x v="55"/>
    <x v="52"/>
    <x v="1"/>
  </r>
  <r>
    <x v="9"/>
    <x v="9"/>
    <x v="1"/>
  </r>
  <r>
    <x v="65"/>
    <x v="68"/>
    <x v="3"/>
  </r>
  <r>
    <x v="66"/>
    <x v="69"/>
    <x v="4"/>
  </r>
  <r>
    <x v="67"/>
    <x v="70"/>
    <x v="1"/>
  </r>
  <r>
    <x v="68"/>
    <x v="71"/>
    <x v="9"/>
  </r>
  <r>
    <x v="69"/>
    <x v="72"/>
    <x v="16"/>
  </r>
  <r>
    <x v="58"/>
    <x v="73"/>
    <x v="1"/>
  </r>
  <r>
    <x v="18"/>
    <x v="18"/>
    <x v="1"/>
  </r>
  <r>
    <x v="34"/>
    <x v="34"/>
    <x v="1"/>
  </r>
  <r>
    <x v="19"/>
    <x v="21"/>
    <x v="1"/>
  </r>
  <r>
    <x v="7"/>
    <x v="7"/>
    <x v="1"/>
  </r>
  <r>
    <x v="7"/>
    <x v="7"/>
    <x v="1"/>
  </r>
  <r>
    <x v="3"/>
    <x v="3"/>
    <x v="1"/>
  </r>
  <r>
    <x v="2"/>
    <x v="2"/>
    <x v="1"/>
  </r>
  <r>
    <x v="70"/>
    <x v="74"/>
    <x v="1"/>
  </r>
  <r>
    <x v="25"/>
    <x v="27"/>
    <x v="1"/>
  </r>
  <r>
    <x v="1"/>
    <x v="1"/>
    <x v="1"/>
  </r>
  <r>
    <x v="25"/>
    <x v="27"/>
    <x v="1"/>
  </r>
  <r>
    <x v="36"/>
    <x v="36"/>
    <x v="0"/>
  </r>
  <r>
    <x v="16"/>
    <x v="17"/>
    <x v="0"/>
  </r>
  <r>
    <x v="13"/>
    <x v="8"/>
    <x v="0"/>
  </r>
  <r>
    <x v="40"/>
    <x v="43"/>
    <x v="9"/>
  </r>
  <r>
    <x v="2"/>
    <x v="2"/>
    <x v="0"/>
  </r>
  <r>
    <x v="9"/>
    <x v="9"/>
    <x v="0"/>
  </r>
  <r>
    <x v="0"/>
    <x v="0"/>
    <x v="1"/>
  </r>
  <r>
    <x v="54"/>
    <x v="8"/>
    <x v="1"/>
  </r>
  <r>
    <x v="71"/>
    <x v="75"/>
    <x v="17"/>
  </r>
  <r>
    <x v="72"/>
    <x v="75"/>
    <x v="17"/>
  </r>
  <r>
    <x v="71"/>
    <x v="75"/>
    <x v="17"/>
  </r>
  <r>
    <x v="72"/>
    <x v="75"/>
    <x v="17"/>
  </r>
  <r>
    <x v="71"/>
    <x v="75"/>
    <x v="17"/>
  </r>
  <r>
    <x v="72"/>
    <x v="75"/>
    <x v="17"/>
  </r>
  <r>
    <x v="36"/>
    <x v="36"/>
    <x v="0"/>
  </r>
  <r>
    <x v="16"/>
    <x v="17"/>
    <x v="0"/>
  </r>
  <r>
    <x v="30"/>
    <x v="30"/>
    <x v="0"/>
  </r>
  <r>
    <x v="13"/>
    <x v="8"/>
    <x v="0"/>
  </r>
  <r>
    <x v="20"/>
    <x v="18"/>
    <x v="1"/>
  </r>
  <r>
    <x v="71"/>
    <x v="75"/>
    <x v="17"/>
  </r>
  <r>
    <x v="72"/>
    <x v="75"/>
    <x v="17"/>
  </r>
  <r>
    <x v="72"/>
    <x v="75"/>
    <x v="17"/>
  </r>
  <r>
    <x v="32"/>
    <x v="32"/>
    <x v="1"/>
  </r>
  <r>
    <x v="73"/>
    <x v="76"/>
    <x v="9"/>
  </r>
  <r>
    <x v="26"/>
    <x v="1"/>
    <x v="0"/>
  </r>
  <r>
    <x v="27"/>
    <x v="28"/>
    <x v="1"/>
  </r>
  <r>
    <x v="26"/>
    <x v="1"/>
    <x v="1"/>
  </r>
  <r>
    <x v="49"/>
    <x v="51"/>
    <x v="1"/>
  </r>
  <r>
    <x v="44"/>
    <x v="47"/>
    <x v="1"/>
  </r>
  <r>
    <x v="44"/>
    <x v="47"/>
    <x v="1"/>
  </r>
  <r>
    <x v="61"/>
    <x v="66"/>
    <x v="0"/>
  </r>
  <r>
    <x v="18"/>
    <x v="18"/>
    <x v="1"/>
  </r>
  <r>
    <x v="7"/>
    <x v="7"/>
    <x v="1"/>
  </r>
  <r>
    <x v="15"/>
    <x v="23"/>
    <x v="1"/>
  </r>
  <r>
    <x v="25"/>
    <x v="27"/>
    <x v="1"/>
  </r>
  <r>
    <x v="1"/>
    <x v="1"/>
    <x v="1"/>
  </r>
  <r>
    <x v="14"/>
    <x v="8"/>
    <x v="7"/>
  </r>
  <r>
    <x v="27"/>
    <x v="28"/>
    <x v="1"/>
  </r>
  <r>
    <x v="34"/>
    <x v="34"/>
    <x v="0"/>
  </r>
  <r>
    <x v="19"/>
    <x v="21"/>
    <x v="1"/>
  </r>
  <r>
    <x v="7"/>
    <x v="7"/>
    <x v="1"/>
  </r>
  <r>
    <x v="37"/>
    <x v="44"/>
    <x v="0"/>
  </r>
  <r>
    <x v="16"/>
    <x v="17"/>
    <x v="0"/>
  </r>
  <r>
    <x v="23"/>
    <x v="25"/>
    <x v="0"/>
  </r>
  <r>
    <x v="8"/>
    <x v="8"/>
    <x v="0"/>
  </r>
  <r>
    <x v="40"/>
    <x v="43"/>
    <x v="0"/>
  </r>
  <r>
    <x v="37"/>
    <x v="44"/>
    <x v="9"/>
  </r>
  <r>
    <x v="16"/>
    <x v="17"/>
    <x v="9"/>
  </r>
  <r>
    <x v="23"/>
    <x v="25"/>
    <x v="9"/>
  </r>
  <r>
    <x v="49"/>
    <x v="51"/>
    <x v="9"/>
  </r>
  <r>
    <x v="40"/>
    <x v="43"/>
    <x v="9"/>
  </r>
  <r>
    <x v="32"/>
    <x v="32"/>
    <x v="1"/>
  </r>
  <r>
    <x v="35"/>
    <x v="35"/>
    <x v="0"/>
  </r>
  <r>
    <x v="32"/>
    <x v="32"/>
    <x v="7"/>
  </r>
  <r>
    <x v="73"/>
    <x v="76"/>
    <x v="17"/>
  </r>
  <r>
    <x v="74"/>
    <x v="77"/>
    <x v="9"/>
  </r>
  <r>
    <x v="75"/>
    <x v="78"/>
    <x v="9"/>
  </r>
  <r>
    <x v="76"/>
    <x v="79"/>
    <x v="0"/>
  </r>
  <r>
    <x v="50"/>
    <x v="52"/>
    <x v="0"/>
  </r>
  <r>
    <x v="73"/>
    <x v="76"/>
    <x v="0"/>
  </r>
  <r>
    <x v="32"/>
    <x v="32"/>
    <x v="9"/>
  </r>
  <r>
    <x v="73"/>
    <x v="76"/>
    <x v="9"/>
  </r>
  <r>
    <x v="12"/>
    <x v="12"/>
    <x v="1"/>
  </r>
  <r>
    <x v="18"/>
    <x v="18"/>
    <x v="1"/>
  </r>
  <r>
    <x v="77"/>
    <x v="80"/>
    <x v="1"/>
  </r>
  <r>
    <x v="36"/>
    <x v="36"/>
    <x v="0"/>
  </r>
  <r>
    <x v="16"/>
    <x v="17"/>
    <x v="0"/>
  </r>
  <r>
    <x v="30"/>
    <x v="30"/>
    <x v="0"/>
  </r>
  <r>
    <x v="13"/>
    <x v="8"/>
    <x v="0"/>
  </r>
  <r>
    <x v="36"/>
    <x v="36"/>
    <x v="0"/>
  </r>
  <r>
    <x v="16"/>
    <x v="17"/>
    <x v="0"/>
  </r>
  <r>
    <x v="30"/>
    <x v="30"/>
    <x v="0"/>
  </r>
  <r>
    <x v="49"/>
    <x v="51"/>
    <x v="0"/>
  </r>
  <r>
    <x v="54"/>
    <x v="8"/>
    <x v="1"/>
  </r>
  <r>
    <x v="19"/>
    <x v="21"/>
    <x v="1"/>
  </r>
  <r>
    <x v="7"/>
    <x v="7"/>
    <x v="1"/>
  </r>
  <r>
    <x v="24"/>
    <x v="26"/>
    <x v="1"/>
  </r>
  <r>
    <x v="44"/>
    <x v="47"/>
    <x v="1"/>
  </r>
  <r>
    <x v="44"/>
    <x v="47"/>
    <x v="1"/>
  </r>
  <r>
    <x v="50"/>
    <x v="52"/>
    <x v="7"/>
  </r>
  <r>
    <x v="44"/>
    <x v="47"/>
    <x v="1"/>
  </r>
  <r>
    <x v="78"/>
    <x v="81"/>
    <x v="1"/>
  </r>
  <r>
    <x v="25"/>
    <x v="27"/>
    <x v="1"/>
  </r>
  <r>
    <x v="79"/>
    <x v="82"/>
    <x v="0"/>
  </r>
  <r>
    <x v="45"/>
    <x v="83"/>
    <x v="0"/>
  </r>
  <r>
    <x v="80"/>
    <x v="84"/>
    <x v="1"/>
  </r>
  <r>
    <x v="81"/>
    <x v="85"/>
    <x v="1"/>
  </r>
  <r>
    <x v="18"/>
    <x v="18"/>
    <x v="1"/>
  </r>
  <r>
    <x v="26"/>
    <x v="86"/>
    <x v="1"/>
  </r>
  <r>
    <x v="18"/>
    <x v="18"/>
    <x v="1"/>
  </r>
  <r>
    <x v="2"/>
    <x v="2"/>
    <x v="9"/>
  </r>
  <r>
    <x v="18"/>
    <x v="18"/>
    <x v="1"/>
  </r>
  <r>
    <x v="44"/>
    <x v="47"/>
    <x v="1"/>
  </r>
  <r>
    <x v="25"/>
    <x v="27"/>
    <x v="1"/>
  </r>
  <r>
    <x v="12"/>
    <x v="12"/>
    <x v="1"/>
  </r>
  <r>
    <x v="34"/>
    <x v="34"/>
    <x v="0"/>
  </r>
  <r>
    <x v="34"/>
    <x v="34"/>
    <x v="0"/>
  </r>
  <r>
    <x v="15"/>
    <x v="23"/>
    <x v="0"/>
  </r>
  <r>
    <x v="29"/>
    <x v="8"/>
    <x v="1"/>
  </r>
  <r>
    <x v="24"/>
    <x v="26"/>
    <x v="1"/>
  </r>
  <r>
    <x v="63"/>
    <x v="8"/>
    <x v="0"/>
  </r>
  <r>
    <x v="44"/>
    <x v="47"/>
    <x v="1"/>
  </r>
  <r>
    <x v="44"/>
    <x v="47"/>
    <x v="0"/>
  </r>
  <r>
    <x v="10"/>
    <x v="87"/>
    <x v="16"/>
  </r>
  <r>
    <x v="16"/>
    <x v="88"/>
    <x v="16"/>
  </r>
  <r>
    <x v="82"/>
    <x v="89"/>
    <x v="10"/>
  </r>
  <r>
    <x v="20"/>
    <x v="18"/>
    <x v="1"/>
  </r>
</pivotCacheRecords>
</file>

<file path=xl/pivotCache/pivotCacheRecords55.xml><?xml version="1.0" encoding="utf-8"?>
<pivotCacheRecords xmlns:r="http://schemas.openxmlformats.org/officeDocument/2006/relationships" xmlns="http://schemas.openxmlformats.org/spreadsheetml/2006/main" count="386">
  <r>
    <x v="0"/>
    <x v="0"/>
    <x v="0"/>
    <x v="0"/>
    <x v="0"/>
  </r>
  <r>
    <x v="1"/>
    <x v="1"/>
    <x v="1"/>
    <x v="1"/>
    <x v="1"/>
  </r>
  <r>
    <x v="2"/>
    <x v="2"/>
    <x v="1"/>
    <x v="2"/>
    <x v="2"/>
  </r>
  <r>
    <x v="3"/>
    <x v="3"/>
    <x v="1"/>
    <x v="3"/>
    <x v="3"/>
  </r>
  <r>
    <x v="4"/>
    <x v="4"/>
    <x v="2"/>
    <x v="4"/>
    <x v="4"/>
  </r>
  <r>
    <x v="5"/>
    <x v="5"/>
    <x v="1"/>
    <x v="5"/>
    <x v="5"/>
  </r>
  <r>
    <x v="6"/>
    <x v="6"/>
    <x v="3"/>
    <x v="6"/>
    <x v="6"/>
  </r>
  <r>
    <x v="7"/>
    <x v="7"/>
    <x v="3"/>
    <x v="7"/>
    <x v="7"/>
  </r>
  <r>
    <x v="8"/>
    <x v="8"/>
    <x v="0"/>
    <x v="8"/>
    <x v="8"/>
  </r>
  <r>
    <x v="9"/>
    <x v="9"/>
    <x v="0"/>
    <x v="9"/>
    <x v="9"/>
  </r>
  <r>
    <x v="10"/>
    <x v="10"/>
    <x v="0"/>
    <x v="10"/>
    <x v="10"/>
  </r>
  <r>
    <x v="11"/>
    <x v="11"/>
    <x v="4"/>
    <x v="11"/>
    <x v="11"/>
  </r>
  <r>
    <x v="12"/>
    <x v="12"/>
    <x v="1"/>
    <x v="12"/>
    <x v="12"/>
  </r>
  <r>
    <x v="13"/>
    <x v="13"/>
    <x v="3"/>
    <x v="13"/>
    <x v="13"/>
  </r>
  <r>
    <x v="14"/>
    <x v="14"/>
    <x v="4"/>
    <x v="13"/>
    <x v="13"/>
  </r>
  <r>
    <x v="15"/>
    <x v="15"/>
    <x v="5"/>
    <x v="13"/>
    <x v="13"/>
  </r>
  <r>
    <x v="7"/>
    <x v="16"/>
    <x v="5"/>
    <x v="13"/>
    <x v="13"/>
  </r>
  <r>
    <x v="5"/>
    <x v="5"/>
    <x v="4"/>
    <x v="14"/>
    <x v="14"/>
  </r>
  <r>
    <x v="16"/>
    <x v="17"/>
    <x v="6"/>
    <x v="15"/>
    <x v="15"/>
  </r>
  <r>
    <x v="17"/>
    <x v="18"/>
    <x v="1"/>
    <x v="16"/>
    <x v="16"/>
  </r>
  <r>
    <x v="18"/>
    <x v="18"/>
    <x v="1"/>
    <x v="17"/>
    <x v="17"/>
  </r>
  <r>
    <x v="12"/>
    <x v="12"/>
    <x v="1"/>
    <x v="12"/>
    <x v="12"/>
  </r>
  <r>
    <x v="10"/>
    <x v="19"/>
    <x v="7"/>
    <x v="18"/>
    <x v="18"/>
  </r>
  <r>
    <x v="10"/>
    <x v="20"/>
    <x v="1"/>
    <x v="10"/>
    <x v="19"/>
  </r>
  <r>
    <x v="19"/>
    <x v="21"/>
    <x v="3"/>
    <x v="19"/>
    <x v="20"/>
  </r>
  <r>
    <x v="13"/>
    <x v="22"/>
    <x v="8"/>
    <x v="13"/>
    <x v="13"/>
  </r>
  <r>
    <x v="15"/>
    <x v="23"/>
    <x v="8"/>
    <x v="13"/>
    <x v="13"/>
  </r>
  <r>
    <x v="7"/>
    <x v="7"/>
    <x v="8"/>
    <x v="13"/>
    <x v="13"/>
  </r>
  <r>
    <x v="16"/>
    <x v="17"/>
    <x v="9"/>
    <x v="13"/>
    <x v="13"/>
  </r>
  <r>
    <x v="20"/>
    <x v="18"/>
    <x v="1"/>
    <x v="20"/>
    <x v="21"/>
  </r>
  <r>
    <x v="21"/>
    <x v="18"/>
    <x v="1"/>
    <x v="21"/>
    <x v="22"/>
  </r>
  <r>
    <x v="22"/>
    <x v="24"/>
    <x v="0"/>
    <x v="13"/>
    <x v="13"/>
  </r>
  <r>
    <x v="15"/>
    <x v="23"/>
    <x v="0"/>
    <x v="22"/>
    <x v="23"/>
  </r>
  <r>
    <x v="7"/>
    <x v="7"/>
    <x v="1"/>
    <x v="22"/>
    <x v="24"/>
  </r>
  <r>
    <x v="23"/>
    <x v="25"/>
    <x v="4"/>
    <x v="2"/>
    <x v="25"/>
  </r>
  <r>
    <x v="19"/>
    <x v="21"/>
    <x v="1"/>
    <x v="23"/>
    <x v="26"/>
  </r>
  <r>
    <x v="7"/>
    <x v="7"/>
    <x v="1"/>
    <x v="22"/>
    <x v="24"/>
  </r>
  <r>
    <x v="24"/>
    <x v="26"/>
    <x v="0"/>
    <x v="24"/>
    <x v="27"/>
  </r>
  <r>
    <x v="6"/>
    <x v="6"/>
    <x v="0"/>
    <x v="6"/>
    <x v="28"/>
  </r>
  <r>
    <x v="7"/>
    <x v="7"/>
    <x v="0"/>
    <x v="22"/>
    <x v="23"/>
  </r>
  <r>
    <x v="6"/>
    <x v="6"/>
    <x v="0"/>
    <x v="6"/>
    <x v="28"/>
  </r>
  <r>
    <x v="7"/>
    <x v="7"/>
    <x v="0"/>
    <x v="22"/>
    <x v="23"/>
  </r>
  <r>
    <x v="19"/>
    <x v="21"/>
    <x v="0"/>
    <x v="23"/>
    <x v="29"/>
  </r>
  <r>
    <x v="7"/>
    <x v="7"/>
    <x v="0"/>
    <x v="22"/>
    <x v="23"/>
  </r>
  <r>
    <x v="7"/>
    <x v="7"/>
    <x v="0"/>
    <x v="22"/>
    <x v="23"/>
  </r>
  <r>
    <x v="25"/>
    <x v="27"/>
    <x v="0"/>
    <x v="25"/>
    <x v="30"/>
  </r>
  <r>
    <x v="26"/>
    <x v="1"/>
    <x v="0"/>
    <x v="26"/>
    <x v="31"/>
  </r>
  <r>
    <x v="27"/>
    <x v="28"/>
    <x v="1"/>
    <x v="27"/>
    <x v="32"/>
  </r>
  <r>
    <x v="28"/>
    <x v="29"/>
    <x v="0"/>
    <x v="13"/>
    <x v="13"/>
  </r>
  <r>
    <x v="18"/>
    <x v="18"/>
    <x v="1"/>
    <x v="28"/>
    <x v="33"/>
  </r>
  <r>
    <x v="4"/>
    <x v="4"/>
    <x v="2"/>
    <x v="4"/>
    <x v="4"/>
  </r>
  <r>
    <x v="19"/>
    <x v="21"/>
    <x v="1"/>
    <x v="23"/>
    <x v="26"/>
  </r>
  <r>
    <x v="7"/>
    <x v="7"/>
    <x v="1"/>
    <x v="22"/>
    <x v="24"/>
  </r>
  <r>
    <x v="25"/>
    <x v="27"/>
    <x v="1"/>
    <x v="25"/>
    <x v="34"/>
  </r>
  <r>
    <x v="25"/>
    <x v="27"/>
    <x v="1"/>
    <x v="29"/>
    <x v="35"/>
  </r>
  <r>
    <x v="4"/>
    <x v="4"/>
    <x v="10"/>
    <x v="13"/>
    <x v="13"/>
  </r>
  <r>
    <x v="29"/>
    <x v="8"/>
    <x v="1"/>
    <x v="24"/>
    <x v="36"/>
  </r>
  <r>
    <x v="30"/>
    <x v="30"/>
    <x v="1"/>
    <x v="30"/>
    <x v="37"/>
  </r>
  <r>
    <x v="27"/>
    <x v="28"/>
    <x v="1"/>
    <x v="31"/>
    <x v="38"/>
  </r>
  <r>
    <x v="7"/>
    <x v="7"/>
    <x v="1"/>
    <x v="22"/>
    <x v="24"/>
  </r>
  <r>
    <x v="13"/>
    <x v="8"/>
    <x v="1"/>
    <x v="32"/>
    <x v="39"/>
  </r>
  <r>
    <x v="3"/>
    <x v="3"/>
    <x v="0"/>
    <x v="3"/>
    <x v="40"/>
  </r>
  <r>
    <x v="0"/>
    <x v="0"/>
    <x v="1"/>
    <x v="0"/>
    <x v="41"/>
  </r>
  <r>
    <x v="31"/>
    <x v="31"/>
    <x v="0"/>
    <x v="33"/>
    <x v="42"/>
  </r>
  <r>
    <x v="32"/>
    <x v="32"/>
    <x v="1"/>
    <x v="34"/>
    <x v="43"/>
  </r>
  <r>
    <x v="33"/>
    <x v="33"/>
    <x v="0"/>
    <x v="2"/>
    <x v="44"/>
  </r>
  <r>
    <x v="4"/>
    <x v="4"/>
    <x v="10"/>
    <x v="4"/>
    <x v="45"/>
  </r>
  <r>
    <x v="23"/>
    <x v="25"/>
    <x v="0"/>
    <x v="2"/>
    <x v="44"/>
  </r>
  <r>
    <x v="12"/>
    <x v="12"/>
    <x v="1"/>
    <x v="35"/>
    <x v="46"/>
  </r>
  <r>
    <x v="34"/>
    <x v="34"/>
    <x v="1"/>
    <x v="23"/>
    <x v="26"/>
  </r>
  <r>
    <x v="32"/>
    <x v="32"/>
    <x v="2"/>
    <x v="36"/>
    <x v="47"/>
  </r>
  <r>
    <x v="35"/>
    <x v="35"/>
    <x v="8"/>
    <x v="37"/>
    <x v="48"/>
  </r>
  <r>
    <x v="6"/>
    <x v="6"/>
    <x v="3"/>
    <x v="38"/>
    <x v="49"/>
  </r>
  <r>
    <x v="36"/>
    <x v="36"/>
    <x v="11"/>
    <x v="39"/>
    <x v="50"/>
  </r>
  <r>
    <x v="13"/>
    <x v="37"/>
    <x v="11"/>
    <x v="13"/>
    <x v="13"/>
  </r>
  <r>
    <x v="15"/>
    <x v="15"/>
    <x v="11"/>
    <x v="13"/>
    <x v="13"/>
  </r>
  <r>
    <x v="7"/>
    <x v="38"/>
    <x v="12"/>
    <x v="13"/>
    <x v="13"/>
  </r>
  <r>
    <x v="16"/>
    <x v="17"/>
    <x v="11"/>
    <x v="13"/>
    <x v="13"/>
  </r>
  <r>
    <x v="18"/>
    <x v="18"/>
    <x v="1"/>
    <x v="40"/>
    <x v="51"/>
  </r>
  <r>
    <x v="25"/>
    <x v="27"/>
    <x v="1"/>
    <x v="26"/>
    <x v="52"/>
  </r>
  <r>
    <x v="18"/>
    <x v="18"/>
    <x v="1"/>
    <x v="41"/>
    <x v="53"/>
  </r>
  <r>
    <x v="23"/>
    <x v="25"/>
    <x v="4"/>
    <x v="42"/>
    <x v="54"/>
  </r>
  <r>
    <x v="18"/>
    <x v="18"/>
    <x v="1"/>
    <x v="30"/>
    <x v="37"/>
  </r>
  <r>
    <x v="25"/>
    <x v="27"/>
    <x v="1"/>
    <x v="25"/>
    <x v="34"/>
  </r>
  <r>
    <x v="34"/>
    <x v="34"/>
    <x v="0"/>
    <x v="23"/>
    <x v="29"/>
  </r>
  <r>
    <x v="6"/>
    <x v="6"/>
    <x v="9"/>
    <x v="6"/>
    <x v="55"/>
  </r>
  <r>
    <x v="7"/>
    <x v="7"/>
    <x v="9"/>
    <x v="22"/>
    <x v="56"/>
  </r>
  <r>
    <x v="37"/>
    <x v="39"/>
    <x v="9"/>
    <x v="43"/>
    <x v="57"/>
  </r>
  <r>
    <x v="38"/>
    <x v="40"/>
    <x v="9"/>
    <x v="13"/>
    <x v="13"/>
  </r>
  <r>
    <x v="39"/>
    <x v="41"/>
    <x v="0"/>
    <x v="13"/>
    <x v="13"/>
  </r>
  <r>
    <x v="16"/>
    <x v="42"/>
    <x v="9"/>
    <x v="13"/>
    <x v="13"/>
  </r>
  <r>
    <x v="20"/>
    <x v="18"/>
    <x v="1"/>
    <x v="44"/>
    <x v="58"/>
  </r>
  <r>
    <x v="28"/>
    <x v="29"/>
    <x v="1"/>
    <x v="13"/>
    <x v="13"/>
  </r>
  <r>
    <x v="27"/>
    <x v="28"/>
    <x v="1"/>
    <x v="45"/>
    <x v="59"/>
  </r>
  <r>
    <x v="11"/>
    <x v="36"/>
    <x v="0"/>
    <x v="46"/>
    <x v="60"/>
  </r>
  <r>
    <x v="16"/>
    <x v="17"/>
    <x v="0"/>
    <x v="13"/>
    <x v="13"/>
  </r>
  <r>
    <x v="30"/>
    <x v="30"/>
    <x v="0"/>
    <x v="13"/>
    <x v="13"/>
  </r>
  <r>
    <x v="13"/>
    <x v="8"/>
    <x v="0"/>
    <x v="13"/>
    <x v="13"/>
  </r>
  <r>
    <x v="40"/>
    <x v="43"/>
    <x v="9"/>
    <x v="47"/>
    <x v="61"/>
  </r>
  <r>
    <x v="37"/>
    <x v="44"/>
    <x v="0"/>
    <x v="48"/>
    <x v="62"/>
  </r>
  <r>
    <x v="16"/>
    <x v="17"/>
    <x v="0"/>
    <x v="13"/>
    <x v="13"/>
  </r>
  <r>
    <x v="23"/>
    <x v="25"/>
    <x v="0"/>
    <x v="13"/>
    <x v="13"/>
  </r>
  <r>
    <x v="30"/>
    <x v="30"/>
    <x v="0"/>
    <x v="13"/>
    <x v="13"/>
  </r>
  <r>
    <x v="13"/>
    <x v="8"/>
    <x v="0"/>
    <x v="13"/>
    <x v="13"/>
  </r>
  <r>
    <x v="41"/>
    <x v="8"/>
    <x v="0"/>
    <x v="49"/>
    <x v="63"/>
  </r>
  <r>
    <x v="6"/>
    <x v="6"/>
    <x v="9"/>
    <x v="6"/>
    <x v="55"/>
  </r>
  <r>
    <x v="7"/>
    <x v="7"/>
    <x v="9"/>
    <x v="22"/>
    <x v="56"/>
  </r>
  <r>
    <x v="34"/>
    <x v="34"/>
    <x v="0"/>
    <x v="23"/>
    <x v="29"/>
  </r>
  <r>
    <x v="0"/>
    <x v="0"/>
    <x v="1"/>
    <x v="0"/>
    <x v="41"/>
  </r>
  <r>
    <x v="19"/>
    <x v="21"/>
    <x v="9"/>
    <x v="23"/>
    <x v="64"/>
  </r>
  <r>
    <x v="7"/>
    <x v="7"/>
    <x v="9"/>
    <x v="22"/>
    <x v="56"/>
  </r>
  <r>
    <x v="42"/>
    <x v="45"/>
    <x v="13"/>
    <x v="50"/>
    <x v="65"/>
  </r>
  <r>
    <x v="43"/>
    <x v="46"/>
    <x v="14"/>
    <x v="51"/>
    <x v="66"/>
  </r>
  <r>
    <x v="26"/>
    <x v="1"/>
    <x v="1"/>
    <x v="25"/>
    <x v="34"/>
  </r>
  <r>
    <x v="26"/>
    <x v="1"/>
    <x v="1"/>
    <x v="52"/>
    <x v="67"/>
  </r>
  <r>
    <x v="34"/>
    <x v="34"/>
    <x v="1"/>
    <x v="53"/>
    <x v="68"/>
  </r>
  <r>
    <x v="44"/>
    <x v="47"/>
    <x v="1"/>
    <x v="54"/>
    <x v="69"/>
  </r>
  <r>
    <x v="36"/>
    <x v="36"/>
    <x v="0"/>
    <x v="55"/>
    <x v="70"/>
  </r>
  <r>
    <x v="16"/>
    <x v="17"/>
    <x v="0"/>
    <x v="13"/>
    <x v="13"/>
  </r>
  <r>
    <x v="30"/>
    <x v="30"/>
    <x v="0"/>
    <x v="13"/>
    <x v="13"/>
  </r>
  <r>
    <x v="13"/>
    <x v="8"/>
    <x v="0"/>
    <x v="13"/>
    <x v="13"/>
  </r>
  <r>
    <x v="1"/>
    <x v="1"/>
    <x v="1"/>
    <x v="1"/>
    <x v="1"/>
  </r>
  <r>
    <x v="45"/>
    <x v="48"/>
    <x v="0"/>
    <x v="13"/>
    <x v="13"/>
  </r>
  <r>
    <x v="46"/>
    <x v="49"/>
    <x v="0"/>
    <x v="13"/>
    <x v="13"/>
  </r>
  <r>
    <x v="47"/>
    <x v="50"/>
    <x v="1"/>
    <x v="13"/>
    <x v="13"/>
  </r>
  <r>
    <x v="13"/>
    <x v="8"/>
    <x v="1"/>
    <x v="32"/>
    <x v="39"/>
  </r>
  <r>
    <x v="30"/>
    <x v="30"/>
    <x v="1"/>
    <x v="30"/>
    <x v="37"/>
  </r>
  <r>
    <x v="25"/>
    <x v="27"/>
    <x v="7"/>
    <x v="25"/>
    <x v="71"/>
  </r>
  <r>
    <x v="5"/>
    <x v="5"/>
    <x v="1"/>
    <x v="5"/>
    <x v="5"/>
  </r>
  <r>
    <x v="34"/>
    <x v="34"/>
    <x v="1"/>
    <x v="23"/>
    <x v="26"/>
  </r>
  <r>
    <x v="27"/>
    <x v="28"/>
    <x v="1"/>
    <x v="45"/>
    <x v="59"/>
  </r>
  <r>
    <x v="34"/>
    <x v="34"/>
    <x v="1"/>
    <x v="23"/>
    <x v="26"/>
  </r>
  <r>
    <x v="48"/>
    <x v="8"/>
    <x v="1"/>
    <x v="56"/>
    <x v="72"/>
  </r>
  <r>
    <x v="1"/>
    <x v="1"/>
    <x v="1"/>
    <x v="1"/>
    <x v="1"/>
  </r>
  <r>
    <x v="19"/>
    <x v="21"/>
    <x v="0"/>
    <x v="23"/>
    <x v="29"/>
  </r>
  <r>
    <x v="7"/>
    <x v="7"/>
    <x v="0"/>
    <x v="22"/>
    <x v="23"/>
  </r>
  <r>
    <x v="15"/>
    <x v="23"/>
    <x v="0"/>
    <x v="22"/>
    <x v="23"/>
  </r>
  <r>
    <x v="26"/>
    <x v="1"/>
    <x v="1"/>
    <x v="25"/>
    <x v="34"/>
  </r>
  <r>
    <x v="48"/>
    <x v="8"/>
    <x v="0"/>
    <x v="56"/>
    <x v="73"/>
  </r>
  <r>
    <x v="49"/>
    <x v="51"/>
    <x v="1"/>
    <x v="49"/>
    <x v="74"/>
  </r>
  <r>
    <x v="36"/>
    <x v="36"/>
    <x v="0"/>
    <x v="55"/>
    <x v="70"/>
  </r>
  <r>
    <x v="16"/>
    <x v="17"/>
    <x v="0"/>
    <x v="13"/>
    <x v="13"/>
  </r>
  <r>
    <x v="13"/>
    <x v="8"/>
    <x v="0"/>
    <x v="13"/>
    <x v="13"/>
  </r>
  <r>
    <x v="25"/>
    <x v="27"/>
    <x v="1"/>
    <x v="25"/>
    <x v="34"/>
  </r>
  <r>
    <x v="34"/>
    <x v="34"/>
    <x v="1"/>
    <x v="23"/>
    <x v="26"/>
  </r>
  <r>
    <x v="49"/>
    <x v="51"/>
    <x v="0"/>
    <x v="49"/>
    <x v="63"/>
  </r>
  <r>
    <x v="8"/>
    <x v="8"/>
    <x v="0"/>
    <x v="8"/>
    <x v="8"/>
  </r>
  <r>
    <x v="50"/>
    <x v="52"/>
    <x v="0"/>
    <x v="57"/>
    <x v="75"/>
  </r>
  <r>
    <x v="2"/>
    <x v="2"/>
    <x v="7"/>
    <x v="2"/>
    <x v="76"/>
  </r>
  <r>
    <x v="1"/>
    <x v="1"/>
    <x v="1"/>
    <x v="1"/>
    <x v="1"/>
  </r>
  <r>
    <x v="34"/>
    <x v="34"/>
    <x v="1"/>
    <x v="23"/>
    <x v="26"/>
  </r>
  <r>
    <x v="6"/>
    <x v="6"/>
    <x v="1"/>
    <x v="6"/>
    <x v="77"/>
  </r>
  <r>
    <x v="7"/>
    <x v="7"/>
    <x v="1"/>
    <x v="22"/>
    <x v="24"/>
  </r>
  <r>
    <x v="15"/>
    <x v="23"/>
    <x v="0"/>
    <x v="22"/>
    <x v="23"/>
  </r>
  <r>
    <x v="15"/>
    <x v="23"/>
    <x v="1"/>
    <x v="22"/>
    <x v="24"/>
  </r>
  <r>
    <x v="6"/>
    <x v="6"/>
    <x v="1"/>
    <x v="6"/>
    <x v="77"/>
  </r>
  <r>
    <x v="7"/>
    <x v="7"/>
    <x v="1"/>
    <x v="22"/>
    <x v="24"/>
  </r>
  <r>
    <x v="12"/>
    <x v="12"/>
    <x v="1"/>
    <x v="35"/>
    <x v="46"/>
  </r>
  <r>
    <x v="46"/>
    <x v="49"/>
    <x v="5"/>
    <x v="13"/>
    <x v="13"/>
  </r>
  <r>
    <x v="45"/>
    <x v="48"/>
    <x v="5"/>
    <x v="13"/>
    <x v="13"/>
  </r>
  <r>
    <x v="51"/>
    <x v="53"/>
    <x v="1"/>
    <x v="23"/>
    <x v="26"/>
  </r>
  <r>
    <x v="3"/>
    <x v="3"/>
    <x v="0"/>
    <x v="3"/>
    <x v="40"/>
  </r>
  <r>
    <x v="2"/>
    <x v="2"/>
    <x v="0"/>
    <x v="2"/>
    <x v="44"/>
  </r>
  <r>
    <x v="9"/>
    <x v="9"/>
    <x v="0"/>
    <x v="9"/>
    <x v="9"/>
  </r>
  <r>
    <x v="23"/>
    <x v="25"/>
    <x v="1"/>
    <x v="2"/>
    <x v="2"/>
  </r>
  <r>
    <x v="49"/>
    <x v="51"/>
    <x v="1"/>
    <x v="49"/>
    <x v="74"/>
  </r>
  <r>
    <x v="6"/>
    <x v="6"/>
    <x v="1"/>
    <x v="6"/>
    <x v="77"/>
  </r>
  <r>
    <x v="7"/>
    <x v="7"/>
    <x v="1"/>
    <x v="22"/>
    <x v="24"/>
  </r>
  <r>
    <x v="34"/>
    <x v="34"/>
    <x v="1"/>
    <x v="23"/>
    <x v="26"/>
  </r>
  <r>
    <x v="34"/>
    <x v="34"/>
    <x v="7"/>
    <x v="19"/>
    <x v="78"/>
  </r>
  <r>
    <x v="5"/>
    <x v="5"/>
    <x v="7"/>
    <x v="14"/>
    <x v="79"/>
  </r>
  <r>
    <x v="25"/>
    <x v="27"/>
    <x v="7"/>
    <x v="26"/>
    <x v="80"/>
  </r>
  <r>
    <x v="26"/>
    <x v="1"/>
    <x v="0"/>
    <x v="26"/>
    <x v="31"/>
  </r>
  <r>
    <x v="36"/>
    <x v="36"/>
    <x v="9"/>
    <x v="39"/>
    <x v="81"/>
  </r>
  <r>
    <x v="44"/>
    <x v="47"/>
    <x v="1"/>
    <x v="58"/>
    <x v="82"/>
  </r>
  <r>
    <x v="13"/>
    <x v="54"/>
    <x v="9"/>
    <x v="13"/>
    <x v="13"/>
  </r>
  <r>
    <x v="37"/>
    <x v="44"/>
    <x v="9"/>
    <x v="43"/>
    <x v="57"/>
  </r>
  <r>
    <x v="49"/>
    <x v="55"/>
    <x v="9"/>
    <x v="59"/>
    <x v="83"/>
  </r>
  <r>
    <x v="52"/>
    <x v="8"/>
    <x v="0"/>
    <x v="60"/>
    <x v="84"/>
  </r>
  <r>
    <x v="23"/>
    <x v="56"/>
    <x v="9"/>
    <x v="13"/>
    <x v="13"/>
  </r>
  <r>
    <x v="16"/>
    <x v="57"/>
    <x v="3"/>
    <x v="13"/>
    <x v="13"/>
  </r>
  <r>
    <x v="30"/>
    <x v="58"/>
    <x v="3"/>
    <x v="13"/>
    <x v="13"/>
  </r>
  <r>
    <x v="25"/>
    <x v="27"/>
    <x v="1"/>
    <x v="26"/>
    <x v="52"/>
  </r>
  <r>
    <x v="18"/>
    <x v="18"/>
    <x v="1"/>
    <x v="61"/>
    <x v="85"/>
  </r>
  <r>
    <x v="53"/>
    <x v="59"/>
    <x v="1"/>
    <x v="62"/>
    <x v="86"/>
  </r>
  <r>
    <x v="54"/>
    <x v="8"/>
    <x v="0"/>
    <x v="20"/>
    <x v="87"/>
  </r>
  <r>
    <x v="36"/>
    <x v="36"/>
    <x v="0"/>
    <x v="55"/>
    <x v="70"/>
  </r>
  <r>
    <x v="2"/>
    <x v="2"/>
    <x v="9"/>
    <x v="2"/>
    <x v="88"/>
  </r>
  <r>
    <x v="6"/>
    <x v="6"/>
    <x v="3"/>
    <x v="6"/>
    <x v="6"/>
  </r>
  <r>
    <x v="7"/>
    <x v="7"/>
    <x v="3"/>
    <x v="7"/>
    <x v="7"/>
  </r>
  <r>
    <x v="37"/>
    <x v="44"/>
    <x v="3"/>
    <x v="48"/>
    <x v="89"/>
  </r>
  <r>
    <x v="16"/>
    <x v="17"/>
    <x v="3"/>
    <x v="13"/>
    <x v="13"/>
  </r>
  <r>
    <x v="13"/>
    <x v="8"/>
    <x v="3"/>
    <x v="13"/>
    <x v="13"/>
  </r>
  <r>
    <x v="44"/>
    <x v="47"/>
    <x v="1"/>
    <x v="54"/>
    <x v="69"/>
  </r>
  <r>
    <x v="55"/>
    <x v="52"/>
    <x v="1"/>
    <x v="57"/>
    <x v="90"/>
  </r>
  <r>
    <x v="34"/>
    <x v="34"/>
    <x v="1"/>
    <x v="23"/>
    <x v="26"/>
  </r>
  <r>
    <x v="5"/>
    <x v="5"/>
    <x v="1"/>
    <x v="5"/>
    <x v="5"/>
  </r>
  <r>
    <x v="34"/>
    <x v="34"/>
    <x v="9"/>
    <x v="23"/>
    <x v="64"/>
  </r>
  <r>
    <x v="15"/>
    <x v="23"/>
    <x v="0"/>
    <x v="22"/>
    <x v="23"/>
  </r>
  <r>
    <x v="2"/>
    <x v="2"/>
    <x v="1"/>
    <x v="2"/>
    <x v="2"/>
  </r>
  <r>
    <x v="27"/>
    <x v="28"/>
    <x v="1"/>
    <x v="45"/>
    <x v="59"/>
  </r>
  <r>
    <x v="25"/>
    <x v="27"/>
    <x v="1"/>
    <x v="25"/>
    <x v="34"/>
  </r>
  <r>
    <x v="34"/>
    <x v="34"/>
    <x v="0"/>
    <x v="23"/>
    <x v="29"/>
  </r>
  <r>
    <x v="5"/>
    <x v="5"/>
    <x v="0"/>
    <x v="5"/>
    <x v="91"/>
  </r>
  <r>
    <x v="26"/>
    <x v="1"/>
    <x v="1"/>
    <x v="25"/>
    <x v="34"/>
  </r>
  <r>
    <x v="56"/>
    <x v="60"/>
    <x v="3"/>
    <x v="18"/>
    <x v="92"/>
  </r>
  <r>
    <x v="13"/>
    <x v="61"/>
    <x v="8"/>
    <x v="13"/>
    <x v="13"/>
  </r>
  <r>
    <x v="49"/>
    <x v="62"/>
    <x v="8"/>
    <x v="59"/>
    <x v="93"/>
  </r>
  <r>
    <x v="51"/>
    <x v="53"/>
    <x v="15"/>
    <x v="19"/>
    <x v="94"/>
  </r>
  <r>
    <x v="16"/>
    <x v="17"/>
    <x v="3"/>
    <x v="13"/>
    <x v="13"/>
  </r>
  <r>
    <x v="20"/>
    <x v="18"/>
    <x v="1"/>
    <x v="63"/>
    <x v="95"/>
  </r>
  <r>
    <x v="57"/>
    <x v="18"/>
    <x v="1"/>
    <x v="13"/>
    <x v="13"/>
  </r>
  <r>
    <x v="58"/>
    <x v="63"/>
    <x v="1"/>
    <x v="13"/>
    <x v="13"/>
  </r>
  <r>
    <x v="18"/>
    <x v="18"/>
    <x v="1"/>
    <x v="64"/>
    <x v="96"/>
  </r>
  <r>
    <x v="25"/>
    <x v="27"/>
    <x v="7"/>
    <x v="26"/>
    <x v="80"/>
  </r>
  <r>
    <x v="18"/>
    <x v="18"/>
    <x v="1"/>
    <x v="65"/>
    <x v="97"/>
  </r>
  <r>
    <x v="44"/>
    <x v="47"/>
    <x v="1"/>
    <x v="58"/>
    <x v="82"/>
  </r>
  <r>
    <x v="0"/>
    <x v="0"/>
    <x v="1"/>
    <x v="0"/>
    <x v="41"/>
  </r>
  <r>
    <x v="25"/>
    <x v="27"/>
    <x v="1"/>
    <x v="25"/>
    <x v="34"/>
  </r>
  <r>
    <x v="59"/>
    <x v="64"/>
    <x v="1"/>
    <x v="66"/>
    <x v="98"/>
  </r>
  <r>
    <x v="27"/>
    <x v="28"/>
    <x v="9"/>
    <x v="27"/>
    <x v="99"/>
  </r>
  <r>
    <x v="44"/>
    <x v="47"/>
    <x v="0"/>
    <x v="58"/>
    <x v="100"/>
  </r>
  <r>
    <x v="12"/>
    <x v="12"/>
    <x v="0"/>
    <x v="12"/>
    <x v="101"/>
  </r>
  <r>
    <x v="25"/>
    <x v="27"/>
    <x v="3"/>
    <x v="26"/>
    <x v="102"/>
  </r>
  <r>
    <x v="34"/>
    <x v="34"/>
    <x v="4"/>
    <x v="19"/>
    <x v="103"/>
  </r>
  <r>
    <x v="5"/>
    <x v="5"/>
    <x v="4"/>
    <x v="14"/>
    <x v="14"/>
  </r>
  <r>
    <x v="32"/>
    <x v="32"/>
    <x v="9"/>
    <x v="36"/>
    <x v="104"/>
  </r>
  <r>
    <x v="15"/>
    <x v="23"/>
    <x v="2"/>
    <x v="67"/>
    <x v="105"/>
  </r>
  <r>
    <x v="18"/>
    <x v="18"/>
    <x v="1"/>
    <x v="68"/>
    <x v="106"/>
  </r>
  <r>
    <x v="60"/>
    <x v="65"/>
    <x v="3"/>
    <x v="69"/>
    <x v="107"/>
  </r>
  <r>
    <x v="18"/>
    <x v="18"/>
    <x v="1"/>
    <x v="70"/>
    <x v="108"/>
  </r>
  <r>
    <x v="1"/>
    <x v="1"/>
    <x v="1"/>
    <x v="1"/>
    <x v="1"/>
  </r>
  <r>
    <x v="6"/>
    <x v="6"/>
    <x v="0"/>
    <x v="6"/>
    <x v="28"/>
  </r>
  <r>
    <x v="7"/>
    <x v="7"/>
    <x v="0"/>
    <x v="22"/>
    <x v="23"/>
  </r>
  <r>
    <x v="6"/>
    <x v="6"/>
    <x v="0"/>
    <x v="6"/>
    <x v="28"/>
  </r>
  <r>
    <x v="7"/>
    <x v="7"/>
    <x v="0"/>
    <x v="22"/>
    <x v="23"/>
  </r>
  <r>
    <x v="19"/>
    <x v="21"/>
    <x v="1"/>
    <x v="23"/>
    <x v="26"/>
  </r>
  <r>
    <x v="7"/>
    <x v="7"/>
    <x v="1"/>
    <x v="22"/>
    <x v="24"/>
  </r>
  <r>
    <x v="61"/>
    <x v="66"/>
    <x v="0"/>
    <x v="71"/>
    <x v="109"/>
  </r>
  <r>
    <x v="26"/>
    <x v="1"/>
    <x v="0"/>
    <x v="25"/>
    <x v="30"/>
  </r>
  <r>
    <x v="4"/>
    <x v="4"/>
    <x v="9"/>
    <x v="4"/>
    <x v="110"/>
  </r>
  <r>
    <x v="19"/>
    <x v="21"/>
    <x v="1"/>
    <x v="23"/>
    <x v="26"/>
  </r>
  <r>
    <x v="7"/>
    <x v="7"/>
    <x v="1"/>
    <x v="22"/>
    <x v="24"/>
  </r>
  <r>
    <x v="13"/>
    <x v="8"/>
    <x v="1"/>
    <x v="32"/>
    <x v="39"/>
  </r>
  <r>
    <x v="7"/>
    <x v="7"/>
    <x v="7"/>
    <x v="22"/>
    <x v="111"/>
  </r>
  <r>
    <x v="34"/>
    <x v="34"/>
    <x v="0"/>
    <x v="23"/>
    <x v="29"/>
  </r>
  <r>
    <x v="34"/>
    <x v="34"/>
    <x v="0"/>
    <x v="23"/>
    <x v="29"/>
  </r>
  <r>
    <x v="7"/>
    <x v="7"/>
    <x v="1"/>
    <x v="22"/>
    <x v="24"/>
  </r>
  <r>
    <x v="15"/>
    <x v="23"/>
    <x v="1"/>
    <x v="22"/>
    <x v="24"/>
  </r>
  <r>
    <x v="16"/>
    <x v="17"/>
    <x v="0"/>
    <x v="47"/>
    <x v="112"/>
  </r>
  <r>
    <x v="62"/>
    <x v="8"/>
    <x v="1"/>
    <x v="49"/>
    <x v="74"/>
  </r>
  <r>
    <x v="48"/>
    <x v="8"/>
    <x v="1"/>
    <x v="56"/>
    <x v="72"/>
  </r>
  <r>
    <x v="63"/>
    <x v="8"/>
    <x v="0"/>
    <x v="32"/>
    <x v="113"/>
  </r>
  <r>
    <x v="64"/>
    <x v="67"/>
    <x v="9"/>
    <x v="72"/>
    <x v="114"/>
  </r>
  <r>
    <x v="49"/>
    <x v="51"/>
    <x v="0"/>
    <x v="73"/>
    <x v="115"/>
  </r>
  <r>
    <x v="8"/>
    <x v="8"/>
    <x v="0"/>
    <x v="62"/>
    <x v="116"/>
  </r>
  <r>
    <x v="63"/>
    <x v="8"/>
    <x v="9"/>
    <x v="60"/>
    <x v="117"/>
  </r>
  <r>
    <x v="19"/>
    <x v="21"/>
    <x v="1"/>
    <x v="19"/>
    <x v="118"/>
  </r>
  <r>
    <x v="30"/>
    <x v="30"/>
    <x v="9"/>
    <x v="13"/>
    <x v="13"/>
  </r>
  <r>
    <x v="18"/>
    <x v="18"/>
    <x v="1"/>
    <x v="44"/>
    <x v="58"/>
  </r>
  <r>
    <x v="55"/>
    <x v="52"/>
    <x v="1"/>
    <x v="57"/>
    <x v="90"/>
  </r>
  <r>
    <x v="9"/>
    <x v="9"/>
    <x v="1"/>
    <x v="9"/>
    <x v="119"/>
  </r>
  <r>
    <x v="65"/>
    <x v="68"/>
    <x v="3"/>
    <x v="13"/>
    <x v="13"/>
  </r>
  <r>
    <x v="66"/>
    <x v="69"/>
    <x v="4"/>
    <x v="13"/>
    <x v="13"/>
  </r>
  <r>
    <x v="67"/>
    <x v="70"/>
    <x v="1"/>
    <x v="13"/>
    <x v="13"/>
  </r>
  <r>
    <x v="68"/>
    <x v="71"/>
    <x v="9"/>
    <x v="13"/>
    <x v="13"/>
  </r>
  <r>
    <x v="69"/>
    <x v="72"/>
    <x v="16"/>
    <x v="13"/>
    <x v="13"/>
  </r>
  <r>
    <x v="58"/>
    <x v="73"/>
    <x v="1"/>
    <x v="74"/>
    <x v="83"/>
  </r>
  <r>
    <x v="18"/>
    <x v="18"/>
    <x v="1"/>
    <x v="75"/>
    <x v="120"/>
  </r>
  <r>
    <x v="34"/>
    <x v="34"/>
    <x v="1"/>
    <x v="23"/>
    <x v="26"/>
  </r>
  <r>
    <x v="19"/>
    <x v="21"/>
    <x v="1"/>
    <x v="23"/>
    <x v="26"/>
  </r>
  <r>
    <x v="7"/>
    <x v="7"/>
    <x v="1"/>
    <x v="22"/>
    <x v="24"/>
  </r>
  <r>
    <x v="7"/>
    <x v="7"/>
    <x v="1"/>
    <x v="22"/>
    <x v="24"/>
  </r>
  <r>
    <x v="3"/>
    <x v="3"/>
    <x v="1"/>
    <x v="3"/>
    <x v="3"/>
  </r>
  <r>
    <x v="2"/>
    <x v="2"/>
    <x v="1"/>
    <x v="2"/>
    <x v="2"/>
  </r>
  <r>
    <x v="70"/>
    <x v="74"/>
    <x v="1"/>
    <x v="47"/>
    <x v="121"/>
  </r>
  <r>
    <x v="25"/>
    <x v="27"/>
    <x v="1"/>
    <x v="25"/>
    <x v="34"/>
  </r>
  <r>
    <x v="1"/>
    <x v="1"/>
    <x v="1"/>
    <x v="1"/>
    <x v="1"/>
  </r>
  <r>
    <x v="25"/>
    <x v="27"/>
    <x v="1"/>
    <x v="25"/>
    <x v="34"/>
  </r>
  <r>
    <x v="36"/>
    <x v="36"/>
    <x v="0"/>
    <x v="55"/>
    <x v="70"/>
  </r>
  <r>
    <x v="16"/>
    <x v="17"/>
    <x v="0"/>
    <x v="13"/>
    <x v="13"/>
  </r>
  <r>
    <x v="13"/>
    <x v="8"/>
    <x v="0"/>
    <x v="13"/>
    <x v="13"/>
  </r>
  <r>
    <x v="40"/>
    <x v="43"/>
    <x v="9"/>
    <x v="47"/>
    <x v="61"/>
  </r>
  <r>
    <x v="2"/>
    <x v="2"/>
    <x v="0"/>
    <x v="2"/>
    <x v="44"/>
  </r>
  <r>
    <x v="9"/>
    <x v="9"/>
    <x v="0"/>
    <x v="9"/>
    <x v="9"/>
  </r>
  <r>
    <x v="0"/>
    <x v="0"/>
    <x v="1"/>
    <x v="0"/>
    <x v="41"/>
  </r>
  <r>
    <x v="54"/>
    <x v="8"/>
    <x v="1"/>
    <x v="56"/>
    <x v="72"/>
  </r>
  <r>
    <x v="71"/>
    <x v="75"/>
    <x v="17"/>
    <x v="13"/>
    <x v="13"/>
  </r>
  <r>
    <x v="72"/>
    <x v="75"/>
    <x v="17"/>
    <x v="13"/>
    <x v="13"/>
  </r>
  <r>
    <x v="71"/>
    <x v="75"/>
    <x v="17"/>
    <x v="13"/>
    <x v="13"/>
  </r>
  <r>
    <x v="72"/>
    <x v="75"/>
    <x v="17"/>
    <x v="13"/>
    <x v="13"/>
  </r>
  <r>
    <x v="71"/>
    <x v="75"/>
    <x v="17"/>
    <x v="13"/>
    <x v="13"/>
  </r>
  <r>
    <x v="72"/>
    <x v="75"/>
    <x v="17"/>
    <x v="13"/>
    <x v="13"/>
  </r>
  <r>
    <x v="36"/>
    <x v="36"/>
    <x v="0"/>
    <x v="55"/>
    <x v="70"/>
  </r>
  <r>
    <x v="16"/>
    <x v="17"/>
    <x v="0"/>
    <x v="13"/>
    <x v="13"/>
  </r>
  <r>
    <x v="30"/>
    <x v="30"/>
    <x v="0"/>
    <x v="13"/>
    <x v="13"/>
  </r>
  <r>
    <x v="13"/>
    <x v="8"/>
    <x v="0"/>
    <x v="13"/>
    <x v="13"/>
  </r>
  <r>
    <x v="20"/>
    <x v="18"/>
    <x v="1"/>
    <x v="76"/>
    <x v="122"/>
  </r>
  <r>
    <x v="71"/>
    <x v="75"/>
    <x v="17"/>
    <x v="13"/>
    <x v="13"/>
  </r>
  <r>
    <x v="72"/>
    <x v="75"/>
    <x v="17"/>
    <x v="13"/>
    <x v="13"/>
  </r>
  <r>
    <x v="72"/>
    <x v="75"/>
    <x v="17"/>
    <x v="13"/>
    <x v="13"/>
  </r>
  <r>
    <x v="32"/>
    <x v="32"/>
    <x v="1"/>
    <x v="34"/>
    <x v="43"/>
  </r>
  <r>
    <x v="73"/>
    <x v="76"/>
    <x v="9"/>
    <x v="77"/>
    <x v="123"/>
  </r>
  <r>
    <x v="26"/>
    <x v="1"/>
    <x v="0"/>
    <x v="25"/>
    <x v="30"/>
  </r>
  <r>
    <x v="27"/>
    <x v="28"/>
    <x v="1"/>
    <x v="78"/>
    <x v="124"/>
  </r>
  <r>
    <x v="26"/>
    <x v="1"/>
    <x v="1"/>
    <x v="25"/>
    <x v="34"/>
  </r>
  <r>
    <x v="49"/>
    <x v="51"/>
    <x v="1"/>
    <x v="49"/>
    <x v="74"/>
  </r>
  <r>
    <x v="44"/>
    <x v="47"/>
    <x v="1"/>
    <x v="54"/>
    <x v="69"/>
  </r>
  <r>
    <x v="44"/>
    <x v="47"/>
    <x v="1"/>
    <x v="58"/>
    <x v="82"/>
  </r>
  <r>
    <x v="61"/>
    <x v="66"/>
    <x v="0"/>
    <x v="79"/>
    <x v="125"/>
  </r>
  <r>
    <x v="18"/>
    <x v="18"/>
    <x v="1"/>
    <x v="30"/>
    <x v="37"/>
  </r>
  <r>
    <x v="7"/>
    <x v="7"/>
    <x v="1"/>
    <x v="22"/>
    <x v="24"/>
  </r>
  <r>
    <x v="15"/>
    <x v="23"/>
    <x v="1"/>
    <x v="22"/>
    <x v="24"/>
  </r>
  <r>
    <x v="25"/>
    <x v="27"/>
    <x v="1"/>
    <x v="25"/>
    <x v="34"/>
  </r>
  <r>
    <x v="1"/>
    <x v="1"/>
    <x v="1"/>
    <x v="80"/>
    <x v="126"/>
  </r>
  <r>
    <x v="14"/>
    <x v="8"/>
    <x v="7"/>
    <x v="81"/>
    <x v="127"/>
  </r>
  <r>
    <x v="27"/>
    <x v="28"/>
    <x v="1"/>
    <x v="45"/>
    <x v="59"/>
  </r>
  <r>
    <x v="34"/>
    <x v="34"/>
    <x v="0"/>
    <x v="23"/>
    <x v="29"/>
  </r>
  <r>
    <x v="19"/>
    <x v="21"/>
    <x v="1"/>
    <x v="23"/>
    <x v="26"/>
  </r>
  <r>
    <x v="7"/>
    <x v="7"/>
    <x v="1"/>
    <x v="22"/>
    <x v="24"/>
  </r>
  <r>
    <x v="37"/>
    <x v="44"/>
    <x v="0"/>
    <x v="48"/>
    <x v="62"/>
  </r>
  <r>
    <x v="16"/>
    <x v="17"/>
    <x v="0"/>
    <x v="13"/>
    <x v="13"/>
  </r>
  <r>
    <x v="23"/>
    <x v="25"/>
    <x v="0"/>
    <x v="13"/>
    <x v="13"/>
  </r>
  <r>
    <x v="8"/>
    <x v="8"/>
    <x v="0"/>
    <x v="82"/>
    <x v="128"/>
  </r>
  <r>
    <x v="40"/>
    <x v="43"/>
    <x v="0"/>
    <x v="47"/>
    <x v="112"/>
  </r>
  <r>
    <x v="37"/>
    <x v="44"/>
    <x v="9"/>
    <x v="48"/>
    <x v="129"/>
  </r>
  <r>
    <x v="16"/>
    <x v="17"/>
    <x v="9"/>
    <x v="13"/>
    <x v="13"/>
  </r>
  <r>
    <x v="23"/>
    <x v="25"/>
    <x v="9"/>
    <x v="13"/>
    <x v="13"/>
  </r>
  <r>
    <x v="49"/>
    <x v="51"/>
    <x v="9"/>
    <x v="83"/>
    <x v="128"/>
  </r>
  <r>
    <x v="40"/>
    <x v="43"/>
    <x v="9"/>
    <x v="47"/>
    <x v="61"/>
  </r>
  <r>
    <x v="32"/>
    <x v="32"/>
    <x v="1"/>
    <x v="34"/>
    <x v="43"/>
  </r>
  <r>
    <x v="35"/>
    <x v="35"/>
    <x v="0"/>
    <x v="84"/>
    <x v="130"/>
  </r>
  <r>
    <x v="32"/>
    <x v="32"/>
    <x v="7"/>
    <x v="34"/>
    <x v="104"/>
  </r>
  <r>
    <x v="73"/>
    <x v="76"/>
    <x v="17"/>
    <x v="77"/>
    <x v="131"/>
  </r>
  <r>
    <x v="74"/>
    <x v="77"/>
    <x v="9"/>
    <x v="77"/>
    <x v="123"/>
  </r>
  <r>
    <x v="75"/>
    <x v="78"/>
    <x v="9"/>
    <x v="24"/>
    <x v="132"/>
  </r>
  <r>
    <x v="76"/>
    <x v="79"/>
    <x v="0"/>
    <x v="85"/>
    <x v="133"/>
  </r>
  <r>
    <x v="50"/>
    <x v="52"/>
    <x v="0"/>
    <x v="57"/>
    <x v="75"/>
  </r>
  <r>
    <x v="73"/>
    <x v="76"/>
    <x v="0"/>
    <x v="77"/>
    <x v="134"/>
  </r>
  <r>
    <x v="32"/>
    <x v="32"/>
    <x v="9"/>
    <x v="34"/>
    <x v="135"/>
  </r>
  <r>
    <x v="73"/>
    <x v="76"/>
    <x v="9"/>
    <x v="77"/>
    <x v="123"/>
  </r>
  <r>
    <x v="12"/>
    <x v="12"/>
    <x v="1"/>
    <x v="86"/>
    <x v="136"/>
  </r>
  <r>
    <x v="18"/>
    <x v="18"/>
    <x v="1"/>
    <x v="30"/>
    <x v="37"/>
  </r>
  <r>
    <x v="77"/>
    <x v="80"/>
    <x v="1"/>
    <x v="13"/>
    <x v="13"/>
  </r>
  <r>
    <x v="36"/>
    <x v="36"/>
    <x v="0"/>
    <x v="55"/>
    <x v="70"/>
  </r>
  <r>
    <x v="16"/>
    <x v="17"/>
    <x v="0"/>
    <x v="13"/>
    <x v="13"/>
  </r>
  <r>
    <x v="30"/>
    <x v="30"/>
    <x v="0"/>
    <x v="13"/>
    <x v="13"/>
  </r>
  <r>
    <x v="13"/>
    <x v="8"/>
    <x v="0"/>
    <x v="13"/>
    <x v="13"/>
  </r>
  <r>
    <x v="36"/>
    <x v="36"/>
    <x v="0"/>
    <x v="55"/>
    <x v="70"/>
  </r>
  <r>
    <x v="16"/>
    <x v="17"/>
    <x v="0"/>
    <x v="13"/>
    <x v="13"/>
  </r>
  <r>
    <x v="30"/>
    <x v="30"/>
    <x v="0"/>
    <x v="13"/>
    <x v="13"/>
  </r>
  <r>
    <x v="49"/>
    <x v="51"/>
    <x v="0"/>
    <x v="83"/>
    <x v="137"/>
  </r>
  <r>
    <x v="54"/>
    <x v="8"/>
    <x v="1"/>
    <x v="56"/>
    <x v="72"/>
  </r>
  <r>
    <x v="19"/>
    <x v="21"/>
    <x v="1"/>
    <x v="23"/>
    <x v="26"/>
  </r>
  <r>
    <x v="7"/>
    <x v="7"/>
    <x v="1"/>
    <x v="13"/>
    <x v="13"/>
  </r>
  <r>
    <x v="24"/>
    <x v="26"/>
    <x v="1"/>
    <x v="24"/>
    <x v="36"/>
  </r>
  <r>
    <x v="44"/>
    <x v="47"/>
    <x v="1"/>
    <x v="54"/>
    <x v="69"/>
  </r>
  <r>
    <x v="44"/>
    <x v="47"/>
    <x v="1"/>
    <x v="54"/>
    <x v="69"/>
  </r>
  <r>
    <x v="50"/>
    <x v="52"/>
    <x v="7"/>
    <x v="57"/>
    <x v="138"/>
  </r>
  <r>
    <x v="44"/>
    <x v="47"/>
    <x v="1"/>
    <x v="58"/>
    <x v="82"/>
  </r>
  <r>
    <x v="78"/>
    <x v="81"/>
    <x v="1"/>
    <x v="58"/>
    <x v="82"/>
  </r>
  <r>
    <x v="25"/>
    <x v="27"/>
    <x v="1"/>
    <x v="26"/>
    <x v="52"/>
  </r>
  <r>
    <x v="79"/>
    <x v="82"/>
    <x v="0"/>
    <x v="13"/>
    <x v="13"/>
  </r>
  <r>
    <x v="45"/>
    <x v="83"/>
    <x v="0"/>
    <x v="13"/>
    <x v="13"/>
  </r>
  <r>
    <x v="80"/>
    <x v="84"/>
    <x v="1"/>
    <x v="13"/>
    <x v="13"/>
  </r>
  <r>
    <x v="81"/>
    <x v="85"/>
    <x v="1"/>
    <x v="13"/>
    <x v="13"/>
  </r>
  <r>
    <x v="18"/>
    <x v="18"/>
    <x v="1"/>
    <x v="87"/>
    <x v="139"/>
  </r>
  <r>
    <x v="26"/>
    <x v="86"/>
    <x v="1"/>
    <x v="25"/>
    <x v="34"/>
  </r>
  <r>
    <x v="18"/>
    <x v="18"/>
    <x v="1"/>
    <x v="88"/>
    <x v="140"/>
  </r>
  <r>
    <x v="2"/>
    <x v="2"/>
    <x v="9"/>
    <x v="42"/>
    <x v="76"/>
  </r>
  <r>
    <x v="18"/>
    <x v="18"/>
    <x v="1"/>
    <x v="30"/>
    <x v="37"/>
  </r>
  <r>
    <x v="44"/>
    <x v="47"/>
    <x v="1"/>
    <x v="54"/>
    <x v="69"/>
  </r>
  <r>
    <x v="25"/>
    <x v="27"/>
    <x v="1"/>
    <x v="25"/>
    <x v="34"/>
  </r>
  <r>
    <x v="12"/>
    <x v="12"/>
    <x v="1"/>
    <x v="35"/>
    <x v="46"/>
  </r>
  <r>
    <x v="34"/>
    <x v="34"/>
    <x v="0"/>
    <x v="23"/>
    <x v="29"/>
  </r>
  <r>
    <x v="34"/>
    <x v="34"/>
    <x v="0"/>
    <x v="23"/>
    <x v="29"/>
  </r>
  <r>
    <x v="15"/>
    <x v="23"/>
    <x v="0"/>
    <x v="22"/>
    <x v="23"/>
  </r>
  <r>
    <x v="29"/>
    <x v="8"/>
    <x v="1"/>
    <x v="24"/>
    <x v="36"/>
  </r>
  <r>
    <x v="24"/>
    <x v="26"/>
    <x v="1"/>
    <x v="24"/>
    <x v="36"/>
  </r>
  <r>
    <x v="63"/>
    <x v="8"/>
    <x v="0"/>
    <x v="32"/>
    <x v="113"/>
  </r>
  <r>
    <x v="44"/>
    <x v="47"/>
    <x v="1"/>
    <x v="54"/>
    <x v="69"/>
  </r>
  <r>
    <x v="44"/>
    <x v="47"/>
    <x v="0"/>
    <x v="54"/>
    <x v="141"/>
  </r>
  <r>
    <x v="10"/>
    <x v="87"/>
    <x v="16"/>
    <x v="89"/>
    <x v="142"/>
  </r>
  <r>
    <x v="16"/>
    <x v="88"/>
    <x v="16"/>
    <x v="13"/>
    <x v="13"/>
  </r>
  <r>
    <x v="82"/>
    <x v="89"/>
    <x v="10"/>
    <x v="13"/>
    <x v="13"/>
  </r>
  <r>
    <x v="20"/>
    <x v="18"/>
    <x v="1"/>
    <x v="90"/>
    <x v="128"/>
  </r>
</pivotCacheRecords>
</file>

<file path=xl/pivotCache/pivotCacheRecords56.xml><?xml version="1.0" encoding="utf-8"?>
<pivotCacheRecords xmlns:r="http://schemas.openxmlformats.org/officeDocument/2006/relationships" xmlns="http://schemas.openxmlformats.org/spreadsheetml/2006/main" count="280">
  <r>
    <x v="0"/>
    <x v="0"/>
    <x v="0"/>
    <x v="0"/>
    <x v="0"/>
    <x v="0"/>
    <x v="0"/>
    <x v="0"/>
  </r>
  <r>
    <x v="1"/>
    <x v="1"/>
    <x v="1"/>
    <x v="1"/>
    <x v="1"/>
    <x v="0"/>
    <x v="1"/>
    <x v="1"/>
  </r>
  <r>
    <x v="2"/>
    <x v="2"/>
    <x v="2"/>
    <x v="2"/>
    <x v="2"/>
    <x v="0"/>
    <x v="2"/>
    <x v="2"/>
  </r>
  <r>
    <x v="3"/>
    <x v="3"/>
    <x v="3"/>
    <x v="3"/>
    <x v="3"/>
    <x v="0"/>
    <x v="3"/>
    <x v="3"/>
  </r>
  <r>
    <x v="4"/>
    <x v="4"/>
    <x v="4"/>
    <x v="4"/>
    <x v="4"/>
    <x v="0"/>
    <x v="4"/>
    <x v="4"/>
  </r>
  <r>
    <x v="4"/>
    <x v="4"/>
    <x v="4"/>
    <x v="5"/>
    <x v="5"/>
    <x v="0"/>
    <x v="5"/>
    <x v="5"/>
  </r>
  <r>
    <x v="4"/>
    <x v="4"/>
    <x v="4"/>
    <x v="6"/>
    <x v="6"/>
    <x v="0"/>
    <x v="6"/>
    <x v="6"/>
  </r>
  <r>
    <x v="5"/>
    <x v="5"/>
    <x v="5"/>
    <x v="7"/>
    <x v="7"/>
    <x v="1"/>
    <x v="7"/>
    <x v="7"/>
  </r>
  <r>
    <x v="5"/>
    <x v="5"/>
    <x v="5"/>
    <x v="8"/>
    <x v="8"/>
    <x v="0"/>
    <x v="6"/>
    <x v="6"/>
  </r>
  <r>
    <x v="5"/>
    <x v="5"/>
    <x v="5"/>
    <x v="9"/>
    <x v="9"/>
    <x v="0"/>
    <x v="8"/>
    <x v="8"/>
  </r>
  <r>
    <x v="6"/>
    <x v="6"/>
    <x v="5"/>
    <x v="10"/>
    <x v="10"/>
    <x v="2"/>
    <x v="9"/>
    <x v="9"/>
  </r>
  <r>
    <x v="6"/>
    <x v="6"/>
    <x v="5"/>
    <x v="11"/>
    <x v="9"/>
    <x v="0"/>
    <x v="10"/>
    <x v="10"/>
  </r>
  <r>
    <x v="7"/>
    <x v="7"/>
    <x v="6"/>
    <x v="12"/>
    <x v="11"/>
    <x v="0"/>
    <x v="11"/>
    <x v="11"/>
  </r>
  <r>
    <x v="8"/>
    <x v="8"/>
    <x v="7"/>
    <x v="13"/>
    <x v="12"/>
    <x v="0"/>
    <x v="12"/>
    <x v="12"/>
  </r>
  <r>
    <x v="8"/>
    <x v="8"/>
    <x v="7"/>
    <x v="12"/>
    <x v="11"/>
    <x v="0"/>
    <x v="11"/>
    <x v="11"/>
  </r>
  <r>
    <x v="9"/>
    <x v="9"/>
    <x v="8"/>
    <x v="14"/>
    <x v="13"/>
    <x v="0"/>
    <x v="13"/>
    <x v="13"/>
  </r>
  <r>
    <x v="10"/>
    <x v="10"/>
    <x v="9"/>
    <x v="5"/>
    <x v="5"/>
    <x v="3"/>
    <x v="5"/>
    <x v="14"/>
  </r>
  <r>
    <x v="10"/>
    <x v="10"/>
    <x v="9"/>
    <x v="6"/>
    <x v="6"/>
    <x v="3"/>
    <x v="6"/>
    <x v="6"/>
  </r>
  <r>
    <x v="10"/>
    <x v="10"/>
    <x v="9"/>
    <x v="14"/>
    <x v="13"/>
    <x v="0"/>
    <x v="13"/>
    <x v="13"/>
  </r>
  <r>
    <x v="10"/>
    <x v="10"/>
    <x v="9"/>
    <x v="15"/>
    <x v="14"/>
    <x v="3"/>
    <x v="11"/>
    <x v="15"/>
  </r>
  <r>
    <x v="10"/>
    <x v="10"/>
    <x v="9"/>
    <x v="6"/>
    <x v="6"/>
    <x v="3"/>
    <x v="6"/>
    <x v="6"/>
  </r>
  <r>
    <x v="10"/>
    <x v="10"/>
    <x v="9"/>
    <x v="16"/>
    <x v="15"/>
    <x v="3"/>
    <x v="14"/>
    <x v="16"/>
  </r>
  <r>
    <x v="10"/>
    <x v="10"/>
    <x v="9"/>
    <x v="17"/>
    <x v="16"/>
    <x v="3"/>
    <x v="15"/>
    <x v="17"/>
  </r>
  <r>
    <x v="10"/>
    <x v="10"/>
    <x v="9"/>
    <x v="6"/>
    <x v="6"/>
    <x v="0"/>
    <x v="2"/>
    <x v="2"/>
  </r>
  <r>
    <x v="11"/>
    <x v="11"/>
    <x v="10"/>
    <x v="18"/>
    <x v="16"/>
    <x v="0"/>
    <x v="16"/>
    <x v="18"/>
  </r>
  <r>
    <x v="12"/>
    <x v="12"/>
    <x v="11"/>
    <x v="19"/>
    <x v="17"/>
    <x v="3"/>
    <x v="17"/>
    <x v="19"/>
  </r>
  <r>
    <x v="12"/>
    <x v="12"/>
    <x v="11"/>
    <x v="20"/>
    <x v="18"/>
    <x v="4"/>
    <x v="18"/>
    <x v="20"/>
  </r>
  <r>
    <x v="12"/>
    <x v="12"/>
    <x v="11"/>
    <x v="4"/>
    <x v="19"/>
    <x v="5"/>
    <x v="19"/>
    <x v="21"/>
  </r>
  <r>
    <x v="12"/>
    <x v="12"/>
    <x v="11"/>
    <x v="14"/>
    <x v="13"/>
    <x v="3"/>
    <x v="20"/>
    <x v="22"/>
  </r>
  <r>
    <x v="12"/>
    <x v="12"/>
    <x v="11"/>
    <x v="21"/>
    <x v="20"/>
    <x v="3"/>
    <x v="21"/>
    <x v="23"/>
  </r>
  <r>
    <x v="12"/>
    <x v="12"/>
    <x v="11"/>
    <x v="22"/>
    <x v="21"/>
    <x v="6"/>
    <x v="22"/>
    <x v="24"/>
  </r>
  <r>
    <x v="12"/>
    <x v="12"/>
    <x v="11"/>
    <x v="23"/>
    <x v="16"/>
    <x v="7"/>
    <x v="23"/>
    <x v="25"/>
  </r>
  <r>
    <x v="12"/>
    <x v="12"/>
    <x v="11"/>
    <x v="15"/>
    <x v="14"/>
    <x v="8"/>
    <x v="24"/>
    <x v="26"/>
  </r>
  <r>
    <x v="12"/>
    <x v="12"/>
    <x v="11"/>
    <x v="3"/>
    <x v="3"/>
    <x v="9"/>
    <x v="6"/>
    <x v="6"/>
  </r>
  <r>
    <x v="12"/>
    <x v="12"/>
    <x v="11"/>
    <x v="24"/>
    <x v="22"/>
    <x v="4"/>
    <x v="6"/>
    <x v="6"/>
  </r>
  <r>
    <x v="12"/>
    <x v="12"/>
    <x v="11"/>
    <x v="25"/>
    <x v="23"/>
    <x v="10"/>
    <x v="6"/>
    <x v="6"/>
  </r>
  <r>
    <x v="12"/>
    <x v="12"/>
    <x v="11"/>
    <x v="2"/>
    <x v="24"/>
    <x v="5"/>
    <x v="6"/>
    <x v="6"/>
  </r>
  <r>
    <x v="12"/>
    <x v="12"/>
    <x v="11"/>
    <x v="10"/>
    <x v="10"/>
    <x v="4"/>
    <x v="9"/>
    <x v="27"/>
  </r>
  <r>
    <x v="12"/>
    <x v="12"/>
    <x v="11"/>
    <x v="26"/>
    <x v="25"/>
    <x v="4"/>
    <x v="6"/>
    <x v="6"/>
  </r>
  <r>
    <x v="12"/>
    <x v="12"/>
    <x v="11"/>
    <x v="9"/>
    <x v="9"/>
    <x v="0"/>
    <x v="25"/>
    <x v="28"/>
  </r>
  <r>
    <x v="13"/>
    <x v="13"/>
    <x v="12"/>
    <x v="12"/>
    <x v="11"/>
    <x v="0"/>
    <x v="11"/>
    <x v="11"/>
  </r>
  <r>
    <x v="14"/>
    <x v="13"/>
    <x v="13"/>
    <x v="27"/>
    <x v="26"/>
    <x v="0"/>
    <x v="26"/>
    <x v="29"/>
  </r>
  <r>
    <x v="15"/>
    <x v="14"/>
    <x v="14"/>
    <x v="28"/>
    <x v="27"/>
    <x v="3"/>
    <x v="27"/>
    <x v="30"/>
  </r>
  <r>
    <x v="15"/>
    <x v="14"/>
    <x v="14"/>
    <x v="6"/>
    <x v="6"/>
    <x v="0"/>
    <x v="2"/>
    <x v="2"/>
  </r>
  <r>
    <x v="16"/>
    <x v="15"/>
    <x v="15"/>
    <x v="29"/>
    <x v="0"/>
    <x v="0"/>
    <x v="28"/>
    <x v="31"/>
  </r>
  <r>
    <x v="17"/>
    <x v="16"/>
    <x v="16"/>
    <x v="13"/>
    <x v="12"/>
    <x v="0"/>
    <x v="12"/>
    <x v="12"/>
  </r>
  <r>
    <x v="18"/>
    <x v="17"/>
    <x v="17"/>
    <x v="12"/>
    <x v="11"/>
    <x v="0"/>
    <x v="11"/>
    <x v="11"/>
  </r>
  <r>
    <x v="19"/>
    <x v="18"/>
    <x v="18"/>
    <x v="14"/>
    <x v="13"/>
    <x v="3"/>
    <x v="13"/>
    <x v="32"/>
  </r>
  <r>
    <x v="20"/>
    <x v="19"/>
    <x v="19"/>
    <x v="0"/>
    <x v="0"/>
    <x v="0"/>
    <x v="29"/>
    <x v="33"/>
  </r>
  <r>
    <x v="21"/>
    <x v="20"/>
    <x v="20"/>
    <x v="30"/>
    <x v="28"/>
    <x v="0"/>
    <x v="30"/>
    <x v="34"/>
  </r>
  <r>
    <x v="22"/>
    <x v="21"/>
    <x v="21"/>
    <x v="31"/>
    <x v="29"/>
    <x v="3"/>
    <x v="6"/>
    <x v="6"/>
  </r>
  <r>
    <x v="23"/>
    <x v="22"/>
    <x v="22"/>
    <x v="32"/>
    <x v="16"/>
    <x v="3"/>
    <x v="31"/>
    <x v="35"/>
  </r>
  <r>
    <x v="23"/>
    <x v="22"/>
    <x v="22"/>
    <x v="33"/>
    <x v="30"/>
    <x v="3"/>
    <x v="15"/>
    <x v="17"/>
  </r>
  <r>
    <x v="24"/>
    <x v="23"/>
    <x v="23"/>
    <x v="12"/>
    <x v="11"/>
    <x v="3"/>
    <x v="11"/>
    <x v="15"/>
  </r>
  <r>
    <x v="24"/>
    <x v="23"/>
    <x v="23"/>
    <x v="28"/>
    <x v="27"/>
    <x v="0"/>
    <x v="27"/>
    <x v="36"/>
  </r>
  <r>
    <x v="24"/>
    <x v="23"/>
    <x v="23"/>
    <x v="6"/>
    <x v="6"/>
    <x v="0"/>
    <x v="2"/>
    <x v="2"/>
  </r>
  <r>
    <x v="25"/>
    <x v="24"/>
    <x v="24"/>
    <x v="34"/>
    <x v="31"/>
    <x v="0"/>
    <x v="32"/>
    <x v="37"/>
  </r>
  <r>
    <x v="26"/>
    <x v="19"/>
    <x v="25"/>
    <x v="29"/>
    <x v="0"/>
    <x v="3"/>
    <x v="33"/>
    <x v="38"/>
  </r>
  <r>
    <x v="27"/>
    <x v="25"/>
    <x v="26"/>
    <x v="16"/>
    <x v="15"/>
    <x v="3"/>
    <x v="14"/>
    <x v="16"/>
  </r>
  <r>
    <x v="27"/>
    <x v="25"/>
    <x v="26"/>
    <x v="35"/>
    <x v="32"/>
    <x v="3"/>
    <x v="34"/>
    <x v="39"/>
  </r>
  <r>
    <x v="28"/>
    <x v="26"/>
    <x v="27"/>
    <x v="0"/>
    <x v="0"/>
    <x v="3"/>
    <x v="13"/>
    <x v="32"/>
  </r>
  <r>
    <x v="29"/>
    <x v="27"/>
    <x v="28"/>
    <x v="14"/>
    <x v="13"/>
    <x v="0"/>
    <x v="13"/>
    <x v="13"/>
  </r>
  <r>
    <x v="30"/>
    <x v="28"/>
    <x v="29"/>
    <x v="6"/>
    <x v="6"/>
    <x v="0"/>
    <x v="2"/>
    <x v="2"/>
  </r>
  <r>
    <x v="31"/>
    <x v="29"/>
    <x v="30"/>
    <x v="0"/>
    <x v="0"/>
    <x v="0"/>
    <x v="13"/>
    <x v="13"/>
  </r>
  <r>
    <x v="32"/>
    <x v="30"/>
    <x v="31"/>
    <x v="29"/>
    <x v="0"/>
    <x v="0"/>
    <x v="28"/>
    <x v="31"/>
  </r>
  <r>
    <x v="33"/>
    <x v="31"/>
    <x v="32"/>
    <x v="20"/>
    <x v="33"/>
    <x v="0"/>
    <x v="35"/>
    <x v="40"/>
  </r>
  <r>
    <x v="33"/>
    <x v="31"/>
    <x v="32"/>
    <x v="24"/>
    <x v="34"/>
    <x v="0"/>
    <x v="6"/>
    <x v="6"/>
  </r>
  <r>
    <x v="33"/>
    <x v="31"/>
    <x v="32"/>
    <x v="26"/>
    <x v="25"/>
    <x v="0"/>
    <x v="6"/>
    <x v="6"/>
  </r>
  <r>
    <x v="33"/>
    <x v="31"/>
    <x v="32"/>
    <x v="36"/>
    <x v="35"/>
    <x v="0"/>
    <x v="6"/>
    <x v="6"/>
  </r>
  <r>
    <x v="33"/>
    <x v="31"/>
    <x v="32"/>
    <x v="4"/>
    <x v="4"/>
    <x v="0"/>
    <x v="36"/>
    <x v="41"/>
  </r>
  <r>
    <x v="33"/>
    <x v="31"/>
    <x v="32"/>
    <x v="37"/>
    <x v="16"/>
    <x v="0"/>
    <x v="37"/>
    <x v="42"/>
  </r>
  <r>
    <x v="33"/>
    <x v="31"/>
    <x v="32"/>
    <x v="14"/>
    <x v="13"/>
    <x v="0"/>
    <x v="13"/>
    <x v="13"/>
  </r>
  <r>
    <x v="34"/>
    <x v="32"/>
    <x v="33"/>
    <x v="14"/>
    <x v="13"/>
    <x v="7"/>
    <x v="13"/>
    <x v="43"/>
  </r>
  <r>
    <x v="34"/>
    <x v="32"/>
    <x v="33"/>
    <x v="30"/>
    <x v="28"/>
    <x v="0"/>
    <x v="30"/>
    <x v="34"/>
  </r>
  <r>
    <x v="34"/>
    <x v="32"/>
    <x v="33"/>
    <x v="6"/>
    <x v="6"/>
    <x v="1"/>
    <x v="2"/>
    <x v="44"/>
  </r>
  <r>
    <x v="35"/>
    <x v="33"/>
    <x v="34"/>
    <x v="29"/>
    <x v="0"/>
    <x v="0"/>
    <x v="28"/>
    <x v="31"/>
  </r>
  <r>
    <x v="36"/>
    <x v="34"/>
    <x v="35"/>
    <x v="13"/>
    <x v="12"/>
    <x v="3"/>
    <x v="12"/>
    <x v="45"/>
  </r>
  <r>
    <x v="37"/>
    <x v="35"/>
    <x v="36"/>
    <x v="5"/>
    <x v="5"/>
    <x v="0"/>
    <x v="5"/>
    <x v="5"/>
  </r>
  <r>
    <x v="37"/>
    <x v="35"/>
    <x v="36"/>
    <x v="6"/>
    <x v="6"/>
    <x v="0"/>
    <x v="6"/>
    <x v="6"/>
  </r>
  <r>
    <x v="38"/>
    <x v="36"/>
    <x v="37"/>
    <x v="20"/>
    <x v="36"/>
    <x v="4"/>
    <x v="38"/>
    <x v="46"/>
  </r>
  <r>
    <x v="38"/>
    <x v="36"/>
    <x v="37"/>
    <x v="38"/>
    <x v="37"/>
    <x v="9"/>
    <x v="39"/>
    <x v="47"/>
  </r>
  <r>
    <x v="38"/>
    <x v="36"/>
    <x v="37"/>
    <x v="39"/>
    <x v="38"/>
    <x v="6"/>
    <x v="40"/>
    <x v="48"/>
  </r>
  <r>
    <x v="38"/>
    <x v="36"/>
    <x v="37"/>
    <x v="2"/>
    <x v="24"/>
    <x v="4"/>
    <x v="6"/>
    <x v="6"/>
  </r>
  <r>
    <x v="38"/>
    <x v="36"/>
    <x v="37"/>
    <x v="6"/>
    <x v="39"/>
    <x v="4"/>
    <x v="41"/>
    <x v="49"/>
  </r>
  <r>
    <x v="38"/>
    <x v="36"/>
    <x v="37"/>
    <x v="26"/>
    <x v="40"/>
    <x v="4"/>
    <x v="6"/>
    <x v="6"/>
  </r>
  <r>
    <x v="38"/>
    <x v="36"/>
    <x v="37"/>
    <x v="9"/>
    <x v="9"/>
    <x v="0"/>
    <x v="42"/>
    <x v="50"/>
  </r>
  <r>
    <x v="39"/>
    <x v="36"/>
    <x v="37"/>
    <x v="20"/>
    <x v="36"/>
    <x v="3"/>
    <x v="38"/>
    <x v="51"/>
  </r>
  <r>
    <x v="39"/>
    <x v="36"/>
    <x v="37"/>
    <x v="2"/>
    <x v="24"/>
    <x v="3"/>
    <x v="6"/>
    <x v="6"/>
  </r>
  <r>
    <x v="39"/>
    <x v="36"/>
    <x v="37"/>
    <x v="6"/>
    <x v="39"/>
    <x v="3"/>
    <x v="6"/>
    <x v="6"/>
  </r>
  <r>
    <x v="39"/>
    <x v="36"/>
    <x v="37"/>
    <x v="26"/>
    <x v="40"/>
    <x v="3"/>
    <x v="6"/>
    <x v="6"/>
  </r>
  <r>
    <x v="39"/>
    <x v="36"/>
    <x v="37"/>
    <x v="9"/>
    <x v="9"/>
    <x v="0"/>
    <x v="36"/>
    <x v="41"/>
  </r>
  <r>
    <x v="40"/>
    <x v="19"/>
    <x v="37"/>
    <x v="29"/>
    <x v="0"/>
    <x v="0"/>
    <x v="33"/>
    <x v="52"/>
  </r>
  <r>
    <x v="41"/>
    <x v="37"/>
    <x v="38"/>
    <x v="20"/>
    <x v="33"/>
    <x v="0"/>
    <x v="35"/>
    <x v="40"/>
  </r>
  <r>
    <x v="41"/>
    <x v="37"/>
    <x v="38"/>
    <x v="24"/>
    <x v="34"/>
    <x v="0"/>
    <x v="6"/>
    <x v="6"/>
  </r>
  <r>
    <x v="41"/>
    <x v="37"/>
    <x v="38"/>
    <x v="26"/>
    <x v="25"/>
    <x v="0"/>
    <x v="6"/>
    <x v="6"/>
  </r>
  <r>
    <x v="41"/>
    <x v="37"/>
    <x v="38"/>
    <x v="36"/>
    <x v="35"/>
    <x v="0"/>
    <x v="6"/>
    <x v="6"/>
  </r>
  <r>
    <x v="41"/>
    <x v="37"/>
    <x v="38"/>
    <x v="18"/>
    <x v="16"/>
    <x v="0"/>
    <x v="6"/>
    <x v="6"/>
  </r>
  <r>
    <x v="41"/>
    <x v="37"/>
    <x v="38"/>
    <x v="37"/>
    <x v="16"/>
    <x v="0"/>
    <x v="37"/>
    <x v="42"/>
  </r>
  <r>
    <x v="42"/>
    <x v="38"/>
    <x v="39"/>
    <x v="39"/>
    <x v="16"/>
    <x v="3"/>
    <x v="43"/>
    <x v="53"/>
  </r>
  <r>
    <x v="43"/>
    <x v="39"/>
    <x v="40"/>
    <x v="34"/>
    <x v="31"/>
    <x v="0"/>
    <x v="32"/>
    <x v="37"/>
  </r>
  <r>
    <x v="44"/>
    <x v="40"/>
    <x v="41"/>
    <x v="3"/>
    <x v="3"/>
    <x v="2"/>
    <x v="3"/>
    <x v="54"/>
  </r>
  <r>
    <x v="45"/>
    <x v="41"/>
    <x v="42"/>
    <x v="12"/>
    <x v="11"/>
    <x v="0"/>
    <x v="11"/>
    <x v="11"/>
  </r>
  <r>
    <x v="46"/>
    <x v="42"/>
    <x v="43"/>
    <x v="29"/>
    <x v="0"/>
    <x v="0"/>
    <x v="28"/>
    <x v="31"/>
  </r>
  <r>
    <x v="46"/>
    <x v="42"/>
    <x v="43"/>
    <x v="34"/>
    <x v="31"/>
    <x v="0"/>
    <x v="32"/>
    <x v="37"/>
  </r>
  <r>
    <x v="46"/>
    <x v="42"/>
    <x v="43"/>
    <x v="12"/>
    <x v="11"/>
    <x v="0"/>
    <x v="11"/>
    <x v="11"/>
  </r>
  <r>
    <x v="47"/>
    <x v="43"/>
    <x v="44"/>
    <x v="0"/>
    <x v="0"/>
    <x v="0"/>
    <x v="13"/>
    <x v="13"/>
  </r>
  <r>
    <x v="48"/>
    <x v="44"/>
    <x v="45"/>
    <x v="35"/>
    <x v="32"/>
    <x v="8"/>
    <x v="34"/>
    <x v="55"/>
  </r>
  <r>
    <x v="49"/>
    <x v="28"/>
    <x v="46"/>
    <x v="40"/>
    <x v="41"/>
    <x v="3"/>
    <x v="44"/>
    <x v="56"/>
  </r>
  <r>
    <x v="49"/>
    <x v="28"/>
    <x v="46"/>
    <x v="41"/>
    <x v="42"/>
    <x v="3"/>
    <x v="45"/>
    <x v="57"/>
  </r>
  <r>
    <x v="50"/>
    <x v="0"/>
    <x v="47"/>
    <x v="14"/>
    <x v="13"/>
    <x v="0"/>
    <x v="13"/>
    <x v="13"/>
  </r>
  <r>
    <x v="51"/>
    <x v="45"/>
    <x v="48"/>
    <x v="18"/>
    <x v="16"/>
    <x v="0"/>
    <x v="16"/>
    <x v="18"/>
  </r>
  <r>
    <x v="51"/>
    <x v="45"/>
    <x v="48"/>
    <x v="36"/>
    <x v="35"/>
    <x v="0"/>
    <x v="10"/>
    <x v="10"/>
  </r>
  <r>
    <x v="51"/>
    <x v="45"/>
    <x v="48"/>
    <x v="3"/>
    <x v="3"/>
    <x v="2"/>
    <x v="3"/>
    <x v="54"/>
  </r>
  <r>
    <x v="51"/>
    <x v="45"/>
    <x v="48"/>
    <x v="2"/>
    <x v="2"/>
    <x v="8"/>
    <x v="2"/>
    <x v="58"/>
  </r>
  <r>
    <x v="52"/>
    <x v="46"/>
    <x v="49"/>
    <x v="27"/>
    <x v="26"/>
    <x v="0"/>
    <x v="26"/>
    <x v="29"/>
  </r>
  <r>
    <x v="53"/>
    <x v="47"/>
    <x v="50"/>
    <x v="12"/>
    <x v="11"/>
    <x v="0"/>
    <x v="11"/>
    <x v="11"/>
  </r>
  <r>
    <x v="53"/>
    <x v="47"/>
    <x v="50"/>
    <x v="42"/>
    <x v="43"/>
    <x v="0"/>
    <x v="45"/>
    <x v="59"/>
  </r>
  <r>
    <x v="54"/>
    <x v="19"/>
    <x v="51"/>
    <x v="0"/>
    <x v="0"/>
    <x v="0"/>
    <x v="29"/>
    <x v="33"/>
  </r>
  <r>
    <x v="55"/>
    <x v="48"/>
    <x v="51"/>
    <x v="43"/>
    <x v="44"/>
    <x v="0"/>
    <x v="46"/>
    <x v="60"/>
  </r>
  <r>
    <x v="55"/>
    <x v="48"/>
    <x v="51"/>
    <x v="19"/>
    <x v="45"/>
    <x v="0"/>
    <x v="47"/>
    <x v="61"/>
  </r>
  <r>
    <x v="55"/>
    <x v="48"/>
    <x v="51"/>
    <x v="11"/>
    <x v="9"/>
    <x v="0"/>
    <x v="48"/>
    <x v="62"/>
  </r>
  <r>
    <x v="56"/>
    <x v="49"/>
    <x v="52"/>
    <x v="34"/>
    <x v="31"/>
    <x v="0"/>
    <x v="32"/>
    <x v="37"/>
  </r>
  <r>
    <x v="57"/>
    <x v="50"/>
    <x v="53"/>
    <x v="44"/>
    <x v="16"/>
    <x v="0"/>
    <x v="37"/>
    <x v="42"/>
  </r>
  <r>
    <x v="58"/>
    <x v="51"/>
    <x v="54"/>
    <x v="2"/>
    <x v="2"/>
    <x v="3"/>
    <x v="2"/>
    <x v="63"/>
  </r>
  <r>
    <x v="59"/>
    <x v="52"/>
    <x v="55"/>
    <x v="20"/>
    <x v="33"/>
    <x v="3"/>
    <x v="35"/>
    <x v="64"/>
  </r>
  <r>
    <x v="59"/>
    <x v="52"/>
    <x v="55"/>
    <x v="18"/>
    <x v="16"/>
    <x v="3"/>
    <x v="6"/>
    <x v="6"/>
  </r>
  <r>
    <x v="59"/>
    <x v="52"/>
    <x v="55"/>
    <x v="23"/>
    <x v="16"/>
    <x v="3"/>
    <x v="49"/>
    <x v="65"/>
  </r>
  <r>
    <x v="59"/>
    <x v="52"/>
    <x v="55"/>
    <x v="36"/>
    <x v="35"/>
    <x v="3"/>
    <x v="6"/>
    <x v="6"/>
  </r>
  <r>
    <x v="59"/>
    <x v="52"/>
    <x v="55"/>
    <x v="24"/>
    <x v="34"/>
    <x v="3"/>
    <x v="6"/>
    <x v="6"/>
  </r>
  <r>
    <x v="60"/>
    <x v="53"/>
    <x v="56"/>
    <x v="13"/>
    <x v="12"/>
    <x v="3"/>
    <x v="12"/>
    <x v="45"/>
  </r>
  <r>
    <x v="61"/>
    <x v="28"/>
    <x v="57"/>
    <x v="21"/>
    <x v="20"/>
    <x v="0"/>
    <x v="50"/>
    <x v="66"/>
  </r>
  <r>
    <x v="61"/>
    <x v="28"/>
    <x v="57"/>
    <x v="40"/>
    <x v="41"/>
    <x v="3"/>
    <x v="44"/>
    <x v="56"/>
  </r>
  <r>
    <x v="61"/>
    <x v="28"/>
    <x v="57"/>
    <x v="41"/>
    <x v="42"/>
    <x v="3"/>
    <x v="45"/>
    <x v="57"/>
  </r>
  <r>
    <x v="62"/>
    <x v="54"/>
    <x v="58"/>
    <x v="7"/>
    <x v="7"/>
    <x v="0"/>
    <x v="7"/>
    <x v="67"/>
  </r>
  <r>
    <x v="62"/>
    <x v="54"/>
    <x v="58"/>
    <x v="3"/>
    <x v="46"/>
    <x v="11"/>
    <x v="51"/>
    <x v="68"/>
  </r>
  <r>
    <x v="62"/>
    <x v="54"/>
    <x v="58"/>
    <x v="2"/>
    <x v="2"/>
    <x v="12"/>
    <x v="52"/>
    <x v="69"/>
  </r>
  <r>
    <x v="62"/>
    <x v="54"/>
    <x v="58"/>
    <x v="9"/>
    <x v="9"/>
    <x v="0"/>
    <x v="53"/>
    <x v="70"/>
  </r>
  <r>
    <x v="63"/>
    <x v="55"/>
    <x v="58"/>
    <x v="43"/>
    <x v="44"/>
    <x v="0"/>
    <x v="46"/>
    <x v="60"/>
  </r>
  <r>
    <x v="63"/>
    <x v="55"/>
    <x v="58"/>
    <x v="21"/>
    <x v="20"/>
    <x v="6"/>
    <x v="21"/>
    <x v="71"/>
  </r>
  <r>
    <x v="63"/>
    <x v="55"/>
    <x v="58"/>
    <x v="11"/>
    <x v="9"/>
    <x v="0"/>
    <x v="54"/>
    <x v="72"/>
  </r>
  <r>
    <x v="64"/>
    <x v="56"/>
    <x v="58"/>
    <x v="43"/>
    <x v="44"/>
    <x v="0"/>
    <x v="46"/>
    <x v="60"/>
  </r>
  <r>
    <x v="65"/>
    <x v="57"/>
    <x v="58"/>
    <x v="43"/>
    <x v="44"/>
    <x v="0"/>
    <x v="46"/>
    <x v="60"/>
  </r>
  <r>
    <x v="66"/>
    <x v="58"/>
    <x v="59"/>
    <x v="45"/>
    <x v="47"/>
    <x v="3"/>
    <x v="55"/>
    <x v="73"/>
  </r>
  <r>
    <x v="66"/>
    <x v="58"/>
    <x v="59"/>
    <x v="24"/>
    <x v="34"/>
    <x v="3"/>
    <x v="6"/>
    <x v="6"/>
  </r>
  <r>
    <x v="66"/>
    <x v="58"/>
    <x v="59"/>
    <x v="36"/>
    <x v="35"/>
    <x v="3"/>
    <x v="6"/>
    <x v="6"/>
  </r>
  <r>
    <x v="66"/>
    <x v="58"/>
    <x v="59"/>
    <x v="18"/>
    <x v="16"/>
    <x v="3"/>
    <x v="6"/>
    <x v="6"/>
  </r>
  <r>
    <x v="67"/>
    <x v="59"/>
    <x v="60"/>
    <x v="27"/>
    <x v="26"/>
    <x v="0"/>
    <x v="26"/>
    <x v="29"/>
  </r>
  <r>
    <x v="68"/>
    <x v="60"/>
    <x v="61"/>
    <x v="29"/>
    <x v="0"/>
    <x v="0"/>
    <x v="28"/>
    <x v="31"/>
  </r>
  <r>
    <x v="69"/>
    <x v="40"/>
    <x v="62"/>
    <x v="16"/>
    <x v="15"/>
    <x v="0"/>
    <x v="14"/>
    <x v="74"/>
  </r>
  <r>
    <x v="70"/>
    <x v="19"/>
    <x v="63"/>
    <x v="0"/>
    <x v="0"/>
    <x v="0"/>
    <x v="29"/>
    <x v="33"/>
  </r>
  <r>
    <x v="71"/>
    <x v="61"/>
    <x v="64"/>
    <x v="29"/>
    <x v="0"/>
    <x v="0"/>
    <x v="28"/>
    <x v="31"/>
  </r>
  <r>
    <x v="72"/>
    <x v="62"/>
    <x v="65"/>
    <x v="14"/>
    <x v="13"/>
    <x v="0"/>
    <x v="13"/>
    <x v="13"/>
  </r>
  <r>
    <x v="73"/>
    <x v="63"/>
    <x v="66"/>
    <x v="45"/>
    <x v="47"/>
    <x v="4"/>
    <x v="55"/>
    <x v="75"/>
  </r>
  <r>
    <x v="73"/>
    <x v="63"/>
    <x v="66"/>
    <x v="24"/>
    <x v="34"/>
    <x v="4"/>
    <x v="6"/>
    <x v="6"/>
  </r>
  <r>
    <x v="73"/>
    <x v="63"/>
    <x v="66"/>
    <x v="36"/>
    <x v="35"/>
    <x v="4"/>
    <x v="6"/>
    <x v="6"/>
  </r>
  <r>
    <x v="73"/>
    <x v="63"/>
    <x v="66"/>
    <x v="39"/>
    <x v="16"/>
    <x v="4"/>
    <x v="42"/>
    <x v="76"/>
  </r>
  <r>
    <x v="73"/>
    <x v="63"/>
    <x v="66"/>
    <x v="10"/>
    <x v="10"/>
    <x v="9"/>
    <x v="56"/>
    <x v="77"/>
  </r>
  <r>
    <x v="74"/>
    <x v="64"/>
    <x v="67"/>
    <x v="27"/>
    <x v="26"/>
    <x v="0"/>
    <x v="26"/>
    <x v="29"/>
  </r>
  <r>
    <x v="75"/>
    <x v="65"/>
    <x v="68"/>
    <x v="45"/>
    <x v="47"/>
    <x v="3"/>
    <x v="55"/>
    <x v="73"/>
  </r>
  <r>
    <x v="75"/>
    <x v="65"/>
    <x v="68"/>
    <x v="24"/>
    <x v="34"/>
    <x v="3"/>
    <x v="6"/>
    <x v="6"/>
  </r>
  <r>
    <x v="75"/>
    <x v="65"/>
    <x v="68"/>
    <x v="36"/>
    <x v="35"/>
    <x v="3"/>
    <x v="6"/>
    <x v="6"/>
  </r>
  <r>
    <x v="75"/>
    <x v="65"/>
    <x v="68"/>
    <x v="18"/>
    <x v="16"/>
    <x v="3"/>
    <x v="6"/>
    <x v="6"/>
  </r>
  <r>
    <x v="75"/>
    <x v="65"/>
    <x v="68"/>
    <x v="10"/>
    <x v="10"/>
    <x v="8"/>
    <x v="56"/>
    <x v="78"/>
  </r>
  <r>
    <x v="76"/>
    <x v="66"/>
    <x v="69"/>
    <x v="46"/>
    <x v="48"/>
    <x v="0"/>
    <x v="6"/>
    <x v="6"/>
  </r>
  <r>
    <x v="76"/>
    <x v="66"/>
    <x v="69"/>
    <x v="47"/>
    <x v="49"/>
    <x v="0"/>
    <x v="6"/>
    <x v="6"/>
  </r>
  <r>
    <x v="76"/>
    <x v="66"/>
    <x v="69"/>
    <x v="48"/>
    <x v="50"/>
    <x v="6"/>
    <x v="6"/>
    <x v="6"/>
  </r>
  <r>
    <x v="76"/>
    <x v="66"/>
    <x v="69"/>
    <x v="49"/>
    <x v="51"/>
    <x v="0"/>
    <x v="6"/>
    <x v="6"/>
  </r>
  <r>
    <x v="77"/>
    <x v="67"/>
    <x v="69"/>
    <x v="50"/>
    <x v="52"/>
    <x v="13"/>
    <x v="6"/>
    <x v="6"/>
  </r>
  <r>
    <x v="78"/>
    <x v="0"/>
    <x v="70"/>
    <x v="45"/>
    <x v="47"/>
    <x v="3"/>
    <x v="57"/>
    <x v="79"/>
  </r>
  <r>
    <x v="78"/>
    <x v="0"/>
    <x v="70"/>
    <x v="24"/>
    <x v="34"/>
    <x v="3"/>
    <x v="6"/>
    <x v="6"/>
  </r>
  <r>
    <x v="78"/>
    <x v="0"/>
    <x v="70"/>
    <x v="36"/>
    <x v="35"/>
    <x v="3"/>
    <x v="6"/>
    <x v="6"/>
  </r>
  <r>
    <x v="78"/>
    <x v="0"/>
    <x v="70"/>
    <x v="18"/>
    <x v="16"/>
    <x v="3"/>
    <x v="6"/>
    <x v="6"/>
  </r>
  <r>
    <x v="79"/>
    <x v="41"/>
    <x v="71"/>
    <x v="13"/>
    <x v="12"/>
    <x v="3"/>
    <x v="12"/>
    <x v="45"/>
  </r>
  <r>
    <x v="80"/>
    <x v="68"/>
    <x v="72"/>
    <x v="51"/>
    <x v="47"/>
    <x v="8"/>
    <x v="58"/>
    <x v="80"/>
  </r>
  <r>
    <x v="80"/>
    <x v="68"/>
    <x v="72"/>
    <x v="39"/>
    <x v="53"/>
    <x v="8"/>
    <x v="42"/>
    <x v="81"/>
  </r>
  <r>
    <x v="80"/>
    <x v="68"/>
    <x v="72"/>
    <x v="2"/>
    <x v="24"/>
    <x v="8"/>
    <x v="6"/>
    <x v="6"/>
  </r>
  <r>
    <x v="80"/>
    <x v="68"/>
    <x v="72"/>
    <x v="6"/>
    <x v="54"/>
    <x v="8"/>
    <x v="6"/>
    <x v="6"/>
  </r>
  <r>
    <x v="80"/>
    <x v="68"/>
    <x v="72"/>
    <x v="5"/>
    <x v="5"/>
    <x v="2"/>
    <x v="5"/>
    <x v="82"/>
  </r>
  <r>
    <x v="80"/>
    <x v="68"/>
    <x v="72"/>
    <x v="24"/>
    <x v="22"/>
    <x v="8"/>
    <x v="6"/>
    <x v="6"/>
  </r>
  <r>
    <x v="80"/>
    <x v="68"/>
    <x v="72"/>
    <x v="39"/>
    <x v="55"/>
    <x v="4"/>
    <x v="43"/>
    <x v="48"/>
  </r>
  <r>
    <x v="81"/>
    <x v="69"/>
    <x v="72"/>
    <x v="19"/>
    <x v="56"/>
    <x v="6"/>
    <x v="59"/>
    <x v="83"/>
  </r>
  <r>
    <x v="81"/>
    <x v="69"/>
    <x v="72"/>
    <x v="24"/>
    <x v="57"/>
    <x v="6"/>
    <x v="6"/>
    <x v="6"/>
  </r>
  <r>
    <x v="81"/>
    <x v="69"/>
    <x v="72"/>
    <x v="9"/>
    <x v="9"/>
    <x v="0"/>
    <x v="60"/>
    <x v="84"/>
  </r>
  <r>
    <x v="82"/>
    <x v="70"/>
    <x v="73"/>
    <x v="6"/>
    <x v="6"/>
    <x v="0"/>
    <x v="2"/>
    <x v="2"/>
  </r>
  <r>
    <x v="83"/>
    <x v="70"/>
    <x v="74"/>
    <x v="4"/>
    <x v="4"/>
    <x v="0"/>
    <x v="4"/>
    <x v="4"/>
  </r>
  <r>
    <x v="83"/>
    <x v="70"/>
    <x v="74"/>
    <x v="36"/>
    <x v="35"/>
    <x v="0"/>
    <x v="10"/>
    <x v="10"/>
  </r>
  <r>
    <x v="84"/>
    <x v="71"/>
    <x v="75"/>
    <x v="29"/>
    <x v="0"/>
    <x v="0"/>
    <x v="28"/>
    <x v="31"/>
  </r>
  <r>
    <x v="85"/>
    <x v="72"/>
    <x v="76"/>
    <x v="27"/>
    <x v="26"/>
    <x v="0"/>
    <x v="61"/>
    <x v="85"/>
  </r>
  <r>
    <x v="86"/>
    <x v="73"/>
    <x v="77"/>
    <x v="15"/>
    <x v="14"/>
    <x v="0"/>
    <x v="11"/>
    <x v="11"/>
  </r>
  <r>
    <x v="86"/>
    <x v="73"/>
    <x v="77"/>
    <x v="6"/>
    <x v="6"/>
    <x v="0"/>
    <x v="6"/>
    <x v="6"/>
  </r>
  <r>
    <x v="86"/>
    <x v="73"/>
    <x v="77"/>
    <x v="6"/>
    <x v="6"/>
    <x v="0"/>
    <x v="2"/>
    <x v="2"/>
  </r>
  <r>
    <x v="87"/>
    <x v="74"/>
    <x v="78"/>
    <x v="52"/>
    <x v="58"/>
    <x v="1"/>
    <x v="25"/>
    <x v="86"/>
  </r>
  <r>
    <x v="87"/>
    <x v="74"/>
    <x v="78"/>
    <x v="53"/>
    <x v="59"/>
    <x v="1"/>
    <x v="62"/>
    <x v="87"/>
  </r>
  <r>
    <x v="87"/>
    <x v="74"/>
    <x v="78"/>
    <x v="54"/>
    <x v="60"/>
    <x v="1"/>
    <x v="63"/>
    <x v="88"/>
  </r>
  <r>
    <x v="87"/>
    <x v="74"/>
    <x v="78"/>
    <x v="48"/>
    <x v="50"/>
    <x v="2"/>
    <x v="64"/>
    <x v="89"/>
  </r>
  <r>
    <x v="87"/>
    <x v="74"/>
    <x v="78"/>
    <x v="55"/>
    <x v="61"/>
    <x v="4"/>
    <x v="65"/>
    <x v="90"/>
  </r>
  <r>
    <x v="87"/>
    <x v="74"/>
    <x v="78"/>
    <x v="56"/>
    <x v="62"/>
    <x v="4"/>
    <x v="64"/>
    <x v="91"/>
  </r>
  <r>
    <x v="87"/>
    <x v="74"/>
    <x v="78"/>
    <x v="57"/>
    <x v="63"/>
    <x v="4"/>
    <x v="64"/>
    <x v="91"/>
  </r>
  <r>
    <x v="87"/>
    <x v="74"/>
    <x v="78"/>
    <x v="58"/>
    <x v="64"/>
    <x v="4"/>
    <x v="66"/>
    <x v="92"/>
  </r>
  <r>
    <x v="87"/>
    <x v="74"/>
    <x v="78"/>
    <x v="59"/>
    <x v="65"/>
    <x v="0"/>
    <x v="48"/>
    <x v="62"/>
  </r>
  <r>
    <x v="88"/>
    <x v="75"/>
    <x v="79"/>
    <x v="12"/>
    <x v="11"/>
    <x v="3"/>
    <x v="11"/>
    <x v="15"/>
  </r>
  <r>
    <x v="89"/>
    <x v="18"/>
    <x v="80"/>
    <x v="38"/>
    <x v="16"/>
    <x v="0"/>
    <x v="16"/>
    <x v="18"/>
  </r>
  <r>
    <x v="90"/>
    <x v="67"/>
    <x v="81"/>
    <x v="60"/>
    <x v="66"/>
    <x v="0"/>
    <x v="6"/>
    <x v="6"/>
  </r>
  <r>
    <x v="90"/>
    <x v="67"/>
    <x v="81"/>
    <x v="61"/>
    <x v="67"/>
    <x v="0"/>
    <x v="6"/>
    <x v="6"/>
  </r>
  <r>
    <x v="91"/>
    <x v="6"/>
    <x v="81"/>
    <x v="20"/>
    <x v="68"/>
    <x v="2"/>
    <x v="38"/>
    <x v="93"/>
  </r>
  <r>
    <x v="91"/>
    <x v="6"/>
    <x v="81"/>
    <x v="62"/>
    <x v="69"/>
    <x v="2"/>
    <x v="67"/>
    <x v="94"/>
  </r>
  <r>
    <x v="91"/>
    <x v="6"/>
    <x v="81"/>
    <x v="24"/>
    <x v="22"/>
    <x v="14"/>
    <x v="6"/>
    <x v="6"/>
  </r>
  <r>
    <x v="91"/>
    <x v="6"/>
    <x v="81"/>
    <x v="9"/>
    <x v="9"/>
    <x v="0"/>
    <x v="68"/>
    <x v="95"/>
  </r>
  <r>
    <x v="92"/>
    <x v="67"/>
    <x v="81"/>
    <x v="60"/>
    <x v="66"/>
    <x v="3"/>
    <x v="6"/>
    <x v="6"/>
  </r>
  <r>
    <x v="92"/>
    <x v="67"/>
    <x v="81"/>
    <x v="61"/>
    <x v="67"/>
    <x v="3"/>
    <x v="6"/>
    <x v="6"/>
  </r>
  <r>
    <x v="93"/>
    <x v="76"/>
    <x v="81"/>
    <x v="63"/>
    <x v="70"/>
    <x v="6"/>
    <x v="9"/>
    <x v="96"/>
  </r>
  <r>
    <x v="94"/>
    <x v="77"/>
    <x v="82"/>
    <x v="27"/>
    <x v="26"/>
    <x v="0"/>
    <x v="61"/>
    <x v="85"/>
  </r>
  <r>
    <x v="95"/>
    <x v="78"/>
    <x v="83"/>
    <x v="15"/>
    <x v="14"/>
    <x v="0"/>
    <x v="11"/>
    <x v="11"/>
  </r>
  <r>
    <x v="95"/>
    <x v="78"/>
    <x v="83"/>
    <x v="6"/>
    <x v="6"/>
    <x v="0"/>
    <x v="6"/>
    <x v="6"/>
  </r>
  <r>
    <x v="96"/>
    <x v="79"/>
    <x v="84"/>
    <x v="7"/>
    <x v="7"/>
    <x v="0"/>
    <x v="69"/>
    <x v="97"/>
  </r>
  <r>
    <x v="96"/>
    <x v="79"/>
    <x v="84"/>
    <x v="21"/>
    <x v="20"/>
    <x v="3"/>
    <x v="21"/>
    <x v="23"/>
  </r>
  <r>
    <x v="96"/>
    <x v="79"/>
    <x v="84"/>
    <x v="13"/>
    <x v="12"/>
    <x v="15"/>
    <x v="70"/>
    <x v="98"/>
  </r>
  <r>
    <x v="96"/>
    <x v="79"/>
    <x v="84"/>
    <x v="42"/>
    <x v="43"/>
    <x v="4"/>
    <x v="71"/>
    <x v="99"/>
  </r>
  <r>
    <x v="96"/>
    <x v="79"/>
    <x v="84"/>
    <x v="63"/>
    <x v="70"/>
    <x v="8"/>
    <x v="9"/>
    <x v="100"/>
  </r>
  <r>
    <x v="96"/>
    <x v="79"/>
    <x v="84"/>
    <x v="9"/>
    <x v="9"/>
    <x v="0"/>
    <x v="72"/>
    <x v="101"/>
  </r>
  <r>
    <x v="97"/>
    <x v="80"/>
    <x v="85"/>
    <x v="27"/>
    <x v="26"/>
    <x v="0"/>
    <x v="26"/>
    <x v="29"/>
  </r>
  <r>
    <x v="98"/>
    <x v="81"/>
    <x v="86"/>
    <x v="29"/>
    <x v="0"/>
    <x v="0"/>
    <x v="28"/>
    <x v="31"/>
  </r>
  <r>
    <x v="99"/>
    <x v="76"/>
    <x v="87"/>
    <x v="20"/>
    <x v="71"/>
    <x v="16"/>
    <x v="18"/>
    <x v="102"/>
  </r>
  <r>
    <x v="99"/>
    <x v="76"/>
    <x v="87"/>
    <x v="26"/>
    <x v="40"/>
    <x v="16"/>
    <x v="6"/>
    <x v="6"/>
  </r>
  <r>
    <x v="99"/>
    <x v="76"/>
    <x v="87"/>
    <x v="24"/>
    <x v="22"/>
    <x v="16"/>
    <x v="6"/>
    <x v="6"/>
  </r>
  <r>
    <x v="99"/>
    <x v="76"/>
    <x v="87"/>
    <x v="18"/>
    <x v="72"/>
    <x v="16"/>
    <x v="6"/>
    <x v="6"/>
  </r>
  <r>
    <x v="99"/>
    <x v="76"/>
    <x v="87"/>
    <x v="2"/>
    <x v="24"/>
    <x v="16"/>
    <x v="6"/>
    <x v="6"/>
  </r>
  <r>
    <x v="99"/>
    <x v="76"/>
    <x v="87"/>
    <x v="5"/>
    <x v="5"/>
    <x v="6"/>
    <x v="73"/>
    <x v="103"/>
  </r>
  <r>
    <x v="99"/>
    <x v="76"/>
    <x v="87"/>
    <x v="25"/>
    <x v="73"/>
    <x v="11"/>
    <x v="6"/>
    <x v="6"/>
  </r>
  <r>
    <x v="99"/>
    <x v="76"/>
    <x v="87"/>
    <x v="9"/>
    <x v="9"/>
    <x v="0"/>
    <x v="74"/>
    <x v="104"/>
  </r>
  <r>
    <x v="100"/>
    <x v="82"/>
    <x v="88"/>
    <x v="29"/>
    <x v="0"/>
    <x v="0"/>
    <x v="28"/>
    <x v="31"/>
  </r>
  <r>
    <x v="101"/>
    <x v="83"/>
    <x v="89"/>
    <x v="34"/>
    <x v="31"/>
    <x v="3"/>
    <x v="32"/>
    <x v="105"/>
  </r>
  <r>
    <x v="101"/>
    <x v="83"/>
    <x v="89"/>
    <x v="12"/>
    <x v="11"/>
    <x v="3"/>
    <x v="11"/>
    <x v="15"/>
  </r>
  <r>
    <x v="102"/>
    <x v="53"/>
    <x v="90"/>
    <x v="27"/>
    <x v="26"/>
    <x v="0"/>
    <x v="61"/>
    <x v="85"/>
  </r>
  <r>
    <x v="103"/>
    <x v="84"/>
    <x v="91"/>
    <x v="12"/>
    <x v="11"/>
    <x v="3"/>
    <x v="11"/>
    <x v="15"/>
  </r>
  <r>
    <x v="104"/>
    <x v="85"/>
    <x v="92"/>
    <x v="19"/>
    <x v="74"/>
    <x v="3"/>
    <x v="69"/>
    <x v="106"/>
  </r>
  <r>
    <x v="104"/>
    <x v="85"/>
    <x v="92"/>
    <x v="15"/>
    <x v="14"/>
    <x v="8"/>
    <x v="11"/>
    <x v="107"/>
  </r>
  <r>
    <x v="104"/>
    <x v="85"/>
    <x v="92"/>
    <x v="2"/>
    <x v="24"/>
    <x v="6"/>
    <x v="6"/>
    <x v="6"/>
  </r>
  <r>
    <x v="104"/>
    <x v="85"/>
    <x v="92"/>
    <x v="6"/>
    <x v="39"/>
    <x v="2"/>
    <x v="6"/>
    <x v="6"/>
  </r>
  <r>
    <x v="104"/>
    <x v="85"/>
    <x v="92"/>
    <x v="4"/>
    <x v="75"/>
    <x v="6"/>
    <x v="36"/>
    <x v="108"/>
  </r>
  <r>
    <x v="104"/>
    <x v="85"/>
    <x v="92"/>
    <x v="24"/>
    <x v="34"/>
    <x v="3"/>
    <x v="6"/>
    <x v="6"/>
  </r>
  <r>
    <x v="105"/>
    <x v="86"/>
    <x v="93"/>
    <x v="29"/>
    <x v="0"/>
    <x v="0"/>
    <x v="75"/>
    <x v="109"/>
  </r>
  <r>
    <x v="106"/>
    <x v="87"/>
    <x v="94"/>
    <x v="27"/>
    <x v="26"/>
    <x v="0"/>
    <x v="76"/>
    <x v="110"/>
  </r>
  <r>
    <x v="106"/>
    <x v="87"/>
    <x v="94"/>
    <x v="12"/>
    <x v="11"/>
    <x v="0"/>
    <x v="77"/>
    <x v="111"/>
  </r>
  <r>
    <x v="107"/>
    <x v="88"/>
    <x v="95"/>
    <x v="12"/>
    <x v="11"/>
    <x v="3"/>
    <x v="11"/>
    <x v="15"/>
  </r>
  <r>
    <x v="108"/>
    <x v="2"/>
    <x v="96"/>
    <x v="28"/>
    <x v="27"/>
    <x v="0"/>
    <x v="78"/>
    <x v="112"/>
  </r>
  <r>
    <x v="108"/>
    <x v="2"/>
    <x v="96"/>
    <x v="2"/>
    <x v="2"/>
    <x v="0"/>
    <x v="79"/>
    <x v="113"/>
  </r>
  <r>
    <x v="108"/>
    <x v="2"/>
    <x v="96"/>
    <x v="6"/>
    <x v="6"/>
    <x v="0"/>
    <x v="79"/>
    <x v="113"/>
  </r>
  <r>
    <x v="109"/>
    <x v="89"/>
    <x v="97"/>
    <x v="34"/>
    <x v="31"/>
    <x v="0"/>
    <x v="32"/>
    <x v="37"/>
  </r>
  <r>
    <x v="110"/>
    <x v="90"/>
    <x v="98"/>
    <x v="14"/>
    <x v="13"/>
    <x v="0"/>
    <x v="13"/>
    <x v="13"/>
  </r>
  <r>
    <x v="111"/>
    <x v="91"/>
    <x v="99"/>
    <x v="45"/>
    <x v="47"/>
    <x v="3"/>
    <x v="55"/>
    <x v="73"/>
  </r>
  <r>
    <x v="111"/>
    <x v="91"/>
    <x v="99"/>
    <x v="24"/>
    <x v="34"/>
    <x v="3"/>
    <x v="6"/>
    <x v="6"/>
  </r>
  <r>
    <x v="111"/>
    <x v="91"/>
    <x v="99"/>
    <x v="36"/>
    <x v="35"/>
    <x v="3"/>
    <x v="6"/>
    <x v="6"/>
  </r>
  <r>
    <x v="111"/>
    <x v="91"/>
    <x v="99"/>
    <x v="4"/>
    <x v="4"/>
    <x v="3"/>
    <x v="36"/>
    <x v="101"/>
  </r>
  <r>
    <x v="111"/>
    <x v="91"/>
    <x v="99"/>
    <x v="14"/>
    <x v="13"/>
    <x v="0"/>
    <x v="13"/>
    <x v="13"/>
  </r>
  <r>
    <x v="111"/>
    <x v="91"/>
    <x v="99"/>
    <x v="13"/>
    <x v="12"/>
    <x v="3"/>
    <x v="12"/>
    <x v="45"/>
  </r>
  <r>
    <x v="112"/>
    <x v="6"/>
    <x v="100"/>
    <x v="64"/>
    <x v="9"/>
    <x v="8"/>
    <x v="80"/>
    <x v="114"/>
  </r>
  <r>
    <x v="112"/>
    <x v="6"/>
    <x v="100"/>
    <x v="11"/>
    <x v="9"/>
    <x v="0"/>
    <x v="10"/>
    <x v="10"/>
  </r>
  <r>
    <x v="113"/>
    <x v="92"/>
    <x v="101"/>
    <x v="29"/>
    <x v="0"/>
    <x v="0"/>
    <x v="28"/>
    <x v="31"/>
  </r>
  <r>
    <x v="114"/>
    <x v="93"/>
    <x v="102"/>
    <x v="42"/>
    <x v="43"/>
    <x v="8"/>
    <x v="45"/>
    <x v="115"/>
  </r>
  <r>
    <x v="115"/>
    <x v="94"/>
    <x v="103"/>
    <x v="14"/>
    <x v="13"/>
    <x v="0"/>
    <x v="13"/>
    <x v="13"/>
  </r>
  <r>
    <x v="116"/>
    <x v="95"/>
    <x v="104"/>
    <x v="29"/>
    <x v="0"/>
    <x v="0"/>
    <x v="28"/>
    <x v="31"/>
  </r>
  <r>
    <x v="117"/>
    <x v="96"/>
    <x v="105"/>
    <x v="65"/>
    <x v="9"/>
    <x v="8"/>
    <x v="81"/>
    <x v="116"/>
  </r>
  <r>
    <x v="117"/>
    <x v="96"/>
    <x v="105"/>
    <x v="11"/>
    <x v="9"/>
    <x v="0"/>
    <x v="10"/>
    <x v="10"/>
  </r>
  <r>
    <x v="118"/>
    <x v="48"/>
    <x v="105"/>
    <x v="66"/>
    <x v="76"/>
    <x v="0"/>
    <x v="6"/>
    <x v="6"/>
  </r>
  <r>
    <x v="119"/>
    <x v="56"/>
    <x v="105"/>
    <x v="43"/>
    <x v="77"/>
    <x v="2"/>
    <x v="46"/>
    <x v="117"/>
  </r>
  <r>
    <x v="119"/>
    <x v="56"/>
    <x v="105"/>
    <x v="11"/>
    <x v="9"/>
    <x v="0"/>
    <x v="82"/>
    <x v="118"/>
  </r>
  <r>
    <x v="120"/>
    <x v="97"/>
    <x v="106"/>
    <x v="18"/>
    <x v="16"/>
    <x v="0"/>
    <x v="16"/>
    <x v="18"/>
  </r>
  <r>
    <x v="121"/>
    <x v="98"/>
    <x v="107"/>
    <x v="20"/>
    <x v="33"/>
    <x v="6"/>
    <x v="83"/>
    <x v="119"/>
  </r>
  <r>
    <x v="121"/>
    <x v="98"/>
    <x v="107"/>
    <x v="24"/>
    <x v="34"/>
    <x v="6"/>
    <x v="6"/>
    <x v="6"/>
  </r>
  <r>
    <x v="121"/>
    <x v="98"/>
    <x v="107"/>
    <x v="26"/>
    <x v="78"/>
    <x v="6"/>
    <x v="6"/>
    <x v="6"/>
  </r>
  <r>
    <x v="121"/>
    <x v="98"/>
    <x v="107"/>
    <x v="14"/>
    <x v="13"/>
    <x v="0"/>
    <x v="6"/>
    <x v="6"/>
  </r>
  <r>
    <x v="121"/>
    <x v="98"/>
    <x v="107"/>
    <x v="4"/>
    <x v="4"/>
    <x v="8"/>
    <x v="19"/>
    <x v="62"/>
  </r>
  <r>
    <x v="121"/>
    <x v="98"/>
    <x v="107"/>
    <x v="39"/>
    <x v="79"/>
    <x v="8"/>
    <x v="84"/>
    <x v="21"/>
  </r>
  <r>
    <x v="121"/>
    <x v="98"/>
    <x v="107"/>
    <x v="5"/>
    <x v="5"/>
    <x v="6"/>
    <x v="85"/>
    <x v="120"/>
  </r>
  <r>
    <x v="121"/>
    <x v="98"/>
    <x v="107"/>
    <x v="2"/>
    <x v="2"/>
    <x v="6"/>
    <x v="6"/>
    <x v="6"/>
  </r>
  <r>
    <x v="121"/>
    <x v="98"/>
    <x v="107"/>
    <x v="25"/>
    <x v="80"/>
    <x v="10"/>
    <x v="6"/>
    <x v="6"/>
  </r>
  <r>
    <x v="122"/>
    <x v="99"/>
    <x v="108"/>
    <x v="27"/>
    <x v="26"/>
    <x v="0"/>
    <x v="26"/>
    <x v="29"/>
  </r>
  <r>
    <x v="122"/>
    <x v="99"/>
    <x v="108"/>
    <x v="18"/>
    <x v="16"/>
    <x v="0"/>
    <x v="16"/>
    <x v="18"/>
  </r>
  <r>
    <x v="122"/>
    <x v="99"/>
    <x v="108"/>
    <x v="36"/>
    <x v="35"/>
    <x v="0"/>
    <x v="10"/>
    <x v="10"/>
  </r>
</pivotCacheRecords>
</file>

<file path=xl/pivotCache/pivotCacheRecords57.xml><?xml version="1.0" encoding="utf-8"?>
<pivotCacheRecords xmlns:r="http://schemas.openxmlformats.org/officeDocument/2006/relationships" xmlns="http://schemas.openxmlformats.org/spreadsheetml/2006/main" count="280">
  <r>
    <x v="0"/>
    <x v="0"/>
    <x v="0"/>
  </r>
  <r>
    <x v="1"/>
    <x v="1"/>
    <x v="0"/>
  </r>
  <r>
    <x v="2"/>
    <x v="2"/>
    <x v="0"/>
  </r>
  <r>
    <x v="3"/>
    <x v="3"/>
    <x v="0"/>
  </r>
  <r>
    <x v="4"/>
    <x v="4"/>
    <x v="0"/>
  </r>
  <r>
    <x v="5"/>
    <x v="5"/>
    <x v="0"/>
  </r>
  <r>
    <x v="6"/>
    <x v="6"/>
    <x v="0"/>
  </r>
  <r>
    <x v="7"/>
    <x v="7"/>
    <x v="1"/>
  </r>
  <r>
    <x v="8"/>
    <x v="8"/>
    <x v="0"/>
  </r>
  <r>
    <x v="9"/>
    <x v="9"/>
    <x v="0"/>
  </r>
  <r>
    <x v="10"/>
    <x v="10"/>
    <x v="2"/>
  </r>
  <r>
    <x v="11"/>
    <x v="9"/>
    <x v="0"/>
  </r>
  <r>
    <x v="12"/>
    <x v="11"/>
    <x v="0"/>
  </r>
  <r>
    <x v="13"/>
    <x v="12"/>
    <x v="0"/>
  </r>
  <r>
    <x v="12"/>
    <x v="11"/>
    <x v="0"/>
  </r>
  <r>
    <x v="14"/>
    <x v="13"/>
    <x v="0"/>
  </r>
  <r>
    <x v="5"/>
    <x v="5"/>
    <x v="3"/>
  </r>
  <r>
    <x v="6"/>
    <x v="6"/>
    <x v="3"/>
  </r>
  <r>
    <x v="14"/>
    <x v="13"/>
    <x v="0"/>
  </r>
  <r>
    <x v="15"/>
    <x v="14"/>
    <x v="3"/>
  </r>
  <r>
    <x v="6"/>
    <x v="6"/>
    <x v="3"/>
  </r>
  <r>
    <x v="16"/>
    <x v="15"/>
    <x v="3"/>
  </r>
  <r>
    <x v="17"/>
    <x v="16"/>
    <x v="3"/>
  </r>
  <r>
    <x v="6"/>
    <x v="6"/>
    <x v="0"/>
  </r>
  <r>
    <x v="18"/>
    <x v="16"/>
    <x v="0"/>
  </r>
  <r>
    <x v="19"/>
    <x v="17"/>
    <x v="3"/>
  </r>
  <r>
    <x v="20"/>
    <x v="18"/>
    <x v="4"/>
  </r>
  <r>
    <x v="4"/>
    <x v="19"/>
    <x v="5"/>
  </r>
  <r>
    <x v="14"/>
    <x v="13"/>
    <x v="3"/>
  </r>
  <r>
    <x v="21"/>
    <x v="20"/>
    <x v="3"/>
  </r>
  <r>
    <x v="22"/>
    <x v="21"/>
    <x v="6"/>
  </r>
  <r>
    <x v="23"/>
    <x v="16"/>
    <x v="7"/>
  </r>
  <r>
    <x v="15"/>
    <x v="14"/>
    <x v="8"/>
  </r>
  <r>
    <x v="3"/>
    <x v="3"/>
    <x v="9"/>
  </r>
  <r>
    <x v="24"/>
    <x v="22"/>
    <x v="4"/>
  </r>
  <r>
    <x v="25"/>
    <x v="23"/>
    <x v="10"/>
  </r>
  <r>
    <x v="2"/>
    <x v="24"/>
    <x v="5"/>
  </r>
  <r>
    <x v="10"/>
    <x v="10"/>
    <x v="4"/>
  </r>
  <r>
    <x v="26"/>
    <x v="25"/>
    <x v="4"/>
  </r>
  <r>
    <x v="9"/>
    <x v="9"/>
    <x v="0"/>
  </r>
  <r>
    <x v="12"/>
    <x v="11"/>
    <x v="0"/>
  </r>
  <r>
    <x v="27"/>
    <x v="26"/>
    <x v="0"/>
  </r>
  <r>
    <x v="28"/>
    <x v="27"/>
    <x v="3"/>
  </r>
  <r>
    <x v="6"/>
    <x v="6"/>
    <x v="0"/>
  </r>
  <r>
    <x v="29"/>
    <x v="0"/>
    <x v="0"/>
  </r>
  <r>
    <x v="13"/>
    <x v="12"/>
    <x v="0"/>
  </r>
  <r>
    <x v="12"/>
    <x v="11"/>
    <x v="0"/>
  </r>
  <r>
    <x v="14"/>
    <x v="13"/>
    <x v="3"/>
  </r>
  <r>
    <x v="0"/>
    <x v="0"/>
    <x v="0"/>
  </r>
  <r>
    <x v="30"/>
    <x v="28"/>
    <x v="0"/>
  </r>
  <r>
    <x v="31"/>
    <x v="29"/>
    <x v="3"/>
  </r>
  <r>
    <x v="32"/>
    <x v="16"/>
    <x v="3"/>
  </r>
  <r>
    <x v="33"/>
    <x v="30"/>
    <x v="3"/>
  </r>
  <r>
    <x v="12"/>
    <x v="11"/>
    <x v="3"/>
  </r>
  <r>
    <x v="28"/>
    <x v="27"/>
    <x v="0"/>
  </r>
  <r>
    <x v="6"/>
    <x v="6"/>
    <x v="0"/>
  </r>
  <r>
    <x v="34"/>
    <x v="31"/>
    <x v="0"/>
  </r>
  <r>
    <x v="29"/>
    <x v="0"/>
    <x v="3"/>
  </r>
  <r>
    <x v="16"/>
    <x v="15"/>
    <x v="3"/>
  </r>
  <r>
    <x v="35"/>
    <x v="32"/>
    <x v="3"/>
  </r>
  <r>
    <x v="0"/>
    <x v="0"/>
    <x v="3"/>
  </r>
  <r>
    <x v="14"/>
    <x v="13"/>
    <x v="0"/>
  </r>
  <r>
    <x v="6"/>
    <x v="6"/>
    <x v="0"/>
  </r>
  <r>
    <x v="0"/>
    <x v="0"/>
    <x v="0"/>
  </r>
  <r>
    <x v="29"/>
    <x v="0"/>
    <x v="0"/>
  </r>
  <r>
    <x v="20"/>
    <x v="33"/>
    <x v="0"/>
  </r>
  <r>
    <x v="24"/>
    <x v="34"/>
    <x v="0"/>
  </r>
  <r>
    <x v="26"/>
    <x v="25"/>
    <x v="0"/>
  </r>
  <r>
    <x v="36"/>
    <x v="35"/>
    <x v="0"/>
  </r>
  <r>
    <x v="4"/>
    <x v="4"/>
    <x v="0"/>
  </r>
  <r>
    <x v="37"/>
    <x v="16"/>
    <x v="0"/>
  </r>
  <r>
    <x v="14"/>
    <x v="13"/>
    <x v="0"/>
  </r>
  <r>
    <x v="14"/>
    <x v="13"/>
    <x v="7"/>
  </r>
  <r>
    <x v="30"/>
    <x v="28"/>
    <x v="0"/>
  </r>
  <r>
    <x v="6"/>
    <x v="6"/>
    <x v="1"/>
  </r>
  <r>
    <x v="29"/>
    <x v="0"/>
    <x v="0"/>
  </r>
  <r>
    <x v="13"/>
    <x v="12"/>
    <x v="3"/>
  </r>
  <r>
    <x v="5"/>
    <x v="5"/>
    <x v="0"/>
  </r>
  <r>
    <x v="6"/>
    <x v="6"/>
    <x v="0"/>
  </r>
  <r>
    <x v="20"/>
    <x v="36"/>
    <x v="4"/>
  </r>
  <r>
    <x v="38"/>
    <x v="37"/>
    <x v="9"/>
  </r>
  <r>
    <x v="39"/>
    <x v="38"/>
    <x v="6"/>
  </r>
  <r>
    <x v="2"/>
    <x v="24"/>
    <x v="4"/>
  </r>
  <r>
    <x v="6"/>
    <x v="39"/>
    <x v="4"/>
  </r>
  <r>
    <x v="26"/>
    <x v="40"/>
    <x v="4"/>
  </r>
  <r>
    <x v="9"/>
    <x v="9"/>
    <x v="0"/>
  </r>
  <r>
    <x v="20"/>
    <x v="36"/>
    <x v="3"/>
  </r>
  <r>
    <x v="2"/>
    <x v="24"/>
    <x v="3"/>
  </r>
  <r>
    <x v="6"/>
    <x v="39"/>
    <x v="3"/>
  </r>
  <r>
    <x v="26"/>
    <x v="40"/>
    <x v="3"/>
  </r>
  <r>
    <x v="9"/>
    <x v="9"/>
    <x v="0"/>
  </r>
  <r>
    <x v="29"/>
    <x v="0"/>
    <x v="0"/>
  </r>
  <r>
    <x v="20"/>
    <x v="33"/>
    <x v="0"/>
  </r>
  <r>
    <x v="24"/>
    <x v="34"/>
    <x v="0"/>
  </r>
  <r>
    <x v="26"/>
    <x v="25"/>
    <x v="0"/>
  </r>
  <r>
    <x v="36"/>
    <x v="35"/>
    <x v="0"/>
  </r>
  <r>
    <x v="18"/>
    <x v="16"/>
    <x v="0"/>
  </r>
  <r>
    <x v="37"/>
    <x v="16"/>
    <x v="0"/>
  </r>
  <r>
    <x v="39"/>
    <x v="16"/>
    <x v="3"/>
  </r>
  <r>
    <x v="34"/>
    <x v="31"/>
    <x v="0"/>
  </r>
  <r>
    <x v="3"/>
    <x v="3"/>
    <x v="2"/>
  </r>
  <r>
    <x v="12"/>
    <x v="11"/>
    <x v="0"/>
  </r>
  <r>
    <x v="29"/>
    <x v="0"/>
    <x v="0"/>
  </r>
  <r>
    <x v="34"/>
    <x v="31"/>
    <x v="0"/>
  </r>
  <r>
    <x v="12"/>
    <x v="11"/>
    <x v="0"/>
  </r>
  <r>
    <x v="0"/>
    <x v="0"/>
    <x v="0"/>
  </r>
  <r>
    <x v="35"/>
    <x v="32"/>
    <x v="8"/>
  </r>
  <r>
    <x v="40"/>
    <x v="41"/>
    <x v="3"/>
  </r>
  <r>
    <x v="41"/>
    <x v="42"/>
    <x v="3"/>
  </r>
  <r>
    <x v="14"/>
    <x v="13"/>
    <x v="0"/>
  </r>
  <r>
    <x v="18"/>
    <x v="16"/>
    <x v="0"/>
  </r>
  <r>
    <x v="36"/>
    <x v="35"/>
    <x v="0"/>
  </r>
  <r>
    <x v="3"/>
    <x v="3"/>
    <x v="2"/>
  </r>
  <r>
    <x v="2"/>
    <x v="2"/>
    <x v="8"/>
  </r>
  <r>
    <x v="27"/>
    <x v="26"/>
    <x v="0"/>
  </r>
  <r>
    <x v="12"/>
    <x v="11"/>
    <x v="0"/>
  </r>
  <r>
    <x v="42"/>
    <x v="43"/>
    <x v="0"/>
  </r>
  <r>
    <x v="0"/>
    <x v="0"/>
    <x v="0"/>
  </r>
  <r>
    <x v="43"/>
    <x v="44"/>
    <x v="0"/>
  </r>
  <r>
    <x v="19"/>
    <x v="45"/>
    <x v="0"/>
  </r>
  <r>
    <x v="11"/>
    <x v="9"/>
    <x v="0"/>
  </r>
  <r>
    <x v="34"/>
    <x v="31"/>
    <x v="0"/>
  </r>
  <r>
    <x v="44"/>
    <x v="16"/>
    <x v="0"/>
  </r>
  <r>
    <x v="2"/>
    <x v="2"/>
    <x v="3"/>
  </r>
  <r>
    <x v="20"/>
    <x v="33"/>
    <x v="3"/>
  </r>
  <r>
    <x v="18"/>
    <x v="16"/>
    <x v="3"/>
  </r>
  <r>
    <x v="23"/>
    <x v="16"/>
    <x v="3"/>
  </r>
  <r>
    <x v="36"/>
    <x v="35"/>
    <x v="3"/>
  </r>
  <r>
    <x v="24"/>
    <x v="34"/>
    <x v="3"/>
  </r>
  <r>
    <x v="13"/>
    <x v="12"/>
    <x v="3"/>
  </r>
  <r>
    <x v="21"/>
    <x v="20"/>
    <x v="0"/>
  </r>
  <r>
    <x v="40"/>
    <x v="41"/>
    <x v="3"/>
  </r>
  <r>
    <x v="41"/>
    <x v="42"/>
    <x v="3"/>
  </r>
  <r>
    <x v="7"/>
    <x v="7"/>
    <x v="0"/>
  </r>
  <r>
    <x v="3"/>
    <x v="46"/>
    <x v="11"/>
  </r>
  <r>
    <x v="2"/>
    <x v="2"/>
    <x v="12"/>
  </r>
  <r>
    <x v="9"/>
    <x v="9"/>
    <x v="0"/>
  </r>
  <r>
    <x v="43"/>
    <x v="44"/>
    <x v="0"/>
  </r>
  <r>
    <x v="21"/>
    <x v="20"/>
    <x v="6"/>
  </r>
  <r>
    <x v="11"/>
    <x v="9"/>
    <x v="0"/>
  </r>
  <r>
    <x v="43"/>
    <x v="44"/>
    <x v="0"/>
  </r>
  <r>
    <x v="43"/>
    <x v="44"/>
    <x v="0"/>
  </r>
  <r>
    <x v="45"/>
    <x v="47"/>
    <x v="3"/>
  </r>
  <r>
    <x v="24"/>
    <x v="34"/>
    <x v="3"/>
  </r>
  <r>
    <x v="36"/>
    <x v="35"/>
    <x v="3"/>
  </r>
  <r>
    <x v="18"/>
    <x v="16"/>
    <x v="3"/>
  </r>
  <r>
    <x v="27"/>
    <x v="26"/>
    <x v="0"/>
  </r>
  <r>
    <x v="29"/>
    <x v="0"/>
    <x v="0"/>
  </r>
  <r>
    <x v="16"/>
    <x v="15"/>
    <x v="0"/>
  </r>
  <r>
    <x v="0"/>
    <x v="0"/>
    <x v="0"/>
  </r>
  <r>
    <x v="29"/>
    <x v="0"/>
    <x v="0"/>
  </r>
  <r>
    <x v="14"/>
    <x v="13"/>
    <x v="0"/>
  </r>
  <r>
    <x v="45"/>
    <x v="47"/>
    <x v="4"/>
  </r>
  <r>
    <x v="24"/>
    <x v="34"/>
    <x v="4"/>
  </r>
  <r>
    <x v="36"/>
    <x v="35"/>
    <x v="4"/>
  </r>
  <r>
    <x v="39"/>
    <x v="16"/>
    <x v="4"/>
  </r>
  <r>
    <x v="10"/>
    <x v="10"/>
    <x v="9"/>
  </r>
  <r>
    <x v="27"/>
    <x v="26"/>
    <x v="0"/>
  </r>
  <r>
    <x v="45"/>
    <x v="47"/>
    <x v="3"/>
  </r>
  <r>
    <x v="24"/>
    <x v="34"/>
    <x v="3"/>
  </r>
  <r>
    <x v="36"/>
    <x v="35"/>
    <x v="3"/>
  </r>
  <r>
    <x v="18"/>
    <x v="16"/>
    <x v="3"/>
  </r>
  <r>
    <x v="10"/>
    <x v="10"/>
    <x v="8"/>
  </r>
  <r>
    <x v="46"/>
    <x v="48"/>
    <x v="0"/>
  </r>
  <r>
    <x v="47"/>
    <x v="49"/>
    <x v="0"/>
  </r>
  <r>
    <x v="48"/>
    <x v="50"/>
    <x v="6"/>
  </r>
  <r>
    <x v="49"/>
    <x v="51"/>
    <x v="0"/>
  </r>
  <r>
    <x v="50"/>
    <x v="52"/>
    <x v="13"/>
  </r>
  <r>
    <x v="45"/>
    <x v="47"/>
    <x v="3"/>
  </r>
  <r>
    <x v="24"/>
    <x v="34"/>
    <x v="3"/>
  </r>
  <r>
    <x v="36"/>
    <x v="35"/>
    <x v="3"/>
  </r>
  <r>
    <x v="18"/>
    <x v="16"/>
    <x v="3"/>
  </r>
  <r>
    <x v="13"/>
    <x v="12"/>
    <x v="3"/>
  </r>
  <r>
    <x v="51"/>
    <x v="47"/>
    <x v="8"/>
  </r>
  <r>
    <x v="39"/>
    <x v="53"/>
    <x v="8"/>
  </r>
  <r>
    <x v="2"/>
    <x v="24"/>
    <x v="8"/>
  </r>
  <r>
    <x v="6"/>
    <x v="54"/>
    <x v="8"/>
  </r>
  <r>
    <x v="5"/>
    <x v="5"/>
    <x v="2"/>
  </r>
  <r>
    <x v="24"/>
    <x v="22"/>
    <x v="8"/>
  </r>
  <r>
    <x v="39"/>
    <x v="55"/>
    <x v="4"/>
  </r>
  <r>
    <x v="19"/>
    <x v="56"/>
    <x v="6"/>
  </r>
  <r>
    <x v="24"/>
    <x v="57"/>
    <x v="6"/>
  </r>
  <r>
    <x v="9"/>
    <x v="9"/>
    <x v="0"/>
  </r>
  <r>
    <x v="6"/>
    <x v="6"/>
    <x v="0"/>
  </r>
  <r>
    <x v="4"/>
    <x v="4"/>
    <x v="0"/>
  </r>
  <r>
    <x v="36"/>
    <x v="35"/>
    <x v="0"/>
  </r>
  <r>
    <x v="29"/>
    <x v="0"/>
    <x v="0"/>
  </r>
  <r>
    <x v="27"/>
    <x v="26"/>
    <x v="0"/>
  </r>
  <r>
    <x v="15"/>
    <x v="14"/>
    <x v="0"/>
  </r>
  <r>
    <x v="6"/>
    <x v="6"/>
    <x v="0"/>
  </r>
  <r>
    <x v="6"/>
    <x v="6"/>
    <x v="0"/>
  </r>
  <r>
    <x v="52"/>
    <x v="58"/>
    <x v="1"/>
  </r>
  <r>
    <x v="53"/>
    <x v="59"/>
    <x v="1"/>
  </r>
  <r>
    <x v="54"/>
    <x v="60"/>
    <x v="1"/>
  </r>
  <r>
    <x v="48"/>
    <x v="50"/>
    <x v="2"/>
  </r>
  <r>
    <x v="55"/>
    <x v="61"/>
    <x v="4"/>
  </r>
  <r>
    <x v="56"/>
    <x v="62"/>
    <x v="4"/>
  </r>
  <r>
    <x v="57"/>
    <x v="63"/>
    <x v="4"/>
  </r>
  <r>
    <x v="58"/>
    <x v="64"/>
    <x v="4"/>
  </r>
  <r>
    <x v="59"/>
    <x v="65"/>
    <x v="0"/>
  </r>
  <r>
    <x v="12"/>
    <x v="11"/>
    <x v="3"/>
  </r>
  <r>
    <x v="38"/>
    <x v="16"/>
    <x v="0"/>
  </r>
  <r>
    <x v="60"/>
    <x v="66"/>
    <x v="0"/>
  </r>
  <r>
    <x v="61"/>
    <x v="67"/>
    <x v="0"/>
  </r>
  <r>
    <x v="20"/>
    <x v="68"/>
    <x v="2"/>
  </r>
  <r>
    <x v="62"/>
    <x v="69"/>
    <x v="2"/>
  </r>
  <r>
    <x v="24"/>
    <x v="22"/>
    <x v="14"/>
  </r>
  <r>
    <x v="9"/>
    <x v="9"/>
    <x v="0"/>
  </r>
  <r>
    <x v="60"/>
    <x v="66"/>
    <x v="3"/>
  </r>
  <r>
    <x v="61"/>
    <x v="67"/>
    <x v="3"/>
  </r>
  <r>
    <x v="63"/>
    <x v="70"/>
    <x v="6"/>
  </r>
  <r>
    <x v="27"/>
    <x v="26"/>
    <x v="0"/>
  </r>
  <r>
    <x v="15"/>
    <x v="14"/>
    <x v="0"/>
  </r>
  <r>
    <x v="6"/>
    <x v="6"/>
    <x v="0"/>
  </r>
  <r>
    <x v="7"/>
    <x v="7"/>
    <x v="0"/>
  </r>
  <r>
    <x v="21"/>
    <x v="20"/>
    <x v="3"/>
  </r>
  <r>
    <x v="13"/>
    <x v="12"/>
    <x v="15"/>
  </r>
  <r>
    <x v="42"/>
    <x v="43"/>
    <x v="4"/>
  </r>
  <r>
    <x v="63"/>
    <x v="70"/>
    <x v="8"/>
  </r>
  <r>
    <x v="9"/>
    <x v="9"/>
    <x v="0"/>
  </r>
  <r>
    <x v="27"/>
    <x v="26"/>
    <x v="0"/>
  </r>
  <r>
    <x v="29"/>
    <x v="0"/>
    <x v="0"/>
  </r>
  <r>
    <x v="20"/>
    <x v="71"/>
    <x v="16"/>
  </r>
  <r>
    <x v="26"/>
    <x v="40"/>
    <x v="16"/>
  </r>
  <r>
    <x v="24"/>
    <x v="22"/>
    <x v="16"/>
  </r>
  <r>
    <x v="18"/>
    <x v="72"/>
    <x v="16"/>
  </r>
  <r>
    <x v="2"/>
    <x v="24"/>
    <x v="16"/>
  </r>
  <r>
    <x v="5"/>
    <x v="5"/>
    <x v="6"/>
  </r>
  <r>
    <x v="25"/>
    <x v="73"/>
    <x v="11"/>
  </r>
  <r>
    <x v="9"/>
    <x v="9"/>
    <x v="0"/>
  </r>
  <r>
    <x v="29"/>
    <x v="0"/>
    <x v="0"/>
  </r>
  <r>
    <x v="34"/>
    <x v="31"/>
    <x v="3"/>
  </r>
  <r>
    <x v="12"/>
    <x v="11"/>
    <x v="3"/>
  </r>
  <r>
    <x v="27"/>
    <x v="26"/>
    <x v="0"/>
  </r>
  <r>
    <x v="12"/>
    <x v="11"/>
    <x v="3"/>
  </r>
  <r>
    <x v="19"/>
    <x v="74"/>
    <x v="3"/>
  </r>
  <r>
    <x v="15"/>
    <x v="14"/>
    <x v="8"/>
  </r>
  <r>
    <x v="2"/>
    <x v="24"/>
    <x v="6"/>
  </r>
  <r>
    <x v="6"/>
    <x v="39"/>
    <x v="2"/>
  </r>
  <r>
    <x v="4"/>
    <x v="75"/>
    <x v="6"/>
  </r>
  <r>
    <x v="24"/>
    <x v="34"/>
    <x v="3"/>
  </r>
  <r>
    <x v="29"/>
    <x v="0"/>
    <x v="0"/>
  </r>
  <r>
    <x v="27"/>
    <x v="26"/>
    <x v="0"/>
  </r>
  <r>
    <x v="12"/>
    <x v="11"/>
    <x v="0"/>
  </r>
  <r>
    <x v="12"/>
    <x v="11"/>
    <x v="3"/>
  </r>
  <r>
    <x v="28"/>
    <x v="27"/>
    <x v="0"/>
  </r>
  <r>
    <x v="2"/>
    <x v="2"/>
    <x v="0"/>
  </r>
  <r>
    <x v="6"/>
    <x v="6"/>
    <x v="0"/>
  </r>
  <r>
    <x v="34"/>
    <x v="31"/>
    <x v="0"/>
  </r>
  <r>
    <x v="14"/>
    <x v="13"/>
    <x v="0"/>
  </r>
  <r>
    <x v="45"/>
    <x v="47"/>
    <x v="3"/>
  </r>
  <r>
    <x v="24"/>
    <x v="34"/>
    <x v="3"/>
  </r>
  <r>
    <x v="36"/>
    <x v="35"/>
    <x v="3"/>
  </r>
  <r>
    <x v="4"/>
    <x v="4"/>
    <x v="3"/>
  </r>
  <r>
    <x v="14"/>
    <x v="13"/>
    <x v="0"/>
  </r>
  <r>
    <x v="13"/>
    <x v="12"/>
    <x v="3"/>
  </r>
  <r>
    <x v="64"/>
    <x v="9"/>
    <x v="8"/>
  </r>
  <r>
    <x v="11"/>
    <x v="9"/>
    <x v="0"/>
  </r>
  <r>
    <x v="29"/>
    <x v="0"/>
    <x v="0"/>
  </r>
  <r>
    <x v="42"/>
    <x v="43"/>
    <x v="8"/>
  </r>
  <r>
    <x v="14"/>
    <x v="13"/>
    <x v="0"/>
  </r>
  <r>
    <x v="29"/>
    <x v="0"/>
    <x v="0"/>
  </r>
  <r>
    <x v="65"/>
    <x v="9"/>
    <x v="8"/>
  </r>
  <r>
    <x v="11"/>
    <x v="9"/>
    <x v="0"/>
  </r>
  <r>
    <x v="66"/>
    <x v="76"/>
    <x v="0"/>
  </r>
  <r>
    <x v="43"/>
    <x v="77"/>
    <x v="2"/>
  </r>
  <r>
    <x v="11"/>
    <x v="9"/>
    <x v="0"/>
  </r>
  <r>
    <x v="18"/>
    <x v="16"/>
    <x v="0"/>
  </r>
  <r>
    <x v="20"/>
    <x v="33"/>
    <x v="6"/>
  </r>
  <r>
    <x v="24"/>
    <x v="34"/>
    <x v="6"/>
  </r>
  <r>
    <x v="26"/>
    <x v="78"/>
    <x v="6"/>
  </r>
  <r>
    <x v="14"/>
    <x v="13"/>
    <x v="0"/>
  </r>
  <r>
    <x v="4"/>
    <x v="4"/>
    <x v="8"/>
  </r>
  <r>
    <x v="39"/>
    <x v="79"/>
    <x v="8"/>
  </r>
  <r>
    <x v="5"/>
    <x v="5"/>
    <x v="6"/>
  </r>
  <r>
    <x v="2"/>
    <x v="2"/>
    <x v="6"/>
  </r>
  <r>
    <x v="25"/>
    <x v="80"/>
    <x v="10"/>
  </r>
  <r>
    <x v="27"/>
    <x v="26"/>
    <x v="0"/>
  </r>
  <r>
    <x v="18"/>
    <x v="16"/>
    <x v="0"/>
  </r>
  <r>
    <x v="36"/>
    <x v="35"/>
    <x v="0"/>
  </r>
</pivotCacheRecords>
</file>

<file path=xl/pivotCache/pivotCacheRecords58.xml><?xml version="1.0" encoding="utf-8"?>
<pivotCacheRecords xmlns:r="http://schemas.openxmlformats.org/officeDocument/2006/relationships" xmlns="http://schemas.openxmlformats.org/spreadsheetml/2006/main" count="280">
  <r>
    <x v="0"/>
    <x v="0"/>
    <x v="0"/>
    <x v="0"/>
    <x v="0"/>
  </r>
  <r>
    <x v="1"/>
    <x v="1"/>
    <x v="0"/>
    <x v="1"/>
    <x v="1"/>
  </r>
  <r>
    <x v="2"/>
    <x v="2"/>
    <x v="0"/>
    <x v="2"/>
    <x v="2"/>
  </r>
  <r>
    <x v="3"/>
    <x v="3"/>
    <x v="0"/>
    <x v="3"/>
    <x v="3"/>
  </r>
  <r>
    <x v="4"/>
    <x v="4"/>
    <x v="0"/>
    <x v="4"/>
    <x v="4"/>
  </r>
  <r>
    <x v="5"/>
    <x v="5"/>
    <x v="0"/>
    <x v="5"/>
    <x v="5"/>
  </r>
  <r>
    <x v="6"/>
    <x v="6"/>
    <x v="0"/>
    <x v="6"/>
    <x v="6"/>
  </r>
  <r>
    <x v="7"/>
    <x v="7"/>
    <x v="1"/>
    <x v="7"/>
    <x v="7"/>
  </r>
  <r>
    <x v="8"/>
    <x v="8"/>
    <x v="0"/>
    <x v="6"/>
    <x v="6"/>
  </r>
  <r>
    <x v="9"/>
    <x v="9"/>
    <x v="0"/>
    <x v="8"/>
    <x v="8"/>
  </r>
  <r>
    <x v="10"/>
    <x v="10"/>
    <x v="2"/>
    <x v="9"/>
    <x v="9"/>
  </r>
  <r>
    <x v="11"/>
    <x v="9"/>
    <x v="0"/>
    <x v="10"/>
    <x v="10"/>
  </r>
  <r>
    <x v="12"/>
    <x v="11"/>
    <x v="0"/>
    <x v="11"/>
    <x v="11"/>
  </r>
  <r>
    <x v="13"/>
    <x v="12"/>
    <x v="0"/>
    <x v="12"/>
    <x v="12"/>
  </r>
  <r>
    <x v="12"/>
    <x v="11"/>
    <x v="0"/>
    <x v="11"/>
    <x v="11"/>
  </r>
  <r>
    <x v="14"/>
    <x v="13"/>
    <x v="0"/>
    <x v="13"/>
    <x v="13"/>
  </r>
  <r>
    <x v="5"/>
    <x v="5"/>
    <x v="3"/>
    <x v="5"/>
    <x v="14"/>
  </r>
  <r>
    <x v="6"/>
    <x v="6"/>
    <x v="3"/>
    <x v="6"/>
    <x v="6"/>
  </r>
  <r>
    <x v="14"/>
    <x v="13"/>
    <x v="0"/>
    <x v="13"/>
    <x v="13"/>
  </r>
  <r>
    <x v="15"/>
    <x v="14"/>
    <x v="3"/>
    <x v="11"/>
    <x v="15"/>
  </r>
  <r>
    <x v="6"/>
    <x v="6"/>
    <x v="3"/>
    <x v="6"/>
    <x v="6"/>
  </r>
  <r>
    <x v="16"/>
    <x v="15"/>
    <x v="3"/>
    <x v="14"/>
    <x v="16"/>
  </r>
  <r>
    <x v="17"/>
    <x v="16"/>
    <x v="3"/>
    <x v="15"/>
    <x v="17"/>
  </r>
  <r>
    <x v="6"/>
    <x v="6"/>
    <x v="0"/>
    <x v="2"/>
    <x v="2"/>
  </r>
  <r>
    <x v="18"/>
    <x v="16"/>
    <x v="0"/>
    <x v="16"/>
    <x v="18"/>
  </r>
  <r>
    <x v="19"/>
    <x v="17"/>
    <x v="3"/>
    <x v="17"/>
    <x v="19"/>
  </r>
  <r>
    <x v="20"/>
    <x v="18"/>
    <x v="4"/>
    <x v="18"/>
    <x v="20"/>
  </r>
  <r>
    <x v="4"/>
    <x v="19"/>
    <x v="5"/>
    <x v="19"/>
    <x v="21"/>
  </r>
  <r>
    <x v="14"/>
    <x v="13"/>
    <x v="3"/>
    <x v="20"/>
    <x v="22"/>
  </r>
  <r>
    <x v="21"/>
    <x v="20"/>
    <x v="3"/>
    <x v="21"/>
    <x v="23"/>
  </r>
  <r>
    <x v="22"/>
    <x v="21"/>
    <x v="6"/>
    <x v="22"/>
    <x v="24"/>
  </r>
  <r>
    <x v="23"/>
    <x v="16"/>
    <x v="7"/>
    <x v="23"/>
    <x v="25"/>
  </r>
  <r>
    <x v="15"/>
    <x v="14"/>
    <x v="8"/>
    <x v="24"/>
    <x v="26"/>
  </r>
  <r>
    <x v="3"/>
    <x v="3"/>
    <x v="9"/>
    <x v="6"/>
    <x v="6"/>
  </r>
  <r>
    <x v="24"/>
    <x v="22"/>
    <x v="4"/>
    <x v="6"/>
    <x v="6"/>
  </r>
  <r>
    <x v="25"/>
    <x v="23"/>
    <x v="10"/>
    <x v="6"/>
    <x v="6"/>
  </r>
  <r>
    <x v="2"/>
    <x v="24"/>
    <x v="5"/>
    <x v="6"/>
    <x v="6"/>
  </r>
  <r>
    <x v="10"/>
    <x v="10"/>
    <x v="4"/>
    <x v="9"/>
    <x v="27"/>
  </r>
  <r>
    <x v="26"/>
    <x v="25"/>
    <x v="4"/>
    <x v="6"/>
    <x v="6"/>
  </r>
  <r>
    <x v="9"/>
    <x v="9"/>
    <x v="0"/>
    <x v="25"/>
    <x v="28"/>
  </r>
  <r>
    <x v="12"/>
    <x v="11"/>
    <x v="0"/>
    <x v="11"/>
    <x v="11"/>
  </r>
  <r>
    <x v="27"/>
    <x v="26"/>
    <x v="0"/>
    <x v="26"/>
    <x v="29"/>
  </r>
  <r>
    <x v="28"/>
    <x v="27"/>
    <x v="3"/>
    <x v="27"/>
    <x v="30"/>
  </r>
  <r>
    <x v="6"/>
    <x v="6"/>
    <x v="0"/>
    <x v="2"/>
    <x v="2"/>
  </r>
  <r>
    <x v="29"/>
    <x v="0"/>
    <x v="0"/>
    <x v="28"/>
    <x v="31"/>
  </r>
  <r>
    <x v="13"/>
    <x v="12"/>
    <x v="0"/>
    <x v="12"/>
    <x v="12"/>
  </r>
  <r>
    <x v="12"/>
    <x v="11"/>
    <x v="0"/>
    <x v="11"/>
    <x v="11"/>
  </r>
  <r>
    <x v="14"/>
    <x v="13"/>
    <x v="3"/>
    <x v="13"/>
    <x v="32"/>
  </r>
  <r>
    <x v="0"/>
    <x v="0"/>
    <x v="0"/>
    <x v="29"/>
    <x v="33"/>
  </r>
  <r>
    <x v="30"/>
    <x v="28"/>
    <x v="0"/>
    <x v="30"/>
    <x v="34"/>
  </r>
  <r>
    <x v="31"/>
    <x v="29"/>
    <x v="3"/>
    <x v="6"/>
    <x v="6"/>
  </r>
  <r>
    <x v="32"/>
    <x v="16"/>
    <x v="3"/>
    <x v="31"/>
    <x v="35"/>
  </r>
  <r>
    <x v="33"/>
    <x v="30"/>
    <x v="3"/>
    <x v="15"/>
    <x v="17"/>
  </r>
  <r>
    <x v="12"/>
    <x v="11"/>
    <x v="3"/>
    <x v="11"/>
    <x v="15"/>
  </r>
  <r>
    <x v="28"/>
    <x v="27"/>
    <x v="0"/>
    <x v="27"/>
    <x v="36"/>
  </r>
  <r>
    <x v="6"/>
    <x v="6"/>
    <x v="0"/>
    <x v="2"/>
    <x v="2"/>
  </r>
  <r>
    <x v="34"/>
    <x v="31"/>
    <x v="0"/>
    <x v="32"/>
    <x v="37"/>
  </r>
  <r>
    <x v="29"/>
    <x v="0"/>
    <x v="3"/>
    <x v="33"/>
    <x v="38"/>
  </r>
  <r>
    <x v="16"/>
    <x v="15"/>
    <x v="3"/>
    <x v="14"/>
    <x v="16"/>
  </r>
  <r>
    <x v="35"/>
    <x v="32"/>
    <x v="3"/>
    <x v="34"/>
    <x v="39"/>
  </r>
  <r>
    <x v="0"/>
    <x v="0"/>
    <x v="3"/>
    <x v="13"/>
    <x v="32"/>
  </r>
  <r>
    <x v="14"/>
    <x v="13"/>
    <x v="0"/>
    <x v="13"/>
    <x v="13"/>
  </r>
  <r>
    <x v="6"/>
    <x v="6"/>
    <x v="0"/>
    <x v="2"/>
    <x v="2"/>
  </r>
  <r>
    <x v="0"/>
    <x v="0"/>
    <x v="0"/>
    <x v="13"/>
    <x v="13"/>
  </r>
  <r>
    <x v="29"/>
    <x v="0"/>
    <x v="0"/>
    <x v="28"/>
    <x v="31"/>
  </r>
  <r>
    <x v="20"/>
    <x v="33"/>
    <x v="0"/>
    <x v="35"/>
    <x v="40"/>
  </r>
  <r>
    <x v="24"/>
    <x v="34"/>
    <x v="0"/>
    <x v="6"/>
    <x v="6"/>
  </r>
  <r>
    <x v="26"/>
    <x v="25"/>
    <x v="0"/>
    <x v="6"/>
    <x v="6"/>
  </r>
  <r>
    <x v="36"/>
    <x v="35"/>
    <x v="0"/>
    <x v="6"/>
    <x v="6"/>
  </r>
  <r>
    <x v="4"/>
    <x v="4"/>
    <x v="0"/>
    <x v="36"/>
    <x v="41"/>
  </r>
  <r>
    <x v="37"/>
    <x v="16"/>
    <x v="0"/>
    <x v="37"/>
    <x v="42"/>
  </r>
  <r>
    <x v="14"/>
    <x v="13"/>
    <x v="0"/>
    <x v="13"/>
    <x v="13"/>
  </r>
  <r>
    <x v="14"/>
    <x v="13"/>
    <x v="7"/>
    <x v="13"/>
    <x v="43"/>
  </r>
  <r>
    <x v="30"/>
    <x v="28"/>
    <x v="0"/>
    <x v="30"/>
    <x v="34"/>
  </r>
  <r>
    <x v="6"/>
    <x v="6"/>
    <x v="1"/>
    <x v="2"/>
    <x v="44"/>
  </r>
  <r>
    <x v="29"/>
    <x v="0"/>
    <x v="0"/>
    <x v="28"/>
    <x v="31"/>
  </r>
  <r>
    <x v="13"/>
    <x v="12"/>
    <x v="3"/>
    <x v="12"/>
    <x v="45"/>
  </r>
  <r>
    <x v="5"/>
    <x v="5"/>
    <x v="0"/>
    <x v="5"/>
    <x v="5"/>
  </r>
  <r>
    <x v="6"/>
    <x v="6"/>
    <x v="0"/>
    <x v="6"/>
    <x v="6"/>
  </r>
  <r>
    <x v="20"/>
    <x v="36"/>
    <x v="4"/>
    <x v="38"/>
    <x v="46"/>
  </r>
  <r>
    <x v="38"/>
    <x v="37"/>
    <x v="9"/>
    <x v="39"/>
    <x v="47"/>
  </r>
  <r>
    <x v="39"/>
    <x v="38"/>
    <x v="6"/>
    <x v="40"/>
    <x v="48"/>
  </r>
  <r>
    <x v="2"/>
    <x v="24"/>
    <x v="4"/>
    <x v="6"/>
    <x v="6"/>
  </r>
  <r>
    <x v="6"/>
    <x v="39"/>
    <x v="4"/>
    <x v="41"/>
    <x v="49"/>
  </r>
  <r>
    <x v="26"/>
    <x v="40"/>
    <x v="4"/>
    <x v="6"/>
    <x v="6"/>
  </r>
  <r>
    <x v="9"/>
    <x v="9"/>
    <x v="0"/>
    <x v="42"/>
    <x v="50"/>
  </r>
  <r>
    <x v="20"/>
    <x v="36"/>
    <x v="3"/>
    <x v="38"/>
    <x v="51"/>
  </r>
  <r>
    <x v="2"/>
    <x v="24"/>
    <x v="3"/>
    <x v="6"/>
    <x v="6"/>
  </r>
  <r>
    <x v="6"/>
    <x v="39"/>
    <x v="3"/>
    <x v="6"/>
    <x v="6"/>
  </r>
  <r>
    <x v="26"/>
    <x v="40"/>
    <x v="3"/>
    <x v="6"/>
    <x v="6"/>
  </r>
  <r>
    <x v="9"/>
    <x v="9"/>
    <x v="0"/>
    <x v="36"/>
    <x v="41"/>
  </r>
  <r>
    <x v="29"/>
    <x v="0"/>
    <x v="0"/>
    <x v="33"/>
    <x v="52"/>
  </r>
  <r>
    <x v="20"/>
    <x v="33"/>
    <x v="0"/>
    <x v="35"/>
    <x v="40"/>
  </r>
  <r>
    <x v="24"/>
    <x v="34"/>
    <x v="0"/>
    <x v="6"/>
    <x v="6"/>
  </r>
  <r>
    <x v="26"/>
    <x v="25"/>
    <x v="0"/>
    <x v="6"/>
    <x v="6"/>
  </r>
  <r>
    <x v="36"/>
    <x v="35"/>
    <x v="0"/>
    <x v="6"/>
    <x v="6"/>
  </r>
  <r>
    <x v="18"/>
    <x v="16"/>
    <x v="0"/>
    <x v="6"/>
    <x v="6"/>
  </r>
  <r>
    <x v="37"/>
    <x v="16"/>
    <x v="0"/>
    <x v="37"/>
    <x v="42"/>
  </r>
  <r>
    <x v="39"/>
    <x v="16"/>
    <x v="3"/>
    <x v="43"/>
    <x v="53"/>
  </r>
  <r>
    <x v="34"/>
    <x v="31"/>
    <x v="0"/>
    <x v="32"/>
    <x v="37"/>
  </r>
  <r>
    <x v="3"/>
    <x v="3"/>
    <x v="2"/>
    <x v="3"/>
    <x v="54"/>
  </r>
  <r>
    <x v="12"/>
    <x v="11"/>
    <x v="0"/>
    <x v="11"/>
    <x v="11"/>
  </r>
  <r>
    <x v="29"/>
    <x v="0"/>
    <x v="0"/>
    <x v="28"/>
    <x v="31"/>
  </r>
  <r>
    <x v="34"/>
    <x v="31"/>
    <x v="0"/>
    <x v="32"/>
    <x v="37"/>
  </r>
  <r>
    <x v="12"/>
    <x v="11"/>
    <x v="0"/>
    <x v="11"/>
    <x v="11"/>
  </r>
  <r>
    <x v="0"/>
    <x v="0"/>
    <x v="0"/>
    <x v="13"/>
    <x v="13"/>
  </r>
  <r>
    <x v="35"/>
    <x v="32"/>
    <x v="8"/>
    <x v="34"/>
    <x v="55"/>
  </r>
  <r>
    <x v="40"/>
    <x v="41"/>
    <x v="3"/>
    <x v="44"/>
    <x v="56"/>
  </r>
  <r>
    <x v="41"/>
    <x v="42"/>
    <x v="3"/>
    <x v="45"/>
    <x v="57"/>
  </r>
  <r>
    <x v="14"/>
    <x v="13"/>
    <x v="0"/>
    <x v="13"/>
    <x v="13"/>
  </r>
  <r>
    <x v="18"/>
    <x v="16"/>
    <x v="0"/>
    <x v="16"/>
    <x v="18"/>
  </r>
  <r>
    <x v="36"/>
    <x v="35"/>
    <x v="0"/>
    <x v="10"/>
    <x v="10"/>
  </r>
  <r>
    <x v="3"/>
    <x v="3"/>
    <x v="2"/>
    <x v="3"/>
    <x v="54"/>
  </r>
  <r>
    <x v="2"/>
    <x v="2"/>
    <x v="8"/>
    <x v="2"/>
    <x v="58"/>
  </r>
  <r>
    <x v="27"/>
    <x v="26"/>
    <x v="0"/>
    <x v="26"/>
    <x v="29"/>
  </r>
  <r>
    <x v="12"/>
    <x v="11"/>
    <x v="0"/>
    <x v="11"/>
    <x v="11"/>
  </r>
  <r>
    <x v="42"/>
    <x v="43"/>
    <x v="0"/>
    <x v="45"/>
    <x v="59"/>
  </r>
  <r>
    <x v="0"/>
    <x v="0"/>
    <x v="0"/>
    <x v="29"/>
    <x v="33"/>
  </r>
  <r>
    <x v="43"/>
    <x v="44"/>
    <x v="0"/>
    <x v="46"/>
    <x v="60"/>
  </r>
  <r>
    <x v="19"/>
    <x v="45"/>
    <x v="0"/>
    <x v="47"/>
    <x v="61"/>
  </r>
  <r>
    <x v="11"/>
    <x v="9"/>
    <x v="0"/>
    <x v="48"/>
    <x v="62"/>
  </r>
  <r>
    <x v="34"/>
    <x v="31"/>
    <x v="0"/>
    <x v="32"/>
    <x v="37"/>
  </r>
  <r>
    <x v="44"/>
    <x v="16"/>
    <x v="0"/>
    <x v="37"/>
    <x v="42"/>
  </r>
  <r>
    <x v="2"/>
    <x v="2"/>
    <x v="3"/>
    <x v="2"/>
    <x v="63"/>
  </r>
  <r>
    <x v="20"/>
    <x v="33"/>
    <x v="3"/>
    <x v="35"/>
    <x v="64"/>
  </r>
  <r>
    <x v="18"/>
    <x v="16"/>
    <x v="3"/>
    <x v="6"/>
    <x v="6"/>
  </r>
  <r>
    <x v="23"/>
    <x v="16"/>
    <x v="3"/>
    <x v="49"/>
    <x v="65"/>
  </r>
  <r>
    <x v="36"/>
    <x v="35"/>
    <x v="3"/>
    <x v="6"/>
    <x v="6"/>
  </r>
  <r>
    <x v="24"/>
    <x v="34"/>
    <x v="3"/>
    <x v="6"/>
    <x v="6"/>
  </r>
  <r>
    <x v="13"/>
    <x v="12"/>
    <x v="3"/>
    <x v="12"/>
    <x v="45"/>
  </r>
  <r>
    <x v="21"/>
    <x v="20"/>
    <x v="0"/>
    <x v="50"/>
    <x v="66"/>
  </r>
  <r>
    <x v="40"/>
    <x v="41"/>
    <x v="3"/>
    <x v="44"/>
    <x v="56"/>
  </r>
  <r>
    <x v="41"/>
    <x v="42"/>
    <x v="3"/>
    <x v="45"/>
    <x v="57"/>
  </r>
  <r>
    <x v="7"/>
    <x v="7"/>
    <x v="0"/>
    <x v="7"/>
    <x v="67"/>
  </r>
  <r>
    <x v="3"/>
    <x v="46"/>
    <x v="11"/>
    <x v="51"/>
    <x v="68"/>
  </r>
  <r>
    <x v="2"/>
    <x v="2"/>
    <x v="12"/>
    <x v="52"/>
    <x v="69"/>
  </r>
  <r>
    <x v="9"/>
    <x v="9"/>
    <x v="0"/>
    <x v="53"/>
    <x v="70"/>
  </r>
  <r>
    <x v="43"/>
    <x v="44"/>
    <x v="0"/>
    <x v="46"/>
    <x v="60"/>
  </r>
  <r>
    <x v="21"/>
    <x v="20"/>
    <x v="6"/>
    <x v="21"/>
    <x v="71"/>
  </r>
  <r>
    <x v="11"/>
    <x v="9"/>
    <x v="0"/>
    <x v="54"/>
    <x v="72"/>
  </r>
  <r>
    <x v="43"/>
    <x v="44"/>
    <x v="0"/>
    <x v="46"/>
    <x v="60"/>
  </r>
  <r>
    <x v="43"/>
    <x v="44"/>
    <x v="0"/>
    <x v="46"/>
    <x v="60"/>
  </r>
  <r>
    <x v="45"/>
    <x v="47"/>
    <x v="3"/>
    <x v="55"/>
    <x v="73"/>
  </r>
  <r>
    <x v="24"/>
    <x v="34"/>
    <x v="3"/>
    <x v="6"/>
    <x v="6"/>
  </r>
  <r>
    <x v="36"/>
    <x v="35"/>
    <x v="3"/>
    <x v="6"/>
    <x v="6"/>
  </r>
  <r>
    <x v="18"/>
    <x v="16"/>
    <x v="3"/>
    <x v="6"/>
    <x v="6"/>
  </r>
  <r>
    <x v="27"/>
    <x v="26"/>
    <x v="0"/>
    <x v="26"/>
    <x v="29"/>
  </r>
  <r>
    <x v="29"/>
    <x v="0"/>
    <x v="0"/>
    <x v="28"/>
    <x v="31"/>
  </r>
  <r>
    <x v="16"/>
    <x v="15"/>
    <x v="0"/>
    <x v="14"/>
    <x v="74"/>
  </r>
  <r>
    <x v="0"/>
    <x v="0"/>
    <x v="0"/>
    <x v="29"/>
    <x v="33"/>
  </r>
  <r>
    <x v="29"/>
    <x v="0"/>
    <x v="0"/>
    <x v="28"/>
    <x v="31"/>
  </r>
  <r>
    <x v="14"/>
    <x v="13"/>
    <x v="0"/>
    <x v="13"/>
    <x v="13"/>
  </r>
  <r>
    <x v="45"/>
    <x v="47"/>
    <x v="4"/>
    <x v="55"/>
    <x v="75"/>
  </r>
  <r>
    <x v="24"/>
    <x v="34"/>
    <x v="4"/>
    <x v="6"/>
    <x v="6"/>
  </r>
  <r>
    <x v="36"/>
    <x v="35"/>
    <x v="4"/>
    <x v="6"/>
    <x v="6"/>
  </r>
  <r>
    <x v="39"/>
    <x v="16"/>
    <x v="4"/>
    <x v="42"/>
    <x v="76"/>
  </r>
  <r>
    <x v="10"/>
    <x v="10"/>
    <x v="9"/>
    <x v="56"/>
    <x v="77"/>
  </r>
  <r>
    <x v="27"/>
    <x v="26"/>
    <x v="0"/>
    <x v="26"/>
    <x v="29"/>
  </r>
  <r>
    <x v="45"/>
    <x v="47"/>
    <x v="3"/>
    <x v="55"/>
    <x v="73"/>
  </r>
  <r>
    <x v="24"/>
    <x v="34"/>
    <x v="3"/>
    <x v="6"/>
    <x v="6"/>
  </r>
  <r>
    <x v="36"/>
    <x v="35"/>
    <x v="3"/>
    <x v="6"/>
    <x v="6"/>
  </r>
  <r>
    <x v="18"/>
    <x v="16"/>
    <x v="3"/>
    <x v="6"/>
    <x v="6"/>
  </r>
  <r>
    <x v="10"/>
    <x v="10"/>
    <x v="8"/>
    <x v="56"/>
    <x v="78"/>
  </r>
  <r>
    <x v="46"/>
    <x v="48"/>
    <x v="0"/>
    <x v="6"/>
    <x v="6"/>
  </r>
  <r>
    <x v="47"/>
    <x v="49"/>
    <x v="0"/>
    <x v="6"/>
    <x v="6"/>
  </r>
  <r>
    <x v="48"/>
    <x v="50"/>
    <x v="6"/>
    <x v="6"/>
    <x v="6"/>
  </r>
  <r>
    <x v="49"/>
    <x v="51"/>
    <x v="0"/>
    <x v="6"/>
    <x v="6"/>
  </r>
  <r>
    <x v="50"/>
    <x v="52"/>
    <x v="13"/>
    <x v="6"/>
    <x v="6"/>
  </r>
  <r>
    <x v="45"/>
    <x v="47"/>
    <x v="3"/>
    <x v="57"/>
    <x v="79"/>
  </r>
  <r>
    <x v="24"/>
    <x v="34"/>
    <x v="3"/>
    <x v="6"/>
    <x v="6"/>
  </r>
  <r>
    <x v="36"/>
    <x v="35"/>
    <x v="3"/>
    <x v="6"/>
    <x v="6"/>
  </r>
  <r>
    <x v="18"/>
    <x v="16"/>
    <x v="3"/>
    <x v="6"/>
    <x v="6"/>
  </r>
  <r>
    <x v="13"/>
    <x v="12"/>
    <x v="3"/>
    <x v="12"/>
    <x v="45"/>
  </r>
  <r>
    <x v="51"/>
    <x v="47"/>
    <x v="8"/>
    <x v="58"/>
    <x v="80"/>
  </r>
  <r>
    <x v="39"/>
    <x v="53"/>
    <x v="8"/>
    <x v="42"/>
    <x v="81"/>
  </r>
  <r>
    <x v="2"/>
    <x v="24"/>
    <x v="8"/>
    <x v="6"/>
    <x v="6"/>
  </r>
  <r>
    <x v="6"/>
    <x v="54"/>
    <x v="8"/>
    <x v="6"/>
    <x v="6"/>
  </r>
  <r>
    <x v="5"/>
    <x v="5"/>
    <x v="2"/>
    <x v="5"/>
    <x v="82"/>
  </r>
  <r>
    <x v="24"/>
    <x v="22"/>
    <x v="8"/>
    <x v="6"/>
    <x v="6"/>
  </r>
  <r>
    <x v="39"/>
    <x v="55"/>
    <x v="4"/>
    <x v="43"/>
    <x v="48"/>
  </r>
  <r>
    <x v="19"/>
    <x v="56"/>
    <x v="6"/>
    <x v="59"/>
    <x v="83"/>
  </r>
  <r>
    <x v="24"/>
    <x v="57"/>
    <x v="6"/>
    <x v="6"/>
    <x v="6"/>
  </r>
  <r>
    <x v="9"/>
    <x v="9"/>
    <x v="0"/>
    <x v="60"/>
    <x v="84"/>
  </r>
  <r>
    <x v="6"/>
    <x v="6"/>
    <x v="0"/>
    <x v="2"/>
    <x v="2"/>
  </r>
  <r>
    <x v="4"/>
    <x v="4"/>
    <x v="0"/>
    <x v="4"/>
    <x v="4"/>
  </r>
  <r>
    <x v="36"/>
    <x v="35"/>
    <x v="0"/>
    <x v="10"/>
    <x v="10"/>
  </r>
  <r>
    <x v="29"/>
    <x v="0"/>
    <x v="0"/>
    <x v="28"/>
    <x v="31"/>
  </r>
  <r>
    <x v="27"/>
    <x v="26"/>
    <x v="0"/>
    <x v="61"/>
    <x v="85"/>
  </r>
  <r>
    <x v="15"/>
    <x v="14"/>
    <x v="0"/>
    <x v="11"/>
    <x v="11"/>
  </r>
  <r>
    <x v="6"/>
    <x v="6"/>
    <x v="0"/>
    <x v="6"/>
    <x v="6"/>
  </r>
  <r>
    <x v="6"/>
    <x v="6"/>
    <x v="0"/>
    <x v="2"/>
    <x v="2"/>
  </r>
  <r>
    <x v="52"/>
    <x v="58"/>
    <x v="1"/>
    <x v="25"/>
    <x v="86"/>
  </r>
  <r>
    <x v="53"/>
    <x v="59"/>
    <x v="1"/>
    <x v="62"/>
    <x v="87"/>
  </r>
  <r>
    <x v="54"/>
    <x v="60"/>
    <x v="1"/>
    <x v="63"/>
    <x v="88"/>
  </r>
  <r>
    <x v="48"/>
    <x v="50"/>
    <x v="2"/>
    <x v="64"/>
    <x v="89"/>
  </r>
  <r>
    <x v="55"/>
    <x v="61"/>
    <x v="4"/>
    <x v="65"/>
    <x v="90"/>
  </r>
  <r>
    <x v="56"/>
    <x v="62"/>
    <x v="4"/>
    <x v="64"/>
    <x v="91"/>
  </r>
  <r>
    <x v="57"/>
    <x v="63"/>
    <x v="4"/>
    <x v="64"/>
    <x v="91"/>
  </r>
  <r>
    <x v="58"/>
    <x v="64"/>
    <x v="4"/>
    <x v="66"/>
    <x v="92"/>
  </r>
  <r>
    <x v="59"/>
    <x v="65"/>
    <x v="0"/>
    <x v="48"/>
    <x v="62"/>
  </r>
  <r>
    <x v="12"/>
    <x v="11"/>
    <x v="3"/>
    <x v="11"/>
    <x v="15"/>
  </r>
  <r>
    <x v="38"/>
    <x v="16"/>
    <x v="0"/>
    <x v="16"/>
    <x v="18"/>
  </r>
  <r>
    <x v="60"/>
    <x v="66"/>
    <x v="0"/>
    <x v="6"/>
    <x v="6"/>
  </r>
  <r>
    <x v="61"/>
    <x v="67"/>
    <x v="0"/>
    <x v="6"/>
    <x v="6"/>
  </r>
  <r>
    <x v="20"/>
    <x v="68"/>
    <x v="2"/>
    <x v="38"/>
    <x v="93"/>
  </r>
  <r>
    <x v="62"/>
    <x v="69"/>
    <x v="2"/>
    <x v="67"/>
    <x v="94"/>
  </r>
  <r>
    <x v="24"/>
    <x v="22"/>
    <x v="14"/>
    <x v="6"/>
    <x v="6"/>
  </r>
  <r>
    <x v="9"/>
    <x v="9"/>
    <x v="0"/>
    <x v="68"/>
    <x v="95"/>
  </r>
  <r>
    <x v="60"/>
    <x v="66"/>
    <x v="3"/>
    <x v="6"/>
    <x v="6"/>
  </r>
  <r>
    <x v="61"/>
    <x v="67"/>
    <x v="3"/>
    <x v="6"/>
    <x v="6"/>
  </r>
  <r>
    <x v="63"/>
    <x v="70"/>
    <x v="6"/>
    <x v="9"/>
    <x v="96"/>
  </r>
  <r>
    <x v="27"/>
    <x v="26"/>
    <x v="0"/>
    <x v="61"/>
    <x v="85"/>
  </r>
  <r>
    <x v="15"/>
    <x v="14"/>
    <x v="0"/>
    <x v="11"/>
    <x v="11"/>
  </r>
  <r>
    <x v="6"/>
    <x v="6"/>
    <x v="0"/>
    <x v="6"/>
    <x v="6"/>
  </r>
  <r>
    <x v="7"/>
    <x v="7"/>
    <x v="0"/>
    <x v="69"/>
    <x v="97"/>
  </r>
  <r>
    <x v="21"/>
    <x v="20"/>
    <x v="3"/>
    <x v="21"/>
    <x v="23"/>
  </r>
  <r>
    <x v="13"/>
    <x v="12"/>
    <x v="15"/>
    <x v="70"/>
    <x v="98"/>
  </r>
  <r>
    <x v="42"/>
    <x v="43"/>
    <x v="4"/>
    <x v="71"/>
    <x v="99"/>
  </r>
  <r>
    <x v="63"/>
    <x v="70"/>
    <x v="8"/>
    <x v="9"/>
    <x v="100"/>
  </r>
  <r>
    <x v="9"/>
    <x v="9"/>
    <x v="0"/>
    <x v="72"/>
    <x v="101"/>
  </r>
  <r>
    <x v="27"/>
    <x v="26"/>
    <x v="0"/>
    <x v="26"/>
    <x v="29"/>
  </r>
  <r>
    <x v="29"/>
    <x v="0"/>
    <x v="0"/>
    <x v="28"/>
    <x v="31"/>
  </r>
  <r>
    <x v="20"/>
    <x v="71"/>
    <x v="16"/>
    <x v="18"/>
    <x v="102"/>
  </r>
  <r>
    <x v="26"/>
    <x v="40"/>
    <x v="16"/>
    <x v="6"/>
    <x v="6"/>
  </r>
  <r>
    <x v="24"/>
    <x v="22"/>
    <x v="16"/>
    <x v="6"/>
    <x v="6"/>
  </r>
  <r>
    <x v="18"/>
    <x v="72"/>
    <x v="16"/>
    <x v="6"/>
    <x v="6"/>
  </r>
  <r>
    <x v="2"/>
    <x v="24"/>
    <x v="16"/>
    <x v="6"/>
    <x v="6"/>
  </r>
  <r>
    <x v="5"/>
    <x v="5"/>
    <x v="6"/>
    <x v="73"/>
    <x v="103"/>
  </r>
  <r>
    <x v="25"/>
    <x v="73"/>
    <x v="11"/>
    <x v="6"/>
    <x v="6"/>
  </r>
  <r>
    <x v="9"/>
    <x v="9"/>
    <x v="0"/>
    <x v="74"/>
    <x v="104"/>
  </r>
  <r>
    <x v="29"/>
    <x v="0"/>
    <x v="0"/>
    <x v="28"/>
    <x v="31"/>
  </r>
  <r>
    <x v="34"/>
    <x v="31"/>
    <x v="3"/>
    <x v="32"/>
    <x v="105"/>
  </r>
  <r>
    <x v="12"/>
    <x v="11"/>
    <x v="3"/>
    <x v="11"/>
    <x v="15"/>
  </r>
  <r>
    <x v="27"/>
    <x v="26"/>
    <x v="0"/>
    <x v="61"/>
    <x v="85"/>
  </r>
  <r>
    <x v="12"/>
    <x v="11"/>
    <x v="3"/>
    <x v="11"/>
    <x v="15"/>
  </r>
  <r>
    <x v="19"/>
    <x v="74"/>
    <x v="3"/>
    <x v="69"/>
    <x v="106"/>
  </r>
  <r>
    <x v="15"/>
    <x v="14"/>
    <x v="8"/>
    <x v="11"/>
    <x v="107"/>
  </r>
  <r>
    <x v="2"/>
    <x v="24"/>
    <x v="6"/>
    <x v="6"/>
    <x v="6"/>
  </r>
  <r>
    <x v="6"/>
    <x v="39"/>
    <x v="2"/>
    <x v="6"/>
    <x v="6"/>
  </r>
  <r>
    <x v="4"/>
    <x v="75"/>
    <x v="6"/>
    <x v="36"/>
    <x v="108"/>
  </r>
  <r>
    <x v="24"/>
    <x v="34"/>
    <x v="3"/>
    <x v="6"/>
    <x v="6"/>
  </r>
  <r>
    <x v="29"/>
    <x v="0"/>
    <x v="0"/>
    <x v="75"/>
    <x v="109"/>
  </r>
  <r>
    <x v="27"/>
    <x v="26"/>
    <x v="0"/>
    <x v="76"/>
    <x v="110"/>
  </r>
  <r>
    <x v="12"/>
    <x v="11"/>
    <x v="0"/>
    <x v="77"/>
    <x v="111"/>
  </r>
  <r>
    <x v="12"/>
    <x v="11"/>
    <x v="3"/>
    <x v="11"/>
    <x v="15"/>
  </r>
  <r>
    <x v="28"/>
    <x v="27"/>
    <x v="0"/>
    <x v="78"/>
    <x v="112"/>
  </r>
  <r>
    <x v="2"/>
    <x v="2"/>
    <x v="0"/>
    <x v="79"/>
    <x v="113"/>
  </r>
  <r>
    <x v="6"/>
    <x v="6"/>
    <x v="0"/>
    <x v="79"/>
    <x v="113"/>
  </r>
  <r>
    <x v="34"/>
    <x v="31"/>
    <x v="0"/>
    <x v="32"/>
    <x v="37"/>
  </r>
  <r>
    <x v="14"/>
    <x v="13"/>
    <x v="0"/>
    <x v="13"/>
    <x v="13"/>
  </r>
  <r>
    <x v="45"/>
    <x v="47"/>
    <x v="3"/>
    <x v="55"/>
    <x v="73"/>
  </r>
  <r>
    <x v="24"/>
    <x v="34"/>
    <x v="3"/>
    <x v="6"/>
    <x v="6"/>
  </r>
  <r>
    <x v="36"/>
    <x v="35"/>
    <x v="3"/>
    <x v="6"/>
    <x v="6"/>
  </r>
  <r>
    <x v="4"/>
    <x v="4"/>
    <x v="3"/>
    <x v="36"/>
    <x v="101"/>
  </r>
  <r>
    <x v="14"/>
    <x v="13"/>
    <x v="0"/>
    <x v="13"/>
    <x v="13"/>
  </r>
  <r>
    <x v="13"/>
    <x v="12"/>
    <x v="3"/>
    <x v="12"/>
    <x v="45"/>
  </r>
  <r>
    <x v="64"/>
    <x v="9"/>
    <x v="8"/>
    <x v="80"/>
    <x v="114"/>
  </r>
  <r>
    <x v="11"/>
    <x v="9"/>
    <x v="0"/>
    <x v="10"/>
    <x v="10"/>
  </r>
  <r>
    <x v="29"/>
    <x v="0"/>
    <x v="0"/>
    <x v="28"/>
    <x v="31"/>
  </r>
  <r>
    <x v="42"/>
    <x v="43"/>
    <x v="8"/>
    <x v="45"/>
    <x v="115"/>
  </r>
  <r>
    <x v="14"/>
    <x v="13"/>
    <x v="0"/>
    <x v="13"/>
    <x v="13"/>
  </r>
  <r>
    <x v="29"/>
    <x v="0"/>
    <x v="0"/>
    <x v="28"/>
    <x v="31"/>
  </r>
  <r>
    <x v="65"/>
    <x v="9"/>
    <x v="8"/>
    <x v="81"/>
    <x v="116"/>
  </r>
  <r>
    <x v="11"/>
    <x v="9"/>
    <x v="0"/>
    <x v="10"/>
    <x v="10"/>
  </r>
  <r>
    <x v="66"/>
    <x v="76"/>
    <x v="0"/>
    <x v="6"/>
    <x v="6"/>
  </r>
  <r>
    <x v="43"/>
    <x v="77"/>
    <x v="2"/>
    <x v="46"/>
    <x v="117"/>
  </r>
  <r>
    <x v="11"/>
    <x v="9"/>
    <x v="0"/>
    <x v="82"/>
    <x v="118"/>
  </r>
  <r>
    <x v="18"/>
    <x v="16"/>
    <x v="0"/>
    <x v="16"/>
    <x v="18"/>
  </r>
  <r>
    <x v="20"/>
    <x v="33"/>
    <x v="6"/>
    <x v="83"/>
    <x v="119"/>
  </r>
  <r>
    <x v="24"/>
    <x v="34"/>
    <x v="6"/>
    <x v="6"/>
    <x v="6"/>
  </r>
  <r>
    <x v="26"/>
    <x v="78"/>
    <x v="6"/>
    <x v="6"/>
    <x v="6"/>
  </r>
  <r>
    <x v="14"/>
    <x v="13"/>
    <x v="0"/>
    <x v="6"/>
    <x v="6"/>
  </r>
  <r>
    <x v="4"/>
    <x v="4"/>
    <x v="8"/>
    <x v="19"/>
    <x v="62"/>
  </r>
  <r>
    <x v="39"/>
    <x v="79"/>
    <x v="8"/>
    <x v="84"/>
    <x v="21"/>
  </r>
  <r>
    <x v="5"/>
    <x v="5"/>
    <x v="6"/>
    <x v="85"/>
    <x v="120"/>
  </r>
  <r>
    <x v="2"/>
    <x v="2"/>
    <x v="6"/>
    <x v="6"/>
    <x v="6"/>
  </r>
  <r>
    <x v="25"/>
    <x v="80"/>
    <x v="10"/>
    <x v="6"/>
    <x v="6"/>
  </r>
  <r>
    <x v="27"/>
    <x v="26"/>
    <x v="0"/>
    <x v="26"/>
    <x v="29"/>
  </r>
  <r>
    <x v="18"/>
    <x v="16"/>
    <x v="0"/>
    <x v="16"/>
    <x v="18"/>
  </r>
  <r>
    <x v="36"/>
    <x v="35"/>
    <x v="0"/>
    <x v="10"/>
    <x v="1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</Relationships>
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</Relationships>
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</Relationships>
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</Relationships>
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</Relationships>
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</Relationships>
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7.xml"/></Relationships>
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8.xml"/></Relationships>
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9.xml"/></Relationships>

</file>

<file path=xl/pivotTables/_rels/pivotTable1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0.xml"/></Relationships>

</file>

<file path=xl/pivotTables/_rels/pivotTable1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1.xml"/></Relationships>

</file>

<file path=xl/pivotTables/_rels/pivotTable1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2.xml"/></Relationships>

</file>

<file path=xl/pivotTables/_rels/pivotTable1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3.xml"/></Relationships>

</file>

<file path=xl/pivotTables/_rels/pivotTable1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4.xml"/></Relationships>

</file>

<file path=xl/pivotTables/_rels/pivotTable1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5.xml"/></Relationships>

</file>

<file path=xl/pivotTables/_rels/pivotTable1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6.xml"/></Relationships>

</file>

<file path=xl/pivotTables/_rels/pivotTable1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7.xml"/></Relationships>

</file>

<file path=xl/pivotTables/_rels/pivotTable1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8.xml"/></Relationships>

</file>

<file path=xl/pivotTables/_rels/pivotTable1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9.xml"/></Relationships>

</file>

<file path=xl/pivotTables/_rels/pivotTable2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0.xml"/></Relationships>

</file>

<file path=xl/pivotTables/_rels/pivotTable2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1.xml"/></Relationships>

</file>

<file path=xl/pivotTables/_rels/pivotTable2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2.xml"/></Relationships>

</file>

<file path=xl/pivotTables/_rels/pivotTable2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3.xml"/></Relationships>

</file>

<file path=xl/pivotTables/_rels/pivotTable2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4.xml"/></Relationships>

</file>

<file path=xl/pivotTables/_rels/pivotTable2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5.xml"/></Relationships>

</file>

<file path=xl/pivotTables/_rels/pivotTable2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6.xml"/></Relationships>

</file>

<file path=xl/pivotTables/_rels/pivotTable2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7.xml"/></Relationships>

</file>

<file path=xl/pivotTables/_rels/pivotTable2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8.xml"/></Relationships>

</file>

<file path=xl/pivotTables/_rels/pivotTable2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9.xml"/></Relationships>

</file>

<file path=xl/pivotTables/_rels/pivotTable3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0.xml"/></Relationships>

</file>

<file path=xl/pivotTables/_rels/pivotTable3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1.xml"/></Relationships>

</file>

<file path=xl/pivotTables/_rels/pivotTable3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2.xml"/></Relationships>

</file>

<file path=xl/pivotTables/_rels/pivotTable3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3.xml"/></Relationships>

</file>

<file path=xl/pivotTables/_rels/pivotTable3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4.xml"/></Relationships>

</file>

<file path=xl/pivotTables/_rels/pivotTable3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5.xml"/></Relationships>

</file>

<file path=xl/pivotTables/_rels/pivotTable3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6.xml"/></Relationships>

</file>

<file path=xl/pivotTables/_rels/pivotTable3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7.xml"/></Relationships>

</file>

<file path=xl/pivotTables/_rels/pivotTable3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8.xml"/></Relationships>

</file>

<file path=xl/pivotTables/_rels/pivotTable3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9.xml"/></Relationships>

</file>

<file path=xl/pivotTables/_rels/pivotTable4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0.xml"/></Relationships>

</file>

<file path=xl/pivotTables/_rels/pivotTable4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1.xml"/></Relationships>

</file>

<file path=xl/pivotTables/_rels/pivotTable4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2.xml"/></Relationships>

</file>

<file path=xl/pivotTables/_rels/pivotTable4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3.xml"/></Relationships>

</file>

<file path=xl/pivotTables/_rels/pivotTable4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4.xml"/></Relationships>

</file>

<file path=xl/pivotTables/_rels/pivotTable4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5.xml"/></Relationships>

</file>

<file path=xl/pivotTables/_rels/pivotTable4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6.xml"/></Relationships>

</file>

<file path=xl/pivotTables/_rels/pivotTable4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7.xml"/></Relationships>

</file>

<file path=xl/pivotTables/_rels/pivotTable4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8.xml"/></Relationships>

</file>

<file path=xl/pivotTables/_rels/pivotTable4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9.xml"/></Relationships>

</file>

<file path=xl/pivotTables/_rels/pivotTable50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0.xml"/></Relationships>

</file>

<file path=xl/pivotTables/_rels/pivotTable5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1.xml"/></Relationships>

</file>

<file path=xl/pivotTables/_rels/pivotTable5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2.xml"/></Relationships>

</file>

<file path=xl/pivotTables/_rels/pivotTable5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3.xml"/></Relationships>

</file>

<file path=xl/pivotTables/_rels/pivotTable5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4.xml"/></Relationships>

</file>

<file path=xl/pivotTables/_rels/pivotTable5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5.xml"/></Relationships>

</file>

<file path=xl/pivotTables/_rels/pivotTable5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6.xml"/></Relationships>

</file>

<file path=xl/pivotTables/_rels/pivotTable5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7.xml"/></Relationships>

</file>

<file path=xl/pivotTables/_rels/pivotTable5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8.xml"/></Relationships>

</file>

<file path=xl/pivotTables/pivotTable1.xml><?xml version="1.0" encoding="utf-8"?>
<pivotTableDefinition xmlns="http://schemas.openxmlformats.org/spreadsheetml/2006/main" name="September 2024 Sales by Customer" cacheId="0" dataPosition="0" autoFormatId="0" applyNumberFormats="0" applyBorderFormats="0" applyFontFormats="0" applyPatternFormats="0" applyAlignmentFormats="0" applyWidthHeightFormats="1" dataCaption="" missingCaption="" pivotTableStyle="PivotStyleCustom01" updatedVersion="7" useAutoFormatting="1" createdVersion="7" indent="0" showEmptyCol="1" showEmptyRow="1" compact="0" compactData="0" multipleFieldFilters="0">
  <location ref="J501:P678" firstHeaderRow="1" firstDataRow="2" firstDataCol="4"/>
  <pivotFields count="8">
    <pivotField name="Sales Order" axis="axisRow" compact="0" numFmtId="49" outline="0" showAll="0" sortType="ascending">
      <items count="206">
        <item sd="0" x="204"/>
        <item sd="0" x="203"/>
        <item sd="0" x="202"/>
        <item sd="0" x="195"/>
        <item sd="0" x="194"/>
        <item sd="0" x="193"/>
        <item sd="0" x="198"/>
        <item sd="0" x="201"/>
        <item sd="0" x="192"/>
        <item sd="0" x="191"/>
        <item sd="0" x="199"/>
        <item sd="0" x="197"/>
        <item sd="0" x="190"/>
        <item sd="0" x="189"/>
        <item sd="0" x="188"/>
        <item sd="0" x="187"/>
        <item sd="0" x="200"/>
        <item sd="0" x="196"/>
        <item sd="0" x="181"/>
        <item sd="0" x="180"/>
        <item sd="0" x="179"/>
        <item sd="0" x="184"/>
        <item sd="0" x="178"/>
        <item sd="0" x="185"/>
        <item sd="0" x="182"/>
        <item sd="0" x="183"/>
        <item sd="0" x="186"/>
        <item sd="0" x="175"/>
        <item sd="0" x="174"/>
        <item sd="0" x="177"/>
        <item sd="0" x="173"/>
        <item sd="0" x="176"/>
        <item sd="0" x="172"/>
        <item sd="0" x="171"/>
        <item sd="0" x="170"/>
        <item sd="0" x="169"/>
        <item sd="0" x="168"/>
        <item sd="0" x="167"/>
        <item sd="0" x="166"/>
        <item sd="0" x="164"/>
        <item sd="0" x="165"/>
        <item sd="0" x="163"/>
        <item sd="0" x="162"/>
        <item sd="0" x="161"/>
        <item sd="0" x="158"/>
        <item sd="0" x="160"/>
        <item sd="0" x="157"/>
        <item sd="0" x="156"/>
        <item sd="0" x="159"/>
        <item sd="0" x="155"/>
        <item sd="0" x="149"/>
        <item sd="0" x="148"/>
        <item sd="0" x="153"/>
        <item sd="0" x="152"/>
        <item sd="0" x="147"/>
        <item sd="0" x="150"/>
        <item sd="0" x="154"/>
        <item sd="0" x="151"/>
        <item sd="0" x="144"/>
        <item sd="0" x="143"/>
        <item sd="0" x="146"/>
        <item sd="0" x="142"/>
        <item sd="0" x="145"/>
        <item sd="0" x="138"/>
        <item sd="0" x="137"/>
        <item sd="0" x="136"/>
        <item sd="0" x="135"/>
        <item sd="0" x="134"/>
        <item sd="0" x="140"/>
        <item sd="0" x="139"/>
        <item sd="0" x="133"/>
        <item sd="0" x="132"/>
        <item sd="0" x="131"/>
        <item sd="0" x="141"/>
        <item sd="0" x="127"/>
        <item sd="0" x="126"/>
        <item sd="0" x="125"/>
        <item sd="0" x="129"/>
        <item sd="0" x="130"/>
        <item sd="0" x="128"/>
        <item sd="0" x="124"/>
        <item sd="0" x="123"/>
        <item sd="0" x="122"/>
        <item sd="0" x="121"/>
        <item sd="0" x="120"/>
        <item sd="0" x="119"/>
        <item sd="0" x="118"/>
        <item sd="0" x="117"/>
        <item sd="0" x="116"/>
        <item sd="0" x="112"/>
        <item sd="0" x="111"/>
        <item sd="0" x="110"/>
        <item sd="0" x="109"/>
        <item sd="0" x="108"/>
        <item sd="0" x="107"/>
        <item sd="0" x="113"/>
        <item sd="0" x="115"/>
        <item sd="0" x="106"/>
        <item sd="0" x="114"/>
        <item sd="0" x="105"/>
        <item sd="0" x="101"/>
        <item sd="0" x="100"/>
        <item sd="0" x="99"/>
        <item sd="0" x="103"/>
        <item sd="0" x="98"/>
        <item sd="0" x="97"/>
        <item sd="0" x="96"/>
        <item sd="0" x="102"/>
        <item sd="0" x="95"/>
        <item sd="0" x="104"/>
        <item sd="0" x="94"/>
        <item sd="0" x="93"/>
        <item sd="0" x="90"/>
        <item sd="0" x="92"/>
        <item sd="0" x="89"/>
        <item sd="0" x="88"/>
        <item sd="0" x="87"/>
        <item sd="0" x="86"/>
        <item sd="0" x="85"/>
        <item sd="0" x="84"/>
        <item sd="0" x="83"/>
        <item sd="0" x="91"/>
        <item sd="0" x="82"/>
        <item sd="0" x="81"/>
        <item sd="0" x="80"/>
        <item sd="0" x="79"/>
        <item sd="0" x="78"/>
        <item sd="0" x="77"/>
        <item sd="0" x="76"/>
        <item sd="0" x="73"/>
        <item sd="0" x="72"/>
        <item sd="0" x="74"/>
        <item sd="0" x="71"/>
        <item sd="0" x="70"/>
        <item sd="0" x="69"/>
        <item sd="0" x="75"/>
        <item sd="0" x="68"/>
        <item sd="0" x="67"/>
        <item sd="0" x="66"/>
        <item sd="0" x="65"/>
        <item sd="0" x="64"/>
        <item sd="0" x="63"/>
        <item sd="0" x="62"/>
        <item sd="0" x="61"/>
        <item sd="0" x="55"/>
        <item sd="0" x="54"/>
        <item sd="0" x="58"/>
        <item sd="0" x="53"/>
        <item sd="0" x="52"/>
        <item sd="0" x="59"/>
        <item sd="0" x="60"/>
        <item sd="0" x="57"/>
        <item sd="0" x="51"/>
        <item sd="0" x="56"/>
        <item sd="0" x="50"/>
        <item sd="0" x="49"/>
        <item sd="0" x="48"/>
        <item sd="0" x="47"/>
        <item sd="0" x="46"/>
        <item sd="0" x="45"/>
        <item sd="0" x="44"/>
        <item sd="0" x="43"/>
        <item sd="0" x="42"/>
        <item sd="0" x="41"/>
        <item sd="0" x="40"/>
        <item sd="0" x="38"/>
        <item sd="0" x="37"/>
        <item sd="0" x="36"/>
        <item sd="0" x="35"/>
        <item sd="0" x="34"/>
        <item sd="0" x="33"/>
        <item sd="0" x="32"/>
        <item sd="0" x="39"/>
        <item sd="0" x="31"/>
        <item sd="0" x="30"/>
        <item sd="0" x="29"/>
        <item sd="0" x="28"/>
        <item sd="0" x="27"/>
        <item sd="0" x="26"/>
        <item sd="0" x="24"/>
        <item sd="0" x="23"/>
        <item sd="0" x="22"/>
        <item sd="0" x="21"/>
        <item sd="0" x="25"/>
        <item sd="0" x="20"/>
        <item sd="0" x="19"/>
        <item sd="0" x="18"/>
        <item sd="0" x="17"/>
        <item sd="0" x="16"/>
        <item sd="0" x="15"/>
        <item sd="0" x="14"/>
        <item sd="0" x="13"/>
        <item sd="0" x="7"/>
        <item sd="0" x="6"/>
        <item sd="0" x="10"/>
        <item sd="0" x="11"/>
        <item sd="0" x="5"/>
        <item sd="0" x="4"/>
        <item sd="0" x="3"/>
        <item sd="0" x="8"/>
        <item sd="0" x="2"/>
        <item sd="0" x="9"/>
        <item sd="0" x="1"/>
        <item sd="0" x="12"/>
        <item sd="0" x="0"/>
        <item t="default" sd="0"/>
      </items>
    </pivotField>
    <pivotField name="Customer" axis="axisRow" compact="0" numFmtId="49" outline="0" showAll="0" sortType="ascending">
      <items count="176">
        <item sd="0" x="54"/>
        <item sd="0" x="36"/>
        <item sd="0" x="118"/>
        <item sd="0" x="125"/>
        <item sd="0" x="67"/>
        <item sd="0" x="64"/>
        <item sd="0" x="127"/>
        <item sd="0" x="73"/>
        <item sd="0" x="163"/>
        <item sd="0" x="62"/>
        <item sd="0" x="128"/>
        <item sd="0" x="146"/>
        <item sd="0" x="52"/>
        <item sd="0" x="150"/>
        <item sd="0" x="88"/>
        <item sd="0" x="3"/>
        <item sd="0" x="81"/>
        <item sd="0" x="24"/>
        <item sd="0" x="152"/>
        <item sd="0" x="173"/>
        <item sd="0" x="86"/>
        <item sd="0" x="95"/>
        <item sd="0" x="72"/>
        <item sd="0" x="87"/>
        <item sd="0" x="143"/>
        <item sd="0" x="2"/>
        <item sd="0" x="110"/>
        <item sd="0" x="153"/>
        <item sd="0" x="66"/>
        <item sd="0" x="112"/>
        <item sd="0" x="19"/>
        <item sd="0" x="0"/>
        <item sd="0" x="123"/>
        <item sd="0" x="107"/>
        <item sd="0" x="114"/>
        <item sd="0" x="77"/>
        <item sd="0" x="17"/>
        <item sd="0" x="159"/>
        <item sd="0" x="55"/>
        <item sd="0" x="75"/>
        <item sd="0" x="12"/>
        <item sd="0" x="102"/>
        <item sd="0" x="44"/>
        <item sd="0" x="100"/>
        <item sd="0" x="116"/>
        <item sd="0" x="28"/>
        <item sd="0" x="157"/>
        <item sd="0" x="94"/>
        <item sd="0" x="6"/>
        <item sd="0" x="141"/>
        <item sd="0" x="45"/>
        <item sd="0" x="15"/>
        <item sd="0" x="137"/>
        <item sd="0" x="93"/>
        <item sd="0" x="168"/>
        <item sd="0" x="26"/>
        <item sd="0" x="84"/>
        <item sd="0" x="172"/>
        <item sd="0" x="40"/>
        <item sd="0" x="158"/>
        <item sd="0" x="165"/>
        <item sd="0" x="32"/>
        <item sd="0" x="138"/>
        <item sd="0" x="105"/>
        <item sd="0" x="124"/>
        <item sd="0" x="170"/>
        <item sd="0" x="135"/>
        <item sd="0" x="34"/>
        <item sd="0" x="119"/>
        <item sd="0" x="140"/>
        <item sd="0" x="79"/>
        <item sd="0" x="65"/>
        <item sd="0" x="35"/>
        <item sd="0" x="37"/>
        <item sd="0" x="18"/>
        <item sd="0" x="142"/>
        <item sd="0" x="58"/>
        <item sd="0" x="11"/>
        <item sd="0" x="21"/>
        <item sd="0" x="33"/>
        <item sd="0" x="49"/>
        <item sd="0" x="126"/>
        <item sd="0" x="92"/>
        <item sd="0" x="56"/>
        <item sd="0" x="164"/>
        <item sd="0" x="121"/>
        <item sd="0" x="151"/>
        <item sd="0" x="57"/>
        <item sd="0" x="50"/>
        <item sd="0" x="120"/>
        <item sd="0" x="160"/>
        <item sd="0" x="171"/>
        <item sd="0" x="98"/>
        <item sd="0" x="91"/>
        <item sd="0" x="30"/>
        <item sd="0" x="85"/>
        <item sd="0" x="43"/>
        <item sd="0" x="76"/>
        <item sd="0" x="70"/>
        <item sd="0" x="61"/>
        <item sd="0" x="132"/>
        <item sd="0" x="174"/>
        <item sd="0" x="96"/>
        <item sd="0" x="101"/>
        <item sd="0" x="89"/>
        <item sd="0" x="47"/>
        <item sd="0" x="14"/>
        <item sd="0" x="4"/>
        <item sd="0" x="83"/>
        <item sd="0" x="115"/>
        <item sd="0" x="129"/>
        <item sd="0" x="108"/>
        <item sd="0" x="25"/>
        <item sd="0" x="97"/>
        <item sd="0" x="31"/>
        <item sd="0" x="80"/>
        <item sd="0" x="1"/>
        <item sd="0" x="104"/>
        <item sd="0" x="122"/>
        <item sd="0" x="166"/>
        <item sd="0" x="78"/>
        <item sd="0" x="149"/>
        <item sd="0" x="133"/>
        <item sd="0" x="22"/>
        <item sd="0" x="69"/>
        <item sd="0" x="134"/>
        <item sd="0" x="46"/>
        <item sd="0" x="71"/>
        <item sd="0" x="8"/>
        <item sd="0" x="145"/>
        <item sd="0" x="42"/>
        <item sd="0" x="130"/>
        <item sd="0" x="48"/>
        <item sd="0" x="162"/>
        <item sd="0" x="5"/>
        <item sd="0" x="99"/>
        <item sd="0" x="156"/>
        <item sd="0" x="136"/>
        <item sd="0" x="10"/>
        <item sd="0" x="7"/>
        <item sd="0" x="139"/>
        <item sd="0" x="27"/>
        <item sd="0" x="23"/>
        <item sd="0" x="38"/>
        <item sd="0" x="147"/>
        <item sd="0" x="167"/>
        <item sd="0" x="131"/>
        <item sd="0" x="20"/>
        <item sd="0" x="16"/>
        <item sd="0" x="60"/>
        <item sd="0" x="148"/>
        <item sd="0" x="109"/>
        <item sd="0" x="9"/>
        <item sd="0" x="155"/>
        <item sd="0" x="68"/>
        <item sd="0" x="53"/>
        <item sd="0" x="144"/>
        <item sd="0" x="63"/>
        <item sd="0" x="113"/>
        <item sd="0" x="169"/>
        <item sd="0" x="161"/>
        <item sd="0" x="106"/>
        <item sd="0" x="74"/>
        <item sd="0" x="103"/>
        <item sd="0" x="82"/>
        <item sd="0" x="117"/>
        <item sd="0" x="59"/>
        <item sd="0" x="41"/>
        <item sd="0" x="29"/>
        <item sd="0" x="39"/>
        <item sd="0" x="51"/>
        <item sd="0" x="111"/>
        <item sd="0" x="13"/>
        <item sd="0" x="154"/>
        <item sd="0" x="90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9">
        <item x="30"/>
        <item x="68"/>
        <item x="81"/>
        <item x="80"/>
        <item x="27"/>
        <item x="53"/>
        <item x="25"/>
        <item x="103"/>
        <item x="73"/>
        <item x="29"/>
        <item x="55"/>
        <item x="32"/>
        <item x="38"/>
        <item x="2"/>
        <item x="59"/>
        <item x="45"/>
        <item x="39"/>
        <item x="60"/>
        <item x="13"/>
        <item x="35"/>
        <item x="14"/>
        <item x="65"/>
        <item x="21"/>
        <item x="41"/>
        <item x="75"/>
        <item x="31"/>
        <item x="102"/>
        <item x="79"/>
        <item x="101"/>
        <item x="61"/>
        <item x="44"/>
        <item x="100"/>
        <item x="105"/>
        <item x="33"/>
        <item x="91"/>
        <item x="56"/>
        <item x="46"/>
        <item x="86"/>
        <item x="7"/>
        <item x="43"/>
        <item x="62"/>
        <item x="3"/>
        <item x="83"/>
        <item x="34"/>
        <item x="85"/>
        <item x="106"/>
        <item x="24"/>
        <item x="6"/>
        <item x="22"/>
        <item x="104"/>
        <item x="26"/>
        <item x="12"/>
        <item x="64"/>
        <item x="107"/>
        <item x="90"/>
        <item x="19"/>
        <item x="37"/>
        <item x="51"/>
        <item x="23"/>
        <item x="40"/>
        <item x="0"/>
        <item x="5"/>
        <item x="17"/>
        <item x="20"/>
        <item x="11"/>
        <item x="10"/>
        <item x="84"/>
        <item x="87"/>
        <item x="88"/>
        <item x="89"/>
        <item x="36"/>
        <item x="15"/>
        <item x="18"/>
        <item x="92"/>
        <item x="4"/>
        <item x="99"/>
        <item x="1"/>
        <item x="58"/>
        <item x="42"/>
        <item x="63"/>
        <item x="70"/>
        <item x="66"/>
        <item x="82"/>
        <item x="76"/>
        <item x="8"/>
        <item x="71"/>
        <item x="77"/>
        <item x="57"/>
        <item x="72"/>
        <item x="97"/>
        <item x="96"/>
        <item x="69"/>
        <item x="93"/>
        <item x="95"/>
        <item x="94"/>
        <item x="78"/>
        <item x="48"/>
        <item x="47"/>
        <item x="74"/>
        <item x="49"/>
        <item x="16"/>
        <item x="9"/>
        <item x="28"/>
        <item x="54"/>
        <item x="98"/>
        <item x="67"/>
        <item x="50"/>
        <item x="52"/>
        <item t="default" sd="0"/>
      </items>
    </pivotField>
    <pivotField name="Line Item Description" compact="0" outline="0" showAll="0">
      <items count="125">
        <item x="65"/>
        <item x="12"/>
        <item x="78"/>
        <item x="92"/>
        <item x="26"/>
        <item x="30"/>
        <item x="27"/>
        <item x="119"/>
        <item x="98"/>
        <item x="99"/>
        <item x="100"/>
        <item x="83"/>
        <item x="36"/>
        <item x="61"/>
        <item x="56"/>
        <item x="81"/>
        <item x="35"/>
        <item x="53"/>
        <item x="87"/>
        <item x="40"/>
        <item x="75"/>
        <item x="102"/>
        <item x="42"/>
        <item x="89"/>
        <item x="28"/>
        <item x="105"/>
        <item x="33"/>
        <item x="2"/>
        <item x="6"/>
        <item x="24"/>
        <item x="38"/>
        <item x="23"/>
        <item x="67"/>
        <item x="1"/>
        <item x="71"/>
        <item x="51"/>
        <item x="97"/>
        <item x="7"/>
        <item x="48"/>
        <item x="70"/>
        <item x="3"/>
        <item x="14"/>
        <item x="93"/>
        <item x="37"/>
        <item x="104"/>
        <item x="106"/>
        <item x="95"/>
        <item x="122"/>
        <item x="25"/>
        <item x="115"/>
        <item x="13"/>
        <item x="41"/>
        <item x="80"/>
        <item x="60"/>
        <item x="49"/>
        <item x="116"/>
        <item x="117"/>
        <item x="120"/>
        <item x="52"/>
        <item x="72"/>
        <item x="123"/>
        <item x="59"/>
        <item x="57"/>
        <item x="74"/>
        <item x="55"/>
        <item x="58"/>
        <item x="0"/>
        <item x="5"/>
        <item x="17"/>
        <item x="44"/>
        <item x="20"/>
        <item x="29"/>
        <item x="103"/>
        <item x="64"/>
        <item x="15"/>
        <item x="82"/>
        <item x="66"/>
        <item x="110"/>
        <item x="109"/>
        <item x="108"/>
        <item x="21"/>
        <item x="84"/>
        <item x="22"/>
        <item x="11"/>
        <item x="79"/>
        <item x="94"/>
        <item x="54"/>
        <item x="76"/>
        <item x="86"/>
        <item x="73"/>
        <item x="118"/>
        <item x="85"/>
        <item x="34"/>
        <item x="45"/>
        <item x="8"/>
        <item x="46"/>
        <item x="39"/>
        <item x="16"/>
        <item x="18"/>
        <item x="77"/>
        <item x="113"/>
        <item x="114"/>
        <item x="63"/>
        <item x="31"/>
        <item x="111"/>
        <item x="112"/>
        <item x="32"/>
        <item x="90"/>
        <item x="107"/>
        <item x="96"/>
        <item x="47"/>
        <item x="19"/>
        <item x="121"/>
        <item x="69"/>
        <item x="88"/>
        <item x="50"/>
        <item x="68"/>
        <item x="43"/>
        <item x="101"/>
        <item x="91"/>
        <item x="62"/>
        <item x="4"/>
        <item x="9"/>
        <item x="10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76">
    <i>
      <x/>
    </i>
    <i>
      <x v="2"/>
    </i>
    <i>
      <x v="3"/>
    </i>
    <i>
      <x v="1"/>
    </i>
    <i>
      <x v="4"/>
    </i>
    <i>
      <x v="5"/>
    </i>
    <i>
      <x v="6"/>
    </i>
    <i>
      <x v="167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8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25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0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8"/>
    </i>
    <i>
      <x v="59"/>
    </i>
    <i>
      <x v="57"/>
    </i>
    <i>
      <x v="60"/>
    </i>
    <i>
      <x v="61"/>
    </i>
    <i>
      <x v="169"/>
    </i>
    <i>
      <x v="62"/>
    </i>
    <i>
      <x v="64"/>
    </i>
    <i>
      <x v="65"/>
    </i>
    <i>
      <x v="63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70"/>
    </i>
    <i>
      <x v="104"/>
    </i>
    <i>
      <x v="105"/>
    </i>
    <i>
      <x v="106"/>
    </i>
    <i>
      <x v="107"/>
    </i>
    <i>
      <x v="103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8"/>
    </i>
    <i>
      <x v="115"/>
    </i>
    <i>
      <x v="116"/>
    </i>
    <i>
      <x v="117"/>
    </i>
    <i>
      <x v="119"/>
    </i>
    <i>
      <x v="120"/>
    </i>
    <i>
      <x v="121"/>
    </i>
    <i>
      <x v="122"/>
    </i>
    <i>
      <x v="171"/>
    </i>
    <i>
      <x v="123"/>
    </i>
    <i>
      <x v="124"/>
    </i>
    <i>
      <x v="126"/>
    </i>
    <i>
      <x v="127"/>
    </i>
    <i>
      <x v="172"/>
    </i>
    <i>
      <x v="125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73"/>
    </i>
    <i>
      <x v="144"/>
    </i>
    <i>
      <x v="145"/>
    </i>
    <i>
      <x v="146"/>
    </i>
    <i>
      <x v="147"/>
    </i>
    <i>
      <x v="149"/>
    </i>
    <i>
      <x v="150"/>
    </i>
    <i>
      <x v="151"/>
    </i>
    <i>
      <x v="152"/>
    </i>
    <i>
      <x v="153"/>
    </i>
    <i>
      <x v="154"/>
    </i>
    <i>
      <x v="148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74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01" showRowHeaders="1" showColHeaders="1" showRowStripes="1" showColStripes="0" showLastColumn="1"/>
</pivotTableDefinition>
</file>

<file path=xl/pivotTables/pivotTable2.xml><?xml version="1.0" encoding="utf-8"?>
<pivotTableDefinition xmlns="http://schemas.openxmlformats.org/spreadsheetml/2006/main" name="September 2024 Sales by SKU" cacheId="1" dataPosition="0" autoFormatId="0" applyNumberFormats="0" applyBorderFormats="0" applyFontFormats="0" applyPatternFormats="0" applyAlignmentFormats="0" applyWidthHeightFormats="1" dataCaption="" missingCaption="" pivotTableStyle="PivotStyleCustom02" updatedVersion="7" useAutoFormatting="1" createdVersion="7" indent="0" showEmptyCol="1" showEmptyRow="1" compact="0" compactData="0" multipleFieldFilters="0">
  <location ref="Q681:R790" firstHeaderRow="1" firstDataRow="1" firstDataCol="1"/>
  <pivotFields count="3">
    <pivotField name="Line Item Name" axis="axisRow" compact="0" numFmtId="49" outline="0" showAll="0" sortType="ascending">
      <items count="110">
        <item x="30"/>
        <item x="68"/>
        <item x="81"/>
        <item x="80"/>
        <item x="27"/>
        <item x="53"/>
        <item x="25"/>
        <item x="103"/>
        <item x="73"/>
        <item x="29"/>
        <item x="55"/>
        <item x="32"/>
        <item x="38"/>
        <item x="2"/>
        <item x="59"/>
        <item x="45"/>
        <item x="39"/>
        <item x="60"/>
        <item x="13"/>
        <item x="35"/>
        <item x="14"/>
        <item x="65"/>
        <item x="21"/>
        <item x="41"/>
        <item x="75"/>
        <item x="31"/>
        <item x="102"/>
        <item x="79"/>
        <item x="101"/>
        <item x="61"/>
        <item x="44"/>
        <item x="100"/>
        <item x="105"/>
        <item x="33"/>
        <item x="91"/>
        <item x="56"/>
        <item x="46"/>
        <item x="86"/>
        <item x="7"/>
        <item x="43"/>
        <item x="62"/>
        <item x="3"/>
        <item x="83"/>
        <item x="34"/>
        <item x="85"/>
        <item x="106"/>
        <item x="24"/>
        <item x="6"/>
        <item x="22"/>
        <item x="104"/>
        <item x="26"/>
        <item x="12"/>
        <item x="64"/>
        <item x="107"/>
        <item x="90"/>
        <item x="19"/>
        <item x="37"/>
        <item x="51"/>
        <item x="23"/>
        <item x="40"/>
        <item x="0"/>
        <item x="5"/>
        <item x="17"/>
        <item x="20"/>
        <item x="11"/>
        <item x="10"/>
        <item x="84"/>
        <item x="87"/>
        <item x="88"/>
        <item x="89"/>
        <item x="36"/>
        <item x="15"/>
        <item x="18"/>
        <item x="92"/>
        <item x="4"/>
        <item x="99"/>
        <item x="1"/>
        <item x="58"/>
        <item x="42"/>
        <item x="63"/>
        <item x="70"/>
        <item x="66"/>
        <item x="82"/>
        <item x="76"/>
        <item x="8"/>
        <item x="71"/>
        <item x="77"/>
        <item x="57"/>
        <item x="72"/>
        <item x="97"/>
        <item x="96"/>
        <item x="69"/>
        <item x="93"/>
        <item x="95"/>
        <item x="94"/>
        <item x="78"/>
        <item x="48"/>
        <item x="47"/>
        <item x="74"/>
        <item x="49"/>
        <item x="16"/>
        <item x="9"/>
        <item x="28"/>
        <item x="54"/>
        <item x="98"/>
        <item x="67"/>
        <item x="50"/>
        <item x="52"/>
        <item x="108"/>
        <item t="default" sd="0"/>
      </items>
    </pivotField>
    <pivotField name="Line Item Description" compact="0" outline="0" showAll="0">
      <items count="125">
        <item x="65"/>
        <item x="12"/>
        <item x="78"/>
        <item x="92"/>
        <item x="26"/>
        <item x="30"/>
        <item x="27"/>
        <item x="119"/>
        <item x="98"/>
        <item x="99"/>
        <item x="100"/>
        <item x="83"/>
        <item x="36"/>
        <item x="61"/>
        <item x="56"/>
        <item x="81"/>
        <item x="35"/>
        <item x="53"/>
        <item x="87"/>
        <item x="40"/>
        <item x="75"/>
        <item x="102"/>
        <item x="42"/>
        <item x="89"/>
        <item x="28"/>
        <item x="105"/>
        <item x="33"/>
        <item x="2"/>
        <item x="6"/>
        <item x="24"/>
        <item x="38"/>
        <item x="23"/>
        <item x="67"/>
        <item x="1"/>
        <item x="71"/>
        <item x="51"/>
        <item x="97"/>
        <item x="7"/>
        <item x="48"/>
        <item x="70"/>
        <item x="3"/>
        <item x="14"/>
        <item x="93"/>
        <item x="37"/>
        <item x="104"/>
        <item x="106"/>
        <item x="95"/>
        <item x="122"/>
        <item x="25"/>
        <item x="115"/>
        <item x="13"/>
        <item x="41"/>
        <item x="80"/>
        <item x="60"/>
        <item x="49"/>
        <item x="116"/>
        <item x="117"/>
        <item x="120"/>
        <item x="52"/>
        <item x="72"/>
        <item x="123"/>
        <item x="59"/>
        <item x="57"/>
        <item x="74"/>
        <item x="55"/>
        <item x="58"/>
        <item x="0"/>
        <item x="5"/>
        <item x="17"/>
        <item x="44"/>
        <item x="20"/>
        <item x="29"/>
        <item x="103"/>
        <item x="64"/>
        <item x="15"/>
        <item x="82"/>
        <item x="66"/>
        <item x="110"/>
        <item x="109"/>
        <item x="108"/>
        <item x="21"/>
        <item x="84"/>
        <item x="22"/>
        <item x="11"/>
        <item x="79"/>
        <item x="94"/>
        <item x="54"/>
        <item x="76"/>
        <item x="86"/>
        <item x="73"/>
        <item x="118"/>
        <item x="85"/>
        <item x="34"/>
        <item x="45"/>
        <item x="8"/>
        <item x="46"/>
        <item x="39"/>
        <item x="16"/>
        <item x="18"/>
        <item x="77"/>
        <item x="113"/>
        <item x="114"/>
        <item x="63"/>
        <item x="31"/>
        <item x="111"/>
        <item x="112"/>
        <item x="32"/>
        <item x="90"/>
        <item x="107"/>
        <item x="96"/>
        <item x="47"/>
        <item x="19"/>
        <item x="121"/>
        <item x="69"/>
        <item x="88"/>
        <item x="50"/>
        <item x="68"/>
        <item x="43"/>
        <item x="101"/>
        <item x="91"/>
        <item x="62"/>
        <item x="4"/>
        <item x="9"/>
        <item x="10"/>
        <item t="default" sd="0"/>
      </items>
    </pivotField>
    <pivotField name="Order Quantity" axis="axisValues" dataField="1" compact="0" outline="0" showAll="0"/>
  </pivotFields>
  <rowFields count="1">
    <field x="0"/>
  </rowFields>
  <rowItems count="109">
    <i>
      <x/>
    </i>
    <i>
      <x v="1"/>
    </i>
    <i>
      <x v="3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78"/>
    </i>
    <i>
      <x v="80"/>
    </i>
    <i>
      <x v="81"/>
    </i>
    <i>
      <x v="83"/>
    </i>
    <i>
      <x v="82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Items count="1">
    <i/>
  </colItems>
  <dataFields count="1">
    <dataField name="Sum of Order Quantity" fld="2"/>
  </dataFields>
  <pivotTableStyleInfo name="PivotStyleCustom02" showRowHeaders="1" showColHeaders="1" showRowStripes="1" showColStripes="0" showLastColumn="1"/>
</pivotTableDefinition>
</file>

<file path=xl/pivotTables/pivotTable3.xml><?xml version="1.0" encoding="utf-8"?>
<pivotTableDefinition xmlns="http://schemas.openxmlformats.org/spreadsheetml/2006/main" name="September 2024 Sales by SKU$" cacheId="2" dataPosition="0" autoFormatId="0" applyNumberFormats="0" applyBorderFormats="0" applyFontFormats="0" applyPatternFormats="0" applyAlignmentFormats="0" applyWidthHeightFormats="1" dataCaption="" missingCaption="" pivotTableStyle="PivotStyleCustom03" updatedVersion="7" useAutoFormatting="1" createdVersion="7" indent="0" showEmptyCol="1" showEmptyRow="1" compact="0" compactData="0" multipleFieldFilters="0">
  <location ref="S793:T902" firstHeaderRow="1" firstDataRow="1" firstDataCol="1"/>
  <pivotFields count="5">
    <pivotField name="Line Item Name" axis="axisRow" compact="0" numFmtId="49" outline="0" showAll="0" sortType="ascending">
      <items count="110">
        <item x="30"/>
        <item x="68"/>
        <item x="81"/>
        <item x="80"/>
        <item x="27"/>
        <item x="53"/>
        <item x="25"/>
        <item x="103"/>
        <item x="73"/>
        <item x="29"/>
        <item x="55"/>
        <item x="32"/>
        <item x="38"/>
        <item x="2"/>
        <item x="59"/>
        <item x="45"/>
        <item x="39"/>
        <item x="60"/>
        <item x="13"/>
        <item x="35"/>
        <item x="14"/>
        <item x="65"/>
        <item x="21"/>
        <item x="41"/>
        <item x="75"/>
        <item x="31"/>
        <item x="102"/>
        <item x="79"/>
        <item x="101"/>
        <item x="61"/>
        <item x="44"/>
        <item x="100"/>
        <item x="105"/>
        <item x="33"/>
        <item x="91"/>
        <item x="56"/>
        <item x="46"/>
        <item x="86"/>
        <item x="7"/>
        <item x="43"/>
        <item x="62"/>
        <item x="3"/>
        <item x="83"/>
        <item x="34"/>
        <item x="85"/>
        <item x="106"/>
        <item x="24"/>
        <item x="6"/>
        <item x="22"/>
        <item x="104"/>
        <item x="26"/>
        <item x="12"/>
        <item x="64"/>
        <item x="107"/>
        <item x="90"/>
        <item x="19"/>
        <item x="37"/>
        <item x="51"/>
        <item x="23"/>
        <item x="40"/>
        <item x="0"/>
        <item x="5"/>
        <item x="17"/>
        <item x="20"/>
        <item x="11"/>
        <item x="10"/>
        <item x="84"/>
        <item x="87"/>
        <item x="88"/>
        <item x="89"/>
        <item x="36"/>
        <item x="15"/>
        <item x="18"/>
        <item x="92"/>
        <item x="4"/>
        <item x="99"/>
        <item x="1"/>
        <item x="58"/>
        <item x="42"/>
        <item x="63"/>
        <item x="70"/>
        <item x="66"/>
        <item x="82"/>
        <item x="76"/>
        <item x="8"/>
        <item x="71"/>
        <item x="77"/>
        <item x="57"/>
        <item x="72"/>
        <item x="97"/>
        <item x="96"/>
        <item x="69"/>
        <item x="93"/>
        <item x="95"/>
        <item x="94"/>
        <item x="78"/>
        <item x="48"/>
        <item x="47"/>
        <item x="74"/>
        <item x="49"/>
        <item x="16"/>
        <item x="9"/>
        <item x="28"/>
        <item x="54"/>
        <item x="98"/>
        <item x="67"/>
        <item x="50"/>
        <item x="52"/>
        <item x="108"/>
        <item t="default" sd="0"/>
      </items>
    </pivotField>
    <pivotField name="Line Item Description" compact="0" outline="0" showAll="0">
      <items count="125">
        <item x="65"/>
        <item x="12"/>
        <item x="78"/>
        <item x="92"/>
        <item x="26"/>
        <item x="30"/>
        <item x="27"/>
        <item x="119"/>
        <item x="98"/>
        <item x="99"/>
        <item x="100"/>
        <item x="83"/>
        <item x="36"/>
        <item x="61"/>
        <item x="56"/>
        <item x="81"/>
        <item x="35"/>
        <item x="53"/>
        <item x="87"/>
        <item x="40"/>
        <item x="75"/>
        <item x="102"/>
        <item x="42"/>
        <item x="89"/>
        <item x="28"/>
        <item x="105"/>
        <item x="33"/>
        <item x="2"/>
        <item x="6"/>
        <item x="24"/>
        <item x="38"/>
        <item x="23"/>
        <item x="67"/>
        <item x="1"/>
        <item x="71"/>
        <item x="51"/>
        <item x="97"/>
        <item x="7"/>
        <item x="48"/>
        <item x="70"/>
        <item x="3"/>
        <item x="14"/>
        <item x="93"/>
        <item x="37"/>
        <item x="104"/>
        <item x="106"/>
        <item x="95"/>
        <item x="122"/>
        <item x="25"/>
        <item x="115"/>
        <item x="13"/>
        <item x="41"/>
        <item x="80"/>
        <item x="60"/>
        <item x="49"/>
        <item x="116"/>
        <item x="117"/>
        <item x="120"/>
        <item x="52"/>
        <item x="72"/>
        <item x="123"/>
        <item x="59"/>
        <item x="57"/>
        <item x="74"/>
        <item x="55"/>
        <item x="58"/>
        <item x="0"/>
        <item x="5"/>
        <item x="17"/>
        <item x="44"/>
        <item x="20"/>
        <item x="29"/>
        <item x="103"/>
        <item x="64"/>
        <item x="15"/>
        <item x="82"/>
        <item x="66"/>
        <item x="110"/>
        <item x="109"/>
        <item x="108"/>
        <item x="21"/>
        <item x="84"/>
        <item x="22"/>
        <item x="11"/>
        <item x="79"/>
        <item x="94"/>
        <item x="54"/>
        <item x="76"/>
        <item x="86"/>
        <item x="73"/>
        <item x="118"/>
        <item x="85"/>
        <item x="34"/>
        <item x="45"/>
        <item x="8"/>
        <item x="46"/>
        <item x="39"/>
        <item x="16"/>
        <item x="18"/>
        <item x="77"/>
        <item x="113"/>
        <item x="114"/>
        <item x="63"/>
        <item x="31"/>
        <item x="111"/>
        <item x="112"/>
        <item x="32"/>
        <item x="90"/>
        <item x="107"/>
        <item x="96"/>
        <item x="47"/>
        <item x="19"/>
        <item x="121"/>
        <item x="69"/>
        <item x="88"/>
        <item x="50"/>
        <item x="68"/>
        <item x="43"/>
        <item x="101"/>
        <item x="91"/>
        <item x="62"/>
        <item x="4"/>
        <item x="9"/>
        <item x="10"/>
        <item t="default" sd="0"/>
      </items>
    </pivotField>
    <pivotField name="Order Quantity" compact="0" outline="0" showAll="0">
      <items count="20">
        <item x="0"/>
        <item x="1"/>
        <item x="5"/>
        <item x="4"/>
        <item x="8"/>
        <item x="3"/>
        <item x="12"/>
        <item x="6"/>
        <item x="7"/>
        <item x="9"/>
        <item x="2"/>
        <item x="11"/>
        <item x="15"/>
        <item x="10"/>
        <item x="13"/>
        <item x="16"/>
        <item x="14"/>
        <item x="17"/>
        <item x="18"/>
        <item t="default" sd="0"/>
      </items>
    </pivotField>
    <pivotField name="Unit Price" compact="0" outline="0" showAll="0">
      <items count="114">
        <item x="81"/>
        <item x="78"/>
        <item x="8"/>
        <item x="52"/>
        <item x="27"/>
        <item x="80"/>
        <item x="79"/>
        <item x="39"/>
        <item x="111"/>
        <item x="19"/>
        <item x="100"/>
        <item x="73"/>
        <item x="1"/>
        <item x="85"/>
        <item x="101"/>
        <item x="67"/>
        <item x="105"/>
        <item x="84"/>
        <item x="50"/>
        <item x="91"/>
        <item x="51"/>
        <item x="110"/>
        <item x="92"/>
        <item x="76"/>
        <item x="74"/>
        <item x="94"/>
        <item x="72"/>
        <item x="16"/>
        <item x="102"/>
        <item x="66"/>
        <item x="26"/>
        <item x="75"/>
        <item x="46"/>
        <item x="57"/>
        <item x="61"/>
        <item x="106"/>
        <item x="41"/>
        <item x="36"/>
        <item x="47"/>
        <item x="108"/>
        <item x="35"/>
        <item x="53"/>
        <item x="30"/>
        <item x="25"/>
        <item x="6"/>
        <item x="32"/>
        <item x="60"/>
        <item x="28"/>
        <item x="18"/>
        <item x="96"/>
        <item x="68"/>
        <item x="49"/>
        <item x="62"/>
        <item x="4"/>
        <item x="71"/>
        <item x="15"/>
        <item x="82"/>
        <item x="77"/>
        <item x="45"/>
        <item x="38"/>
        <item x="87"/>
        <item x="64"/>
        <item x="7"/>
        <item x="2"/>
        <item x="63"/>
        <item x="95"/>
        <item x="29"/>
        <item x="107"/>
        <item x="9"/>
        <item x="23"/>
        <item x="13"/>
        <item x="98"/>
        <item x="3"/>
        <item x="109"/>
        <item x="55"/>
        <item x="58"/>
        <item x="65"/>
        <item x="48"/>
        <item x="54"/>
        <item x="83"/>
        <item x="97"/>
        <item x="104"/>
        <item x="24"/>
        <item x="22"/>
        <item x="70"/>
        <item x="20"/>
        <item x="21"/>
        <item x="93"/>
        <item x="40"/>
        <item x="0"/>
        <item x="88"/>
        <item x="90"/>
        <item x="14"/>
        <item x="42"/>
        <item x="34"/>
        <item x="37"/>
        <item x="59"/>
        <item x="5"/>
        <item x="11"/>
        <item x="56"/>
        <item x="44"/>
        <item x="17"/>
        <item x="12"/>
        <item x="99"/>
        <item x="10"/>
        <item x="69"/>
        <item x="31"/>
        <item x="89"/>
        <item x="103"/>
        <item x="86"/>
        <item x="33"/>
        <item x="43"/>
        <item x="112"/>
        <item t="default" sd="0"/>
      </items>
    </pivotField>
    <pivotField name="Total Line Item $" axis="axisValues" dataField="1" compact="0" outline="0" showAll="0"/>
  </pivotFields>
  <rowFields count="1">
    <field x="0"/>
  </rowFields>
  <rowItems count="109">
    <i>
      <x/>
    </i>
    <i>
      <x v="1"/>
    </i>
    <i>
      <x v="3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78"/>
    </i>
    <i>
      <x v="80"/>
    </i>
    <i>
      <x v="81"/>
    </i>
    <i>
      <x v="83"/>
    </i>
    <i>
      <x v="82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Items count="1">
    <i/>
  </colItems>
  <dataFields count="1">
    <dataField name="Sum of Total Line Item $" fld="4" numFmtId="60"/>
  </dataFields>
  <pivotTableStyleInfo name="PivotStyleCustom03" showRowHeaders="1" showColHeaders="1" showRowStripes="1" showColStripes="0" showLastColumn="1"/>
</pivotTableDefinition>
</file>

<file path=xl/pivotTables/pivotTable4.xml><?xml version="1.0" encoding="utf-8"?>
<pivotTableDefinition xmlns="http://schemas.openxmlformats.org/spreadsheetml/2006/main" name="August 2024 Sales by Customer" cacheId="3" dataPosition="0" autoFormatId="0" applyNumberFormats="0" applyBorderFormats="0" applyFontFormats="0" applyPatternFormats="0" applyAlignmentFormats="0" applyWidthHeightFormats="1" dataCaption="" missingCaption="" pivotTableStyle="PivotStyleCustom04" updatedVersion="7" useAutoFormatting="1" createdVersion="7" indent="0" showEmptyCol="1" showEmptyRow="1" compact="0" compactData="0" multipleFieldFilters="0">
  <location ref="J501:P688" firstHeaderRow="1" firstDataRow="2" firstDataCol="4"/>
  <pivotFields count="8">
    <pivotField name="Sales Order" axis="axisRow" compact="0" numFmtId="49" outline="0" showAll="0" sortType="ascending">
      <items count="217">
        <item sd="0" x="213"/>
        <item sd="0" x="214"/>
        <item sd="0" x="215"/>
        <item sd="0" x="210"/>
        <item sd="0" x="209"/>
        <item sd="0" x="211"/>
        <item sd="0" x="212"/>
        <item sd="0" x="208"/>
        <item sd="0" x="207"/>
        <item sd="0" x="206"/>
        <item sd="0" x="205"/>
        <item sd="0" x="204"/>
        <item sd="0" x="201"/>
        <item sd="0" x="202"/>
        <item sd="0" x="200"/>
        <item sd="0" x="203"/>
        <item sd="0" x="199"/>
        <item sd="0" x="198"/>
        <item sd="0" x="197"/>
        <item sd="0" x="196"/>
        <item sd="0" x="195"/>
        <item sd="0" x="194"/>
        <item sd="0" x="193"/>
        <item sd="0" x="192"/>
        <item sd="0" x="189"/>
        <item sd="0" x="188"/>
        <item sd="0" x="187"/>
        <item sd="0" x="186"/>
        <item sd="0" x="191"/>
        <item sd="0" x="190"/>
        <item sd="0" x="185"/>
        <item sd="0" x="184"/>
        <item sd="0" x="183"/>
        <item sd="0" x="182"/>
        <item sd="0" x="181"/>
        <item sd="0" x="180"/>
        <item sd="0" x="179"/>
        <item sd="0" x="174"/>
        <item sd="0" x="173"/>
        <item sd="0" x="178"/>
        <item sd="0" x="176"/>
        <item sd="0" x="172"/>
        <item sd="0" x="171"/>
        <item sd="0" x="170"/>
        <item sd="0" x="175"/>
        <item sd="0" x="177"/>
        <item sd="0" x="167"/>
        <item sd="0" x="166"/>
        <item sd="0" x="165"/>
        <item sd="0" x="164"/>
        <item sd="0" x="169"/>
        <item sd="0" x="168"/>
        <item sd="0" x="163"/>
        <item sd="0" x="162"/>
        <item sd="0" x="161"/>
        <item sd="0" x="160"/>
        <item sd="0" x="159"/>
        <item sd="0" x="158"/>
        <item sd="0" x="153"/>
        <item sd="0" x="152"/>
        <item sd="0" x="155"/>
        <item sd="0" x="151"/>
        <item sd="0" x="156"/>
        <item sd="0" x="154"/>
        <item sd="0" x="157"/>
        <item sd="0" x="145"/>
        <item sd="0" x="144"/>
        <item sd="0" x="143"/>
        <item sd="0" x="142"/>
        <item sd="0" x="141"/>
        <item sd="0" x="140"/>
        <item sd="0" x="147"/>
        <item sd="0" x="150"/>
        <item sd="0" x="148"/>
        <item sd="0" x="149"/>
        <item sd="0" x="146"/>
        <item sd="0" x="137"/>
        <item sd="0" x="136"/>
        <item sd="0" x="138"/>
        <item sd="0" x="135"/>
        <item sd="0" x="134"/>
        <item sd="0" x="139"/>
        <item sd="0" x="133"/>
        <item sd="0" x="132"/>
        <item sd="0" x="128"/>
        <item sd="0" x="129"/>
        <item sd="0" x="131"/>
        <item sd="0" x="127"/>
        <item sd="0" x="130"/>
        <item sd="0" x="126"/>
        <item sd="0" x="124"/>
        <item sd="0" x="123"/>
        <item sd="0" x="125"/>
        <item sd="0" x="122"/>
        <item sd="0" x="121"/>
        <item sd="0" x="120"/>
        <item sd="0" x="119"/>
        <item sd="0" x="114"/>
        <item sd="0" x="115"/>
        <item sd="0" x="116"/>
        <item sd="0" x="118"/>
        <item sd="0" x="117"/>
        <item sd="0" x="113"/>
        <item sd="0" x="108"/>
        <item sd="0" x="107"/>
        <item sd="0" x="106"/>
        <item sd="0" x="105"/>
        <item sd="0" x="104"/>
        <item sd="0" x="103"/>
        <item sd="0" x="102"/>
        <item sd="0" x="111"/>
        <item sd="0" x="101"/>
        <item sd="0" x="112"/>
        <item sd="0" x="100"/>
        <item sd="0" x="109"/>
        <item sd="0" x="110"/>
        <item sd="0" x="98"/>
        <item sd="0" x="97"/>
        <item sd="0" x="96"/>
        <item sd="0" x="95"/>
        <item sd="0" x="94"/>
        <item sd="0" x="93"/>
        <item sd="0" x="99"/>
        <item sd="0" x="92"/>
        <item sd="0" x="91"/>
        <item sd="0" x="90"/>
        <item sd="0" x="89"/>
        <item sd="0" x="88"/>
        <item sd="0" x="87"/>
        <item sd="0" x="82"/>
        <item sd="0" x="81"/>
        <item sd="0" x="80"/>
        <item sd="0" x="86"/>
        <item sd="0" x="79"/>
        <item sd="0" x="78"/>
        <item sd="0" x="77"/>
        <item sd="0" x="76"/>
        <item sd="0" x="84"/>
        <item sd="0" x="75"/>
        <item sd="0" x="74"/>
        <item sd="0" x="85"/>
        <item sd="0" x="83"/>
        <item sd="0" x="72"/>
        <item sd="0" x="71"/>
        <item sd="0" x="70"/>
        <item sd="0" x="69"/>
        <item sd="0" x="73"/>
        <item sd="0" x="68"/>
        <item sd="0" x="67"/>
        <item sd="0" x="66"/>
        <item sd="0" x="65"/>
        <item sd="0" x="64"/>
        <item sd="0" x="57"/>
        <item sd="0" x="56"/>
        <item sd="0" x="55"/>
        <item sd="0" x="60"/>
        <item sd="0" x="62"/>
        <item sd="0" x="59"/>
        <item sd="0" x="54"/>
        <item sd="0" x="63"/>
        <item sd="0" x="61"/>
        <item sd="0" x="58"/>
        <item sd="0" x="53"/>
        <item sd="0" x="52"/>
        <item sd="0" x="51"/>
        <item sd="0" x="50"/>
        <item sd="0" x="49"/>
        <item sd="0" x="48"/>
        <item sd="0" x="47"/>
        <item sd="0" x="46"/>
        <item sd="0" x="45"/>
        <item sd="0" x="40"/>
        <item sd="0" x="42"/>
        <item sd="0" x="43"/>
        <item sd="0" x="39"/>
        <item sd="0" x="38"/>
        <item sd="0" x="37"/>
        <item sd="0" x="44"/>
        <item sd="0" x="36"/>
        <item sd="0" x="35"/>
        <item sd="0" x="34"/>
        <item sd="0" x="41"/>
        <item sd="0" x="33"/>
        <item sd="0" x="26"/>
        <item sd="0" x="25"/>
        <item sd="0" x="27"/>
        <item sd="0" x="28"/>
        <item sd="0" x="24"/>
        <item sd="0" x="29"/>
        <item sd="0" x="32"/>
        <item sd="0" x="23"/>
        <item sd="0" x="30"/>
        <item sd="0" x="31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5"/>
        <item sd="0" x="4"/>
        <item sd="0" x="3"/>
        <item sd="0" x="6"/>
        <item sd="0" x="2"/>
        <item sd="0" x="8"/>
        <item sd="0" x="7"/>
        <item sd="0" x="1"/>
        <item sd="0" x="0"/>
        <item t="default" sd="0"/>
      </items>
    </pivotField>
    <pivotField name="Customer" axis="axisRow" compact="0" numFmtId="49" outline="0" showAll="0" sortType="ascending">
      <items count="186">
        <item sd="0" x="90"/>
        <item sd="0" x="106"/>
        <item sd="0" x="51"/>
        <item sd="0" x="129"/>
        <item sd="0" x="176"/>
        <item sd="0" x="135"/>
        <item sd="0" x="174"/>
        <item sd="0" x="152"/>
        <item sd="0" x="140"/>
        <item sd="0" x="119"/>
        <item sd="0" x="3"/>
        <item sd="0" x="136"/>
        <item sd="0" x="121"/>
        <item sd="0" x="54"/>
        <item sd="0" x="162"/>
        <item sd="0" x="11"/>
        <item sd="0" x="66"/>
        <item sd="0" x="15"/>
        <item sd="0" x="181"/>
        <item sd="0" x="183"/>
        <item sd="0" x="120"/>
        <item sd="0" x="92"/>
        <item sd="0" x="25"/>
        <item sd="0" x="18"/>
        <item sd="0" x="72"/>
        <item sd="0" x="154"/>
        <item sd="0" x="83"/>
        <item sd="0" x="125"/>
        <item sd="0" x="29"/>
        <item sd="0" x="110"/>
        <item sd="0" x="114"/>
        <item sd="0" x="10"/>
        <item sd="0" x="26"/>
        <item sd="0" x="184"/>
        <item sd="0" x="179"/>
        <item sd="0" x="82"/>
        <item sd="0" x="45"/>
        <item sd="0" x="107"/>
        <item sd="0" x="111"/>
        <item sd="0" x="109"/>
        <item sd="0" x="145"/>
        <item sd="0" x="73"/>
        <item sd="0" x="158"/>
        <item sd="0" x="98"/>
        <item sd="0" x="69"/>
        <item sd="0" x="93"/>
        <item sd="0" x="144"/>
        <item sd="0" x="151"/>
        <item sd="0" x="77"/>
        <item sd="0" x="180"/>
        <item sd="0" x="21"/>
        <item sd="0" x="104"/>
        <item sd="0" x="105"/>
        <item sd="0" x="32"/>
        <item sd="0" x="56"/>
        <item sd="0" x="131"/>
        <item sd="0" x="40"/>
        <item sd="0" x="108"/>
        <item sd="0" x="33"/>
        <item sd="0" x="48"/>
        <item sd="0" x="168"/>
        <item sd="0" x="39"/>
        <item sd="0" x="166"/>
        <item sd="0" x="117"/>
        <item sd="0" x="113"/>
        <item sd="0" x="0"/>
        <item sd="0" x="149"/>
        <item sd="0" x="2"/>
        <item sd="0" x="27"/>
        <item sd="0" x="153"/>
        <item sd="0" x="150"/>
        <item sd="0" x="41"/>
        <item sd="0" x="164"/>
        <item sd="0" x="137"/>
        <item sd="0" x="49"/>
        <item sd="0" x="61"/>
        <item sd="0" x="161"/>
        <item sd="0" x="42"/>
        <item sd="0" x="1"/>
        <item sd="0" x="5"/>
        <item sd="0" x="175"/>
        <item sd="0" x="65"/>
        <item sd="0" x="75"/>
        <item sd="0" x="91"/>
        <item sd="0" x="20"/>
        <item sd="0" x="58"/>
        <item sd="0" x="7"/>
        <item sd="0" x="103"/>
        <item sd="0" x="47"/>
        <item sd="0" x="74"/>
        <item sd="0" x="22"/>
        <item sd="0" x="88"/>
        <item sd="0" x="128"/>
        <item sd="0" x="148"/>
        <item sd="0" x="159"/>
        <item sd="0" x="64"/>
        <item sd="0" x="157"/>
        <item sd="0" x="43"/>
        <item sd="0" x="81"/>
        <item sd="0" x="100"/>
        <item sd="0" x="112"/>
        <item sd="0" x="143"/>
        <item sd="0" x="35"/>
        <item sd="0" x="70"/>
        <item sd="0" x="155"/>
        <item sd="0" x="23"/>
        <item sd="0" x="115"/>
        <item sd="0" x="126"/>
        <item sd="0" x="169"/>
        <item sd="0" x="9"/>
        <item sd="0" x="139"/>
        <item sd="0" x="122"/>
        <item sd="0" x="80"/>
        <item sd="0" x="147"/>
        <item sd="0" x="160"/>
        <item sd="0" x="4"/>
        <item sd="0" x="71"/>
        <item sd="0" x="177"/>
        <item sd="0" x="79"/>
        <item sd="0" x="87"/>
        <item sd="0" x="28"/>
        <item sd="0" x="50"/>
        <item sd="0" x="95"/>
        <item sd="0" x="13"/>
        <item sd="0" x="171"/>
        <item sd="0" x="46"/>
        <item sd="0" x="12"/>
        <item sd="0" x="8"/>
        <item sd="0" x="19"/>
        <item sd="0" x="96"/>
        <item sd="0" x="17"/>
        <item sd="0" x="142"/>
        <item sd="0" x="60"/>
        <item sd="0" x="34"/>
        <item sd="0" x="85"/>
        <item sd="0" x="102"/>
        <item sd="0" x="68"/>
        <item sd="0" x="30"/>
        <item sd="0" x="123"/>
        <item sd="0" x="31"/>
        <item sd="0" x="6"/>
        <item sd="0" x="89"/>
        <item sd="0" x="178"/>
        <item sd="0" x="59"/>
        <item sd="0" x="94"/>
        <item sd="0" x="163"/>
        <item sd="0" x="127"/>
        <item sd="0" x="118"/>
        <item sd="0" x="84"/>
        <item sd="0" x="146"/>
        <item sd="0" x="44"/>
        <item sd="0" x="24"/>
        <item sd="0" x="86"/>
        <item sd="0" x="38"/>
        <item sd="0" x="167"/>
        <item sd="0" x="37"/>
        <item sd="0" x="141"/>
        <item sd="0" x="134"/>
        <item sd="0" x="156"/>
        <item sd="0" x="97"/>
        <item sd="0" x="55"/>
        <item sd="0" x="101"/>
        <item sd="0" x="124"/>
        <item sd="0" x="53"/>
        <item sd="0" x="57"/>
        <item sd="0" x="116"/>
        <item sd="0" x="16"/>
        <item sd="0" x="67"/>
        <item sd="0" x="173"/>
        <item sd="0" x="132"/>
        <item sd="0" x="170"/>
        <item sd="0" x="165"/>
        <item sd="0" x="78"/>
        <item sd="0" x="14"/>
        <item sd="0" x="130"/>
        <item sd="0" x="99"/>
        <item sd="0" x="133"/>
        <item sd="0" x="63"/>
        <item sd="0" x="182"/>
        <item sd="0" x="36"/>
        <item sd="0" x="76"/>
        <item sd="0" x="52"/>
        <item sd="0" x="138"/>
        <item sd="0" x="62"/>
        <item sd="0" x="172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17">
        <item x="26"/>
        <item x="103"/>
        <item x="85"/>
        <item x="72"/>
        <item x="57"/>
        <item x="84"/>
        <item x="60"/>
        <item x="100"/>
        <item x="59"/>
        <item x="58"/>
        <item x="113"/>
        <item x="86"/>
        <item x="62"/>
        <item x="95"/>
        <item x="32"/>
        <item x="25"/>
        <item x="75"/>
        <item x="31"/>
        <item x="24"/>
        <item x="8"/>
        <item x="64"/>
        <item x="80"/>
        <item x="76"/>
        <item x="20"/>
        <item x="23"/>
        <item x="21"/>
        <item x="94"/>
        <item x="1"/>
        <item x="108"/>
        <item x="44"/>
        <item x="30"/>
        <item x="111"/>
        <item x="40"/>
        <item x="98"/>
        <item x="106"/>
        <item x="109"/>
        <item x="79"/>
        <item x="65"/>
        <item x="112"/>
        <item x="33"/>
        <item x="96"/>
        <item x="107"/>
        <item x="15"/>
        <item x="7"/>
        <item x="28"/>
        <item x="77"/>
        <item x="27"/>
        <item x="71"/>
        <item x="29"/>
        <item x="91"/>
        <item x="90"/>
        <item x="5"/>
        <item x="3"/>
        <item x="19"/>
        <item x="63"/>
        <item x="43"/>
        <item x="42"/>
        <item x="56"/>
        <item x="0"/>
        <item x="4"/>
        <item x="13"/>
        <item x="2"/>
        <item x="22"/>
        <item x="45"/>
        <item x="18"/>
        <item x="92"/>
        <item x="93"/>
        <item x="17"/>
        <item x="97"/>
        <item x="88"/>
        <item x="74"/>
        <item x="67"/>
        <item x="68"/>
        <item x="105"/>
        <item x="69"/>
        <item x="70"/>
        <item x="37"/>
        <item x="16"/>
        <item x="82"/>
        <item x="83"/>
        <item x="38"/>
        <item x="36"/>
        <item x="12"/>
        <item x="51"/>
        <item x="14"/>
        <item x="89"/>
        <item x="55"/>
        <item x="101"/>
        <item x="102"/>
        <item x="46"/>
        <item x="87"/>
        <item x="114"/>
        <item x="54"/>
        <item x="53"/>
        <item x="41"/>
        <item x="48"/>
        <item x="99"/>
        <item x="81"/>
        <item x="35"/>
        <item x="61"/>
        <item x="11"/>
        <item x="115"/>
        <item x="104"/>
        <item x="34"/>
        <item x="73"/>
        <item x="9"/>
        <item x="10"/>
        <item x="50"/>
        <item x="6"/>
        <item x="39"/>
        <item x="66"/>
        <item x="78"/>
        <item x="49"/>
        <item x="52"/>
        <item x="47"/>
        <item x="110"/>
        <item t="default" sd="0"/>
      </items>
    </pivotField>
    <pivotField name="Line Item Description" compact="0" outline="0" showAll="0">
      <items count="152">
        <item x="19"/>
        <item x="109"/>
        <item x="102"/>
        <item x="98"/>
        <item x="24"/>
        <item x="96"/>
        <item x="80"/>
        <item x="42"/>
        <item x="62"/>
        <item x="36"/>
        <item x="75"/>
        <item x="76"/>
        <item x="144"/>
        <item x="133"/>
        <item x="77"/>
        <item x="95"/>
        <item x="122"/>
        <item x="134"/>
        <item x="61"/>
        <item x="64"/>
        <item x="56"/>
        <item x="69"/>
        <item x="118"/>
        <item x="68"/>
        <item x="145"/>
        <item x="63"/>
        <item x="89"/>
        <item x="147"/>
        <item x="125"/>
        <item x="123"/>
        <item x="126"/>
        <item x="43"/>
        <item x="34"/>
        <item x="60"/>
        <item x="27"/>
        <item x="105"/>
        <item x="26"/>
        <item x="78"/>
        <item x="58"/>
        <item x="5"/>
        <item x="3"/>
        <item x="71"/>
        <item x="91"/>
        <item x="20"/>
        <item x="67"/>
        <item x="79"/>
        <item x="14"/>
        <item x="48"/>
        <item x="50"/>
        <item x="138"/>
        <item x="72"/>
        <item x="142"/>
        <item x="35"/>
        <item x="119"/>
        <item x="124"/>
        <item x="135"/>
        <item x="141"/>
        <item x="15"/>
        <item x="21"/>
        <item x="66"/>
        <item x="143"/>
        <item x="7"/>
        <item x="30"/>
        <item x="74"/>
        <item x="86"/>
        <item x="29"/>
        <item x="87"/>
        <item x="88"/>
        <item x="136"/>
        <item x="31"/>
        <item x="111"/>
        <item x="114"/>
        <item x="113"/>
        <item x="28"/>
        <item x="90"/>
        <item x="132"/>
        <item x="106"/>
        <item x="83"/>
        <item x="8"/>
        <item x="128"/>
        <item x="32"/>
        <item x="139"/>
        <item x="70"/>
        <item x="104"/>
        <item x="99"/>
        <item x="0"/>
        <item x="2"/>
        <item x="4"/>
        <item x="44"/>
        <item x="112"/>
        <item x="55"/>
        <item x="85"/>
        <item x="103"/>
        <item x="57"/>
        <item x="23"/>
        <item x="46"/>
        <item x="150"/>
        <item x="130"/>
        <item x="38"/>
        <item x="115"/>
        <item x="116"/>
        <item x="18"/>
        <item x="148"/>
        <item x="47"/>
        <item x="101"/>
        <item x="6"/>
        <item x="81"/>
        <item x="17"/>
        <item x="121"/>
        <item x="100"/>
        <item x="129"/>
        <item x="108"/>
        <item x="82"/>
        <item x="73"/>
        <item x="92"/>
        <item x="52"/>
        <item x="54"/>
        <item x="137"/>
        <item x="117"/>
        <item x="1"/>
        <item x="22"/>
        <item x="93"/>
        <item x="94"/>
        <item x="107"/>
        <item x="39"/>
        <item x="146"/>
        <item x="16"/>
        <item x="51"/>
        <item x="65"/>
        <item x="131"/>
        <item x="149"/>
        <item x="110"/>
        <item x="13"/>
        <item x="49"/>
        <item x="41"/>
        <item x="45"/>
        <item x="37"/>
        <item x="40"/>
        <item x="84"/>
        <item x="25"/>
        <item x="97"/>
        <item x="33"/>
        <item x="140"/>
        <item x="120"/>
        <item x="127"/>
        <item x="53"/>
        <item x="59"/>
        <item x="9"/>
        <item x="10"/>
        <item x="11"/>
        <item x="12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86">
    <i>
      <x/>
    </i>
    <i>
      <x v="2"/>
    </i>
    <i>
      <x v="3"/>
    </i>
    <i>
      <x v="4"/>
    </i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177"/>
    </i>
    <i>
      <x v="2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178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55"/>
    </i>
    <i>
      <x v="62"/>
    </i>
    <i>
      <x v="63"/>
    </i>
    <i>
      <x v="64"/>
    </i>
    <i>
      <x v="65"/>
    </i>
    <i>
      <x v="66"/>
    </i>
    <i>
      <x v="67"/>
    </i>
    <i>
      <x v="70"/>
    </i>
    <i>
      <x v="71"/>
    </i>
    <i>
      <x v="68"/>
    </i>
    <i>
      <x v="72"/>
    </i>
    <i>
      <x v="73"/>
    </i>
    <i>
      <x v="69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78"/>
    </i>
    <i>
      <x v="86"/>
    </i>
    <i>
      <x v="87"/>
    </i>
    <i>
      <x v="88"/>
    </i>
    <i>
      <x v="89"/>
    </i>
    <i>
      <x v="90"/>
    </i>
    <i>
      <x v="94"/>
    </i>
    <i>
      <x v="95"/>
    </i>
    <i>
      <x v="96"/>
    </i>
    <i>
      <x v="97"/>
    </i>
    <i>
      <x v="91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92"/>
    </i>
    <i>
      <x v="108"/>
    </i>
    <i>
      <x v="93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79"/>
    </i>
    <i>
      <x v="117"/>
    </i>
    <i>
      <x v="118"/>
    </i>
    <i>
      <x v="119"/>
    </i>
    <i>
      <x v="120"/>
    </i>
    <i>
      <x v="121"/>
    </i>
    <i>
      <x v="122"/>
    </i>
    <i>
      <x v="125"/>
    </i>
    <i>
      <x v="123"/>
    </i>
    <i>
      <x v="124"/>
    </i>
    <i>
      <x v="126"/>
    </i>
    <i>
      <x v="127"/>
    </i>
    <i>
      <x v="128"/>
    </i>
    <i>
      <x v="129"/>
    </i>
    <i>
      <x v="130"/>
    </i>
    <i>
      <x v="180"/>
    </i>
    <i>
      <x v="131"/>
    </i>
    <i>
      <x v="132"/>
    </i>
    <i>
      <x v="18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82"/>
    </i>
    <i>
      <x v="142"/>
    </i>
    <i>
      <x v="144"/>
    </i>
    <i>
      <x v="145"/>
    </i>
    <i>
      <x v="146"/>
    </i>
    <i>
      <x v="147"/>
    </i>
    <i>
      <x v="183"/>
    </i>
    <i>
      <x v="184"/>
    </i>
    <i>
      <x v="143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3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65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04" showRowHeaders="1" showColHeaders="1" showRowStripes="1" showColStripes="0" showLastColumn="1"/>
</pivotTableDefinition>
</file>

<file path=xl/pivotTables/pivotTable5.xml><?xml version="1.0" encoding="utf-8"?>
<pivotTableDefinition xmlns="http://schemas.openxmlformats.org/spreadsheetml/2006/main" name="August 2024 Sales by SKU" cacheId="4" dataPosition="0" autoFormatId="0" applyNumberFormats="0" applyBorderFormats="0" applyFontFormats="0" applyPatternFormats="0" applyAlignmentFormats="0" applyWidthHeightFormats="1" dataCaption="" missingCaption="" pivotTableStyle="PivotStyleCustom05" updatedVersion="7" useAutoFormatting="1" createdVersion="7" indent="0" showEmptyCol="1" showEmptyRow="1" compact="0" compactData="0" multipleFieldFilters="0">
  <location ref="Q691:R808" firstHeaderRow="1" firstDataRow="1" firstDataCol="1"/>
  <pivotFields count="3">
    <pivotField name="Line Item Name" axis="axisRow" compact="0" numFmtId="49" outline="0" showAll="0" sortType="ascending">
      <items count="117">
        <item x="26"/>
        <item x="103"/>
        <item x="85"/>
        <item x="72"/>
        <item x="57"/>
        <item x="84"/>
        <item x="60"/>
        <item x="100"/>
        <item x="59"/>
        <item x="58"/>
        <item x="113"/>
        <item x="86"/>
        <item x="62"/>
        <item x="95"/>
        <item x="32"/>
        <item x="25"/>
        <item x="75"/>
        <item x="31"/>
        <item x="24"/>
        <item x="8"/>
        <item x="64"/>
        <item x="80"/>
        <item x="76"/>
        <item x="20"/>
        <item x="23"/>
        <item x="21"/>
        <item x="94"/>
        <item x="1"/>
        <item x="108"/>
        <item x="44"/>
        <item x="30"/>
        <item x="111"/>
        <item x="40"/>
        <item x="98"/>
        <item x="106"/>
        <item x="109"/>
        <item x="79"/>
        <item x="65"/>
        <item x="112"/>
        <item x="33"/>
        <item x="96"/>
        <item x="107"/>
        <item x="15"/>
        <item x="7"/>
        <item x="28"/>
        <item x="77"/>
        <item x="27"/>
        <item x="71"/>
        <item x="29"/>
        <item x="91"/>
        <item x="90"/>
        <item x="5"/>
        <item x="3"/>
        <item x="19"/>
        <item x="63"/>
        <item x="43"/>
        <item x="42"/>
        <item x="56"/>
        <item x="0"/>
        <item x="4"/>
        <item x="13"/>
        <item x="2"/>
        <item x="22"/>
        <item x="45"/>
        <item x="18"/>
        <item x="92"/>
        <item x="93"/>
        <item x="17"/>
        <item x="97"/>
        <item x="88"/>
        <item x="74"/>
        <item x="67"/>
        <item x="68"/>
        <item x="105"/>
        <item x="69"/>
        <item x="70"/>
        <item x="37"/>
        <item x="16"/>
        <item x="82"/>
        <item x="83"/>
        <item x="38"/>
        <item x="36"/>
        <item x="12"/>
        <item x="51"/>
        <item x="14"/>
        <item x="89"/>
        <item x="55"/>
        <item x="101"/>
        <item x="102"/>
        <item x="46"/>
        <item x="87"/>
        <item x="114"/>
        <item x="54"/>
        <item x="53"/>
        <item x="41"/>
        <item x="48"/>
        <item x="99"/>
        <item x="81"/>
        <item x="35"/>
        <item x="61"/>
        <item x="11"/>
        <item x="115"/>
        <item x="104"/>
        <item x="34"/>
        <item x="73"/>
        <item x="9"/>
        <item x="10"/>
        <item x="50"/>
        <item x="6"/>
        <item x="39"/>
        <item x="66"/>
        <item x="78"/>
        <item x="49"/>
        <item x="52"/>
        <item x="47"/>
        <item x="110"/>
        <item t="default" sd="0"/>
      </items>
    </pivotField>
    <pivotField name="Line Item Description" compact="0" outline="0" showAll="0">
      <items count="152">
        <item x="19"/>
        <item x="109"/>
        <item x="102"/>
        <item x="98"/>
        <item x="24"/>
        <item x="96"/>
        <item x="80"/>
        <item x="42"/>
        <item x="62"/>
        <item x="36"/>
        <item x="75"/>
        <item x="76"/>
        <item x="144"/>
        <item x="133"/>
        <item x="77"/>
        <item x="95"/>
        <item x="122"/>
        <item x="134"/>
        <item x="61"/>
        <item x="64"/>
        <item x="56"/>
        <item x="69"/>
        <item x="118"/>
        <item x="68"/>
        <item x="145"/>
        <item x="63"/>
        <item x="89"/>
        <item x="147"/>
        <item x="125"/>
        <item x="123"/>
        <item x="126"/>
        <item x="43"/>
        <item x="34"/>
        <item x="60"/>
        <item x="27"/>
        <item x="105"/>
        <item x="26"/>
        <item x="78"/>
        <item x="58"/>
        <item x="5"/>
        <item x="3"/>
        <item x="71"/>
        <item x="91"/>
        <item x="20"/>
        <item x="67"/>
        <item x="79"/>
        <item x="14"/>
        <item x="48"/>
        <item x="50"/>
        <item x="138"/>
        <item x="72"/>
        <item x="142"/>
        <item x="35"/>
        <item x="119"/>
        <item x="124"/>
        <item x="135"/>
        <item x="141"/>
        <item x="15"/>
        <item x="21"/>
        <item x="66"/>
        <item x="143"/>
        <item x="7"/>
        <item x="30"/>
        <item x="74"/>
        <item x="86"/>
        <item x="29"/>
        <item x="87"/>
        <item x="88"/>
        <item x="136"/>
        <item x="31"/>
        <item x="111"/>
        <item x="114"/>
        <item x="113"/>
        <item x="28"/>
        <item x="90"/>
        <item x="132"/>
        <item x="106"/>
        <item x="83"/>
        <item x="8"/>
        <item x="128"/>
        <item x="32"/>
        <item x="139"/>
        <item x="70"/>
        <item x="104"/>
        <item x="99"/>
        <item x="0"/>
        <item x="2"/>
        <item x="4"/>
        <item x="44"/>
        <item x="112"/>
        <item x="55"/>
        <item x="85"/>
        <item x="103"/>
        <item x="57"/>
        <item x="23"/>
        <item x="46"/>
        <item x="150"/>
        <item x="130"/>
        <item x="38"/>
        <item x="115"/>
        <item x="116"/>
        <item x="18"/>
        <item x="148"/>
        <item x="47"/>
        <item x="101"/>
        <item x="6"/>
        <item x="81"/>
        <item x="17"/>
        <item x="121"/>
        <item x="100"/>
        <item x="129"/>
        <item x="108"/>
        <item x="82"/>
        <item x="73"/>
        <item x="92"/>
        <item x="52"/>
        <item x="54"/>
        <item x="137"/>
        <item x="117"/>
        <item x="1"/>
        <item x="22"/>
        <item x="93"/>
        <item x="94"/>
        <item x="107"/>
        <item x="39"/>
        <item x="146"/>
        <item x="16"/>
        <item x="51"/>
        <item x="65"/>
        <item x="131"/>
        <item x="149"/>
        <item x="110"/>
        <item x="13"/>
        <item x="49"/>
        <item x="41"/>
        <item x="45"/>
        <item x="37"/>
        <item x="40"/>
        <item x="84"/>
        <item x="25"/>
        <item x="97"/>
        <item x="33"/>
        <item x="140"/>
        <item x="120"/>
        <item x="127"/>
        <item x="53"/>
        <item x="59"/>
        <item x="9"/>
        <item x="10"/>
        <item x="11"/>
        <item x="12"/>
        <item t="default" sd="0"/>
      </items>
    </pivotField>
    <pivotField name="Order Quantity" axis="axisValues" dataField="1" compact="0" outline="0" showAll="0"/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8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Items count="1">
    <i/>
  </colItems>
  <dataFields count="1">
    <dataField name="Sum of Order Quantity" fld="2"/>
  </dataFields>
  <pivotTableStyleInfo name="PivotStyleCustom05" showRowHeaders="1" showColHeaders="1" showRowStripes="1" showColStripes="0" showLastColumn="1"/>
</pivotTableDefinition>
</file>

<file path=xl/pivotTables/pivotTable6.xml><?xml version="1.0" encoding="utf-8"?>
<pivotTableDefinition xmlns="http://schemas.openxmlformats.org/spreadsheetml/2006/main" name="August 2024 Sales by SKU$" cacheId="5" dataPosition="0" autoFormatId="0" applyNumberFormats="0" applyBorderFormats="0" applyFontFormats="0" applyPatternFormats="0" applyAlignmentFormats="0" applyWidthHeightFormats="1" dataCaption="" missingCaption="" pivotTableStyle="PivotStyleCustom06" updatedVersion="7" useAutoFormatting="1" createdVersion="7" indent="0" showEmptyCol="1" showEmptyRow="1" compact="0" compactData="0" multipleFieldFilters="0">
  <location ref="S811:T928" firstHeaderRow="1" firstDataRow="1" firstDataCol="1"/>
  <pivotFields count="5">
    <pivotField name="Line Item Name" axis="axisRow" compact="0" numFmtId="49" outline="0" showAll="0" sortType="ascending">
      <items count="117">
        <item x="26"/>
        <item x="103"/>
        <item x="85"/>
        <item x="72"/>
        <item x="57"/>
        <item x="84"/>
        <item x="60"/>
        <item x="100"/>
        <item x="59"/>
        <item x="58"/>
        <item x="113"/>
        <item x="86"/>
        <item x="62"/>
        <item x="95"/>
        <item x="32"/>
        <item x="25"/>
        <item x="75"/>
        <item x="31"/>
        <item x="24"/>
        <item x="8"/>
        <item x="64"/>
        <item x="80"/>
        <item x="76"/>
        <item x="20"/>
        <item x="23"/>
        <item x="21"/>
        <item x="94"/>
        <item x="1"/>
        <item x="108"/>
        <item x="44"/>
        <item x="30"/>
        <item x="111"/>
        <item x="40"/>
        <item x="98"/>
        <item x="106"/>
        <item x="109"/>
        <item x="79"/>
        <item x="65"/>
        <item x="112"/>
        <item x="33"/>
        <item x="96"/>
        <item x="107"/>
        <item x="15"/>
        <item x="7"/>
        <item x="28"/>
        <item x="77"/>
        <item x="27"/>
        <item x="71"/>
        <item x="29"/>
        <item x="91"/>
        <item x="90"/>
        <item x="5"/>
        <item x="3"/>
        <item x="19"/>
        <item x="63"/>
        <item x="43"/>
        <item x="42"/>
        <item x="56"/>
        <item x="0"/>
        <item x="4"/>
        <item x="13"/>
        <item x="2"/>
        <item x="22"/>
        <item x="45"/>
        <item x="18"/>
        <item x="92"/>
        <item x="93"/>
        <item x="17"/>
        <item x="97"/>
        <item x="88"/>
        <item x="74"/>
        <item x="67"/>
        <item x="68"/>
        <item x="105"/>
        <item x="69"/>
        <item x="70"/>
        <item x="37"/>
        <item x="16"/>
        <item x="82"/>
        <item x="83"/>
        <item x="38"/>
        <item x="36"/>
        <item x="12"/>
        <item x="51"/>
        <item x="14"/>
        <item x="89"/>
        <item x="55"/>
        <item x="101"/>
        <item x="102"/>
        <item x="46"/>
        <item x="87"/>
        <item x="114"/>
        <item x="54"/>
        <item x="53"/>
        <item x="41"/>
        <item x="48"/>
        <item x="99"/>
        <item x="81"/>
        <item x="35"/>
        <item x="61"/>
        <item x="11"/>
        <item x="115"/>
        <item x="104"/>
        <item x="34"/>
        <item x="73"/>
        <item x="9"/>
        <item x="10"/>
        <item x="50"/>
        <item x="6"/>
        <item x="39"/>
        <item x="66"/>
        <item x="78"/>
        <item x="49"/>
        <item x="52"/>
        <item x="47"/>
        <item x="110"/>
        <item t="default" sd="0"/>
      </items>
    </pivotField>
    <pivotField name="Line Item Description" compact="0" outline="0" showAll="0">
      <items count="152">
        <item x="19"/>
        <item x="109"/>
        <item x="102"/>
        <item x="98"/>
        <item x="24"/>
        <item x="96"/>
        <item x="80"/>
        <item x="42"/>
        <item x="62"/>
        <item x="36"/>
        <item x="75"/>
        <item x="76"/>
        <item x="144"/>
        <item x="133"/>
        <item x="77"/>
        <item x="95"/>
        <item x="122"/>
        <item x="134"/>
        <item x="61"/>
        <item x="64"/>
        <item x="56"/>
        <item x="69"/>
        <item x="118"/>
        <item x="68"/>
        <item x="145"/>
        <item x="63"/>
        <item x="89"/>
        <item x="147"/>
        <item x="125"/>
        <item x="123"/>
        <item x="126"/>
        <item x="43"/>
        <item x="34"/>
        <item x="60"/>
        <item x="27"/>
        <item x="105"/>
        <item x="26"/>
        <item x="78"/>
        <item x="58"/>
        <item x="5"/>
        <item x="3"/>
        <item x="71"/>
        <item x="91"/>
        <item x="20"/>
        <item x="67"/>
        <item x="79"/>
        <item x="14"/>
        <item x="48"/>
        <item x="50"/>
        <item x="138"/>
        <item x="72"/>
        <item x="142"/>
        <item x="35"/>
        <item x="119"/>
        <item x="124"/>
        <item x="135"/>
        <item x="141"/>
        <item x="15"/>
        <item x="21"/>
        <item x="66"/>
        <item x="143"/>
        <item x="7"/>
        <item x="30"/>
        <item x="74"/>
        <item x="86"/>
        <item x="29"/>
        <item x="87"/>
        <item x="88"/>
        <item x="136"/>
        <item x="31"/>
        <item x="111"/>
        <item x="114"/>
        <item x="113"/>
        <item x="28"/>
        <item x="90"/>
        <item x="132"/>
        <item x="106"/>
        <item x="83"/>
        <item x="8"/>
        <item x="128"/>
        <item x="32"/>
        <item x="139"/>
        <item x="70"/>
        <item x="104"/>
        <item x="99"/>
        <item x="0"/>
        <item x="2"/>
        <item x="4"/>
        <item x="44"/>
        <item x="112"/>
        <item x="55"/>
        <item x="85"/>
        <item x="103"/>
        <item x="57"/>
        <item x="23"/>
        <item x="46"/>
        <item x="150"/>
        <item x="130"/>
        <item x="38"/>
        <item x="115"/>
        <item x="116"/>
        <item x="18"/>
        <item x="148"/>
        <item x="47"/>
        <item x="101"/>
        <item x="6"/>
        <item x="81"/>
        <item x="17"/>
        <item x="121"/>
        <item x="100"/>
        <item x="129"/>
        <item x="108"/>
        <item x="82"/>
        <item x="73"/>
        <item x="92"/>
        <item x="52"/>
        <item x="54"/>
        <item x="137"/>
        <item x="117"/>
        <item x="1"/>
        <item x="22"/>
        <item x="93"/>
        <item x="94"/>
        <item x="107"/>
        <item x="39"/>
        <item x="146"/>
        <item x="16"/>
        <item x="51"/>
        <item x="65"/>
        <item x="131"/>
        <item x="149"/>
        <item x="110"/>
        <item x="13"/>
        <item x="49"/>
        <item x="41"/>
        <item x="45"/>
        <item x="37"/>
        <item x="40"/>
        <item x="84"/>
        <item x="25"/>
        <item x="97"/>
        <item x="33"/>
        <item x="140"/>
        <item x="120"/>
        <item x="127"/>
        <item x="53"/>
        <item x="59"/>
        <item x="9"/>
        <item x="10"/>
        <item x="11"/>
        <item x="12"/>
        <item t="default" sd="0"/>
      </items>
    </pivotField>
    <pivotField name="Order Quantity" compact="0" outline="0" showAll="0">
      <items count="18">
        <item x="9"/>
        <item x="0"/>
        <item x="4"/>
        <item x="6"/>
        <item x="3"/>
        <item x="5"/>
        <item x="7"/>
        <item x="8"/>
        <item x="2"/>
        <item x="1"/>
        <item x="16"/>
        <item x="15"/>
        <item x="11"/>
        <item x="12"/>
        <item x="10"/>
        <item x="14"/>
        <item x="13"/>
        <item t="default" sd="0"/>
      </items>
    </pivotField>
    <pivotField name="Unit Price" compact="0" outline="0" showAll="0">
      <items count="126">
        <item x="7"/>
        <item x="1"/>
        <item x="102"/>
        <item x="120"/>
        <item x="18"/>
        <item x="110"/>
        <item x="80"/>
        <item x="13"/>
        <item x="78"/>
        <item x="119"/>
        <item x="49"/>
        <item x="71"/>
        <item x="10"/>
        <item x="48"/>
        <item x="84"/>
        <item x="97"/>
        <item x="85"/>
        <item x="8"/>
        <item x="34"/>
        <item x="75"/>
        <item x="45"/>
        <item x="22"/>
        <item x="74"/>
        <item x="90"/>
        <item x="123"/>
        <item x="122"/>
        <item x="94"/>
        <item x="19"/>
        <item x="51"/>
        <item x="124"/>
        <item x="31"/>
        <item x="81"/>
        <item x="58"/>
        <item x="57"/>
        <item x="21"/>
        <item x="117"/>
        <item x="109"/>
        <item x="33"/>
        <item x="103"/>
        <item x="101"/>
        <item x="5"/>
        <item x="46"/>
        <item x="108"/>
        <item x="104"/>
        <item x="70"/>
        <item x="3"/>
        <item x="72"/>
        <item x="112"/>
        <item x="50"/>
        <item x="95"/>
        <item x="65"/>
        <item x="67"/>
        <item x="44"/>
        <item x="91"/>
        <item x="27"/>
        <item x="89"/>
        <item x="121"/>
        <item x="47"/>
        <item x="118"/>
        <item x="54"/>
        <item x="61"/>
        <item x="64"/>
        <item x="42"/>
        <item x="55"/>
        <item x="93"/>
        <item x="68"/>
        <item x="20"/>
        <item x="98"/>
        <item x="115"/>
        <item x="69"/>
        <item x="87"/>
        <item x="14"/>
        <item x="25"/>
        <item x="53"/>
        <item x="38"/>
        <item x="107"/>
        <item x="62"/>
        <item x="24"/>
        <item x="35"/>
        <item x="39"/>
        <item x="32"/>
        <item x="60"/>
        <item x="36"/>
        <item x="23"/>
        <item x="92"/>
        <item x="82"/>
        <item x="28"/>
        <item x="11"/>
        <item x="111"/>
        <item x="76"/>
        <item x="105"/>
        <item x="6"/>
        <item x="0"/>
        <item x="29"/>
        <item x="77"/>
        <item x="12"/>
        <item x="43"/>
        <item x="26"/>
        <item x="96"/>
        <item x="63"/>
        <item x="113"/>
        <item x="4"/>
        <item x="37"/>
        <item x="2"/>
        <item x="100"/>
        <item x="66"/>
        <item x="9"/>
        <item x="116"/>
        <item x="52"/>
        <item x="17"/>
        <item x="73"/>
        <item x="40"/>
        <item x="99"/>
        <item x="83"/>
        <item x="88"/>
        <item x="114"/>
        <item x="15"/>
        <item x="59"/>
        <item x="79"/>
        <item x="16"/>
        <item x="56"/>
        <item x="86"/>
        <item x="106"/>
        <item x="41"/>
        <item x="30"/>
        <item t="default" sd="0"/>
      </items>
    </pivotField>
    <pivotField name="Total Line Item $" axis="axisValues" dataField="1" compact="0" outline="0" showAll="0"/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8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Items count="1">
    <i/>
  </colItems>
  <dataFields count="1">
    <dataField name="Sum of Total Line Item $" fld="4" numFmtId="60"/>
  </dataFields>
  <pivotTableStyleInfo name="PivotStyleCustom06" showRowHeaders="1" showColHeaders="1" showRowStripes="1" showColStripes="0" showLastColumn="1"/>
</pivotTableDefinition>
</file>

<file path=xl/pivotTables/pivotTable7.xml><?xml version="1.0" encoding="utf-8"?>
<pivotTableDefinition xmlns="http://schemas.openxmlformats.org/spreadsheetml/2006/main" name="July 2024 Sales by SKU$" cacheId="6" dataPosition="0" autoFormatId="0" applyNumberFormats="0" applyBorderFormats="0" applyFontFormats="0" applyPatternFormats="0" applyAlignmentFormats="0" applyWidthHeightFormats="1" dataCaption="" missingCaption="" pivotTableStyle="PivotStyleCustom07" updatedVersion="7" useAutoFormatting="1" createdVersion="7" indent="0" showEmptyCol="1" showEmptyRow="1" compact="0" compactData="0" multipleFieldFilters="0">
  <location ref="Q1204:R1327" firstHeaderRow="1" firstDataRow="1" firstDataCol="1"/>
  <pivotFields count="8">
    <pivotField name="Sales Order" compact="0" outline="0" showAll="0">
      <items count="154">
        <item x="146"/>
        <item x="150"/>
        <item x="145"/>
        <item x="152"/>
        <item x="144"/>
        <item x="148"/>
        <item x="149"/>
        <item x="147"/>
        <item x="151"/>
        <item x="139"/>
        <item x="141"/>
        <item x="142"/>
        <item x="140"/>
        <item x="138"/>
        <item x="143"/>
        <item x="137"/>
        <item x="133"/>
        <item x="136"/>
        <item x="132"/>
        <item x="135"/>
        <item x="134"/>
        <item x="131"/>
        <item x="130"/>
        <item x="129"/>
        <item x="128"/>
        <item x="127"/>
        <item x="126"/>
        <item x="125"/>
        <item x="124"/>
        <item x="123"/>
        <item x="122"/>
        <item x="115"/>
        <item x="117"/>
        <item x="119"/>
        <item x="116"/>
        <item x="121"/>
        <item x="120"/>
        <item x="114"/>
        <item x="118"/>
        <item x="112"/>
        <item x="110"/>
        <item x="113"/>
        <item x="111"/>
        <item x="104"/>
        <item x="103"/>
        <item x="109"/>
        <item x="106"/>
        <item x="107"/>
        <item x="108"/>
        <item x="105"/>
        <item x="102"/>
        <item x="101"/>
        <item x="98"/>
        <item x="97"/>
        <item x="96"/>
        <item x="95"/>
        <item x="100"/>
        <item x="99"/>
        <item x="94"/>
        <item x="93"/>
        <item x="92"/>
        <item x="91"/>
        <item x="90"/>
        <item x="89"/>
        <item x="83"/>
        <item x="88"/>
        <item x="82"/>
        <item x="81"/>
        <item x="85"/>
        <item x="87"/>
        <item x="80"/>
        <item x="86"/>
        <item x="84"/>
        <item x="77"/>
        <item x="78"/>
        <item x="76"/>
        <item x="79"/>
        <item x="72"/>
        <item x="71"/>
        <item x="70"/>
        <item x="74"/>
        <item x="69"/>
        <item x="68"/>
        <item x="75"/>
        <item x="73"/>
        <item x="67"/>
        <item x="66"/>
        <item x="60"/>
        <item x="59"/>
        <item x="64"/>
        <item x="62"/>
        <item x="63"/>
        <item x="65"/>
        <item x="61"/>
        <item x="58"/>
        <item x="56"/>
        <item x="55"/>
        <item x="54"/>
        <item x="53"/>
        <item x="52"/>
        <item x="51"/>
        <item x="57"/>
        <item x="50"/>
        <item x="49"/>
        <item x="43"/>
        <item x="45"/>
        <item x="46"/>
        <item x="44"/>
        <item x="42"/>
        <item x="48"/>
        <item x="41"/>
        <item x="47"/>
        <item x="39"/>
        <item x="38"/>
        <item x="37"/>
        <item x="40"/>
        <item x="35"/>
        <item x="36"/>
        <item x="34"/>
        <item x="33"/>
        <item x="32"/>
        <item x="31"/>
        <item x="30"/>
        <item x="29"/>
        <item x="28"/>
        <item x="27"/>
        <item x="25"/>
        <item x="24"/>
        <item x="26"/>
        <item x="23"/>
        <item x="22"/>
        <item x="21"/>
        <item x="20"/>
        <item x="16"/>
        <item x="15"/>
        <item x="14"/>
        <item x="13"/>
        <item x="19"/>
        <item x="12"/>
        <item x="11"/>
        <item x="17"/>
        <item x="18"/>
        <item x="10"/>
        <item x="9"/>
        <item x="7"/>
        <item x="6"/>
        <item x="5"/>
        <item x="4"/>
        <item x="8"/>
        <item x="3"/>
        <item x="2"/>
        <item x="1"/>
        <item x="0"/>
        <item t="default" sd="0"/>
      </items>
    </pivotField>
    <pivotField name="Customer" compact="0" outline="0" showAll="0">
      <items count="123">
        <item x="8"/>
        <item x="54"/>
        <item x="72"/>
        <item x="77"/>
        <item x="108"/>
        <item x="83"/>
        <item x="112"/>
        <item x="90"/>
        <item x="75"/>
        <item x="87"/>
        <item x="1"/>
        <item x="37"/>
        <item x="80"/>
        <item x="61"/>
        <item x="101"/>
        <item x="34"/>
        <item x="0"/>
        <item x="5"/>
        <item x="35"/>
        <item x="114"/>
        <item x="78"/>
        <item x="36"/>
        <item x="41"/>
        <item x="71"/>
        <item x="85"/>
        <item x="82"/>
        <item x="11"/>
        <item x="119"/>
        <item x="67"/>
        <item x="88"/>
        <item x="98"/>
        <item x="115"/>
        <item x="15"/>
        <item x="38"/>
        <item x="68"/>
        <item x="105"/>
        <item x="111"/>
        <item x="19"/>
        <item x="91"/>
        <item x="18"/>
        <item x="65"/>
        <item x="109"/>
        <item x="49"/>
        <item x="9"/>
        <item x="95"/>
        <item x="17"/>
        <item x="100"/>
        <item x="51"/>
        <item x="86"/>
        <item x="117"/>
        <item x="29"/>
        <item x="63"/>
        <item x="16"/>
        <item x="52"/>
        <item x="56"/>
        <item x="64"/>
        <item x="53"/>
        <item x="32"/>
        <item x="113"/>
        <item x="26"/>
        <item x="30"/>
        <item x="40"/>
        <item x="39"/>
        <item x="93"/>
        <item x="13"/>
        <item x="118"/>
        <item x="110"/>
        <item x="102"/>
        <item x="23"/>
        <item x="47"/>
        <item x="57"/>
        <item x="12"/>
        <item x="6"/>
        <item x="46"/>
        <item x="76"/>
        <item x="60"/>
        <item x="31"/>
        <item x="45"/>
        <item x="69"/>
        <item x="20"/>
        <item x="43"/>
        <item x="24"/>
        <item x="97"/>
        <item x="106"/>
        <item x="62"/>
        <item x="55"/>
        <item x="2"/>
        <item x="92"/>
        <item x="104"/>
        <item x="27"/>
        <item x="89"/>
        <item x="120"/>
        <item x="33"/>
        <item x="44"/>
        <item x="50"/>
        <item x="25"/>
        <item x="96"/>
        <item x="99"/>
        <item x="28"/>
        <item x="4"/>
        <item x="42"/>
        <item x="74"/>
        <item x="70"/>
        <item x="14"/>
        <item x="79"/>
        <item x="21"/>
        <item x="84"/>
        <item x="121"/>
        <item x="7"/>
        <item x="58"/>
        <item x="73"/>
        <item x="59"/>
        <item x="94"/>
        <item x="66"/>
        <item x="103"/>
        <item x="107"/>
        <item x="10"/>
        <item x="22"/>
        <item x="81"/>
        <item x="48"/>
        <item x="3"/>
        <item x="116"/>
        <item t="default" sd="0"/>
      </items>
    </pivotField>
    <pivotField name="Ordered Date" compact="0" outline="0" showAll="0">
      <items count="114"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 sd="0"/>
      </items>
    </pivotField>
    <pivotField name="Line Item Name" axis="axisRow" compact="0" numFmtId="49" outline="0" showAll="0" sortType="ascending">
      <items count="123">
        <item x="41"/>
        <item x="42"/>
        <item x="48"/>
        <item x="49"/>
        <item x="50"/>
        <item x="51"/>
        <item x="52"/>
        <item x="53"/>
        <item x="54"/>
        <item x="55"/>
        <item x="56"/>
        <item x="32"/>
        <item x="33"/>
        <item x="60"/>
        <item x="57"/>
        <item x="117"/>
        <item x="81"/>
        <item x="62"/>
        <item x="93"/>
        <item x="14"/>
        <item x="38"/>
        <item x="84"/>
        <item x="61"/>
        <item x="66"/>
        <item x="22"/>
        <item x="78"/>
        <item x="79"/>
        <item x="109"/>
        <item x="86"/>
        <item x="26"/>
        <item x="15"/>
        <item x="27"/>
        <item x="43"/>
        <item x="85"/>
        <item x="106"/>
        <item x="5"/>
        <item x="3"/>
        <item x="113"/>
        <item x="100"/>
        <item x="45"/>
        <item x="10"/>
        <item x="25"/>
        <item x="65"/>
        <item x="91"/>
        <item x="40"/>
        <item x="82"/>
        <item x="69"/>
        <item x="119"/>
        <item x="102"/>
        <item x="71"/>
        <item x="6"/>
        <item x="114"/>
        <item x="29"/>
        <item x="101"/>
        <item x="4"/>
        <item x="115"/>
        <item x="64"/>
        <item x="63"/>
        <item x="7"/>
        <item x="9"/>
        <item x="16"/>
        <item x="2"/>
        <item x="17"/>
        <item x="44"/>
        <item x="46"/>
        <item x="99"/>
        <item x="11"/>
        <item x="8"/>
        <item x="70"/>
        <item x="47"/>
        <item x="112"/>
        <item x="21"/>
        <item x="23"/>
        <item x="1"/>
        <item x="108"/>
        <item x="0"/>
        <item x="96"/>
        <item x="13"/>
        <item x="103"/>
        <item x="104"/>
        <item x="19"/>
        <item x="105"/>
        <item x="97"/>
        <item x="24"/>
        <item x="20"/>
        <item x="88"/>
        <item x="35"/>
        <item x="68"/>
        <item x="34"/>
        <item x="110"/>
        <item x="121"/>
        <item x="107"/>
        <item x="37"/>
        <item x="36"/>
        <item x="116"/>
        <item x="72"/>
        <item x="94"/>
        <item x="95"/>
        <item x="87"/>
        <item x="120"/>
        <item x="89"/>
        <item x="18"/>
        <item x="73"/>
        <item x="75"/>
        <item x="76"/>
        <item x="77"/>
        <item x="74"/>
        <item x="83"/>
        <item x="90"/>
        <item x="67"/>
        <item x="80"/>
        <item x="92"/>
        <item x="118"/>
        <item x="31"/>
        <item x="28"/>
        <item x="12"/>
        <item x="59"/>
        <item x="98"/>
        <item x="30"/>
        <item x="58"/>
        <item x="111"/>
        <item x="39"/>
        <item t="default" sd="0"/>
      </items>
    </pivotField>
    <pivotField name="Line Item Description" compact="0" outline="0" showAll="0">
      <items count="132">
        <item x="2"/>
        <item x="31"/>
        <item x="91"/>
        <item x="32"/>
        <item x="33"/>
        <item x="92"/>
        <item x="51"/>
        <item x="125"/>
        <item x="93"/>
        <item x="106"/>
        <item x="21"/>
        <item x="107"/>
        <item x="108"/>
        <item x="116"/>
        <item x="88"/>
        <item x="53"/>
        <item x="16"/>
        <item x="38"/>
        <item x="20"/>
        <item x="46"/>
        <item x="58"/>
        <item x="52"/>
        <item x="39"/>
        <item x="72"/>
        <item x="70"/>
        <item x="18"/>
        <item x="79"/>
        <item x="112"/>
        <item x="71"/>
        <item x="41"/>
        <item x="105"/>
        <item x="24"/>
        <item x="7"/>
        <item x="9"/>
        <item x="43"/>
        <item x="78"/>
        <item x="3"/>
        <item x="81"/>
        <item x="34"/>
        <item x="37"/>
        <item x="84"/>
        <item x="40"/>
        <item x="74"/>
        <item x="61"/>
        <item x="128"/>
        <item x="110"/>
        <item x="104"/>
        <item x="62"/>
        <item x="6"/>
        <item x="98"/>
        <item x="121"/>
        <item x="29"/>
        <item x="85"/>
        <item x="99"/>
        <item x="102"/>
        <item x="4"/>
        <item x="120"/>
        <item x="124"/>
        <item x="55"/>
        <item x="122"/>
        <item x="123"/>
        <item x="54"/>
        <item x="35"/>
        <item x="28"/>
        <item x="103"/>
        <item x="63"/>
        <item x="26"/>
        <item x="57"/>
        <item x="109"/>
        <item x="59"/>
        <item x="64"/>
        <item x="11"/>
        <item x="117"/>
        <item x="47"/>
        <item x="56"/>
        <item x="8"/>
        <item x="44"/>
        <item x="19"/>
        <item x="49"/>
        <item x="83"/>
        <item x="5"/>
        <item x="129"/>
        <item x="67"/>
        <item x="66"/>
        <item x="68"/>
        <item x="69"/>
        <item x="65"/>
        <item x="48"/>
        <item x="30"/>
        <item x="100"/>
        <item x="23"/>
        <item x="119"/>
        <item x="111"/>
        <item x="1"/>
        <item x="76"/>
        <item x="0"/>
        <item x="95"/>
        <item x="94"/>
        <item x="127"/>
        <item x="45"/>
        <item x="101"/>
        <item x="118"/>
        <item x="126"/>
        <item x="96"/>
        <item x="25"/>
        <item x="82"/>
        <item x="80"/>
        <item x="60"/>
        <item x="42"/>
        <item x="87"/>
        <item x="73"/>
        <item x="86"/>
        <item x="97"/>
        <item x="130"/>
        <item x="22"/>
        <item x="115"/>
        <item x="89"/>
        <item x="10"/>
        <item x="12"/>
        <item x="15"/>
        <item x="14"/>
        <item x="13"/>
        <item x="75"/>
        <item x="77"/>
        <item x="17"/>
        <item x="27"/>
        <item x="50"/>
        <item x="36"/>
        <item x="90"/>
        <item x="114"/>
        <item x="113"/>
        <item t="default" sd="0"/>
      </items>
    </pivotField>
    <pivotField name="Order Quantity" compact="0" outline="0" showAll="0">
      <items count="22">
        <item x="2"/>
        <item x="0"/>
        <item x="8"/>
        <item x="1"/>
        <item x="3"/>
        <item x="6"/>
        <item x="7"/>
        <item x="19"/>
        <item x="16"/>
        <item x="4"/>
        <item x="5"/>
        <item x="18"/>
        <item x="20"/>
        <item x="9"/>
        <item x="15"/>
        <item x="10"/>
        <item x="12"/>
        <item x="11"/>
        <item x="14"/>
        <item x="13"/>
        <item x="17"/>
        <item t="default" sd="0"/>
      </items>
    </pivotField>
    <pivotField name="Unit Price" compact="0" outline="0" showAll="0">
      <items count="126">
        <item x="33"/>
        <item x="1"/>
        <item x="46"/>
        <item x="52"/>
        <item x="36"/>
        <item x="43"/>
        <item x="40"/>
        <item x="17"/>
        <item x="66"/>
        <item x="31"/>
        <item x="97"/>
        <item x="104"/>
        <item x="74"/>
        <item x="51"/>
        <item x="62"/>
        <item x="120"/>
        <item x="113"/>
        <item x="96"/>
        <item x="29"/>
        <item x="119"/>
        <item x="25"/>
        <item x="16"/>
        <item x="75"/>
        <item x="94"/>
        <item x="37"/>
        <item x="14"/>
        <item x="86"/>
        <item x="35"/>
        <item x="69"/>
        <item x="124"/>
        <item x="85"/>
        <item x="67"/>
        <item x="45"/>
        <item x="15"/>
        <item x="99"/>
        <item x="103"/>
        <item x="92"/>
        <item x="83"/>
        <item x="7"/>
        <item x="121"/>
        <item x="38"/>
        <item x="117"/>
        <item x="115"/>
        <item x="27"/>
        <item x="112"/>
        <item x="13"/>
        <item x="114"/>
        <item x="64"/>
        <item x="5"/>
        <item x="71"/>
        <item x="60"/>
        <item x="102"/>
        <item x="81"/>
        <item x="44"/>
        <item x="61"/>
        <item x="8"/>
        <item x="100"/>
        <item x="79"/>
        <item x="101"/>
        <item x="48"/>
        <item x="76"/>
        <item x="32"/>
        <item x="91"/>
        <item x="118"/>
        <item x="34"/>
        <item x="2"/>
        <item x="50"/>
        <item x="84"/>
        <item x="30"/>
        <item x="53"/>
        <item x="21"/>
        <item x="98"/>
        <item x="28"/>
        <item x="108"/>
        <item x="59"/>
        <item x="4"/>
        <item x="26"/>
        <item x="78"/>
        <item x="68"/>
        <item x="122"/>
        <item x="95"/>
        <item x="11"/>
        <item x="87"/>
        <item x="65"/>
        <item x="42"/>
        <item x="70"/>
        <item x="9"/>
        <item x="18"/>
        <item x="123"/>
        <item x="58"/>
        <item x="72"/>
        <item x="110"/>
        <item x="54"/>
        <item x="39"/>
        <item x="47"/>
        <item x="105"/>
        <item x="55"/>
        <item x="111"/>
        <item x="10"/>
        <item x="49"/>
        <item x="19"/>
        <item x="116"/>
        <item x="107"/>
        <item x="106"/>
        <item x="24"/>
        <item x="6"/>
        <item x="109"/>
        <item x="41"/>
        <item x="93"/>
        <item x="82"/>
        <item x="88"/>
        <item x="3"/>
        <item x="20"/>
        <item x="22"/>
        <item x="63"/>
        <item x="77"/>
        <item x="73"/>
        <item x="89"/>
        <item x="23"/>
        <item x="90"/>
        <item x="0"/>
        <item x="12"/>
        <item x="80"/>
        <item x="57"/>
        <item x="56"/>
        <item t="default" sd="0"/>
      </items>
    </pivotField>
    <pivotField name="Total Line Item $" axis="axisValues" dataField="1" compact="0" outline="0" showAll="0"/>
  </pivotFields>
  <rowFields count="1">
    <field x="3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7"/>
    </i>
    <i>
      <x v="108"/>
    </i>
    <i>
      <x v="101"/>
    </i>
    <i>
      <x v="102"/>
    </i>
    <i>
      <x v="103"/>
    </i>
    <i>
      <x v="104"/>
    </i>
    <i>
      <x v="105"/>
    </i>
    <i>
      <x v="106"/>
    </i>
    <i>
      <x v="109"/>
    </i>
    <i>
      <x v="111"/>
    </i>
    <i>
      <x v="112"/>
    </i>
    <i>
      <x v="110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17"/>
    </i>
    <i>
      <x v="121"/>
    </i>
    <i t="grand">
      <x/>
    </i>
  </rowItems>
  <colItems count="1">
    <i/>
  </colItems>
  <dataFields count="1">
    <dataField name="Sum of Total Line Item $" fld="7" numFmtId="60"/>
  </dataFields>
  <pivotTableStyleInfo name="PivotStyleCustom07" showRowHeaders="1" showColHeaders="1" showRowStripes="1" showColStripes="0" showLastColumn="1"/>
</pivotTableDefinition>
</file>

<file path=xl/pivotTables/pivotTable8.xml><?xml version="1.0" encoding="utf-8"?>
<pivotTableDefinition xmlns="http://schemas.openxmlformats.org/spreadsheetml/2006/main" name="July 2024 Sales by SKU" cacheId="7" dataPosition="0" autoFormatId="0" applyNumberFormats="0" applyBorderFormats="0" applyFontFormats="0" applyPatternFormats="0" applyAlignmentFormats="0" applyWidthHeightFormats="1" dataCaption="" missingCaption="" pivotTableStyle="PivotStyleCustom08" updatedVersion="7" useAutoFormatting="1" createdVersion="7" indent="0" showEmptyCol="1" showEmptyRow="1" compact="0" compactData="0" multipleFieldFilters="0">
  <location ref="S1330:T1453" firstHeaderRow="1" firstDataRow="1" firstDataCol="1"/>
  <pivotFields count="8">
    <pivotField name="Sales Order" compact="0" outline="0" showAll="0">
      <items count="154">
        <item x="146"/>
        <item x="150"/>
        <item x="145"/>
        <item x="152"/>
        <item x="144"/>
        <item x="148"/>
        <item x="149"/>
        <item x="147"/>
        <item x="151"/>
        <item x="139"/>
        <item x="141"/>
        <item x="142"/>
        <item x="140"/>
        <item x="138"/>
        <item x="143"/>
        <item x="137"/>
        <item x="133"/>
        <item x="136"/>
        <item x="132"/>
        <item x="135"/>
        <item x="134"/>
        <item x="131"/>
        <item x="130"/>
        <item x="129"/>
        <item x="128"/>
        <item x="127"/>
        <item x="126"/>
        <item x="125"/>
        <item x="124"/>
        <item x="123"/>
        <item x="122"/>
        <item x="115"/>
        <item x="117"/>
        <item x="119"/>
        <item x="116"/>
        <item x="121"/>
        <item x="120"/>
        <item x="114"/>
        <item x="118"/>
        <item x="112"/>
        <item x="110"/>
        <item x="113"/>
        <item x="111"/>
        <item x="104"/>
        <item x="103"/>
        <item x="109"/>
        <item x="106"/>
        <item x="107"/>
        <item x="108"/>
        <item x="105"/>
        <item x="102"/>
        <item x="101"/>
        <item x="98"/>
        <item x="97"/>
        <item x="96"/>
        <item x="95"/>
        <item x="100"/>
        <item x="99"/>
        <item x="94"/>
        <item x="93"/>
        <item x="92"/>
        <item x="91"/>
        <item x="90"/>
        <item x="89"/>
        <item x="83"/>
        <item x="88"/>
        <item x="82"/>
        <item x="81"/>
        <item x="85"/>
        <item x="87"/>
        <item x="80"/>
        <item x="86"/>
        <item x="84"/>
        <item x="77"/>
        <item x="78"/>
        <item x="76"/>
        <item x="79"/>
        <item x="72"/>
        <item x="71"/>
        <item x="70"/>
        <item x="74"/>
        <item x="69"/>
        <item x="68"/>
        <item x="75"/>
        <item x="73"/>
        <item x="67"/>
        <item x="66"/>
        <item x="60"/>
        <item x="59"/>
        <item x="64"/>
        <item x="62"/>
        <item x="63"/>
        <item x="65"/>
        <item x="61"/>
        <item x="58"/>
        <item x="56"/>
        <item x="55"/>
        <item x="54"/>
        <item x="53"/>
        <item x="52"/>
        <item x="51"/>
        <item x="57"/>
        <item x="50"/>
        <item x="49"/>
        <item x="43"/>
        <item x="45"/>
        <item x="46"/>
        <item x="44"/>
        <item x="42"/>
        <item x="48"/>
        <item x="41"/>
        <item x="47"/>
        <item x="39"/>
        <item x="38"/>
        <item x="37"/>
        <item x="40"/>
        <item x="35"/>
        <item x="36"/>
        <item x="34"/>
        <item x="33"/>
        <item x="32"/>
        <item x="31"/>
        <item x="30"/>
        <item x="29"/>
        <item x="28"/>
        <item x="27"/>
        <item x="25"/>
        <item x="24"/>
        <item x="26"/>
        <item x="23"/>
        <item x="22"/>
        <item x="21"/>
        <item x="20"/>
        <item x="16"/>
        <item x="15"/>
        <item x="14"/>
        <item x="13"/>
        <item x="19"/>
        <item x="12"/>
        <item x="11"/>
        <item x="17"/>
        <item x="18"/>
        <item x="10"/>
        <item x="9"/>
        <item x="7"/>
        <item x="6"/>
        <item x="5"/>
        <item x="4"/>
        <item x="8"/>
        <item x="3"/>
        <item x="2"/>
        <item x="1"/>
        <item x="0"/>
        <item t="default" sd="0"/>
      </items>
    </pivotField>
    <pivotField name="Customer" compact="0" outline="0" showAll="0">
      <items count="123">
        <item x="8"/>
        <item x="54"/>
        <item x="72"/>
        <item x="77"/>
        <item x="108"/>
        <item x="83"/>
        <item x="112"/>
        <item x="90"/>
        <item x="75"/>
        <item x="87"/>
        <item x="1"/>
        <item x="37"/>
        <item x="80"/>
        <item x="61"/>
        <item x="101"/>
        <item x="34"/>
        <item x="0"/>
        <item x="5"/>
        <item x="35"/>
        <item x="114"/>
        <item x="78"/>
        <item x="36"/>
        <item x="41"/>
        <item x="71"/>
        <item x="85"/>
        <item x="82"/>
        <item x="11"/>
        <item x="119"/>
        <item x="67"/>
        <item x="88"/>
        <item x="98"/>
        <item x="115"/>
        <item x="15"/>
        <item x="38"/>
        <item x="68"/>
        <item x="105"/>
        <item x="111"/>
        <item x="19"/>
        <item x="91"/>
        <item x="18"/>
        <item x="65"/>
        <item x="109"/>
        <item x="49"/>
        <item x="9"/>
        <item x="95"/>
        <item x="17"/>
        <item x="100"/>
        <item x="51"/>
        <item x="86"/>
        <item x="117"/>
        <item x="29"/>
        <item x="63"/>
        <item x="16"/>
        <item x="52"/>
        <item x="56"/>
        <item x="64"/>
        <item x="53"/>
        <item x="32"/>
        <item x="113"/>
        <item x="26"/>
        <item x="30"/>
        <item x="40"/>
        <item x="39"/>
        <item x="93"/>
        <item x="13"/>
        <item x="118"/>
        <item x="110"/>
        <item x="102"/>
        <item x="23"/>
        <item x="47"/>
        <item x="57"/>
        <item x="12"/>
        <item x="6"/>
        <item x="46"/>
        <item x="76"/>
        <item x="60"/>
        <item x="31"/>
        <item x="45"/>
        <item x="69"/>
        <item x="20"/>
        <item x="43"/>
        <item x="24"/>
        <item x="97"/>
        <item x="106"/>
        <item x="62"/>
        <item x="55"/>
        <item x="2"/>
        <item x="92"/>
        <item x="104"/>
        <item x="27"/>
        <item x="89"/>
        <item x="120"/>
        <item x="33"/>
        <item x="44"/>
        <item x="50"/>
        <item x="25"/>
        <item x="96"/>
        <item x="99"/>
        <item x="28"/>
        <item x="4"/>
        <item x="42"/>
        <item x="74"/>
        <item x="70"/>
        <item x="14"/>
        <item x="79"/>
        <item x="21"/>
        <item x="84"/>
        <item x="121"/>
        <item x="7"/>
        <item x="58"/>
        <item x="73"/>
        <item x="59"/>
        <item x="94"/>
        <item x="66"/>
        <item x="103"/>
        <item x="107"/>
        <item x="10"/>
        <item x="22"/>
        <item x="81"/>
        <item x="48"/>
        <item x="3"/>
        <item x="116"/>
        <item t="default" sd="0"/>
      </items>
    </pivotField>
    <pivotField name="Ordered Date" compact="0" outline="0" showAll="0">
      <items count="114"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 sd="0"/>
      </items>
    </pivotField>
    <pivotField name="Line Item Name" axis="axisRow" compact="0" numFmtId="49" outline="0" showAll="0" sortType="ascending">
      <items count="123">
        <item x="41"/>
        <item x="42"/>
        <item x="48"/>
        <item x="49"/>
        <item x="50"/>
        <item x="51"/>
        <item x="52"/>
        <item x="53"/>
        <item x="54"/>
        <item x="55"/>
        <item x="56"/>
        <item x="32"/>
        <item x="33"/>
        <item x="60"/>
        <item x="57"/>
        <item x="117"/>
        <item x="81"/>
        <item x="62"/>
        <item x="93"/>
        <item x="14"/>
        <item x="38"/>
        <item x="84"/>
        <item x="61"/>
        <item x="66"/>
        <item x="22"/>
        <item x="78"/>
        <item x="79"/>
        <item x="109"/>
        <item x="86"/>
        <item x="26"/>
        <item x="15"/>
        <item x="27"/>
        <item x="43"/>
        <item x="85"/>
        <item x="106"/>
        <item x="5"/>
        <item x="3"/>
        <item x="113"/>
        <item x="100"/>
        <item x="45"/>
        <item x="10"/>
        <item x="25"/>
        <item x="65"/>
        <item x="91"/>
        <item x="40"/>
        <item x="82"/>
        <item x="69"/>
        <item x="119"/>
        <item x="102"/>
        <item x="71"/>
        <item x="6"/>
        <item x="114"/>
        <item x="29"/>
        <item x="101"/>
        <item x="4"/>
        <item x="115"/>
        <item x="64"/>
        <item x="63"/>
        <item x="7"/>
        <item x="9"/>
        <item x="16"/>
        <item x="2"/>
        <item x="17"/>
        <item x="44"/>
        <item x="46"/>
        <item x="99"/>
        <item x="11"/>
        <item x="8"/>
        <item x="70"/>
        <item x="47"/>
        <item x="112"/>
        <item x="21"/>
        <item x="23"/>
        <item x="1"/>
        <item x="108"/>
        <item x="0"/>
        <item x="96"/>
        <item x="13"/>
        <item x="103"/>
        <item x="104"/>
        <item x="19"/>
        <item x="105"/>
        <item x="97"/>
        <item x="24"/>
        <item x="20"/>
        <item x="88"/>
        <item x="35"/>
        <item x="68"/>
        <item x="34"/>
        <item x="110"/>
        <item x="121"/>
        <item x="107"/>
        <item x="37"/>
        <item x="36"/>
        <item x="116"/>
        <item x="72"/>
        <item x="94"/>
        <item x="95"/>
        <item x="87"/>
        <item x="120"/>
        <item x="89"/>
        <item x="18"/>
        <item x="73"/>
        <item x="75"/>
        <item x="76"/>
        <item x="77"/>
        <item x="74"/>
        <item x="83"/>
        <item x="90"/>
        <item x="67"/>
        <item x="80"/>
        <item x="92"/>
        <item x="118"/>
        <item x="31"/>
        <item x="28"/>
        <item x="12"/>
        <item x="59"/>
        <item x="98"/>
        <item x="30"/>
        <item x="58"/>
        <item x="111"/>
        <item x="39"/>
        <item t="default" sd="0"/>
      </items>
    </pivotField>
    <pivotField name="Line Item Description" compact="0" outline="0" showAll="0">
      <items count="132">
        <item x="2"/>
        <item x="31"/>
        <item x="91"/>
        <item x="32"/>
        <item x="33"/>
        <item x="92"/>
        <item x="51"/>
        <item x="125"/>
        <item x="93"/>
        <item x="106"/>
        <item x="21"/>
        <item x="107"/>
        <item x="108"/>
        <item x="116"/>
        <item x="88"/>
        <item x="53"/>
        <item x="16"/>
        <item x="38"/>
        <item x="20"/>
        <item x="46"/>
        <item x="58"/>
        <item x="52"/>
        <item x="39"/>
        <item x="72"/>
        <item x="70"/>
        <item x="18"/>
        <item x="79"/>
        <item x="112"/>
        <item x="71"/>
        <item x="41"/>
        <item x="105"/>
        <item x="24"/>
        <item x="7"/>
        <item x="9"/>
        <item x="43"/>
        <item x="78"/>
        <item x="3"/>
        <item x="81"/>
        <item x="34"/>
        <item x="37"/>
        <item x="84"/>
        <item x="40"/>
        <item x="74"/>
        <item x="61"/>
        <item x="128"/>
        <item x="110"/>
        <item x="104"/>
        <item x="62"/>
        <item x="6"/>
        <item x="98"/>
        <item x="121"/>
        <item x="29"/>
        <item x="85"/>
        <item x="99"/>
        <item x="102"/>
        <item x="4"/>
        <item x="120"/>
        <item x="124"/>
        <item x="55"/>
        <item x="122"/>
        <item x="123"/>
        <item x="54"/>
        <item x="35"/>
        <item x="28"/>
        <item x="103"/>
        <item x="63"/>
        <item x="26"/>
        <item x="57"/>
        <item x="109"/>
        <item x="59"/>
        <item x="64"/>
        <item x="11"/>
        <item x="117"/>
        <item x="47"/>
        <item x="56"/>
        <item x="8"/>
        <item x="44"/>
        <item x="19"/>
        <item x="49"/>
        <item x="83"/>
        <item x="5"/>
        <item x="129"/>
        <item x="67"/>
        <item x="66"/>
        <item x="68"/>
        <item x="69"/>
        <item x="65"/>
        <item x="48"/>
        <item x="30"/>
        <item x="100"/>
        <item x="23"/>
        <item x="119"/>
        <item x="111"/>
        <item x="1"/>
        <item x="76"/>
        <item x="0"/>
        <item x="95"/>
        <item x="94"/>
        <item x="127"/>
        <item x="45"/>
        <item x="101"/>
        <item x="118"/>
        <item x="126"/>
        <item x="96"/>
        <item x="25"/>
        <item x="82"/>
        <item x="80"/>
        <item x="60"/>
        <item x="42"/>
        <item x="87"/>
        <item x="73"/>
        <item x="86"/>
        <item x="97"/>
        <item x="130"/>
        <item x="22"/>
        <item x="115"/>
        <item x="89"/>
        <item x="10"/>
        <item x="12"/>
        <item x="15"/>
        <item x="14"/>
        <item x="13"/>
        <item x="75"/>
        <item x="77"/>
        <item x="17"/>
        <item x="27"/>
        <item x="50"/>
        <item x="36"/>
        <item x="90"/>
        <item x="114"/>
        <item x="113"/>
        <item t="default" sd="0"/>
      </items>
    </pivotField>
    <pivotField name="Order Quantity" axis="axisValues" dataField="1" compact="0" outline="0" showAll="0"/>
    <pivotField name="Unit Price" compact="0" outline="0" showAll="0">
      <items count="126">
        <item x="33"/>
        <item x="1"/>
        <item x="46"/>
        <item x="52"/>
        <item x="36"/>
        <item x="43"/>
        <item x="40"/>
        <item x="17"/>
        <item x="66"/>
        <item x="31"/>
        <item x="97"/>
        <item x="104"/>
        <item x="74"/>
        <item x="51"/>
        <item x="62"/>
        <item x="120"/>
        <item x="113"/>
        <item x="96"/>
        <item x="29"/>
        <item x="119"/>
        <item x="25"/>
        <item x="16"/>
        <item x="75"/>
        <item x="94"/>
        <item x="37"/>
        <item x="14"/>
        <item x="86"/>
        <item x="35"/>
        <item x="69"/>
        <item x="124"/>
        <item x="85"/>
        <item x="67"/>
        <item x="45"/>
        <item x="15"/>
        <item x="99"/>
        <item x="103"/>
        <item x="92"/>
        <item x="83"/>
        <item x="7"/>
        <item x="121"/>
        <item x="38"/>
        <item x="117"/>
        <item x="115"/>
        <item x="27"/>
        <item x="112"/>
        <item x="13"/>
        <item x="114"/>
        <item x="64"/>
        <item x="5"/>
        <item x="71"/>
        <item x="60"/>
        <item x="102"/>
        <item x="81"/>
        <item x="44"/>
        <item x="61"/>
        <item x="8"/>
        <item x="100"/>
        <item x="79"/>
        <item x="101"/>
        <item x="48"/>
        <item x="76"/>
        <item x="32"/>
        <item x="91"/>
        <item x="118"/>
        <item x="34"/>
        <item x="2"/>
        <item x="50"/>
        <item x="84"/>
        <item x="30"/>
        <item x="53"/>
        <item x="21"/>
        <item x="98"/>
        <item x="28"/>
        <item x="108"/>
        <item x="59"/>
        <item x="4"/>
        <item x="26"/>
        <item x="78"/>
        <item x="68"/>
        <item x="122"/>
        <item x="95"/>
        <item x="11"/>
        <item x="87"/>
        <item x="65"/>
        <item x="42"/>
        <item x="70"/>
        <item x="9"/>
        <item x="18"/>
        <item x="123"/>
        <item x="58"/>
        <item x="72"/>
        <item x="110"/>
        <item x="54"/>
        <item x="39"/>
        <item x="47"/>
        <item x="105"/>
        <item x="55"/>
        <item x="111"/>
        <item x="10"/>
        <item x="49"/>
        <item x="19"/>
        <item x="116"/>
        <item x="107"/>
        <item x="106"/>
        <item x="24"/>
        <item x="6"/>
        <item x="109"/>
        <item x="41"/>
        <item x="93"/>
        <item x="82"/>
        <item x="88"/>
        <item x="3"/>
        <item x="20"/>
        <item x="22"/>
        <item x="63"/>
        <item x="77"/>
        <item x="73"/>
        <item x="89"/>
        <item x="23"/>
        <item x="90"/>
        <item x="0"/>
        <item x="12"/>
        <item x="80"/>
        <item x="57"/>
        <item x="56"/>
        <item t="default" sd="0"/>
      </items>
    </pivotField>
    <pivotField name="Total Line Item $" compact="0" outline="0" showAll="0">
      <items count="167">
        <item x="42"/>
        <item x="1"/>
        <item x="63"/>
        <item x="46"/>
        <item x="91"/>
        <item x="39"/>
        <item x="132"/>
        <item x="143"/>
        <item x="71"/>
        <item x="86"/>
        <item x="154"/>
        <item x="131"/>
        <item x="30"/>
        <item x="104"/>
        <item x="127"/>
        <item x="40"/>
        <item x="51"/>
        <item x="117"/>
        <item x="45"/>
        <item x="50"/>
        <item x="148"/>
        <item x="135"/>
        <item x="142"/>
        <item x="47"/>
        <item x="8"/>
        <item x="48"/>
        <item x="158"/>
        <item x="156"/>
        <item x="32"/>
        <item x="12"/>
        <item x="84"/>
        <item x="19"/>
        <item x="112"/>
        <item x="85"/>
        <item x="140"/>
        <item x="9"/>
        <item x="137"/>
        <item x="67"/>
        <item x="105"/>
        <item x="34"/>
        <item x="160"/>
        <item x="124"/>
        <item x="114"/>
        <item x="161"/>
        <item x="99"/>
        <item x="89"/>
        <item x="116"/>
        <item x="139"/>
        <item x="88"/>
        <item x="76"/>
        <item x="37"/>
        <item x="44"/>
        <item x="100"/>
        <item x="115"/>
        <item x="141"/>
        <item x="73"/>
        <item x="134"/>
        <item x="93"/>
        <item x="26"/>
        <item x="23"/>
        <item x="163"/>
        <item x="33"/>
        <item x="62"/>
        <item x="149"/>
        <item x="16"/>
        <item x="18"/>
        <item x="153"/>
        <item x="5"/>
        <item x="31"/>
        <item x="130"/>
        <item x="107"/>
        <item x="162"/>
        <item x="69"/>
        <item x="36"/>
        <item x="128"/>
        <item x="13"/>
        <item x="109"/>
        <item x="155"/>
        <item x="43"/>
        <item x="90"/>
        <item x="2"/>
        <item x="97"/>
        <item x="10"/>
        <item x="20"/>
        <item x="61"/>
        <item x="60"/>
        <item x="25"/>
        <item x="58"/>
        <item x="6"/>
        <item x="101"/>
        <item x="136"/>
        <item x="29"/>
        <item x="126"/>
        <item x="53"/>
        <item x="41"/>
        <item x="95"/>
        <item x="164"/>
        <item x="144"/>
        <item x="103"/>
        <item x="152"/>
        <item x="11"/>
        <item x="118"/>
        <item x="159"/>
        <item x="21"/>
        <item x="55"/>
        <item x="96"/>
        <item x="70"/>
        <item x="147"/>
        <item x="35"/>
        <item x="38"/>
        <item x="121"/>
        <item x="77"/>
        <item x="133"/>
        <item x="151"/>
        <item x="17"/>
        <item x="7"/>
        <item x="72"/>
        <item x="94"/>
        <item x="111"/>
        <item x="78"/>
        <item x="49"/>
        <item x="52"/>
        <item x="65"/>
        <item x="59"/>
        <item x="119"/>
        <item x="146"/>
        <item x="79"/>
        <item x="64"/>
        <item x="54"/>
        <item x="74"/>
        <item x="157"/>
        <item x="15"/>
        <item x="57"/>
        <item x="123"/>
        <item x="87"/>
        <item x="165"/>
        <item x="28"/>
        <item x="56"/>
        <item x="75"/>
        <item x="125"/>
        <item x="27"/>
        <item x="122"/>
        <item x="145"/>
        <item x="3"/>
        <item x="22"/>
        <item x="66"/>
        <item x="92"/>
        <item x="138"/>
        <item x="83"/>
        <item x="113"/>
        <item x="0"/>
        <item x="68"/>
        <item x="4"/>
        <item x="110"/>
        <item x="150"/>
        <item x="24"/>
        <item x="108"/>
        <item x="102"/>
        <item x="129"/>
        <item x="82"/>
        <item x="98"/>
        <item x="106"/>
        <item x="120"/>
        <item x="14"/>
        <item x="80"/>
        <item x="81"/>
        <item t="default" sd="0"/>
      </items>
    </pivotField>
  </pivotFields>
  <rowFields count="1">
    <field x="3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7"/>
    </i>
    <i>
      <x v="108"/>
    </i>
    <i>
      <x v="101"/>
    </i>
    <i>
      <x v="102"/>
    </i>
    <i>
      <x v="103"/>
    </i>
    <i>
      <x v="104"/>
    </i>
    <i>
      <x v="105"/>
    </i>
    <i>
      <x v="106"/>
    </i>
    <i>
      <x v="109"/>
    </i>
    <i>
      <x v="111"/>
    </i>
    <i>
      <x v="112"/>
    </i>
    <i>
      <x v="110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17"/>
    </i>
    <i>
      <x v="121"/>
    </i>
    <i t="grand">
      <x/>
    </i>
  </rowItems>
  <colItems count="1">
    <i/>
  </colItems>
  <dataFields count="1">
    <dataField name="Sum of Order Quantity" fld="5"/>
  </dataFields>
  <pivotTableStyleInfo name="PivotStyleCustom08" showRowHeaders="1" showColHeaders="1" showRowStripes="1" showColStripes="0" showLastColumn="1"/>
</pivotTableDefinition>
</file>

<file path=xl/pivotTables/pivotTable9.xml><?xml version="1.0" encoding="utf-8"?>
<pivotTableDefinition xmlns="http://schemas.openxmlformats.org/spreadsheetml/2006/main" name="June 2024 Sales by Customer" cacheId="8" dataPosition="0" autoFormatId="0" applyNumberFormats="0" applyBorderFormats="0" applyFontFormats="0" applyPatternFormats="0" applyAlignmentFormats="0" applyWidthHeightFormats="1" dataCaption="" missingCaption="" pivotTableStyle="PivotStyleCustom09" updatedVersion="7" useAutoFormatting="1" createdVersion="7" indent="0" showEmptyCol="1" showEmptyRow="1" compact="0" compactData="0" multipleFieldFilters="0">
  <location ref="I430:O551" firstHeaderRow="1" firstDataRow="2" firstDataCol="4"/>
  <pivotFields count="8">
    <pivotField name="Sales Order" axis="axisRow" compact="0" numFmtId="49" outline="0" showAll="0" sortType="ascending">
      <items count="143">
        <item sd="0" x="141"/>
        <item sd="0" x="140"/>
        <item sd="0" x="139"/>
        <item sd="0" x="138"/>
        <item sd="0" x="137"/>
        <item sd="0" x="136"/>
        <item sd="0" x="135"/>
        <item sd="0" x="134"/>
        <item sd="0" x="133"/>
        <item sd="0" x="129"/>
        <item sd="0" x="130"/>
        <item sd="0" x="128"/>
        <item sd="0" x="132"/>
        <item sd="0" x="127"/>
        <item sd="0" x="126"/>
        <item sd="0" x="131"/>
        <item sd="0" x="125"/>
        <item sd="0" x="120"/>
        <item sd="0" x="119"/>
        <item sd="0" x="118"/>
        <item sd="0" x="124"/>
        <item sd="0" x="121"/>
        <item sd="0" x="122"/>
        <item sd="0" x="123"/>
        <item sd="0" x="117"/>
        <item sd="0" x="116"/>
        <item sd="0" x="113"/>
        <item sd="0" x="112"/>
        <item sd="0" x="111"/>
        <item sd="0" x="110"/>
        <item sd="0" x="115"/>
        <item sd="0" x="114"/>
        <item sd="0" x="107"/>
        <item sd="0" x="109"/>
        <item sd="0" x="106"/>
        <item sd="0" x="108"/>
        <item sd="0" x="105"/>
        <item sd="0" x="104"/>
        <item sd="0" x="103"/>
        <item sd="0" x="102"/>
        <item sd="0" x="100"/>
        <item sd="0" x="99"/>
        <item sd="0" x="101"/>
        <item sd="0" x="98"/>
        <item sd="0" x="97"/>
        <item sd="0" x="96"/>
        <item sd="0" x="95"/>
        <item sd="0" x="94"/>
        <item sd="0" x="90"/>
        <item sd="0" x="89"/>
        <item sd="0" x="92"/>
        <item sd="0" x="91"/>
        <item sd="0" x="88"/>
        <item sd="0" x="93"/>
        <item sd="0" x="83"/>
        <item sd="0" x="87"/>
        <item sd="0" x="82"/>
        <item sd="0" x="86"/>
        <item sd="0" x="85"/>
        <item sd="0" x="81"/>
        <item sd="0" x="84"/>
        <item sd="0" x="80"/>
        <item sd="0" x="78"/>
        <item sd="0" x="77"/>
        <item sd="0" x="79"/>
        <item sd="0" x="76"/>
        <item sd="0" x="73"/>
        <item sd="0" x="72"/>
        <item sd="0" x="74"/>
        <item sd="0" x="71"/>
        <item sd="0" x="75"/>
        <item sd="0" x="70"/>
        <item sd="0" x="69"/>
        <item sd="0" x="68"/>
        <item sd="0" x="66"/>
        <item sd="0" x="65"/>
        <item sd="0" x="67"/>
        <item sd="0" x="62"/>
        <item sd="0" x="61"/>
        <item sd="0" x="63"/>
        <item sd="0" x="64"/>
        <item sd="0" x="60"/>
        <item sd="0" x="59"/>
        <item sd="0" x="54"/>
        <item sd="0" x="53"/>
        <item sd="0" x="56"/>
        <item sd="0" x="57"/>
        <item sd="0" x="58"/>
        <item sd="0" x="55"/>
        <item sd="0" x="45"/>
        <item sd="0" x="50"/>
        <item sd="0" x="49"/>
        <item sd="0" x="44"/>
        <item sd="0" x="43"/>
        <item sd="0" x="47"/>
        <item sd="0" x="48"/>
        <item sd="0" x="52"/>
        <item sd="0" x="51"/>
        <item sd="0" x="46"/>
        <item sd="0" x="39"/>
        <item sd="0" x="38"/>
        <item sd="0" x="42"/>
        <item sd="0" x="40"/>
        <item sd="0" x="37"/>
        <item sd="0" x="41"/>
        <item sd="0" x="36"/>
        <item sd="0" x="35"/>
        <item sd="0" x="30"/>
        <item sd="0" x="33"/>
        <item sd="0" x="32"/>
        <item sd="0" x="29"/>
        <item sd="0" x="34"/>
        <item sd="0" x="31"/>
        <item sd="0" x="27"/>
        <item sd="0" x="26"/>
        <item sd="0" x="25"/>
        <item sd="0" x="24"/>
        <item sd="0" x="28"/>
        <item sd="0" x="23"/>
        <item sd="0" x="22"/>
        <item sd="0" x="18"/>
        <item sd="0" x="19"/>
        <item sd="0" x="17"/>
        <item sd="0" x="16"/>
        <item sd="0" x="21"/>
        <item sd="0" x="20"/>
        <item sd="0" x="15"/>
        <item sd="0" x="13"/>
        <item sd="0" x="12"/>
        <item sd="0" x="11"/>
        <item sd="0" x="10"/>
        <item sd="0" x="14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name="Customer" axis="axisRow" compact="0" numFmtId="49" outline="0" showAll="0" sortType="ascending">
      <items count="120">
        <item sd="0" x="19"/>
        <item sd="0" x="113"/>
        <item sd="0" x="61"/>
        <item sd="0" x="106"/>
        <item sd="0" x="47"/>
        <item sd="0" x="101"/>
        <item sd="0" x="25"/>
        <item sd="0" x="2"/>
        <item sd="0" x="104"/>
        <item sd="0" x="7"/>
        <item sd="0" x="68"/>
        <item sd="0" x="14"/>
        <item sd="0" x="9"/>
        <item sd="0" x="76"/>
        <item sd="0" x="77"/>
        <item sd="0" x="40"/>
        <item sd="0" x="43"/>
        <item sd="0" x="12"/>
        <item sd="0" x="1"/>
        <item sd="0" x="117"/>
        <item sd="0" x="54"/>
        <item sd="0" x="42"/>
        <item sd="0" x="27"/>
        <item sd="0" x="13"/>
        <item sd="0" x="93"/>
        <item sd="0" x="30"/>
        <item sd="0" x="56"/>
        <item sd="0" x="80"/>
        <item sd="0" x="44"/>
        <item sd="0" x="83"/>
        <item sd="0" x="105"/>
        <item sd="0" x="64"/>
        <item sd="0" x="33"/>
        <item sd="0" x="82"/>
        <item sd="0" x="45"/>
        <item sd="0" x="6"/>
        <item sd="0" x="79"/>
        <item sd="0" x="15"/>
        <item sd="0" x="81"/>
        <item sd="0" x="94"/>
        <item sd="0" x="46"/>
        <item sd="0" x="108"/>
        <item sd="0" x="23"/>
        <item sd="0" x="38"/>
        <item sd="0" x="66"/>
        <item sd="0" x="0"/>
        <item sd="0" x="17"/>
        <item sd="0" x="84"/>
        <item sd="0" x="36"/>
        <item sd="0" x="116"/>
        <item sd="0" x="71"/>
        <item sd="0" x="112"/>
        <item sd="0" x="85"/>
        <item sd="0" x="32"/>
        <item sd="0" x="18"/>
        <item sd="0" x="22"/>
        <item sd="0" x="52"/>
        <item sd="0" x="100"/>
        <item sd="0" x="39"/>
        <item sd="0" x="91"/>
        <item sd="0" x="115"/>
        <item sd="0" x="10"/>
        <item sd="0" x="109"/>
        <item sd="0" x="73"/>
        <item sd="0" x="103"/>
        <item sd="0" x="102"/>
        <item sd="0" x="50"/>
        <item sd="0" x="5"/>
        <item sd="0" x="87"/>
        <item sd="0" x="16"/>
        <item sd="0" x="88"/>
        <item sd="0" x="95"/>
        <item sd="0" x="37"/>
        <item sd="0" x="41"/>
        <item sd="0" x="72"/>
        <item sd="0" x="86"/>
        <item sd="0" x="8"/>
        <item sd="0" x="69"/>
        <item sd="0" x="90"/>
        <item sd="0" x="51"/>
        <item sd="0" x="92"/>
        <item sd="0" x="20"/>
        <item sd="0" x="98"/>
        <item sd="0" x="11"/>
        <item sd="0" x="24"/>
        <item sd="0" x="118"/>
        <item sd="0" x="34"/>
        <item sd="0" x="31"/>
        <item sd="0" x="58"/>
        <item sd="0" x="57"/>
        <item sd="0" x="96"/>
        <item sd="0" x="78"/>
        <item sd="0" x="97"/>
        <item sd="0" x="74"/>
        <item sd="0" x="53"/>
        <item sd="0" x="60"/>
        <item sd="0" x="59"/>
        <item sd="0" x="70"/>
        <item sd="0" x="29"/>
        <item sd="0" x="4"/>
        <item sd="0" x="63"/>
        <item sd="0" x="110"/>
        <item sd="0" x="48"/>
        <item sd="0" x="49"/>
        <item sd="0" x="21"/>
        <item sd="0" x="107"/>
        <item sd="0" x="67"/>
        <item sd="0" x="111"/>
        <item sd="0" x="35"/>
        <item sd="0" x="3"/>
        <item sd="0" x="26"/>
        <item sd="0" x="28"/>
        <item sd="0" x="114"/>
        <item sd="0" x="65"/>
        <item sd="0" x="62"/>
        <item sd="0" x="99"/>
        <item sd="0" x="89"/>
        <item sd="0" x="55"/>
        <item sd="0" x="75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1">
        <item x="50"/>
        <item x="51"/>
        <item x="37"/>
        <item x="36"/>
        <item x="64"/>
        <item x="34"/>
        <item x="74"/>
        <item x="8"/>
        <item x="26"/>
        <item x="92"/>
        <item x="28"/>
        <item x="77"/>
        <item x="15"/>
        <item x="41"/>
        <item x="63"/>
        <item x="58"/>
        <item x="59"/>
        <item x="75"/>
        <item x="11"/>
        <item x="6"/>
        <item x="73"/>
        <item x="94"/>
        <item x="43"/>
        <item x="93"/>
        <item x="89"/>
        <item x="83"/>
        <item x="97"/>
        <item x="85"/>
        <item x="35"/>
        <item x="86"/>
        <item x="79"/>
        <item x="40"/>
        <item x="96"/>
        <item x="19"/>
        <item x="47"/>
        <item x="27"/>
        <item x="30"/>
        <item x="12"/>
        <item x="76"/>
        <item x="0"/>
        <item x="13"/>
        <item x="52"/>
        <item x="10"/>
        <item x="80"/>
        <item x="31"/>
        <item x="45"/>
        <item x="62"/>
        <item x="88"/>
        <item x="18"/>
        <item x="81"/>
        <item x="2"/>
        <item x="57"/>
        <item x="87"/>
        <item x="17"/>
        <item x="14"/>
        <item x="3"/>
        <item x="7"/>
        <item x="42"/>
        <item x="99"/>
        <item x="5"/>
        <item x="9"/>
        <item x="39"/>
        <item x="46"/>
        <item x="91"/>
        <item x="53"/>
        <item x="54"/>
        <item x="55"/>
        <item x="98"/>
        <item x="56"/>
        <item x="22"/>
        <item x="1"/>
        <item x="48"/>
        <item x="29"/>
        <item x="4"/>
        <item x="23"/>
        <item x="33"/>
        <item x="61"/>
        <item x="90"/>
        <item x="20"/>
        <item x="95"/>
        <item x="71"/>
        <item x="69"/>
        <item x="66"/>
        <item x="65"/>
        <item x="49"/>
        <item x="70"/>
        <item x="78"/>
        <item x="82"/>
        <item x="84"/>
        <item x="25"/>
        <item x="60"/>
        <item x="32"/>
        <item x="67"/>
        <item x="16"/>
        <item x="24"/>
        <item x="44"/>
        <item x="72"/>
        <item x="38"/>
        <item x="21"/>
        <item x="68"/>
        <item t="default" sd="0"/>
      </items>
    </pivotField>
    <pivotField name="Line Item Description" compact="0" outline="0" showAll="0">
      <items count="107">
        <item x="10"/>
        <item x="42"/>
        <item x="49"/>
        <item x="50"/>
        <item x="34"/>
        <item x="33"/>
        <item x="54"/>
        <item x="105"/>
        <item x="55"/>
        <item x="56"/>
        <item x="57"/>
        <item x="87"/>
        <item x="32"/>
        <item x="72"/>
        <item x="71"/>
        <item x="31"/>
        <item x="81"/>
        <item x="76"/>
        <item x="2"/>
        <item x="102"/>
        <item x="8"/>
        <item x="0"/>
        <item x="13"/>
        <item x="15"/>
        <item x="65"/>
        <item x="11"/>
        <item x="4"/>
        <item x="59"/>
        <item x="88"/>
        <item x="38"/>
        <item x="103"/>
        <item x="79"/>
        <item x="46"/>
        <item x="24"/>
        <item x="52"/>
        <item x="95"/>
        <item x="27"/>
        <item x="45"/>
        <item x="12"/>
        <item x="99"/>
        <item x="78"/>
        <item x="25"/>
        <item x="53"/>
        <item x="85"/>
        <item x="97"/>
        <item x="51"/>
        <item x="22"/>
        <item x="82"/>
        <item x="43"/>
        <item x="28"/>
        <item x="93"/>
        <item x="39"/>
        <item x="91"/>
        <item x="89"/>
        <item x="3"/>
        <item x="48"/>
        <item x="7"/>
        <item x="14"/>
        <item x="64"/>
        <item x="29"/>
        <item x="70"/>
        <item x="61"/>
        <item x="62"/>
        <item x="80"/>
        <item x="83"/>
        <item x="90"/>
        <item x="60"/>
        <item x="73"/>
        <item x="40"/>
        <item x="63"/>
        <item x="5"/>
        <item x="37"/>
        <item x="74"/>
        <item x="68"/>
        <item x="9"/>
        <item x="36"/>
        <item x="44"/>
        <item x="101"/>
        <item x="94"/>
        <item x="69"/>
        <item x="77"/>
        <item x="41"/>
        <item x="58"/>
        <item x="75"/>
        <item x="98"/>
        <item x="6"/>
        <item x="100"/>
        <item x="26"/>
        <item x="67"/>
        <item x="84"/>
        <item x="66"/>
        <item x="30"/>
        <item x="1"/>
        <item x="16"/>
        <item x="18"/>
        <item x="17"/>
        <item x="23"/>
        <item x="19"/>
        <item x="20"/>
        <item x="21"/>
        <item x="104"/>
        <item x="92"/>
        <item x="86"/>
        <item x="96"/>
        <item x="47"/>
        <item x="35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20">
    <i>
      <x/>
    </i>
    <i>
      <x v="2"/>
    </i>
    <i>
      <x v="3"/>
    </i>
    <i>
      <x v="1"/>
    </i>
    <i>
      <x v="4"/>
    </i>
    <i>
      <x v="5"/>
    </i>
    <i>
      <x v="6"/>
    </i>
    <i>
      <x v="7"/>
    </i>
    <i>
      <x v="9"/>
    </i>
    <i>
      <x v="10"/>
    </i>
    <i>
      <x v="8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1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116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44"/>
    </i>
    <i>
      <x v="55"/>
    </i>
    <i>
      <x v="56"/>
    </i>
    <i>
      <x v="58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117"/>
    </i>
    <i>
      <x v="72"/>
    </i>
    <i>
      <x v="73"/>
    </i>
    <i>
      <x v="74"/>
    </i>
    <i>
      <x v="76"/>
    </i>
    <i>
      <x v="77"/>
    </i>
    <i>
      <x v="78"/>
    </i>
    <i>
      <x v="75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2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97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09" showRowHeaders="1" showColHeaders="1" showRowStripes="1" showColStripes="0" showLastColumn="1"/>
</pivotTableDefinition>
</file>

<file path=xl/pivotTables/pivotTable10.xml><?xml version="1.0" encoding="utf-8"?>
<pivotTableDefinition xmlns="http://schemas.openxmlformats.org/spreadsheetml/2006/main" name="June 2024 Sales by SKU" cacheId="9" dataPosition="0" autoFormatId="0" applyNumberFormats="0" applyBorderFormats="0" applyFontFormats="0" applyPatternFormats="0" applyAlignmentFormats="0" applyWidthHeightFormats="1" dataCaption="" missingCaption="" pivotTableStyle="PivotStyleCustom10" updatedVersion="7" useAutoFormatting="1" createdVersion="7" indent="0" showEmptyCol="1" showEmptyRow="1" compact="0" compactData="0" multipleFieldFilters="0">
  <location ref="P554:Q655" firstHeaderRow="1" firstDataRow="1" firstDataCol="1"/>
  <pivotFields count="3">
    <pivotField name="Line Item Name" axis="axisRow" compact="0" numFmtId="49" outline="0" showAll="0" sortType="ascending">
      <items count="102">
        <item x="50"/>
        <item x="51"/>
        <item x="37"/>
        <item x="36"/>
        <item x="64"/>
        <item x="34"/>
        <item x="74"/>
        <item x="8"/>
        <item x="26"/>
        <item x="92"/>
        <item x="28"/>
        <item x="77"/>
        <item x="15"/>
        <item x="41"/>
        <item x="63"/>
        <item x="58"/>
        <item x="59"/>
        <item x="75"/>
        <item x="11"/>
        <item x="6"/>
        <item x="73"/>
        <item x="94"/>
        <item x="43"/>
        <item x="93"/>
        <item x="89"/>
        <item x="83"/>
        <item x="97"/>
        <item x="85"/>
        <item x="35"/>
        <item x="86"/>
        <item x="79"/>
        <item x="40"/>
        <item x="96"/>
        <item x="19"/>
        <item x="47"/>
        <item x="27"/>
        <item x="30"/>
        <item x="12"/>
        <item x="76"/>
        <item x="0"/>
        <item x="13"/>
        <item x="52"/>
        <item x="10"/>
        <item x="80"/>
        <item x="31"/>
        <item x="45"/>
        <item x="62"/>
        <item x="88"/>
        <item x="18"/>
        <item x="81"/>
        <item x="2"/>
        <item x="57"/>
        <item x="87"/>
        <item x="17"/>
        <item x="14"/>
        <item x="3"/>
        <item x="7"/>
        <item x="42"/>
        <item x="99"/>
        <item x="5"/>
        <item x="9"/>
        <item x="39"/>
        <item x="46"/>
        <item x="91"/>
        <item x="53"/>
        <item x="54"/>
        <item x="55"/>
        <item x="98"/>
        <item x="56"/>
        <item x="22"/>
        <item x="1"/>
        <item x="48"/>
        <item x="29"/>
        <item x="4"/>
        <item x="23"/>
        <item x="33"/>
        <item x="61"/>
        <item x="90"/>
        <item x="20"/>
        <item x="95"/>
        <item x="71"/>
        <item x="69"/>
        <item x="66"/>
        <item x="65"/>
        <item x="49"/>
        <item x="70"/>
        <item x="78"/>
        <item x="82"/>
        <item x="84"/>
        <item x="25"/>
        <item x="60"/>
        <item x="32"/>
        <item x="67"/>
        <item x="16"/>
        <item x="24"/>
        <item x="44"/>
        <item x="72"/>
        <item x="38"/>
        <item x="21"/>
        <item x="68"/>
        <item x="100"/>
        <item t="default" sd="0"/>
      </items>
    </pivotField>
    <pivotField name="Line Item Description" compact="0" outline="0" showAll="0">
      <items count="107">
        <item x="10"/>
        <item x="42"/>
        <item x="49"/>
        <item x="50"/>
        <item x="34"/>
        <item x="33"/>
        <item x="54"/>
        <item x="105"/>
        <item x="55"/>
        <item x="56"/>
        <item x="57"/>
        <item x="87"/>
        <item x="32"/>
        <item x="72"/>
        <item x="71"/>
        <item x="31"/>
        <item x="81"/>
        <item x="76"/>
        <item x="2"/>
        <item x="102"/>
        <item x="8"/>
        <item x="0"/>
        <item x="13"/>
        <item x="15"/>
        <item x="65"/>
        <item x="11"/>
        <item x="4"/>
        <item x="59"/>
        <item x="88"/>
        <item x="38"/>
        <item x="103"/>
        <item x="79"/>
        <item x="46"/>
        <item x="24"/>
        <item x="52"/>
        <item x="95"/>
        <item x="27"/>
        <item x="45"/>
        <item x="12"/>
        <item x="99"/>
        <item x="78"/>
        <item x="25"/>
        <item x="53"/>
        <item x="85"/>
        <item x="97"/>
        <item x="51"/>
        <item x="22"/>
        <item x="82"/>
        <item x="43"/>
        <item x="28"/>
        <item x="93"/>
        <item x="39"/>
        <item x="91"/>
        <item x="89"/>
        <item x="3"/>
        <item x="48"/>
        <item x="7"/>
        <item x="14"/>
        <item x="64"/>
        <item x="29"/>
        <item x="70"/>
        <item x="61"/>
        <item x="62"/>
        <item x="80"/>
        <item x="83"/>
        <item x="90"/>
        <item x="60"/>
        <item x="73"/>
        <item x="40"/>
        <item x="63"/>
        <item x="5"/>
        <item x="37"/>
        <item x="74"/>
        <item x="68"/>
        <item x="9"/>
        <item x="36"/>
        <item x="44"/>
        <item x="101"/>
        <item x="94"/>
        <item x="69"/>
        <item x="77"/>
        <item x="41"/>
        <item x="58"/>
        <item x="75"/>
        <item x="98"/>
        <item x="6"/>
        <item x="100"/>
        <item x="26"/>
        <item x="67"/>
        <item x="84"/>
        <item x="66"/>
        <item x="30"/>
        <item x="1"/>
        <item x="16"/>
        <item x="18"/>
        <item x="17"/>
        <item x="23"/>
        <item x="19"/>
        <item x="20"/>
        <item x="21"/>
        <item x="104"/>
        <item x="92"/>
        <item x="86"/>
        <item x="96"/>
        <item x="47"/>
        <item x="35"/>
        <item t="default" sd="0"/>
      </items>
    </pivotField>
    <pivotField name="Order Quantity" axis="axisValues" dataField="1" compact="0" outline="0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76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um of Order Quantity" fld="2"/>
  </dataFields>
  <pivotTableStyleInfo name="PivotStyleCustom10" showRowHeaders="1" showColHeaders="1" showRowStripes="1" showColStripes="0" showLastColumn="1"/>
</pivotTableDefinition>
</file>

<file path=xl/pivotTables/pivotTable11.xml><?xml version="1.0" encoding="utf-8"?>
<pivotTableDefinition xmlns="http://schemas.openxmlformats.org/spreadsheetml/2006/main" name="June 2024 Sales by SKU$" cacheId="10" dataPosition="0" autoFormatId="0" applyNumberFormats="0" applyBorderFormats="0" applyFontFormats="0" applyPatternFormats="0" applyAlignmentFormats="0" applyWidthHeightFormats="1" dataCaption="" missingCaption="" pivotTableStyle="PivotStyleCustom11" updatedVersion="7" useAutoFormatting="1" createdVersion="7" indent="0" showEmptyCol="1" showEmptyRow="1" compact="0" compactData="0" multipleFieldFilters="0">
  <location ref="R658:S759" firstHeaderRow="1" firstDataRow="1" firstDataCol="1"/>
  <pivotFields count="5">
    <pivotField name="Line Item Name" axis="axisRow" compact="0" numFmtId="49" outline="0" showAll="0" sortType="ascending">
      <items count="102">
        <item x="50"/>
        <item x="51"/>
        <item x="37"/>
        <item x="36"/>
        <item x="64"/>
        <item x="34"/>
        <item x="74"/>
        <item x="8"/>
        <item x="26"/>
        <item x="92"/>
        <item x="28"/>
        <item x="77"/>
        <item x="15"/>
        <item x="41"/>
        <item x="63"/>
        <item x="58"/>
        <item x="59"/>
        <item x="75"/>
        <item x="11"/>
        <item x="6"/>
        <item x="73"/>
        <item x="94"/>
        <item x="43"/>
        <item x="93"/>
        <item x="89"/>
        <item x="83"/>
        <item x="97"/>
        <item x="85"/>
        <item x="35"/>
        <item x="86"/>
        <item x="79"/>
        <item x="40"/>
        <item x="96"/>
        <item x="19"/>
        <item x="47"/>
        <item x="27"/>
        <item x="30"/>
        <item x="12"/>
        <item x="76"/>
        <item x="0"/>
        <item x="13"/>
        <item x="52"/>
        <item x="10"/>
        <item x="80"/>
        <item x="31"/>
        <item x="45"/>
        <item x="62"/>
        <item x="88"/>
        <item x="18"/>
        <item x="81"/>
        <item x="2"/>
        <item x="57"/>
        <item x="87"/>
        <item x="17"/>
        <item x="14"/>
        <item x="3"/>
        <item x="7"/>
        <item x="42"/>
        <item x="99"/>
        <item x="5"/>
        <item x="9"/>
        <item x="39"/>
        <item x="46"/>
        <item x="91"/>
        <item x="53"/>
        <item x="54"/>
        <item x="55"/>
        <item x="98"/>
        <item x="56"/>
        <item x="22"/>
        <item x="1"/>
        <item x="48"/>
        <item x="29"/>
        <item x="4"/>
        <item x="23"/>
        <item x="33"/>
        <item x="61"/>
        <item x="90"/>
        <item x="20"/>
        <item x="95"/>
        <item x="71"/>
        <item x="69"/>
        <item x="66"/>
        <item x="65"/>
        <item x="49"/>
        <item x="70"/>
        <item x="78"/>
        <item x="82"/>
        <item x="84"/>
        <item x="25"/>
        <item x="60"/>
        <item x="32"/>
        <item x="67"/>
        <item x="16"/>
        <item x="24"/>
        <item x="44"/>
        <item x="72"/>
        <item x="38"/>
        <item x="21"/>
        <item x="68"/>
        <item x="100"/>
        <item t="default" sd="0"/>
      </items>
    </pivotField>
    <pivotField name="Line Item Description" compact="0" outline="0" showAll="0">
      <items count="107">
        <item x="10"/>
        <item x="42"/>
        <item x="49"/>
        <item x="50"/>
        <item x="34"/>
        <item x="33"/>
        <item x="54"/>
        <item x="105"/>
        <item x="55"/>
        <item x="56"/>
        <item x="57"/>
        <item x="87"/>
        <item x="32"/>
        <item x="72"/>
        <item x="71"/>
        <item x="31"/>
        <item x="81"/>
        <item x="76"/>
        <item x="2"/>
        <item x="102"/>
        <item x="8"/>
        <item x="0"/>
        <item x="13"/>
        <item x="15"/>
        <item x="65"/>
        <item x="11"/>
        <item x="4"/>
        <item x="59"/>
        <item x="88"/>
        <item x="38"/>
        <item x="103"/>
        <item x="79"/>
        <item x="46"/>
        <item x="24"/>
        <item x="52"/>
        <item x="95"/>
        <item x="27"/>
        <item x="45"/>
        <item x="12"/>
        <item x="99"/>
        <item x="78"/>
        <item x="25"/>
        <item x="53"/>
        <item x="85"/>
        <item x="97"/>
        <item x="51"/>
        <item x="22"/>
        <item x="82"/>
        <item x="43"/>
        <item x="28"/>
        <item x="93"/>
        <item x="39"/>
        <item x="91"/>
        <item x="89"/>
        <item x="3"/>
        <item x="48"/>
        <item x="7"/>
        <item x="14"/>
        <item x="64"/>
        <item x="29"/>
        <item x="70"/>
        <item x="61"/>
        <item x="62"/>
        <item x="80"/>
        <item x="83"/>
        <item x="90"/>
        <item x="60"/>
        <item x="73"/>
        <item x="40"/>
        <item x="63"/>
        <item x="5"/>
        <item x="37"/>
        <item x="74"/>
        <item x="68"/>
        <item x="9"/>
        <item x="36"/>
        <item x="44"/>
        <item x="101"/>
        <item x="94"/>
        <item x="69"/>
        <item x="77"/>
        <item x="41"/>
        <item x="58"/>
        <item x="75"/>
        <item x="98"/>
        <item x="6"/>
        <item x="100"/>
        <item x="26"/>
        <item x="67"/>
        <item x="84"/>
        <item x="66"/>
        <item x="30"/>
        <item x="1"/>
        <item x="16"/>
        <item x="18"/>
        <item x="17"/>
        <item x="23"/>
        <item x="19"/>
        <item x="20"/>
        <item x="21"/>
        <item x="104"/>
        <item x="92"/>
        <item x="86"/>
        <item x="96"/>
        <item x="47"/>
        <item x="35"/>
        <item t="default" sd="0"/>
      </items>
    </pivotField>
    <pivotField name="Order Quantity" compact="0" outline="0" showAll="0">
      <items count="17">
        <item x="1"/>
        <item x="0"/>
        <item x="4"/>
        <item x="3"/>
        <item x="14"/>
        <item x="10"/>
        <item x="2"/>
        <item x="12"/>
        <item x="6"/>
        <item x="11"/>
        <item x="7"/>
        <item x="13"/>
        <item x="8"/>
        <item x="5"/>
        <item x="9"/>
        <item x="15"/>
        <item t="default" sd="0"/>
      </items>
    </pivotField>
    <pivotField name="Unit Price" compact="0" outline="0" showAll="0">
      <items count="114">
        <item x="77"/>
        <item x="9"/>
        <item x="37"/>
        <item x="81"/>
        <item x="39"/>
        <item x="48"/>
        <item x="30"/>
        <item x="85"/>
        <item x="3"/>
        <item x="78"/>
        <item x="49"/>
        <item x="58"/>
        <item x="89"/>
        <item x="27"/>
        <item x="2"/>
        <item x="64"/>
        <item x="52"/>
        <item x="29"/>
        <item x="42"/>
        <item x="46"/>
        <item x="92"/>
        <item x="4"/>
        <item x="107"/>
        <item x="21"/>
        <item x="67"/>
        <item x="38"/>
        <item x="6"/>
        <item x="23"/>
        <item x="96"/>
        <item x="86"/>
        <item x="0"/>
        <item x="54"/>
        <item x="32"/>
        <item x="36"/>
        <item x="106"/>
        <item x="63"/>
        <item x="13"/>
        <item x="97"/>
        <item x="31"/>
        <item x="28"/>
        <item x="65"/>
        <item x="50"/>
        <item x="11"/>
        <item x="95"/>
        <item x="61"/>
        <item x="35"/>
        <item x="43"/>
        <item x="73"/>
        <item x="91"/>
        <item x="44"/>
        <item x="94"/>
        <item x="45"/>
        <item x="105"/>
        <item x="24"/>
        <item x="55"/>
        <item x="110"/>
        <item x="90"/>
        <item x="88"/>
        <item x="15"/>
        <item x="62"/>
        <item x="109"/>
        <item x="7"/>
        <item x="82"/>
        <item x="83"/>
        <item x="104"/>
        <item x="22"/>
        <item x="103"/>
        <item x="108"/>
        <item x="84"/>
        <item x="10"/>
        <item x="34"/>
        <item x="68"/>
        <item x="26"/>
        <item x="17"/>
        <item x="98"/>
        <item x="60"/>
        <item x="53"/>
        <item x="56"/>
        <item x="25"/>
        <item x="57"/>
        <item x="76"/>
        <item x="40"/>
        <item x="99"/>
        <item x="87"/>
        <item x="14"/>
        <item x="16"/>
        <item x="102"/>
        <item x="1"/>
        <item x="100"/>
        <item x="93"/>
        <item x="79"/>
        <item x="12"/>
        <item x="5"/>
        <item x="72"/>
        <item x="74"/>
        <item x="66"/>
        <item x="19"/>
        <item x="71"/>
        <item x="47"/>
        <item x="111"/>
        <item x="33"/>
        <item x="51"/>
        <item x="41"/>
        <item x="59"/>
        <item x="70"/>
        <item x="18"/>
        <item x="8"/>
        <item x="69"/>
        <item x="101"/>
        <item x="20"/>
        <item x="80"/>
        <item x="75"/>
        <item x="112"/>
        <item t="default" sd="0"/>
      </items>
    </pivotField>
    <pivotField name="Total Line Item $" axis="axisValues" dataField="1" compact="0" outline="0" showAll="0"/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76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Items count="1">
    <i/>
  </colItems>
  <dataFields count="1">
    <dataField name="Sum of Total Line Item $" fld="4" numFmtId="60"/>
  </dataFields>
  <pivotTableStyleInfo name="PivotStyleCustom11" showRowHeaders="1" showColHeaders="1" showRowStripes="1" showColStripes="0" showLastColumn="1"/>
</pivotTableDefinition>
</file>

<file path=xl/pivotTables/pivotTable12.xml><?xml version="1.0" encoding="utf-8"?>
<pivotTableDefinition xmlns="http://schemas.openxmlformats.org/spreadsheetml/2006/main" name="May 2024 Sales by SKU" cacheId="11" dataPosition="0" autoFormatId="0" applyNumberFormats="0" applyBorderFormats="0" applyFontFormats="0" applyPatternFormats="0" applyAlignmentFormats="0" applyWidthHeightFormats="1" dataCaption="" missingCaption="" pivotTableStyle="PivotStyleCustom12" updatedVersion="7" useAutoFormatting="1" createdVersion="7" indent="0" showEmptyCol="1" showEmptyRow="1" compact="0" compactData="0" multipleFieldFilters="0">
  <location ref="P1279:Q1384" firstHeaderRow="1" firstDataRow="1" firstDataCol="1"/>
  <pivotFields count="3">
    <pivotField name="Line Item Name" axis="axisRow" compact="0" numFmtId="49" outline="0" showAll="0" sortType="ascending">
      <items count="106">
        <item x="26"/>
        <item x="20"/>
        <item x="57"/>
        <item x="41"/>
        <item x="94"/>
        <item x="21"/>
        <item x="39"/>
        <item x="96"/>
        <item x="97"/>
        <item x="91"/>
        <item x="100"/>
        <item x="42"/>
        <item x="87"/>
        <item x="88"/>
        <item x="54"/>
        <item x="86"/>
        <item x="66"/>
        <item x="0"/>
        <item x="98"/>
        <item x="25"/>
        <item x="24"/>
        <item x="81"/>
        <item x="70"/>
        <item x="59"/>
        <item x="18"/>
        <item x="28"/>
        <item x="69"/>
        <item x="56"/>
        <item x="29"/>
        <item x="31"/>
        <item x="14"/>
        <item x="19"/>
        <item x="34"/>
        <item x="80"/>
        <item x="33"/>
        <item x="95"/>
        <item x="85"/>
        <item x="71"/>
        <item x="79"/>
        <item x="62"/>
        <item x="68"/>
        <item x="67"/>
        <item x="30"/>
        <item x="1"/>
        <item x="32"/>
        <item x="51"/>
        <item x="3"/>
        <item x="52"/>
        <item x="50"/>
        <item x="4"/>
        <item x="17"/>
        <item x="92"/>
        <item x="8"/>
        <item x="90"/>
        <item x="60"/>
        <item x="27"/>
        <item x="40"/>
        <item x="12"/>
        <item x="2"/>
        <item x="10"/>
        <item x="65"/>
        <item x="55"/>
        <item x="49"/>
        <item x="7"/>
        <item x="44"/>
        <item x="45"/>
        <item x="6"/>
        <item x="101"/>
        <item x="72"/>
        <item x="73"/>
        <item x="74"/>
        <item x="75"/>
        <item x="77"/>
        <item x="76"/>
        <item x="5"/>
        <item x="35"/>
        <item x="11"/>
        <item x="16"/>
        <item x="48"/>
        <item x="15"/>
        <item x="23"/>
        <item x="46"/>
        <item x="22"/>
        <item x="38"/>
        <item x="99"/>
        <item x="89"/>
        <item x="82"/>
        <item x="36"/>
        <item x="93"/>
        <item x="13"/>
        <item x="78"/>
        <item x="64"/>
        <item x="63"/>
        <item x="53"/>
        <item x="58"/>
        <item x="61"/>
        <item x="47"/>
        <item x="37"/>
        <item x="9"/>
        <item x="43"/>
        <item x="83"/>
        <item x="84"/>
        <item x="102"/>
        <item x="103"/>
        <item x="104"/>
        <item t="default" sd="0"/>
      </items>
    </pivotField>
    <pivotField name="Line Item Description" compact="0" outline="0" showAll="0">
      <items count="120">
        <item x="8"/>
        <item x="55"/>
        <item x="19"/>
        <item x="61"/>
        <item x="44"/>
        <item x="20"/>
        <item x="101"/>
        <item x="38"/>
        <item x="21"/>
        <item x="83"/>
        <item x="87"/>
        <item x="84"/>
        <item x="85"/>
        <item x="86"/>
        <item x="95"/>
        <item x="45"/>
        <item x="98"/>
        <item x="37"/>
        <item x="0"/>
        <item x="109"/>
        <item x="59"/>
        <item x="97"/>
        <item x="78"/>
        <item x="110"/>
        <item x="72"/>
        <item x="96"/>
        <item x="12"/>
        <item x="26"/>
        <item x="114"/>
        <item x="25"/>
        <item x="24"/>
        <item x="4"/>
        <item x="16"/>
        <item x="27"/>
        <item x="30"/>
        <item x="14"/>
        <item x="108"/>
        <item x="103"/>
        <item x="89"/>
        <item x="66"/>
        <item x="74"/>
        <item x="73"/>
        <item x="31"/>
        <item x="75"/>
        <item x="1"/>
        <item x="57"/>
        <item x="33"/>
        <item x="56"/>
        <item x="3"/>
        <item x="53"/>
        <item x="17"/>
        <item x="79"/>
        <item x="54"/>
        <item x="50"/>
        <item x="90"/>
        <item x="34"/>
        <item x="35"/>
        <item x="102"/>
        <item x="69"/>
        <item x="68"/>
        <item x="58"/>
        <item x="42"/>
        <item x="100"/>
        <item x="111"/>
        <item x="65"/>
        <item x="39"/>
        <item x="10"/>
        <item x="70"/>
        <item x="2"/>
        <item x="104"/>
        <item x="64"/>
        <item x="23"/>
        <item x="76"/>
        <item x="94"/>
        <item x="43"/>
        <item x="52"/>
        <item x="62"/>
        <item x="47"/>
        <item x="48"/>
        <item x="29"/>
        <item x="7"/>
        <item x="92"/>
        <item x="28"/>
        <item x="6"/>
        <item x="112"/>
        <item x="80"/>
        <item x="41"/>
        <item x="40"/>
        <item x="82"/>
        <item x="60"/>
        <item x="18"/>
        <item x="81"/>
        <item x="32"/>
        <item x="46"/>
        <item x="5"/>
        <item x="9"/>
        <item x="13"/>
        <item x="99"/>
        <item x="36"/>
        <item x="51"/>
        <item x="22"/>
        <item x="107"/>
        <item x="49"/>
        <item x="11"/>
        <item x="115"/>
        <item x="105"/>
        <item x="88"/>
        <item x="116"/>
        <item x="91"/>
        <item x="63"/>
        <item x="118"/>
        <item x="77"/>
        <item x="15"/>
        <item x="106"/>
        <item x="67"/>
        <item x="71"/>
        <item x="93"/>
        <item x="117"/>
        <item x="113"/>
        <item t="default" sd="0"/>
      </items>
    </pivotField>
    <pivotField name="Order Quantity" axis="axisValues" dataField="1" compact="0" outline="0" showAll="0"/>
  </pivotFields>
  <rowFields count="1">
    <field x="0"/>
  </rowFields>
  <rowItems count="105">
    <i>
      <x v="103"/>
    </i>
    <i>
      <x v="102"/>
    </i>
    <i>
      <x v="101"/>
    </i>
    <i>
      <x v="100"/>
    </i>
    <i>
      <x v="99"/>
    </i>
    <i>
      <x v="98"/>
    </i>
    <i>
      <x v="97"/>
    </i>
    <i>
      <x v="96"/>
    </i>
    <i>
      <x v="95"/>
    </i>
    <i>
      <x v="94"/>
    </i>
    <i>
      <x v="93"/>
    </i>
    <i>
      <x v="92"/>
    </i>
    <i>
      <x v="91"/>
    </i>
    <i>
      <x v="90"/>
    </i>
    <i>
      <x v="89"/>
    </i>
    <i>
      <x v="88"/>
    </i>
    <i>
      <x v="87"/>
    </i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4"/>
    </i>
    <i>
      <x v="12"/>
    </i>
    <i>
      <x v="13"/>
    </i>
    <i>
      <x v="11"/>
    </i>
    <i>
      <x v="10"/>
    </i>
    <i>
      <x v="9"/>
    </i>
    <i>
      <x v="8"/>
    </i>
    <i>
      <x v="7"/>
    </i>
    <i>
      <x v="6"/>
    </i>
    <i>
      <x v="2"/>
    </i>
    <i>
      <x v="5"/>
    </i>
    <i>
      <x v="4"/>
    </i>
    <i>
      <x v="3"/>
    </i>
    <i>
      <x v="1"/>
    </i>
    <i>
      <x/>
    </i>
    <i t="grand">
      <x/>
    </i>
  </rowItems>
  <colItems count="1">
    <i/>
  </colItems>
  <dataFields count="1">
    <dataField name="Sum of Order Quantity" fld="2"/>
  </dataFields>
  <pivotTableStyleInfo name="PivotStyleCustom12" showRowHeaders="1" showColHeaders="1" showRowStripes="1" showColStripes="0" showLastColumn="1"/>
</pivotTableDefinition>
</file>

<file path=xl/pivotTables/pivotTable13.xml><?xml version="1.0" encoding="utf-8"?>
<pivotTableDefinition xmlns="http://schemas.openxmlformats.org/spreadsheetml/2006/main" name="May 2024 Sales by SKU$" cacheId="12" dataPosition="0" autoFormatId="0" applyNumberFormats="0" applyBorderFormats="0" applyFontFormats="0" applyPatternFormats="0" applyAlignmentFormats="0" applyWidthHeightFormats="1" dataCaption="" missingCaption="" pivotTableStyle="PivotStyleCustom13" updatedVersion="7" useAutoFormatting="1" createdVersion="7" indent="0" showEmptyCol="1" showEmptyRow="1" compact="0" compactData="0" multipleFieldFilters="0">
  <location ref="R1387:S1492" firstHeaderRow="1" firstDataRow="1" firstDataCol="1"/>
  <pivotFields count="5">
    <pivotField name="Line Item Name" axis="axisRow" compact="0" numFmtId="49" outline="0" showAll="0" sortType="ascending">
      <items count="106">
        <item x="26"/>
        <item x="20"/>
        <item x="57"/>
        <item x="41"/>
        <item x="94"/>
        <item x="21"/>
        <item x="39"/>
        <item x="96"/>
        <item x="97"/>
        <item x="91"/>
        <item x="100"/>
        <item x="42"/>
        <item x="87"/>
        <item x="88"/>
        <item x="54"/>
        <item x="86"/>
        <item x="66"/>
        <item x="0"/>
        <item x="98"/>
        <item x="25"/>
        <item x="24"/>
        <item x="81"/>
        <item x="70"/>
        <item x="59"/>
        <item x="18"/>
        <item x="28"/>
        <item x="69"/>
        <item x="56"/>
        <item x="29"/>
        <item x="31"/>
        <item x="14"/>
        <item x="19"/>
        <item x="34"/>
        <item x="80"/>
        <item x="33"/>
        <item x="95"/>
        <item x="85"/>
        <item x="71"/>
        <item x="79"/>
        <item x="62"/>
        <item x="68"/>
        <item x="67"/>
        <item x="30"/>
        <item x="1"/>
        <item x="32"/>
        <item x="51"/>
        <item x="3"/>
        <item x="52"/>
        <item x="50"/>
        <item x="4"/>
        <item x="17"/>
        <item x="92"/>
        <item x="8"/>
        <item x="90"/>
        <item x="60"/>
        <item x="27"/>
        <item x="40"/>
        <item x="12"/>
        <item x="2"/>
        <item x="10"/>
        <item x="65"/>
        <item x="55"/>
        <item x="49"/>
        <item x="7"/>
        <item x="44"/>
        <item x="45"/>
        <item x="6"/>
        <item x="101"/>
        <item x="72"/>
        <item x="73"/>
        <item x="74"/>
        <item x="75"/>
        <item x="77"/>
        <item x="76"/>
        <item x="5"/>
        <item x="35"/>
        <item x="11"/>
        <item x="16"/>
        <item x="48"/>
        <item x="15"/>
        <item x="23"/>
        <item x="46"/>
        <item x="22"/>
        <item x="38"/>
        <item x="99"/>
        <item x="89"/>
        <item x="82"/>
        <item x="36"/>
        <item x="93"/>
        <item x="13"/>
        <item x="78"/>
        <item x="64"/>
        <item x="63"/>
        <item x="53"/>
        <item x="58"/>
        <item x="61"/>
        <item x="47"/>
        <item x="37"/>
        <item x="9"/>
        <item x="43"/>
        <item x="83"/>
        <item x="84"/>
        <item x="102"/>
        <item x="103"/>
        <item x="104"/>
        <item t="default" sd="0"/>
      </items>
    </pivotField>
    <pivotField name="Line Item Description" compact="0" outline="0" showAll="0">
      <items count="120">
        <item x="8"/>
        <item x="55"/>
        <item x="19"/>
        <item x="61"/>
        <item x="44"/>
        <item x="20"/>
        <item x="101"/>
        <item x="38"/>
        <item x="21"/>
        <item x="83"/>
        <item x="87"/>
        <item x="84"/>
        <item x="85"/>
        <item x="86"/>
        <item x="95"/>
        <item x="45"/>
        <item x="98"/>
        <item x="37"/>
        <item x="0"/>
        <item x="109"/>
        <item x="59"/>
        <item x="97"/>
        <item x="78"/>
        <item x="110"/>
        <item x="72"/>
        <item x="96"/>
        <item x="12"/>
        <item x="26"/>
        <item x="114"/>
        <item x="25"/>
        <item x="24"/>
        <item x="4"/>
        <item x="16"/>
        <item x="27"/>
        <item x="30"/>
        <item x="14"/>
        <item x="108"/>
        <item x="103"/>
        <item x="89"/>
        <item x="66"/>
        <item x="74"/>
        <item x="73"/>
        <item x="31"/>
        <item x="75"/>
        <item x="1"/>
        <item x="57"/>
        <item x="33"/>
        <item x="56"/>
        <item x="3"/>
        <item x="53"/>
        <item x="17"/>
        <item x="79"/>
        <item x="54"/>
        <item x="50"/>
        <item x="90"/>
        <item x="34"/>
        <item x="35"/>
        <item x="102"/>
        <item x="69"/>
        <item x="68"/>
        <item x="58"/>
        <item x="42"/>
        <item x="100"/>
        <item x="111"/>
        <item x="65"/>
        <item x="39"/>
        <item x="10"/>
        <item x="70"/>
        <item x="2"/>
        <item x="104"/>
        <item x="64"/>
        <item x="23"/>
        <item x="76"/>
        <item x="94"/>
        <item x="43"/>
        <item x="52"/>
        <item x="62"/>
        <item x="47"/>
        <item x="48"/>
        <item x="29"/>
        <item x="7"/>
        <item x="92"/>
        <item x="28"/>
        <item x="6"/>
        <item x="112"/>
        <item x="80"/>
        <item x="41"/>
        <item x="40"/>
        <item x="82"/>
        <item x="60"/>
        <item x="18"/>
        <item x="81"/>
        <item x="32"/>
        <item x="46"/>
        <item x="5"/>
        <item x="9"/>
        <item x="13"/>
        <item x="99"/>
        <item x="36"/>
        <item x="51"/>
        <item x="22"/>
        <item x="107"/>
        <item x="49"/>
        <item x="11"/>
        <item x="115"/>
        <item x="105"/>
        <item x="88"/>
        <item x="116"/>
        <item x="91"/>
        <item x="63"/>
        <item x="118"/>
        <item x="77"/>
        <item x="15"/>
        <item x="106"/>
        <item x="67"/>
        <item x="71"/>
        <item x="93"/>
        <item x="117"/>
        <item x="113"/>
        <item t="default" sd="0"/>
      </items>
    </pivotField>
    <pivotField name="Order Quantity" compact="0" outline="0" showAll="0">
      <items count="22">
        <item x="1"/>
        <item x="0"/>
        <item x="10"/>
        <item x="5"/>
        <item x="17"/>
        <item x="2"/>
        <item x="11"/>
        <item x="8"/>
        <item x="7"/>
        <item x="12"/>
        <item x="4"/>
        <item x="19"/>
        <item x="18"/>
        <item x="16"/>
        <item x="13"/>
        <item x="15"/>
        <item x="14"/>
        <item x="6"/>
        <item x="9"/>
        <item x="3"/>
        <item x="20"/>
        <item t="default" sd="0"/>
      </items>
    </pivotField>
    <pivotField name="Unit Price" compact="0" outline="0" showAll="0">
      <items count="110">
        <item x="36"/>
        <item x="102"/>
        <item x="7"/>
        <item x="16"/>
        <item x="28"/>
        <item x="35"/>
        <item x="40"/>
        <item x="66"/>
        <item x="54"/>
        <item x="50"/>
        <item x="13"/>
        <item x="29"/>
        <item x="20"/>
        <item x="46"/>
        <item x="85"/>
        <item x="30"/>
        <item x="12"/>
        <item x="21"/>
        <item x="87"/>
        <item x="19"/>
        <item x="97"/>
        <item x="72"/>
        <item x="47"/>
        <item x="55"/>
        <item x="25"/>
        <item x="23"/>
        <item x="99"/>
        <item x="92"/>
        <item x="17"/>
        <item x="91"/>
        <item x="94"/>
        <item x="32"/>
        <item x="88"/>
        <item x="37"/>
        <item x="52"/>
        <item x="61"/>
        <item x="51"/>
        <item x="4"/>
        <item x="56"/>
        <item x="45"/>
        <item x="33"/>
        <item x="15"/>
        <item x="65"/>
        <item x="86"/>
        <item x="63"/>
        <item x="76"/>
        <item x="41"/>
        <item x="49"/>
        <item x="71"/>
        <item x="103"/>
        <item x="34"/>
        <item x="24"/>
        <item x="98"/>
        <item x="93"/>
        <item x="14"/>
        <item x="84"/>
        <item x="39"/>
        <item x="53"/>
        <item x="89"/>
        <item x="8"/>
        <item x="59"/>
        <item x="77"/>
        <item x="62"/>
        <item x="18"/>
        <item x="31"/>
        <item x="106"/>
        <item x="75"/>
        <item x="100"/>
        <item x="57"/>
        <item x="38"/>
        <item x="43"/>
        <item x="0"/>
        <item x="1"/>
        <item x="104"/>
        <item x="73"/>
        <item x="83"/>
        <item x="3"/>
        <item x="44"/>
        <item x="60"/>
        <item x="10"/>
        <item x="11"/>
        <item x="26"/>
        <item x="9"/>
        <item x="64"/>
        <item x="81"/>
        <item x="96"/>
        <item x="95"/>
        <item x="2"/>
        <item x="101"/>
        <item x="90"/>
        <item x="70"/>
        <item x="79"/>
        <item x="42"/>
        <item x="78"/>
        <item x="74"/>
        <item x="48"/>
        <item x="27"/>
        <item x="105"/>
        <item x="6"/>
        <item x="82"/>
        <item x="22"/>
        <item x="68"/>
        <item x="80"/>
        <item x="5"/>
        <item x="107"/>
        <item x="69"/>
        <item x="67"/>
        <item x="58"/>
        <item x="108"/>
        <item t="default" sd="0"/>
      </items>
    </pivotField>
    <pivotField name="Total Line Item $" axis="axisValues" dataField="1" compact="0" outline="0" showAll="0"/>
  </pivotFields>
  <rowFields count="1">
    <field x="0"/>
  </rowFields>
  <rowItems count="105">
    <i>
      <x v="103"/>
    </i>
    <i>
      <x v="102"/>
    </i>
    <i>
      <x v="101"/>
    </i>
    <i>
      <x v="100"/>
    </i>
    <i>
      <x v="99"/>
    </i>
    <i>
      <x v="98"/>
    </i>
    <i>
      <x v="97"/>
    </i>
    <i>
      <x v="96"/>
    </i>
    <i>
      <x v="95"/>
    </i>
    <i>
      <x v="94"/>
    </i>
    <i>
      <x v="93"/>
    </i>
    <i>
      <x v="92"/>
    </i>
    <i>
      <x v="91"/>
    </i>
    <i>
      <x v="90"/>
    </i>
    <i>
      <x v="89"/>
    </i>
    <i>
      <x v="88"/>
    </i>
    <i>
      <x v="87"/>
    </i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4"/>
    </i>
    <i>
      <x v="12"/>
    </i>
    <i>
      <x v="13"/>
    </i>
    <i>
      <x v="11"/>
    </i>
    <i>
      <x v="10"/>
    </i>
    <i>
      <x v="9"/>
    </i>
    <i>
      <x v="8"/>
    </i>
    <i>
      <x v="7"/>
    </i>
    <i>
      <x v="6"/>
    </i>
    <i>
      <x v="2"/>
    </i>
    <i>
      <x v="5"/>
    </i>
    <i>
      <x v="4"/>
    </i>
    <i>
      <x v="3"/>
    </i>
    <i>
      <x v="1"/>
    </i>
    <i>
      <x/>
    </i>
    <i t="grand">
      <x/>
    </i>
  </rowItems>
  <colItems count="1">
    <i/>
  </colItems>
  <dataFields count="1">
    <dataField name="Sum of Total Line Item $" fld="4" numFmtId="60"/>
  </dataFields>
  <pivotTableStyleInfo name="PivotStyleCustom13" showRowHeaders="1" showColHeaders="1" showRowStripes="1" showColStripes="0" showLastColumn="1"/>
</pivotTableDefinition>
</file>

<file path=xl/pivotTables/pivotTable14.xml><?xml version="1.0" encoding="utf-8"?>
<pivotTableDefinition xmlns="http://schemas.openxmlformats.org/spreadsheetml/2006/main" name="April 2024 Sales by Customer" cacheId="13" dataPosition="0" autoFormatId="0" applyNumberFormats="0" applyBorderFormats="0" applyFontFormats="0" applyPatternFormats="0" applyAlignmentFormats="0" applyWidthHeightFormats="1" dataCaption="" missingCaption="" pivotTableStyle="PivotStyleCustom14" updatedVersion="7" useAutoFormatting="1" createdVersion="7" indent="0" showEmptyCol="1" showEmptyRow="1" compact="0" compactData="0" multipleFieldFilters="0">
  <location ref="I430:O565" firstHeaderRow="1" firstDataRow="2" firstDataCol="4"/>
  <pivotFields count="8">
    <pivotField name="Sales Order" axis="axisRow" compact="0" numFmtId="49" outline="0" showAll="0" sortType="ascending">
      <items count="167">
        <item sd="0" x="165"/>
        <item sd="0" x="164"/>
        <item sd="0" x="163"/>
        <item sd="0" x="162"/>
        <item sd="0" x="161"/>
        <item sd="0" x="160"/>
        <item sd="0" x="159"/>
        <item sd="0" x="158"/>
        <item sd="0" x="157"/>
        <item sd="0" x="156"/>
        <item sd="0" x="155"/>
        <item sd="0" x="154"/>
        <item sd="0" x="153"/>
        <item sd="0" x="152"/>
        <item sd="0" x="151"/>
        <item sd="0" x="150"/>
        <item sd="0" x="149"/>
        <item sd="0" x="148"/>
        <item sd="0" x="147"/>
        <item sd="0" x="146"/>
        <item sd="0" x="145"/>
        <item sd="0" x="144"/>
        <item sd="0" x="143"/>
        <item sd="0" x="142"/>
        <item sd="0" x="141"/>
        <item sd="0" x="140"/>
        <item sd="0" x="139"/>
        <item sd="0" x="138"/>
        <item sd="0" x="137"/>
        <item sd="0" x="136"/>
        <item sd="0" x="135"/>
        <item sd="0" x="134"/>
        <item sd="0" x="133"/>
        <item sd="0" x="132"/>
        <item sd="0" x="131"/>
        <item sd="0" x="130"/>
        <item sd="0" x="129"/>
        <item sd="0" x="128"/>
        <item sd="0" x="127"/>
        <item sd="0" x="126"/>
        <item sd="0" x="125"/>
        <item sd="0" x="124"/>
        <item sd="0" x="123"/>
        <item sd="0" x="122"/>
        <item sd="0" x="121"/>
        <item sd="0" x="120"/>
        <item sd="0" x="119"/>
        <item sd="0" x="118"/>
        <item sd="0" x="117"/>
        <item sd="0" x="116"/>
        <item sd="0" x="115"/>
        <item sd="0" x="114"/>
        <item sd="0" x="113"/>
        <item sd="0" x="112"/>
        <item sd="0" x="111"/>
        <item sd="0" x="110"/>
        <item sd="0" x="109"/>
        <item sd="0" x="108"/>
        <item sd="0" x="107"/>
        <item sd="0" x="106"/>
        <item sd="0" x="105"/>
        <item sd="0" x="104"/>
        <item sd="0" x="103"/>
        <item sd="0" x="102"/>
        <item sd="0" x="101"/>
        <item sd="0" x="100"/>
        <item sd="0" x="99"/>
        <item sd="0" x="98"/>
        <item sd="0" x="97"/>
        <item sd="0" x="96"/>
        <item sd="0" x="95"/>
        <item sd="0" x="94"/>
        <item sd="0" x="93"/>
        <item sd="0" x="92"/>
        <item sd="0" x="91"/>
        <item sd="0" x="90"/>
        <item sd="0" x="89"/>
        <item sd="0" x="88"/>
        <item sd="0" x="87"/>
        <item sd="0" x="86"/>
        <item sd="0" x="85"/>
        <item sd="0" x="84"/>
        <item sd="0" x="83"/>
        <item sd="0" x="82"/>
        <item sd="0" x="81"/>
        <item sd="0" x="80"/>
        <item sd="0" x="79"/>
        <item sd="0" x="78"/>
        <item sd="0" x="77"/>
        <item sd="0" x="76"/>
        <item sd="0" x="75"/>
        <item sd="0" x="74"/>
        <item sd="0" x="73"/>
        <item sd="0" x="72"/>
        <item sd="0" x="71"/>
        <item sd="0" x="70"/>
        <item sd="0" x="69"/>
        <item sd="0" x="68"/>
        <item sd="0" x="67"/>
        <item sd="0" x="66"/>
        <item sd="0" x="65"/>
        <item sd="0" x="64"/>
        <item sd="0" x="63"/>
        <item sd="0" x="62"/>
        <item sd="0" x="61"/>
        <item sd="0" x="60"/>
        <item sd="0" x="59"/>
        <item sd="0" x="58"/>
        <item sd="0" x="57"/>
        <item sd="0" x="56"/>
        <item sd="0" x="55"/>
        <item sd="0" x="54"/>
        <item sd="0" x="53"/>
        <item sd="0" x="52"/>
        <item sd="0" x="51"/>
        <item sd="0" x="50"/>
        <item sd="0" x="49"/>
        <item sd="0" x="48"/>
        <item sd="0" x="47"/>
        <item sd="0" x="46"/>
        <item sd="0" x="45"/>
        <item sd="0" x="44"/>
        <item sd="0" x="43"/>
        <item sd="0" x="42"/>
        <item sd="0" x="41"/>
        <item sd="0" x="40"/>
        <item sd="0" x="39"/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5"/>
        <item sd="0" x="24"/>
        <item sd="0" x="23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name="Customer" axis="axisRow" compact="0" numFmtId="49" outline="0" showAll="0" sortType="ascending">
      <items count="134">
        <item sd="0" x="11"/>
        <item sd="0" x="131"/>
        <item sd="0" x="66"/>
        <item sd="0" x="22"/>
        <item sd="0" x="60"/>
        <item sd="0" x="85"/>
        <item sd="0" x="16"/>
        <item sd="0" x="5"/>
        <item sd="0" x="19"/>
        <item sd="0" x="102"/>
        <item sd="0" x="24"/>
        <item sd="0" x="8"/>
        <item sd="0" x="90"/>
        <item sd="0" x="7"/>
        <item sd="0" x="69"/>
        <item sd="0" x="115"/>
        <item sd="0" x="31"/>
        <item sd="0" x="130"/>
        <item sd="0" x="108"/>
        <item sd="0" x="76"/>
        <item sd="0" x="53"/>
        <item sd="0" x="46"/>
        <item sd="0" x="30"/>
        <item sd="0" x="48"/>
        <item sd="0" x="78"/>
        <item sd="0" x="57"/>
        <item sd="0" x="81"/>
        <item sd="0" x="93"/>
        <item sd="0" x="51"/>
        <item sd="0" x="70"/>
        <item sd="0" x="18"/>
        <item sd="0" x="58"/>
        <item sd="0" x="44"/>
        <item sd="0" x="55"/>
        <item sd="0" x="95"/>
        <item sd="0" x="86"/>
        <item sd="0" x="26"/>
        <item sd="0" x="12"/>
        <item sd="0" x="72"/>
        <item sd="0" x="56"/>
        <item sd="0" x="97"/>
        <item sd="0" x="92"/>
        <item sd="0" x="62"/>
        <item sd="0" x="105"/>
        <item sd="0" x="132"/>
        <item sd="0" x="0"/>
        <item sd="0" x="101"/>
        <item sd="0" x="59"/>
        <item sd="0" x="28"/>
        <item sd="0" x="36"/>
        <item sd="0" x="49"/>
        <item sd="0" x="10"/>
        <item sd="0" x="87"/>
        <item sd="0" x="34"/>
        <item sd="0" x="103"/>
        <item sd="0" x="84"/>
        <item sd="0" x="129"/>
        <item sd="0" x="9"/>
        <item sd="0" x="65"/>
        <item sd="0" x="121"/>
        <item sd="0" x="75"/>
        <item sd="0" x="71"/>
        <item sd="0" x="15"/>
        <item sd="0" x="122"/>
        <item sd="0" x="29"/>
        <item sd="0" x="114"/>
        <item sd="0" x="23"/>
        <item sd="0" x="67"/>
        <item sd="0" x="25"/>
        <item sd="0" x="83"/>
        <item sd="0" x="2"/>
        <item sd="0" x="39"/>
        <item sd="0" x="1"/>
        <item sd="0" x="6"/>
        <item sd="0" x="33"/>
        <item sd="0" x="73"/>
        <item sd="0" x="111"/>
        <item sd="0" x="40"/>
        <item sd="0" x="125"/>
        <item sd="0" x="4"/>
        <item sd="0" x="119"/>
        <item sd="0" x="113"/>
        <item sd="0" x="98"/>
        <item sd="0" x="32"/>
        <item sd="0" x="104"/>
        <item sd="0" x="116"/>
        <item sd="0" x="68"/>
        <item sd="0" x="99"/>
        <item sd="0" x="3"/>
        <item sd="0" x="79"/>
        <item sd="0" x="61"/>
        <item sd="0" x="117"/>
        <item sd="0" x="50"/>
        <item sd="0" x="14"/>
        <item sd="0" x="123"/>
        <item sd="0" x="89"/>
        <item sd="0" x="100"/>
        <item sd="0" x="128"/>
        <item sd="0" x="126"/>
        <item sd="0" x="94"/>
        <item sd="0" x="45"/>
        <item sd="0" x="107"/>
        <item sd="0" x="21"/>
        <item sd="0" x="88"/>
        <item sd="0" x="124"/>
        <item sd="0" x="35"/>
        <item sd="0" x="80"/>
        <item sd="0" x="127"/>
        <item sd="0" x="91"/>
        <item sd="0" x="37"/>
        <item sd="0" x="20"/>
        <item sd="0" x="109"/>
        <item sd="0" x="13"/>
        <item sd="0" x="77"/>
        <item sd="0" x="110"/>
        <item sd="0" x="42"/>
        <item sd="0" x="64"/>
        <item sd="0" x="27"/>
        <item sd="0" x="112"/>
        <item sd="0" x="43"/>
        <item sd="0" x="17"/>
        <item sd="0" x="106"/>
        <item sd="0" x="82"/>
        <item sd="0" x="41"/>
        <item sd="0" x="74"/>
        <item sd="0" x="52"/>
        <item sd="0" x="63"/>
        <item sd="0" x="96"/>
        <item sd="0" x="47"/>
        <item sd="0" x="120"/>
        <item sd="0" x="118"/>
        <item sd="0" x="54"/>
        <item sd="0" x="38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21">
        <item x="78"/>
        <item x="17"/>
        <item x="119"/>
        <item x="28"/>
        <item x="98"/>
        <item x="95"/>
        <item x="25"/>
        <item x="104"/>
        <item x="105"/>
        <item x="89"/>
        <item x="93"/>
        <item x="69"/>
        <item x="90"/>
        <item x="57"/>
        <item x="42"/>
        <item x="117"/>
        <item x="50"/>
        <item x="15"/>
        <item x="38"/>
        <item x="39"/>
        <item x="60"/>
        <item x="72"/>
        <item x="81"/>
        <item x="9"/>
        <item x="36"/>
        <item x="80"/>
        <item x="71"/>
        <item x="102"/>
        <item x="2"/>
        <item x="20"/>
        <item x="51"/>
        <item x="49"/>
        <item x="7"/>
        <item x="103"/>
        <item x="116"/>
        <item x="74"/>
        <item x="77"/>
        <item x="91"/>
        <item x="113"/>
        <item x="83"/>
        <item x="79"/>
        <item x="67"/>
        <item x="68"/>
        <item x="73"/>
        <item x="56"/>
        <item x="85"/>
        <item x="75"/>
        <item x="63"/>
        <item x="3"/>
        <item x="76"/>
        <item x="31"/>
        <item x="45"/>
        <item x="82"/>
        <item x="5"/>
        <item x="55"/>
        <item x="14"/>
        <item x="37"/>
        <item x="24"/>
        <item x="30"/>
        <item x="0"/>
        <item x="8"/>
        <item x="94"/>
        <item x="26"/>
        <item x="12"/>
        <item x="99"/>
        <item x="32"/>
        <item x="41"/>
        <item x="13"/>
        <item x="27"/>
        <item x="54"/>
        <item x="86"/>
        <item x="97"/>
        <item x="110"/>
        <item x="11"/>
        <item x="53"/>
        <item x="22"/>
        <item x="23"/>
        <item x="4"/>
        <item x="6"/>
        <item x="112"/>
        <item x="70"/>
        <item x="62"/>
        <item x="48"/>
        <item x="100"/>
        <item x="106"/>
        <item x="107"/>
        <item x="108"/>
        <item x="109"/>
        <item x="58"/>
        <item x="19"/>
        <item x="44"/>
        <item x="10"/>
        <item x="111"/>
        <item x="21"/>
        <item x="61"/>
        <item x="18"/>
        <item x="101"/>
        <item x="40"/>
        <item x="66"/>
        <item x="115"/>
        <item x="52"/>
        <item x="84"/>
        <item x="114"/>
        <item x="46"/>
        <item x="47"/>
        <item x="16"/>
        <item x="87"/>
        <item x="35"/>
        <item x="59"/>
        <item x="92"/>
        <item x="34"/>
        <item x="1"/>
        <item x="33"/>
        <item x="118"/>
        <item x="29"/>
        <item x="43"/>
        <item x="65"/>
        <item x="64"/>
        <item x="88"/>
        <item x="96"/>
        <item t="default" sd="0"/>
      </items>
    </pivotField>
    <pivotField name="Line Item Description" compact="0" outline="0" showAll="0">
      <items count="150">
        <item x="12"/>
        <item x="76"/>
        <item x="46"/>
        <item x="148"/>
        <item x="23"/>
        <item x="27"/>
        <item x="124"/>
        <item x="116"/>
        <item x="113"/>
        <item x="138"/>
        <item x="144"/>
        <item x="24"/>
        <item x="125"/>
        <item x="126"/>
        <item x="127"/>
        <item x="128"/>
        <item x="129"/>
        <item x="90"/>
        <item x="71"/>
        <item x="54"/>
        <item x="104"/>
        <item x="120"/>
        <item x="47"/>
        <item x="72"/>
        <item x="115"/>
        <item x="117"/>
        <item x="50"/>
        <item x="139"/>
        <item x="89"/>
        <item x="59"/>
        <item x="92"/>
        <item x="15"/>
        <item x="88"/>
        <item x="69"/>
        <item x="99"/>
        <item x="114"/>
        <item x="43"/>
        <item x="25"/>
        <item x="40"/>
        <item x="44"/>
        <item x="96"/>
        <item x="9"/>
        <item x="0"/>
        <item x="1"/>
        <item x="8"/>
        <item x="20"/>
        <item x="7"/>
        <item x="77"/>
        <item x="21"/>
        <item x="95"/>
        <item x="103"/>
        <item x="79"/>
        <item x="3"/>
        <item x="130"/>
        <item x="93"/>
        <item x="38"/>
        <item x="52"/>
        <item x="67"/>
        <item x="100"/>
        <item x="5"/>
        <item x="122"/>
        <item x="64"/>
        <item x="29"/>
        <item x="70"/>
        <item x="14"/>
        <item x="78"/>
        <item x="145"/>
        <item x="30"/>
        <item x="31"/>
        <item x="32"/>
        <item x="45"/>
        <item x="33"/>
        <item x="34"/>
        <item x="35"/>
        <item x="36"/>
        <item x="65"/>
        <item x="37"/>
        <item x="2"/>
        <item x="136"/>
        <item x="66"/>
        <item x="18"/>
        <item x="101"/>
        <item x="97"/>
        <item x="83"/>
        <item x="112"/>
        <item x="118"/>
        <item x="48"/>
        <item x="13"/>
        <item x="39"/>
        <item x="11"/>
        <item x="22"/>
        <item x="68"/>
        <item x="42"/>
        <item x="26"/>
        <item x="49"/>
        <item x="108"/>
        <item x="82"/>
        <item x="61"/>
        <item x="62"/>
        <item x="111"/>
        <item x="131"/>
        <item x="4"/>
        <item x="53"/>
        <item x="55"/>
        <item x="137"/>
        <item x="16"/>
        <item x="133"/>
        <item x="86"/>
        <item x="6"/>
        <item x="57"/>
        <item x="106"/>
        <item x="75"/>
        <item x="56"/>
        <item x="17"/>
        <item x="119"/>
        <item x="110"/>
        <item x="58"/>
        <item x="147"/>
        <item x="121"/>
        <item x="109"/>
        <item x="146"/>
        <item x="91"/>
        <item x="94"/>
        <item x="140"/>
        <item x="41"/>
        <item x="73"/>
        <item x="19"/>
        <item x="60"/>
        <item x="132"/>
        <item x="141"/>
        <item x="28"/>
        <item x="107"/>
        <item x="143"/>
        <item x="105"/>
        <item x="74"/>
        <item x="51"/>
        <item x="81"/>
        <item x="84"/>
        <item x="135"/>
        <item x="102"/>
        <item x="98"/>
        <item x="123"/>
        <item x="87"/>
        <item x="134"/>
        <item x="85"/>
        <item x="10"/>
        <item x="142"/>
        <item x="80"/>
        <item x="63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34">
    <i>
      <x/>
    </i>
    <i>
      <x v="2"/>
    </i>
    <i>
      <x v="3"/>
    </i>
    <i>
      <x v="4"/>
    </i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129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>
      <x v="40"/>
    </i>
    <i>
      <x v="37"/>
    </i>
    <i>
      <x v="41"/>
    </i>
    <i>
      <x v="38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130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131"/>
    </i>
    <i>
      <x v="98"/>
    </i>
    <i>
      <x v="99"/>
    </i>
    <i>
      <x v="101"/>
    </i>
    <i>
      <x v="102"/>
    </i>
    <i>
      <x v="103"/>
    </i>
    <i>
      <x v="104"/>
    </i>
    <i>
      <x v="105"/>
    </i>
    <i>
      <x v="106"/>
    </i>
    <i>
      <x v="132"/>
    </i>
    <i>
      <x v="107"/>
    </i>
    <i>
      <x v="108"/>
    </i>
    <i>
      <x v="100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1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14" showRowHeaders="1" showColHeaders="1" showRowStripes="1" showColStripes="0" showLastColumn="1"/>
</pivotTableDefinition>
</file>

<file path=xl/pivotTables/pivotTable15.xml><?xml version="1.0" encoding="utf-8"?>
<pivotTableDefinition xmlns="http://schemas.openxmlformats.org/spreadsheetml/2006/main" name="April 2024 Sales by SKU" cacheId="14" dataPosition="0" autoFormatId="0" applyNumberFormats="0" applyBorderFormats="0" applyFontFormats="0" applyPatternFormats="0" applyAlignmentFormats="0" applyWidthHeightFormats="1" dataCaption="" missingCaption="" pivotTableStyle="PivotStyleCustom15" updatedVersion="7" useAutoFormatting="1" createdVersion="7" indent="0" showEmptyCol="1" showEmptyRow="1" compact="0" compactData="0" multipleFieldFilters="0">
  <location ref="P568:Q689" firstHeaderRow="1" firstDataRow="1" firstDataCol="1"/>
  <pivotFields count="3">
    <pivotField name="Line Item Name" axis="axisRow" compact="0" numFmtId="49" outline="0" showAll="0" sortType="ascending">
      <items count="121">
        <item x="78"/>
        <item x="17"/>
        <item x="119"/>
        <item x="28"/>
        <item x="98"/>
        <item x="95"/>
        <item x="25"/>
        <item x="104"/>
        <item x="105"/>
        <item x="89"/>
        <item x="93"/>
        <item x="69"/>
        <item x="90"/>
        <item x="57"/>
        <item x="42"/>
        <item x="117"/>
        <item x="50"/>
        <item x="15"/>
        <item x="38"/>
        <item x="39"/>
        <item x="60"/>
        <item x="72"/>
        <item x="81"/>
        <item x="9"/>
        <item x="36"/>
        <item x="80"/>
        <item x="71"/>
        <item x="102"/>
        <item x="2"/>
        <item x="20"/>
        <item x="51"/>
        <item x="49"/>
        <item x="7"/>
        <item x="103"/>
        <item x="116"/>
        <item x="74"/>
        <item x="77"/>
        <item x="91"/>
        <item x="113"/>
        <item x="83"/>
        <item x="79"/>
        <item x="67"/>
        <item x="68"/>
        <item x="73"/>
        <item x="56"/>
        <item x="85"/>
        <item x="75"/>
        <item x="63"/>
        <item x="3"/>
        <item x="76"/>
        <item x="31"/>
        <item x="45"/>
        <item x="82"/>
        <item x="5"/>
        <item x="55"/>
        <item x="14"/>
        <item x="37"/>
        <item x="24"/>
        <item x="30"/>
        <item x="0"/>
        <item x="8"/>
        <item x="94"/>
        <item x="26"/>
        <item x="12"/>
        <item x="99"/>
        <item x="32"/>
        <item x="41"/>
        <item x="13"/>
        <item x="27"/>
        <item x="54"/>
        <item x="86"/>
        <item x="97"/>
        <item x="110"/>
        <item x="11"/>
        <item x="53"/>
        <item x="22"/>
        <item x="23"/>
        <item x="4"/>
        <item x="6"/>
        <item x="112"/>
        <item x="70"/>
        <item x="62"/>
        <item x="48"/>
        <item x="100"/>
        <item x="106"/>
        <item x="107"/>
        <item x="108"/>
        <item x="109"/>
        <item x="58"/>
        <item x="19"/>
        <item x="44"/>
        <item x="10"/>
        <item x="111"/>
        <item x="21"/>
        <item x="61"/>
        <item x="18"/>
        <item x="101"/>
        <item x="40"/>
        <item x="66"/>
        <item x="115"/>
        <item x="52"/>
        <item x="84"/>
        <item x="114"/>
        <item x="46"/>
        <item x="47"/>
        <item x="16"/>
        <item x="87"/>
        <item x="35"/>
        <item x="59"/>
        <item x="92"/>
        <item x="34"/>
        <item x="1"/>
        <item x="33"/>
        <item x="118"/>
        <item x="29"/>
        <item x="43"/>
        <item x="65"/>
        <item x="64"/>
        <item x="88"/>
        <item x="96"/>
        <item t="default" sd="0"/>
      </items>
    </pivotField>
    <pivotField name="Line Item Description" compact="0" outline="0" showAll="0">
      <items count="150">
        <item x="12"/>
        <item x="76"/>
        <item x="46"/>
        <item x="148"/>
        <item x="23"/>
        <item x="27"/>
        <item x="124"/>
        <item x="116"/>
        <item x="113"/>
        <item x="138"/>
        <item x="144"/>
        <item x="24"/>
        <item x="125"/>
        <item x="126"/>
        <item x="127"/>
        <item x="128"/>
        <item x="129"/>
        <item x="90"/>
        <item x="71"/>
        <item x="54"/>
        <item x="104"/>
        <item x="120"/>
        <item x="47"/>
        <item x="72"/>
        <item x="115"/>
        <item x="117"/>
        <item x="50"/>
        <item x="139"/>
        <item x="89"/>
        <item x="59"/>
        <item x="92"/>
        <item x="15"/>
        <item x="88"/>
        <item x="69"/>
        <item x="99"/>
        <item x="114"/>
        <item x="43"/>
        <item x="25"/>
        <item x="40"/>
        <item x="44"/>
        <item x="96"/>
        <item x="9"/>
        <item x="0"/>
        <item x="1"/>
        <item x="8"/>
        <item x="20"/>
        <item x="7"/>
        <item x="77"/>
        <item x="21"/>
        <item x="95"/>
        <item x="103"/>
        <item x="79"/>
        <item x="3"/>
        <item x="130"/>
        <item x="93"/>
        <item x="38"/>
        <item x="52"/>
        <item x="67"/>
        <item x="100"/>
        <item x="5"/>
        <item x="122"/>
        <item x="64"/>
        <item x="29"/>
        <item x="70"/>
        <item x="14"/>
        <item x="78"/>
        <item x="145"/>
        <item x="30"/>
        <item x="31"/>
        <item x="32"/>
        <item x="45"/>
        <item x="33"/>
        <item x="34"/>
        <item x="35"/>
        <item x="36"/>
        <item x="65"/>
        <item x="37"/>
        <item x="2"/>
        <item x="136"/>
        <item x="66"/>
        <item x="18"/>
        <item x="101"/>
        <item x="97"/>
        <item x="83"/>
        <item x="112"/>
        <item x="118"/>
        <item x="48"/>
        <item x="13"/>
        <item x="39"/>
        <item x="11"/>
        <item x="22"/>
        <item x="68"/>
        <item x="42"/>
        <item x="26"/>
        <item x="49"/>
        <item x="108"/>
        <item x="82"/>
        <item x="61"/>
        <item x="62"/>
        <item x="111"/>
        <item x="131"/>
        <item x="4"/>
        <item x="53"/>
        <item x="55"/>
        <item x="137"/>
        <item x="16"/>
        <item x="133"/>
        <item x="86"/>
        <item x="6"/>
        <item x="57"/>
        <item x="106"/>
        <item x="75"/>
        <item x="56"/>
        <item x="17"/>
        <item x="119"/>
        <item x="110"/>
        <item x="58"/>
        <item x="147"/>
        <item x="121"/>
        <item x="109"/>
        <item x="146"/>
        <item x="91"/>
        <item x="94"/>
        <item x="140"/>
        <item x="41"/>
        <item x="73"/>
        <item x="19"/>
        <item x="60"/>
        <item x="132"/>
        <item x="141"/>
        <item x="28"/>
        <item x="107"/>
        <item x="143"/>
        <item x="105"/>
        <item x="74"/>
        <item x="51"/>
        <item x="81"/>
        <item x="84"/>
        <item x="135"/>
        <item x="102"/>
        <item x="98"/>
        <item x="123"/>
        <item x="87"/>
        <item x="134"/>
        <item x="85"/>
        <item x="10"/>
        <item x="142"/>
        <item x="80"/>
        <item x="63"/>
        <item t="default" sd="0"/>
      </items>
    </pivotField>
    <pivotField name="Order Quantity" axis="axisValues" dataField="1" compact="0" outline="0" showAll="0"/>
  </pivotFields>
  <rowFields count="1">
    <field x="0"/>
  </rowFields>
  <rowItems count="121">
    <i>
      <x v="119"/>
    </i>
    <i>
      <x v="118"/>
    </i>
    <i>
      <x v="117"/>
    </i>
    <i>
      <x v="116"/>
    </i>
    <i>
      <x v="115"/>
    </i>
    <i>
      <x v="114"/>
    </i>
    <i>
      <x v="113"/>
    </i>
    <i>
      <x v="112"/>
    </i>
    <i>
      <x v="111"/>
    </i>
    <i>
      <x v="110"/>
    </i>
    <i>
      <x v="109"/>
    </i>
    <i>
      <x v="107"/>
    </i>
    <i>
      <x v="108"/>
    </i>
    <i>
      <x v="106"/>
    </i>
    <i>
      <x v="105"/>
    </i>
    <i>
      <x v="104"/>
    </i>
    <i>
      <x v="103"/>
    </i>
    <i>
      <x v="102"/>
    </i>
    <i>
      <x v="101"/>
    </i>
    <i>
      <x v="100"/>
    </i>
    <i>
      <x v="99"/>
    </i>
    <i>
      <x v="98"/>
    </i>
    <i>
      <x v="97"/>
    </i>
    <i>
      <x v="96"/>
    </i>
    <i>
      <x v="95"/>
    </i>
    <i>
      <x v="94"/>
    </i>
    <i>
      <x v="93"/>
    </i>
    <i>
      <x v="92"/>
    </i>
    <i>
      <x v="91"/>
    </i>
    <i>
      <x v="90"/>
    </i>
    <i>
      <x v="89"/>
    </i>
    <i>
      <x v="88"/>
    </i>
    <i>
      <x v="87"/>
    </i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3"/>
    </i>
    <i>
      <x v="12"/>
    </i>
    <i>
      <x v="11"/>
    </i>
    <i>
      <x v="14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Order Quantity" fld="2"/>
  </dataFields>
  <pivotTableStyleInfo name="PivotStyleCustom15" showRowHeaders="1" showColHeaders="1" showRowStripes="1" showColStripes="0" showLastColumn="1"/>
</pivotTableDefinition>
</file>

<file path=xl/pivotTables/pivotTable16.xml><?xml version="1.0" encoding="utf-8"?>
<pivotTableDefinition xmlns="http://schemas.openxmlformats.org/spreadsheetml/2006/main" name="April 2024 Sales by SKU$" cacheId="15" dataPosition="0" autoFormatId="0" applyNumberFormats="0" applyBorderFormats="0" applyFontFormats="0" applyPatternFormats="0" applyAlignmentFormats="0" applyWidthHeightFormats="1" dataCaption="" missingCaption="" pivotTableStyle="PivotStyleCustom16" updatedVersion="7" useAutoFormatting="1" createdVersion="7" indent="0" showEmptyCol="1" showEmptyRow="1" compact="0" compactData="0" multipleFieldFilters="0">
  <location ref="R692:S813" firstHeaderRow="1" firstDataRow="1" firstDataCol="1"/>
  <pivotFields count="5">
    <pivotField name="Line Item Name" axis="axisRow" compact="0" numFmtId="49" outline="0" showAll="0" sortType="ascending">
      <items count="121">
        <item x="78"/>
        <item x="17"/>
        <item x="119"/>
        <item x="28"/>
        <item x="98"/>
        <item x="95"/>
        <item x="25"/>
        <item x="104"/>
        <item x="105"/>
        <item x="89"/>
        <item x="93"/>
        <item x="69"/>
        <item x="90"/>
        <item x="57"/>
        <item x="42"/>
        <item x="117"/>
        <item x="50"/>
        <item x="15"/>
        <item x="38"/>
        <item x="39"/>
        <item x="60"/>
        <item x="72"/>
        <item x="81"/>
        <item x="9"/>
        <item x="36"/>
        <item x="80"/>
        <item x="71"/>
        <item x="102"/>
        <item x="2"/>
        <item x="20"/>
        <item x="51"/>
        <item x="49"/>
        <item x="7"/>
        <item x="103"/>
        <item x="116"/>
        <item x="74"/>
        <item x="77"/>
        <item x="91"/>
        <item x="113"/>
        <item x="83"/>
        <item x="79"/>
        <item x="67"/>
        <item x="68"/>
        <item x="73"/>
        <item x="56"/>
        <item x="85"/>
        <item x="75"/>
        <item x="63"/>
        <item x="3"/>
        <item x="76"/>
        <item x="31"/>
        <item x="45"/>
        <item x="82"/>
        <item x="5"/>
        <item x="55"/>
        <item x="14"/>
        <item x="37"/>
        <item x="24"/>
        <item x="30"/>
        <item x="0"/>
        <item x="8"/>
        <item x="94"/>
        <item x="26"/>
        <item x="12"/>
        <item x="99"/>
        <item x="32"/>
        <item x="41"/>
        <item x="13"/>
        <item x="27"/>
        <item x="54"/>
        <item x="86"/>
        <item x="97"/>
        <item x="110"/>
        <item x="11"/>
        <item x="53"/>
        <item x="22"/>
        <item x="23"/>
        <item x="4"/>
        <item x="6"/>
        <item x="112"/>
        <item x="70"/>
        <item x="62"/>
        <item x="48"/>
        <item x="100"/>
        <item x="106"/>
        <item x="107"/>
        <item x="108"/>
        <item x="109"/>
        <item x="58"/>
        <item x="19"/>
        <item x="44"/>
        <item x="10"/>
        <item x="111"/>
        <item x="21"/>
        <item x="61"/>
        <item x="18"/>
        <item x="101"/>
        <item x="40"/>
        <item x="66"/>
        <item x="115"/>
        <item x="52"/>
        <item x="84"/>
        <item x="114"/>
        <item x="46"/>
        <item x="47"/>
        <item x="16"/>
        <item x="87"/>
        <item x="35"/>
        <item x="59"/>
        <item x="92"/>
        <item x="34"/>
        <item x="1"/>
        <item x="33"/>
        <item x="118"/>
        <item x="29"/>
        <item x="43"/>
        <item x="65"/>
        <item x="64"/>
        <item x="88"/>
        <item x="96"/>
        <item t="default" sd="0"/>
      </items>
    </pivotField>
    <pivotField name="Line Item Description" compact="0" outline="0" showAll="0">
      <items count="150">
        <item x="12"/>
        <item x="76"/>
        <item x="46"/>
        <item x="148"/>
        <item x="23"/>
        <item x="27"/>
        <item x="124"/>
        <item x="116"/>
        <item x="113"/>
        <item x="138"/>
        <item x="144"/>
        <item x="24"/>
        <item x="125"/>
        <item x="126"/>
        <item x="127"/>
        <item x="128"/>
        <item x="129"/>
        <item x="90"/>
        <item x="71"/>
        <item x="54"/>
        <item x="104"/>
        <item x="120"/>
        <item x="47"/>
        <item x="72"/>
        <item x="115"/>
        <item x="117"/>
        <item x="50"/>
        <item x="139"/>
        <item x="89"/>
        <item x="59"/>
        <item x="92"/>
        <item x="15"/>
        <item x="88"/>
        <item x="69"/>
        <item x="99"/>
        <item x="114"/>
        <item x="43"/>
        <item x="25"/>
        <item x="40"/>
        <item x="44"/>
        <item x="96"/>
        <item x="9"/>
        <item x="0"/>
        <item x="1"/>
        <item x="8"/>
        <item x="20"/>
        <item x="7"/>
        <item x="77"/>
        <item x="21"/>
        <item x="95"/>
        <item x="103"/>
        <item x="79"/>
        <item x="3"/>
        <item x="130"/>
        <item x="93"/>
        <item x="38"/>
        <item x="52"/>
        <item x="67"/>
        <item x="100"/>
        <item x="5"/>
        <item x="122"/>
        <item x="64"/>
        <item x="29"/>
        <item x="70"/>
        <item x="14"/>
        <item x="78"/>
        <item x="145"/>
        <item x="30"/>
        <item x="31"/>
        <item x="32"/>
        <item x="45"/>
        <item x="33"/>
        <item x="34"/>
        <item x="35"/>
        <item x="36"/>
        <item x="65"/>
        <item x="37"/>
        <item x="2"/>
        <item x="136"/>
        <item x="66"/>
        <item x="18"/>
        <item x="101"/>
        <item x="97"/>
        <item x="83"/>
        <item x="112"/>
        <item x="118"/>
        <item x="48"/>
        <item x="13"/>
        <item x="39"/>
        <item x="11"/>
        <item x="22"/>
        <item x="68"/>
        <item x="42"/>
        <item x="26"/>
        <item x="49"/>
        <item x="108"/>
        <item x="82"/>
        <item x="61"/>
        <item x="62"/>
        <item x="111"/>
        <item x="131"/>
        <item x="4"/>
        <item x="53"/>
        <item x="55"/>
        <item x="137"/>
        <item x="16"/>
        <item x="133"/>
        <item x="86"/>
        <item x="6"/>
        <item x="57"/>
        <item x="106"/>
        <item x="75"/>
        <item x="56"/>
        <item x="17"/>
        <item x="119"/>
        <item x="110"/>
        <item x="58"/>
        <item x="147"/>
        <item x="121"/>
        <item x="109"/>
        <item x="146"/>
        <item x="91"/>
        <item x="94"/>
        <item x="140"/>
        <item x="41"/>
        <item x="73"/>
        <item x="19"/>
        <item x="60"/>
        <item x="132"/>
        <item x="141"/>
        <item x="28"/>
        <item x="107"/>
        <item x="143"/>
        <item x="105"/>
        <item x="74"/>
        <item x="51"/>
        <item x="81"/>
        <item x="84"/>
        <item x="135"/>
        <item x="102"/>
        <item x="98"/>
        <item x="123"/>
        <item x="87"/>
        <item x="134"/>
        <item x="85"/>
        <item x="10"/>
        <item x="142"/>
        <item x="80"/>
        <item x="63"/>
        <item t="default" sd="0"/>
      </items>
    </pivotField>
    <pivotField name="Order Quantity" compact="0" outline="0" showAll="0">
      <items count="17">
        <item x="0"/>
        <item x="1"/>
        <item x="10"/>
        <item x="7"/>
        <item x="4"/>
        <item x="2"/>
        <item x="5"/>
        <item x="11"/>
        <item x="6"/>
        <item x="3"/>
        <item x="9"/>
        <item x="15"/>
        <item x="12"/>
        <item x="8"/>
        <item x="14"/>
        <item x="13"/>
        <item t="default" sd="0"/>
      </items>
    </pivotField>
    <pivotField name="Unit Price" compact="0" outline="0" showAll="0">
      <items count="124">
        <item x="74"/>
        <item x="70"/>
        <item x="6"/>
        <item x="79"/>
        <item x="92"/>
        <item x="59"/>
        <item x="41"/>
        <item x="90"/>
        <item x="98"/>
        <item x="101"/>
        <item x="80"/>
        <item x="40"/>
        <item x="2"/>
        <item x="44"/>
        <item x="64"/>
        <item x="71"/>
        <item x="65"/>
        <item x="88"/>
        <item x="57"/>
        <item x="1"/>
        <item x="93"/>
        <item x="78"/>
        <item x="60"/>
        <item x="73"/>
        <item x="119"/>
        <item x="84"/>
        <item x="21"/>
        <item x="12"/>
        <item x="43"/>
        <item x="20"/>
        <item x="13"/>
        <item x="49"/>
        <item x="48"/>
        <item x="0"/>
        <item x="87"/>
        <item x="47"/>
        <item x="52"/>
        <item x="114"/>
        <item x="111"/>
        <item x="97"/>
        <item x="45"/>
        <item x="86"/>
        <item x="36"/>
        <item x="104"/>
        <item x="122"/>
        <item x="15"/>
        <item x="5"/>
        <item x="58"/>
        <item x="39"/>
        <item x="113"/>
        <item x="116"/>
        <item x="51"/>
        <item x="118"/>
        <item x="81"/>
        <item x="37"/>
        <item x="7"/>
        <item x="35"/>
        <item x="38"/>
        <item x="99"/>
        <item x="91"/>
        <item x="33"/>
        <item x="108"/>
        <item x="9"/>
        <item x="63"/>
        <item x="121"/>
        <item x="56"/>
        <item x="69"/>
        <item x="67"/>
        <item x="3"/>
        <item x="34"/>
        <item x="95"/>
        <item x="8"/>
        <item x="117"/>
        <item x="103"/>
        <item x="77"/>
        <item x="24"/>
        <item x="62"/>
        <item x="42"/>
        <item x="100"/>
        <item x="96"/>
        <item x="107"/>
        <item x="19"/>
        <item x="11"/>
        <item x="89"/>
        <item x="115"/>
        <item x="85"/>
        <item x="25"/>
        <item x="14"/>
        <item x="26"/>
        <item x="27"/>
        <item x="23"/>
        <item x="28"/>
        <item x="82"/>
        <item x="75"/>
        <item x="29"/>
        <item x="10"/>
        <item x="76"/>
        <item x="30"/>
        <item x="22"/>
        <item x="68"/>
        <item x="112"/>
        <item x="17"/>
        <item x="31"/>
        <item x="32"/>
        <item x="53"/>
        <item x="72"/>
        <item x="54"/>
        <item x="102"/>
        <item x="18"/>
        <item x="50"/>
        <item x="106"/>
        <item x="110"/>
        <item x="4"/>
        <item x="16"/>
        <item x="46"/>
        <item x="83"/>
        <item x="55"/>
        <item x="120"/>
        <item x="66"/>
        <item x="105"/>
        <item x="94"/>
        <item x="61"/>
        <item x="109"/>
        <item t="default" sd="0"/>
      </items>
    </pivotField>
    <pivotField name="Total Line Item $" axis="axisValues" dataField="1" compact="0" outline="0" showAll="0"/>
  </pivotFields>
  <rowFields count="1">
    <field x="0"/>
  </rowFields>
  <rowItems count="121">
    <i>
      <x v="119"/>
    </i>
    <i>
      <x v="118"/>
    </i>
    <i>
      <x v="117"/>
    </i>
    <i>
      <x v="116"/>
    </i>
    <i>
      <x v="115"/>
    </i>
    <i>
      <x v="114"/>
    </i>
    <i>
      <x v="113"/>
    </i>
    <i>
      <x v="112"/>
    </i>
    <i>
      <x v="111"/>
    </i>
    <i>
      <x v="110"/>
    </i>
    <i>
      <x v="109"/>
    </i>
    <i>
      <x v="107"/>
    </i>
    <i>
      <x v="108"/>
    </i>
    <i>
      <x v="106"/>
    </i>
    <i>
      <x v="105"/>
    </i>
    <i>
      <x v="104"/>
    </i>
    <i>
      <x v="103"/>
    </i>
    <i>
      <x v="102"/>
    </i>
    <i>
      <x v="101"/>
    </i>
    <i>
      <x v="100"/>
    </i>
    <i>
      <x v="99"/>
    </i>
    <i>
      <x v="98"/>
    </i>
    <i>
      <x v="97"/>
    </i>
    <i>
      <x v="96"/>
    </i>
    <i>
      <x v="95"/>
    </i>
    <i>
      <x v="94"/>
    </i>
    <i>
      <x v="93"/>
    </i>
    <i>
      <x v="92"/>
    </i>
    <i>
      <x v="91"/>
    </i>
    <i>
      <x v="90"/>
    </i>
    <i>
      <x v="89"/>
    </i>
    <i>
      <x v="88"/>
    </i>
    <i>
      <x v="87"/>
    </i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3"/>
    </i>
    <i>
      <x v="12"/>
    </i>
    <i>
      <x v="11"/>
    </i>
    <i>
      <x v="14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Total Line Item $" fld="4" numFmtId="60"/>
  </dataFields>
  <pivotTableStyleInfo name="PivotStyleCustom16" showRowHeaders="1" showColHeaders="1" showRowStripes="1" showColStripes="0" showLastColumn="1"/>
</pivotTableDefinition>
</file>

<file path=xl/pivotTables/pivotTable17.xml><?xml version="1.0" encoding="utf-8"?>
<pivotTableDefinition xmlns="http://schemas.openxmlformats.org/spreadsheetml/2006/main" name="March 2024 Pivot" cacheId="16" dataPosition="0" autoFormatId="0" applyNumberFormats="0" applyBorderFormats="0" applyFontFormats="0" applyPatternFormats="0" applyAlignmentFormats="0" applyWidthHeightFormats="1" dataCaption="" missingCaption="" pivotTableStyle="PivotStyleCustom17" updatedVersion="7" useAutoFormatting="1" createdVersion="7" indent="0" showEmptyCol="1" showEmptyRow="1" compact="0" compactData="0" multipleFieldFilters="0">
  <location ref="I346:O471" firstHeaderRow="1" firstDataRow="2" firstDataCol="4"/>
  <pivotFields count="8">
    <pivotField name="Sales Order" axis="axisRow" compact="0" numFmtId="49" outline="0" showAll="0" sortType="ascending">
      <items count="137">
        <item x="135"/>
        <item x="134"/>
        <item x="133"/>
        <item x="132"/>
        <item x="131"/>
        <item x="130"/>
        <item x="129"/>
        <item x="128"/>
        <item x="127"/>
        <item x="125"/>
        <item x="124"/>
        <item x="126"/>
        <item x="123"/>
        <item x="121"/>
        <item x="119"/>
        <item x="118"/>
        <item x="122"/>
        <item x="120"/>
        <item x="117"/>
        <item x="113"/>
        <item x="112"/>
        <item x="114"/>
        <item x="111"/>
        <item x="110"/>
        <item x="109"/>
        <item x="108"/>
        <item x="107"/>
        <item x="115"/>
        <item x="106"/>
        <item x="116"/>
        <item x="103"/>
        <item x="104"/>
        <item x="105"/>
        <item x="99"/>
        <item x="98"/>
        <item x="102"/>
        <item x="97"/>
        <item x="101"/>
        <item x="100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3"/>
        <item x="82"/>
        <item x="81"/>
        <item x="80"/>
        <item x="79"/>
        <item x="78"/>
        <item x="77"/>
        <item x="84"/>
        <item x="75"/>
        <item x="74"/>
        <item x="76"/>
        <item x="72"/>
        <item x="71"/>
        <item x="70"/>
        <item x="73"/>
        <item x="69"/>
        <item x="68"/>
        <item x="66"/>
        <item x="67"/>
        <item x="65"/>
        <item x="64"/>
        <item x="63"/>
        <item x="62"/>
        <item x="61"/>
        <item x="60"/>
        <item x="59"/>
        <item x="58"/>
        <item x="57"/>
        <item x="54"/>
        <item x="53"/>
        <item x="52"/>
        <item x="51"/>
        <item x="50"/>
        <item x="49"/>
        <item x="48"/>
        <item x="56"/>
        <item x="55"/>
        <item x="47"/>
        <item x="45"/>
        <item x="44"/>
        <item x="46"/>
        <item x="39"/>
        <item x="38"/>
        <item x="43"/>
        <item x="41"/>
        <item x="40"/>
        <item x="37"/>
        <item x="42"/>
        <item x="35"/>
        <item x="34"/>
        <item x="36"/>
        <item x="33"/>
        <item x="32"/>
        <item x="28"/>
        <item x="27"/>
        <item x="26"/>
        <item x="29"/>
        <item x="25"/>
        <item x="24"/>
        <item x="23"/>
        <item x="30"/>
        <item x="31"/>
        <item x="21"/>
        <item x="20"/>
        <item x="19"/>
        <item x="22"/>
        <item x="18"/>
        <item x="17"/>
        <item x="16"/>
        <item x="15"/>
        <item x="12"/>
        <item x="11"/>
        <item x="10"/>
        <item x="9"/>
        <item x="8"/>
        <item x="13"/>
        <item x="14"/>
        <item x="7"/>
        <item x="4"/>
        <item x="3"/>
        <item x="6"/>
        <item x="5"/>
        <item x="2"/>
        <item x="1"/>
        <item x="0"/>
        <item t="default" sd="0"/>
      </items>
    </pivotField>
    <pivotField name="Customer" axis="axisRow" compact="0" numFmtId="49" outline="0" showAll="0" sortType="ascending">
      <items count="124">
        <item sd="0" x="37"/>
        <item sd="0" x="13"/>
        <item sd="0" x="94"/>
        <item sd="0" x="78"/>
        <item sd="0" x="55"/>
        <item sd="0" x="121"/>
        <item sd="0" x="36"/>
        <item sd="0" x="29"/>
        <item sd="0" x="76"/>
        <item sd="0" x="116"/>
        <item sd="0" x="82"/>
        <item sd="0" x="30"/>
        <item sd="0" x="12"/>
        <item sd="0" x="99"/>
        <item sd="0" x="79"/>
        <item sd="0" x="3"/>
        <item sd="0" x="73"/>
        <item sd="0" x="19"/>
        <item sd="0" x="28"/>
        <item sd="0" x="85"/>
        <item sd="0" x="48"/>
        <item sd="0" x="11"/>
        <item sd="0" x="97"/>
        <item sd="0" x="57"/>
        <item sd="0" x="26"/>
        <item sd="0" x="50"/>
        <item sd="0" x="80"/>
        <item sd="0" x="96"/>
        <item sd="0" x="33"/>
        <item sd="0" x="32"/>
        <item sd="0" x="56"/>
        <item sd="0" x="71"/>
        <item sd="0" x="25"/>
        <item sd="0" x="0"/>
        <item sd="0" x="58"/>
        <item sd="0" x="122"/>
        <item sd="0" x="22"/>
        <item sd="0" x="113"/>
        <item sd="0" x="24"/>
        <item sd="0" x="109"/>
        <item sd="0" x="95"/>
        <item sd="0" x="93"/>
        <item sd="0" x="89"/>
        <item sd="0" x="51"/>
        <item sd="0" x="63"/>
        <item sd="0" x="5"/>
        <item sd="0" x="119"/>
        <item sd="0" x="41"/>
        <item sd="0" x="60"/>
        <item sd="0" x="65"/>
        <item sd="0" x="103"/>
        <item sd="0" x="44"/>
        <item sd="0" x="61"/>
        <item sd="0" x="23"/>
        <item sd="0" x="83"/>
        <item sd="0" x="45"/>
        <item sd="0" x="1"/>
        <item sd="0" x="100"/>
        <item sd="0" x="64"/>
        <item sd="0" x="86"/>
        <item sd="0" x="102"/>
        <item sd="0" x="31"/>
        <item sd="0" x="87"/>
        <item sd="0" x="40"/>
        <item sd="0" x="98"/>
        <item sd="0" x="59"/>
        <item sd="0" x="43"/>
        <item sd="0" x="110"/>
        <item sd="0" x="101"/>
        <item sd="0" x="15"/>
        <item sd="0" x="81"/>
        <item sd="0" x="70"/>
        <item sd="0" x="92"/>
        <item sd="0" x="47"/>
        <item sd="0" x="34"/>
        <item sd="0" x="66"/>
        <item sd="0" x="69"/>
        <item sd="0" x="17"/>
        <item sd="0" x="18"/>
        <item sd="0" x="21"/>
        <item sd="0" x="42"/>
        <item sd="0" x="67"/>
        <item sd="0" x="117"/>
        <item sd="0" x="52"/>
        <item sd="0" x="7"/>
        <item sd="0" x="2"/>
        <item sd="0" x="68"/>
        <item sd="0" x="84"/>
        <item sd="0" x="27"/>
        <item sd="0" x="107"/>
        <item sd="0" x="4"/>
        <item sd="0" x="53"/>
        <item sd="0" x="106"/>
        <item sd="0" x="91"/>
        <item sd="0" x="39"/>
        <item sd="0" x="38"/>
        <item sd="0" x="77"/>
        <item sd="0" x="10"/>
        <item sd="0" x="108"/>
        <item sd="0" x="75"/>
        <item sd="0" x="49"/>
        <item sd="0" x="6"/>
        <item sd="0" x="74"/>
        <item sd="0" x="16"/>
        <item sd="0" x="111"/>
        <item sd="0" x="90"/>
        <item sd="0" x="46"/>
        <item sd="0" x="20"/>
        <item sd="0" x="104"/>
        <item sd="0" x="120"/>
        <item sd="0" x="72"/>
        <item sd="0" x="9"/>
        <item sd="0" x="105"/>
        <item sd="0" x="62"/>
        <item sd="0" x="54"/>
        <item sd="0" x="112"/>
        <item sd="0" x="115"/>
        <item sd="0" x="14"/>
        <item sd="0" x="8"/>
        <item sd="0" x="35"/>
        <item sd="0" x="88"/>
        <item sd="0" x="118"/>
        <item sd="0" x="114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96">
        <item x="33"/>
        <item x="23"/>
        <item x="24"/>
        <item x="26"/>
        <item x="44"/>
        <item x="78"/>
        <item x="47"/>
        <item x="90"/>
        <item x="32"/>
        <item x="59"/>
        <item x="80"/>
        <item x="3"/>
        <item x="58"/>
        <item x="52"/>
        <item x="0"/>
        <item x="43"/>
        <item x="51"/>
        <item x="7"/>
        <item x="54"/>
        <item x="34"/>
        <item x="38"/>
        <item x="5"/>
        <item x="27"/>
        <item x="31"/>
        <item x="8"/>
        <item x="60"/>
        <item x="65"/>
        <item x="67"/>
        <item x="77"/>
        <item x="73"/>
        <item x="29"/>
        <item x="18"/>
        <item x="41"/>
        <item x="17"/>
        <item x="50"/>
        <item x="6"/>
        <item x="94"/>
        <item x="57"/>
        <item x="10"/>
        <item x="48"/>
        <item x="13"/>
        <item x="20"/>
        <item x="61"/>
        <item x="16"/>
        <item x="49"/>
        <item x="62"/>
        <item x="68"/>
        <item x="19"/>
        <item x="2"/>
        <item x="72"/>
        <item x="12"/>
        <item x="53"/>
        <item x="15"/>
        <item x="81"/>
        <item x="76"/>
        <item x="14"/>
        <item x="84"/>
        <item x="85"/>
        <item x="86"/>
        <item x="87"/>
        <item x="88"/>
        <item x="79"/>
        <item x="42"/>
        <item x="4"/>
        <item x="35"/>
        <item x="1"/>
        <item x="64"/>
        <item x="37"/>
        <item x="28"/>
        <item x="30"/>
        <item x="66"/>
        <item x="39"/>
        <item x="40"/>
        <item x="89"/>
        <item x="21"/>
        <item x="69"/>
        <item x="56"/>
        <item x="45"/>
        <item x="74"/>
        <item x="63"/>
        <item x="46"/>
        <item x="22"/>
        <item x="11"/>
        <item x="9"/>
        <item x="25"/>
        <item x="70"/>
        <item x="36"/>
        <item x="55"/>
        <item x="75"/>
        <item x="82"/>
        <item x="83"/>
        <item x="71"/>
        <item x="91"/>
        <item x="92"/>
        <item x="93"/>
        <item t="default" sd="0"/>
      </items>
    </pivotField>
    <pivotField name="Line Item Description" compact="0" outline="0" showAll="0">
      <items count="101">
        <item x="15"/>
        <item x="21"/>
        <item x="58"/>
        <item x="22"/>
        <item x="95"/>
        <item x="75"/>
        <item x="89"/>
        <item x="90"/>
        <item x="91"/>
        <item x="31"/>
        <item x="24"/>
        <item x="32"/>
        <item x="63"/>
        <item x="46"/>
        <item x="64"/>
        <item x="78"/>
        <item x="70"/>
        <item x="80"/>
        <item x="84"/>
        <item x="65"/>
        <item x="33"/>
        <item x="3"/>
        <item x="12"/>
        <item x="19"/>
        <item x="44"/>
        <item x="7"/>
        <item x="92"/>
        <item x="1"/>
        <item x="26"/>
        <item x="49"/>
        <item x="71"/>
        <item x="8"/>
        <item x="68"/>
        <item x="69"/>
        <item x="77"/>
        <item x="74"/>
        <item x="29"/>
        <item x="17"/>
        <item x="41"/>
        <item x="60"/>
        <item x="28"/>
        <item x="88"/>
        <item x="16"/>
        <item x="52"/>
        <item x="50"/>
        <item x="53"/>
        <item x="27"/>
        <item x="6"/>
        <item x="99"/>
        <item x="61"/>
        <item x="82"/>
        <item x="0"/>
        <item x="25"/>
        <item x="51"/>
        <item x="93"/>
        <item x="30"/>
        <item x="18"/>
        <item x="2"/>
        <item x="66"/>
        <item x="73"/>
        <item x="54"/>
        <item x="42"/>
        <item x="57"/>
        <item x="59"/>
        <item x="81"/>
        <item x="76"/>
        <item x="14"/>
        <item x="87"/>
        <item x="83"/>
        <item x="13"/>
        <item x="48"/>
        <item x="85"/>
        <item x="86"/>
        <item x="45"/>
        <item x="20"/>
        <item x="94"/>
        <item x="38"/>
        <item x="5"/>
        <item x="34"/>
        <item x="79"/>
        <item x="40"/>
        <item x="43"/>
        <item x="39"/>
        <item x="23"/>
        <item x="67"/>
        <item x="36"/>
        <item x="37"/>
        <item x="4"/>
        <item x="9"/>
        <item x="10"/>
        <item x="11"/>
        <item x="96"/>
        <item x="47"/>
        <item x="62"/>
        <item x="56"/>
        <item x="72"/>
        <item x="35"/>
        <item x="55"/>
        <item x="98"/>
        <item x="97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24">
    <i>
      <x/>
    </i>
    <i>
      <x v="1"/>
    </i>
    <i>
      <x v="3"/>
    </i>
    <i>
      <x v="4"/>
    </i>
    <i>
      <x v="5"/>
    </i>
    <i>
      <x v="2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118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1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119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120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0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121"/>
    </i>
    <i>
      <x v="122"/>
    </i>
    <i>
      <x v="94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3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17" showRowHeaders="1" showColHeaders="1" showRowStripes="1" showColStripes="0" showLastColumn="1"/>
</pivotTableDefinition>
</file>

<file path=xl/pivotTables/pivotTable18.xml><?xml version="1.0" encoding="utf-8"?>
<pivotTableDefinition xmlns="http://schemas.openxmlformats.org/spreadsheetml/2006/main" name="March 2024 Sales by SKU" cacheId="17" dataPosition="0" autoFormatId="0" applyNumberFormats="0" applyBorderFormats="0" applyFontFormats="0" applyPatternFormats="0" applyAlignmentFormats="0" applyWidthHeightFormats="1" dataCaption="" missingCaption="" pivotTableStyle="PivotStyleCustom18" updatedVersion="7" useAutoFormatting="1" createdVersion="7" indent="0" showEmptyCol="1" showEmptyRow="1" compact="0" compactData="0" multipleFieldFilters="0">
  <location ref="P474:Q570" firstHeaderRow="1" firstDataRow="1" firstDataCol="1"/>
  <pivotFields count="3">
    <pivotField name="Line Item Name" axis="axisRow" compact="0" numFmtId="49" outline="0" showAll="0" sortType="ascending">
      <items count="97">
        <item x="33"/>
        <item x="23"/>
        <item x="24"/>
        <item x="26"/>
        <item x="44"/>
        <item x="78"/>
        <item x="47"/>
        <item x="90"/>
        <item x="32"/>
        <item x="59"/>
        <item x="80"/>
        <item x="3"/>
        <item x="58"/>
        <item x="52"/>
        <item x="0"/>
        <item x="43"/>
        <item x="51"/>
        <item x="7"/>
        <item x="54"/>
        <item x="34"/>
        <item x="38"/>
        <item x="5"/>
        <item x="27"/>
        <item x="31"/>
        <item x="8"/>
        <item x="60"/>
        <item x="65"/>
        <item x="67"/>
        <item x="77"/>
        <item x="73"/>
        <item x="29"/>
        <item x="18"/>
        <item x="41"/>
        <item x="17"/>
        <item x="50"/>
        <item x="6"/>
        <item x="94"/>
        <item x="57"/>
        <item x="10"/>
        <item x="48"/>
        <item x="13"/>
        <item x="20"/>
        <item x="61"/>
        <item x="16"/>
        <item x="49"/>
        <item x="62"/>
        <item x="68"/>
        <item x="19"/>
        <item x="2"/>
        <item x="72"/>
        <item x="12"/>
        <item x="53"/>
        <item x="15"/>
        <item x="81"/>
        <item x="76"/>
        <item x="14"/>
        <item x="84"/>
        <item x="85"/>
        <item x="86"/>
        <item x="87"/>
        <item x="88"/>
        <item x="79"/>
        <item x="42"/>
        <item x="4"/>
        <item x="35"/>
        <item x="1"/>
        <item x="64"/>
        <item x="37"/>
        <item x="28"/>
        <item x="30"/>
        <item x="66"/>
        <item x="39"/>
        <item x="40"/>
        <item x="89"/>
        <item x="21"/>
        <item x="69"/>
        <item x="56"/>
        <item x="45"/>
        <item x="74"/>
        <item x="63"/>
        <item x="46"/>
        <item x="22"/>
        <item x="11"/>
        <item x="9"/>
        <item x="25"/>
        <item x="70"/>
        <item x="36"/>
        <item x="55"/>
        <item x="75"/>
        <item x="82"/>
        <item x="83"/>
        <item x="71"/>
        <item x="91"/>
        <item x="92"/>
        <item x="93"/>
        <item x="95"/>
        <item t="default" sd="0"/>
      </items>
    </pivotField>
    <pivotField name="Line Item Description" compact="0" outline="0" showAll="0">
      <items count="101">
        <item x="15"/>
        <item x="21"/>
        <item x="58"/>
        <item x="22"/>
        <item x="95"/>
        <item x="75"/>
        <item x="89"/>
        <item x="90"/>
        <item x="91"/>
        <item x="31"/>
        <item x="24"/>
        <item x="32"/>
        <item x="63"/>
        <item x="46"/>
        <item x="64"/>
        <item x="78"/>
        <item x="70"/>
        <item x="80"/>
        <item x="84"/>
        <item x="65"/>
        <item x="33"/>
        <item x="3"/>
        <item x="12"/>
        <item x="19"/>
        <item x="44"/>
        <item x="7"/>
        <item x="92"/>
        <item x="1"/>
        <item x="26"/>
        <item x="49"/>
        <item x="71"/>
        <item x="8"/>
        <item x="68"/>
        <item x="69"/>
        <item x="77"/>
        <item x="74"/>
        <item x="29"/>
        <item x="17"/>
        <item x="41"/>
        <item x="60"/>
        <item x="28"/>
        <item x="88"/>
        <item x="16"/>
        <item x="52"/>
        <item x="50"/>
        <item x="53"/>
        <item x="27"/>
        <item x="6"/>
        <item x="99"/>
        <item x="61"/>
        <item x="82"/>
        <item x="0"/>
        <item x="25"/>
        <item x="51"/>
        <item x="93"/>
        <item x="30"/>
        <item x="18"/>
        <item x="2"/>
        <item x="66"/>
        <item x="73"/>
        <item x="54"/>
        <item x="42"/>
        <item x="57"/>
        <item x="59"/>
        <item x="81"/>
        <item x="76"/>
        <item x="14"/>
        <item x="87"/>
        <item x="83"/>
        <item x="13"/>
        <item x="48"/>
        <item x="85"/>
        <item x="86"/>
        <item x="45"/>
        <item x="20"/>
        <item x="94"/>
        <item x="38"/>
        <item x="5"/>
        <item x="34"/>
        <item x="79"/>
        <item x="40"/>
        <item x="43"/>
        <item x="39"/>
        <item x="23"/>
        <item x="67"/>
        <item x="36"/>
        <item x="37"/>
        <item x="4"/>
        <item x="9"/>
        <item x="10"/>
        <item x="11"/>
        <item x="96"/>
        <item x="47"/>
        <item x="62"/>
        <item x="56"/>
        <item x="72"/>
        <item x="35"/>
        <item x="55"/>
        <item x="98"/>
        <item x="97"/>
        <item t="default" sd="0"/>
      </items>
    </pivotField>
    <pivotField name="Order Quantity" axis="axisValues" dataField="1" compact="0" outline="0" showAll="0"/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Sum of Order Quantity" fld="2"/>
  </dataFields>
  <pivotTableStyleInfo name="PivotStyleCustom18" showRowHeaders="1" showColHeaders="1" showRowStripes="1" showColStripes="0" showLastColumn="1"/>
</pivotTableDefinition>
</file>

<file path=xl/pivotTables/pivotTable19.xml><?xml version="1.0" encoding="utf-8"?>
<pivotTableDefinition xmlns="http://schemas.openxmlformats.org/spreadsheetml/2006/main" name="March 2024 Sales by SKU$" cacheId="18" dataPosition="0" autoFormatId="0" applyNumberFormats="0" applyBorderFormats="0" applyFontFormats="0" applyPatternFormats="0" applyAlignmentFormats="0" applyWidthHeightFormats="1" dataCaption="" missingCaption="" pivotTableStyle="PivotStyleCustom19" updatedVersion="7" useAutoFormatting="1" createdVersion="7" indent="0" showEmptyCol="1" showEmptyRow="1" compact="0" compactData="0" multipleFieldFilters="0">
  <location ref="R573:S669" firstHeaderRow="1" firstDataRow="1" firstDataCol="1"/>
  <pivotFields count="5">
    <pivotField name="Line Item Name" axis="axisRow" compact="0" numFmtId="49" outline="0" showAll="0" sortType="ascending">
      <items count="97">
        <item x="33"/>
        <item x="23"/>
        <item x="24"/>
        <item x="26"/>
        <item x="44"/>
        <item x="78"/>
        <item x="47"/>
        <item x="90"/>
        <item x="32"/>
        <item x="59"/>
        <item x="80"/>
        <item x="3"/>
        <item x="58"/>
        <item x="52"/>
        <item x="0"/>
        <item x="43"/>
        <item x="51"/>
        <item x="7"/>
        <item x="54"/>
        <item x="34"/>
        <item x="38"/>
        <item x="5"/>
        <item x="27"/>
        <item x="31"/>
        <item x="8"/>
        <item x="60"/>
        <item x="65"/>
        <item x="67"/>
        <item x="77"/>
        <item x="73"/>
        <item x="29"/>
        <item x="18"/>
        <item x="41"/>
        <item x="17"/>
        <item x="50"/>
        <item x="6"/>
        <item x="94"/>
        <item x="57"/>
        <item x="10"/>
        <item x="48"/>
        <item x="13"/>
        <item x="20"/>
        <item x="61"/>
        <item x="16"/>
        <item x="49"/>
        <item x="62"/>
        <item x="68"/>
        <item x="19"/>
        <item x="2"/>
        <item x="72"/>
        <item x="12"/>
        <item x="53"/>
        <item x="15"/>
        <item x="81"/>
        <item x="76"/>
        <item x="14"/>
        <item x="84"/>
        <item x="85"/>
        <item x="86"/>
        <item x="87"/>
        <item x="88"/>
        <item x="79"/>
        <item x="42"/>
        <item x="4"/>
        <item x="35"/>
        <item x="1"/>
        <item x="64"/>
        <item x="37"/>
        <item x="28"/>
        <item x="30"/>
        <item x="66"/>
        <item x="39"/>
        <item x="40"/>
        <item x="89"/>
        <item x="21"/>
        <item x="69"/>
        <item x="56"/>
        <item x="45"/>
        <item x="74"/>
        <item x="63"/>
        <item x="46"/>
        <item x="22"/>
        <item x="11"/>
        <item x="9"/>
        <item x="25"/>
        <item x="70"/>
        <item x="36"/>
        <item x="55"/>
        <item x="75"/>
        <item x="82"/>
        <item x="83"/>
        <item x="71"/>
        <item x="91"/>
        <item x="92"/>
        <item x="93"/>
        <item x="95"/>
        <item t="default" sd="0"/>
      </items>
    </pivotField>
    <pivotField name="Line Item Description" compact="0" outline="0" showAll="0">
      <items count="101">
        <item x="15"/>
        <item x="21"/>
        <item x="58"/>
        <item x="22"/>
        <item x="95"/>
        <item x="75"/>
        <item x="89"/>
        <item x="90"/>
        <item x="91"/>
        <item x="31"/>
        <item x="24"/>
        <item x="32"/>
        <item x="63"/>
        <item x="46"/>
        <item x="64"/>
        <item x="78"/>
        <item x="70"/>
        <item x="80"/>
        <item x="84"/>
        <item x="65"/>
        <item x="33"/>
        <item x="3"/>
        <item x="12"/>
        <item x="19"/>
        <item x="44"/>
        <item x="7"/>
        <item x="92"/>
        <item x="1"/>
        <item x="26"/>
        <item x="49"/>
        <item x="71"/>
        <item x="8"/>
        <item x="68"/>
        <item x="69"/>
        <item x="77"/>
        <item x="74"/>
        <item x="29"/>
        <item x="17"/>
        <item x="41"/>
        <item x="60"/>
        <item x="28"/>
        <item x="88"/>
        <item x="16"/>
        <item x="52"/>
        <item x="50"/>
        <item x="53"/>
        <item x="27"/>
        <item x="6"/>
        <item x="99"/>
        <item x="61"/>
        <item x="82"/>
        <item x="0"/>
        <item x="25"/>
        <item x="51"/>
        <item x="93"/>
        <item x="30"/>
        <item x="18"/>
        <item x="2"/>
        <item x="66"/>
        <item x="73"/>
        <item x="54"/>
        <item x="42"/>
        <item x="57"/>
        <item x="59"/>
        <item x="81"/>
        <item x="76"/>
        <item x="14"/>
        <item x="87"/>
        <item x="83"/>
        <item x="13"/>
        <item x="48"/>
        <item x="85"/>
        <item x="86"/>
        <item x="45"/>
        <item x="20"/>
        <item x="94"/>
        <item x="38"/>
        <item x="5"/>
        <item x="34"/>
        <item x="79"/>
        <item x="40"/>
        <item x="43"/>
        <item x="39"/>
        <item x="23"/>
        <item x="67"/>
        <item x="36"/>
        <item x="37"/>
        <item x="4"/>
        <item x="9"/>
        <item x="10"/>
        <item x="11"/>
        <item x="96"/>
        <item x="47"/>
        <item x="62"/>
        <item x="56"/>
        <item x="72"/>
        <item x="35"/>
        <item x="55"/>
        <item x="98"/>
        <item x="97"/>
        <item t="default" sd="0"/>
      </items>
    </pivotField>
    <pivotField name="Order Quantity" compact="0" outline="0" showAll="0">
      <items count="20">
        <item x="1"/>
        <item x="0"/>
        <item x="4"/>
        <item x="3"/>
        <item x="8"/>
        <item x="2"/>
        <item x="14"/>
        <item x="5"/>
        <item x="9"/>
        <item x="10"/>
        <item x="11"/>
        <item x="15"/>
        <item x="12"/>
        <item x="7"/>
        <item x="6"/>
        <item x="16"/>
        <item x="17"/>
        <item x="13"/>
        <item x="18"/>
        <item t="default" sd="0"/>
      </items>
    </pivotField>
    <pivotField name="Unit Price" compact="0" outline="0" showAll="0">
      <items count="89">
        <item x="82"/>
        <item x="62"/>
        <item x="14"/>
        <item x="59"/>
        <item x="4"/>
        <item x="73"/>
        <item x="45"/>
        <item x="0"/>
        <item x="26"/>
        <item x="81"/>
        <item x="55"/>
        <item x="85"/>
        <item x="7"/>
        <item x="60"/>
        <item x="29"/>
        <item x="34"/>
        <item x="63"/>
        <item x="49"/>
        <item x="41"/>
        <item x="9"/>
        <item x="67"/>
        <item x="42"/>
        <item x="12"/>
        <item x="30"/>
        <item x="38"/>
        <item x="33"/>
        <item x="52"/>
        <item x="36"/>
        <item x="64"/>
        <item x="27"/>
        <item x="51"/>
        <item x="17"/>
        <item x="31"/>
        <item x="19"/>
        <item x="6"/>
        <item x="80"/>
        <item x="71"/>
        <item x="25"/>
        <item x="61"/>
        <item x="8"/>
        <item x="65"/>
        <item x="24"/>
        <item x="2"/>
        <item x="46"/>
        <item x="47"/>
        <item x="50"/>
        <item x="28"/>
        <item x="15"/>
        <item x="23"/>
        <item x="84"/>
        <item x="21"/>
        <item x="37"/>
        <item x="5"/>
        <item x="53"/>
        <item x="74"/>
        <item x="39"/>
        <item x="86"/>
        <item x="40"/>
        <item x="83"/>
        <item x="22"/>
        <item x="66"/>
        <item x="57"/>
        <item x="16"/>
        <item x="20"/>
        <item x="3"/>
        <item x="70"/>
        <item x="18"/>
        <item x="32"/>
        <item x="1"/>
        <item x="58"/>
        <item x="68"/>
        <item x="11"/>
        <item x="10"/>
        <item x="72"/>
        <item x="79"/>
        <item x="54"/>
        <item x="43"/>
        <item x="44"/>
        <item x="56"/>
        <item x="78"/>
        <item x="48"/>
        <item x="35"/>
        <item x="77"/>
        <item x="13"/>
        <item x="76"/>
        <item x="75"/>
        <item x="69"/>
        <item x="87"/>
        <item t="default" sd="0"/>
      </items>
    </pivotField>
    <pivotField name="Total Line Item $" axis="axisValues" dataField="1" compact="0" outline="0" showAll="0"/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Sum of Total Line Item $" fld="4" numFmtId="60"/>
  </dataFields>
  <pivotTableStyleInfo name="PivotStyleCustom19" showRowHeaders="1" showColHeaders="1" showRowStripes="1" showColStripes="0" showLastColumn="1"/>
</pivotTableDefinition>
</file>

<file path=xl/pivotTables/pivotTable20.xml><?xml version="1.0" encoding="utf-8"?>
<pivotTableDefinition xmlns="http://schemas.openxmlformats.org/spreadsheetml/2006/main" name="February 2024 Pivot" cacheId="19" dataPosition="0" autoFormatId="0" applyNumberFormats="0" applyBorderFormats="0" applyFontFormats="0" applyPatternFormats="0" applyAlignmentFormats="0" applyWidthHeightFormats="1" dataCaption="" missingCaption="" pivotTableStyle="PivotStyleCustom20" updatedVersion="7" useAutoFormatting="1" createdVersion="7" indent="0" showEmptyCol="1" showEmptyRow="1" compact="0" compactData="0" multipleFieldFilters="0">
  <location ref="I346:O462" firstHeaderRow="1" firstDataRow="2" firstDataCol="4"/>
  <pivotFields count="8">
    <pivotField name="Sales Order" axis="axisRow" compact="0" numFmtId="49" outline="0" showAll="0" sortType="ascending">
      <items count="137">
        <item x="133"/>
        <item x="132"/>
        <item x="135"/>
        <item x="134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1"/>
        <item x="110"/>
        <item x="112"/>
        <item x="113"/>
        <item x="109"/>
        <item x="106"/>
        <item x="108"/>
        <item x="107"/>
        <item x="101"/>
        <item x="100"/>
        <item x="99"/>
        <item x="105"/>
        <item x="98"/>
        <item x="102"/>
        <item x="97"/>
        <item x="103"/>
        <item x="104"/>
        <item x="94"/>
        <item x="95"/>
        <item x="93"/>
        <item x="92"/>
        <item x="96"/>
        <item x="91"/>
        <item x="88"/>
        <item x="87"/>
        <item x="86"/>
        <item x="85"/>
        <item x="90"/>
        <item x="89"/>
        <item x="79"/>
        <item x="78"/>
        <item x="82"/>
        <item x="81"/>
        <item x="83"/>
        <item x="77"/>
        <item x="76"/>
        <item x="80"/>
        <item x="84"/>
        <item x="75"/>
        <item x="74"/>
        <item x="69"/>
        <item x="73"/>
        <item x="68"/>
        <item x="70"/>
        <item x="71"/>
        <item x="67"/>
        <item x="72"/>
        <item x="64"/>
        <item x="63"/>
        <item x="65"/>
        <item x="66"/>
        <item x="62"/>
        <item x="61"/>
        <item x="60"/>
        <item x="59"/>
        <item x="58"/>
        <item x="55"/>
        <item x="57"/>
        <item x="54"/>
        <item x="53"/>
        <item x="52"/>
        <item x="56"/>
        <item x="47"/>
        <item x="49"/>
        <item x="46"/>
        <item x="51"/>
        <item x="50"/>
        <item x="48"/>
        <item x="45"/>
        <item x="41"/>
        <item x="40"/>
        <item x="39"/>
        <item x="44"/>
        <item x="42"/>
        <item x="38"/>
        <item x="37"/>
        <item x="36"/>
        <item x="43"/>
        <item x="34"/>
        <item x="35"/>
        <item x="33"/>
        <item x="32"/>
        <item x="31"/>
        <item x="30"/>
        <item x="29"/>
        <item x="28"/>
        <item x="27"/>
        <item x="24"/>
        <item x="23"/>
        <item x="22"/>
        <item x="21"/>
        <item x="20"/>
        <item x="26"/>
        <item x="25"/>
        <item x="19"/>
        <item x="18"/>
        <item x="15"/>
        <item x="14"/>
        <item x="17"/>
        <item x="16"/>
        <item x="13"/>
        <item x="12"/>
        <item x="11"/>
        <item x="9"/>
        <item x="8"/>
        <item x="10"/>
        <item x="7"/>
        <item x="0"/>
        <item x="3"/>
        <item x="1"/>
        <item x="5"/>
        <item x="2"/>
        <item x="4"/>
        <item x="6"/>
        <item t="default" sd="0"/>
      </items>
    </pivotField>
    <pivotField name="Customer" axis="axisRow" compact="0" numFmtId="49" outline="0" showAll="0" sortType="ascending">
      <items count="115">
        <item sd="0" x="32"/>
        <item sd="0" x="11"/>
        <item sd="0" x="54"/>
        <item sd="0" x="29"/>
        <item sd="0" x="93"/>
        <item sd="0" x="112"/>
        <item sd="0" x="84"/>
        <item sd="0" x="111"/>
        <item sd="0" x="39"/>
        <item sd="0" x="70"/>
        <item sd="0" x="15"/>
        <item sd="0" x="9"/>
        <item sd="0" x="10"/>
        <item sd="0" x="78"/>
        <item sd="0" x="3"/>
        <item sd="0" x="64"/>
        <item sd="0" x="62"/>
        <item sd="0" x="2"/>
        <item sd="0" x="72"/>
        <item sd="0" x="0"/>
        <item sd="0" x="8"/>
        <item sd="0" x="104"/>
        <item sd="0" x="31"/>
        <item sd="0" x="90"/>
        <item sd="0" x="110"/>
        <item sd="0" x="34"/>
        <item sd="0" x="25"/>
        <item sd="0" x="96"/>
        <item sd="0" x="60"/>
        <item sd="0" x="45"/>
        <item sd="0" x="76"/>
        <item sd="0" x="103"/>
        <item sd="0" x="47"/>
        <item sd="0" x="16"/>
        <item sd="0" x="36"/>
        <item sd="0" x="77"/>
        <item sd="0" x="65"/>
        <item sd="0" x="19"/>
        <item sd="0" x="67"/>
        <item sd="0" x="71"/>
        <item sd="0" x="109"/>
        <item sd="0" x="14"/>
        <item sd="0" x="85"/>
        <item sd="0" x="74"/>
        <item sd="0" x="21"/>
        <item sd="0" x="75"/>
        <item sd="0" x="108"/>
        <item sd="0" x="44"/>
        <item sd="0" x="89"/>
        <item sd="0" x="99"/>
        <item sd="0" x="27"/>
        <item sd="0" x="33"/>
        <item sd="0" x="20"/>
        <item sd="0" x="30"/>
        <item sd="0" x="4"/>
        <item sd="0" x="79"/>
        <item sd="0" x="13"/>
        <item sd="0" x="42"/>
        <item sd="0" x="23"/>
        <item sd="0" x="68"/>
        <item sd="0" x="22"/>
        <item sd="0" x="63"/>
        <item sd="0" x="26"/>
        <item sd="0" x="12"/>
        <item sd="0" x="7"/>
        <item sd="0" x="106"/>
        <item sd="0" x="53"/>
        <item sd="0" x="92"/>
        <item sd="0" x="58"/>
        <item sd="0" x="55"/>
        <item sd="0" x="40"/>
        <item sd="0" x="91"/>
        <item sd="0" x="82"/>
        <item sd="0" x="97"/>
        <item sd="0" x="51"/>
        <item sd="0" x="113"/>
        <item sd="0" x="69"/>
        <item sd="0" x="86"/>
        <item sd="0" x="37"/>
        <item sd="0" x="17"/>
        <item sd="0" x="81"/>
        <item sd="0" x="46"/>
        <item sd="0" x="6"/>
        <item sd="0" x="83"/>
        <item sd="0" x="38"/>
        <item sd="0" x="94"/>
        <item sd="0" x="88"/>
        <item sd="0" x="59"/>
        <item sd="0" x="43"/>
        <item sd="0" x="101"/>
        <item sd="0" x="95"/>
        <item sd="0" x="5"/>
        <item sd="0" x="24"/>
        <item sd="0" x="18"/>
        <item sd="0" x="56"/>
        <item sd="0" x="98"/>
        <item sd="0" x="50"/>
        <item sd="0" x="41"/>
        <item sd="0" x="28"/>
        <item sd="0" x="1"/>
        <item sd="0" x="52"/>
        <item sd="0" x="87"/>
        <item sd="0" x="102"/>
        <item sd="0" x="48"/>
        <item sd="0" x="100"/>
        <item sd="0" x="35"/>
        <item sd="0" x="66"/>
        <item sd="0" x="73"/>
        <item sd="0" x="61"/>
        <item sd="0" x="105"/>
        <item sd="0" x="57"/>
        <item sd="0" x="49"/>
        <item sd="0" x="107"/>
        <item sd="0" x="80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4">
        <item x="84"/>
        <item x="60"/>
        <item x="55"/>
        <item x="81"/>
        <item x="57"/>
        <item x="97"/>
        <item x="99"/>
        <item x="56"/>
        <item x="85"/>
        <item x="90"/>
        <item x="89"/>
        <item x="88"/>
        <item x="100"/>
        <item x="75"/>
        <item x="87"/>
        <item x="86"/>
        <item x="91"/>
        <item x="79"/>
        <item x="35"/>
        <item x="58"/>
        <item x="41"/>
        <item x="15"/>
        <item x="82"/>
        <item x="30"/>
        <item x="10"/>
        <item x="45"/>
        <item x="101"/>
        <item x="7"/>
        <item x="20"/>
        <item x="50"/>
        <item x="72"/>
        <item x="11"/>
        <item x="23"/>
        <item x="52"/>
        <item x="39"/>
        <item x="62"/>
        <item x="36"/>
        <item x="69"/>
        <item x="29"/>
        <item x="59"/>
        <item x="51"/>
        <item x="71"/>
        <item x="38"/>
        <item x="32"/>
        <item x="14"/>
        <item x="12"/>
        <item x="13"/>
        <item x="8"/>
        <item x="17"/>
        <item x="44"/>
        <item x="61"/>
        <item x="42"/>
        <item x="47"/>
        <item x="25"/>
        <item x="37"/>
        <item x="21"/>
        <item x="28"/>
        <item x="68"/>
        <item x="46"/>
        <item x="31"/>
        <item x="0"/>
        <item x="70"/>
        <item x="40"/>
        <item x="76"/>
        <item x="22"/>
        <item x="34"/>
        <item x="27"/>
        <item x="33"/>
        <item x="43"/>
        <item x="5"/>
        <item x="9"/>
        <item x="49"/>
        <item x="4"/>
        <item x="77"/>
        <item x="93"/>
        <item x="95"/>
        <item x="94"/>
        <item x="96"/>
        <item x="24"/>
        <item x="26"/>
        <item x="2"/>
        <item x="6"/>
        <item x="83"/>
        <item x="18"/>
        <item x="74"/>
        <item x="53"/>
        <item x="92"/>
        <item x="65"/>
        <item x="73"/>
        <item x="1"/>
        <item x="48"/>
        <item x="66"/>
        <item x="78"/>
        <item x="54"/>
        <item x="67"/>
        <item x="19"/>
        <item x="3"/>
        <item x="16"/>
        <item x="98"/>
        <item x="63"/>
        <item x="80"/>
        <item x="64"/>
        <item x="102"/>
        <item t="default" sd="0"/>
      </items>
    </pivotField>
    <pivotField name="Line Item Description" compact="0" outline="0" showAll="0">
      <items count="115">
        <item x="48"/>
        <item x="99"/>
        <item x="60"/>
        <item x="107"/>
        <item x="109"/>
        <item x="59"/>
        <item x="93"/>
        <item x="98"/>
        <item x="97"/>
        <item x="71"/>
        <item x="102"/>
        <item x="104"/>
        <item x="103"/>
        <item x="105"/>
        <item x="96"/>
        <item x="74"/>
        <item x="36"/>
        <item x="110"/>
        <item x="81"/>
        <item x="80"/>
        <item x="95"/>
        <item x="61"/>
        <item x="94"/>
        <item x="62"/>
        <item x="75"/>
        <item x="42"/>
        <item x="79"/>
        <item x="69"/>
        <item x="73"/>
        <item x="91"/>
        <item x="29"/>
        <item x="90"/>
        <item x="63"/>
        <item x="92"/>
        <item x="15"/>
        <item x="112"/>
        <item x="20"/>
        <item x="27"/>
        <item x="19"/>
        <item x="11"/>
        <item x="28"/>
        <item x="53"/>
        <item x="76"/>
        <item x="39"/>
        <item x="31"/>
        <item x="14"/>
        <item x="85"/>
        <item x="12"/>
        <item x="13"/>
        <item x="84"/>
        <item x="8"/>
        <item x="16"/>
        <item x="46"/>
        <item x="65"/>
        <item x="44"/>
        <item x="49"/>
        <item x="24"/>
        <item x="38"/>
        <item x="7"/>
        <item x="56"/>
        <item x="37"/>
        <item x="40"/>
        <item x="78"/>
        <item x="70"/>
        <item x="86"/>
        <item x="30"/>
        <item x="21"/>
        <item x="34"/>
        <item x="35"/>
        <item x="0"/>
        <item x="68"/>
        <item x="52"/>
        <item x="101"/>
        <item x="18"/>
        <item x="41"/>
        <item x="45"/>
        <item x="87"/>
        <item x="89"/>
        <item x="57"/>
        <item x="9"/>
        <item x="51"/>
        <item x="83"/>
        <item x="100"/>
        <item x="72"/>
        <item x="58"/>
        <item x="82"/>
        <item x="1"/>
        <item x="106"/>
        <item x="32"/>
        <item x="77"/>
        <item x="22"/>
        <item x="54"/>
        <item x="26"/>
        <item x="23"/>
        <item x="108"/>
        <item x="88"/>
        <item x="17"/>
        <item x="25"/>
        <item x="113"/>
        <item x="66"/>
        <item x="10"/>
        <item x="111"/>
        <item x="47"/>
        <item x="67"/>
        <item x="50"/>
        <item x="2"/>
        <item x="3"/>
        <item x="6"/>
        <item x="5"/>
        <item x="4"/>
        <item x="43"/>
        <item x="64"/>
        <item x="55"/>
        <item x="33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1"/>
    </i>
    <i>
      <x v="13"/>
    </i>
    <i>
      <x v="15"/>
    </i>
    <i>
      <x v="16"/>
    </i>
    <i>
      <x v="17"/>
    </i>
    <i>
      <x v="14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23"/>
    </i>
    <i>
      <x v="30"/>
    </i>
    <i>
      <x v="31"/>
    </i>
    <i>
      <x v="33"/>
    </i>
    <i>
      <x v="34"/>
    </i>
    <i>
      <x v="35"/>
    </i>
    <i>
      <x v="36"/>
    </i>
    <i>
      <x v="32"/>
    </i>
    <i>
      <x v="37"/>
    </i>
    <i>
      <x v="38"/>
    </i>
    <i>
      <x v="39"/>
    </i>
    <i>
      <x v="40"/>
    </i>
    <i>
      <x v="41"/>
    </i>
    <i>
      <x v="109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0"/>
    </i>
    <i>
      <x v="58"/>
    </i>
    <i>
      <x v="59"/>
    </i>
    <i>
      <x v="60"/>
    </i>
    <i>
      <x v="61"/>
    </i>
    <i>
      <x v="62"/>
    </i>
    <i>
      <x v="63"/>
    </i>
    <i>
      <x v="64"/>
    </i>
    <i>
      <x v="110"/>
    </i>
    <i>
      <x v="65"/>
    </i>
    <i>
      <x v="66"/>
    </i>
    <i>
      <x v="67"/>
    </i>
    <i>
      <x v="68"/>
    </i>
    <i>
      <x v="69"/>
    </i>
    <i>
      <x v="70"/>
    </i>
    <i>
      <x v="71"/>
    </i>
    <i>
      <x v="111"/>
    </i>
    <i>
      <x v="72"/>
    </i>
    <i>
      <x v="73"/>
    </i>
    <i>
      <x v="74"/>
    </i>
    <i>
      <x v="75"/>
    </i>
    <i>
      <x v="76"/>
    </i>
    <i>
      <x v="77"/>
    </i>
    <i>
      <x v="78"/>
    </i>
    <i>
      <x v="112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9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13"/>
    </i>
    <i>
      <x v="108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20" showRowHeaders="1" showColHeaders="1" showRowStripes="1" showColStripes="0" showLastColumn="1"/>
</pivotTableDefinition>
</file>

<file path=xl/pivotTables/pivotTable21.xml><?xml version="1.0" encoding="utf-8"?>
<pivotTableDefinition xmlns="http://schemas.openxmlformats.org/spreadsheetml/2006/main" name="February 2024 Sales by SKU (Quantity)" cacheId="20" dataPosition="0" autoFormatId="0" applyNumberFormats="0" applyBorderFormats="0" applyFontFormats="0" applyPatternFormats="0" applyAlignmentFormats="0" applyWidthHeightFormats="1" dataCaption="" missingCaption="" pivotTableStyle="PivotStyleCustom21" updatedVersion="7" useAutoFormatting="1" createdVersion="7" indent="0" showEmptyCol="1" showEmptyRow="1" compact="0" compactData="0" multipleFieldFilters="0">
  <location ref="P465:Q569" firstHeaderRow="1" firstDataRow="1" firstDataCol="1"/>
  <pivotFields count="3">
    <pivotField name="Line Item Name" axis="axisRow" compact="0" numFmtId="49" outline="0" showAll="0" sortType="ascending">
      <items count="104">
        <item x="84"/>
        <item x="60"/>
        <item x="55"/>
        <item x="81"/>
        <item x="57"/>
        <item x="97"/>
        <item x="99"/>
        <item x="56"/>
        <item x="85"/>
        <item x="90"/>
        <item x="89"/>
        <item x="88"/>
        <item x="100"/>
        <item x="75"/>
        <item x="87"/>
        <item x="86"/>
        <item x="91"/>
        <item x="79"/>
        <item x="35"/>
        <item x="58"/>
        <item x="41"/>
        <item x="15"/>
        <item x="82"/>
        <item x="30"/>
        <item x="10"/>
        <item x="45"/>
        <item x="101"/>
        <item x="7"/>
        <item x="20"/>
        <item x="50"/>
        <item x="72"/>
        <item x="11"/>
        <item x="23"/>
        <item x="52"/>
        <item x="39"/>
        <item x="62"/>
        <item x="36"/>
        <item x="69"/>
        <item x="29"/>
        <item x="59"/>
        <item x="51"/>
        <item x="71"/>
        <item x="38"/>
        <item x="32"/>
        <item x="14"/>
        <item x="12"/>
        <item x="13"/>
        <item x="8"/>
        <item x="17"/>
        <item x="44"/>
        <item x="61"/>
        <item x="42"/>
        <item x="47"/>
        <item x="25"/>
        <item x="37"/>
        <item x="21"/>
        <item x="28"/>
        <item x="68"/>
        <item x="46"/>
        <item x="31"/>
        <item x="0"/>
        <item x="70"/>
        <item x="40"/>
        <item x="76"/>
        <item x="22"/>
        <item x="34"/>
        <item x="27"/>
        <item x="33"/>
        <item x="43"/>
        <item x="5"/>
        <item x="9"/>
        <item x="49"/>
        <item x="4"/>
        <item x="77"/>
        <item x="93"/>
        <item x="95"/>
        <item x="94"/>
        <item x="96"/>
        <item x="24"/>
        <item x="26"/>
        <item x="2"/>
        <item x="6"/>
        <item x="83"/>
        <item x="18"/>
        <item x="74"/>
        <item x="53"/>
        <item x="92"/>
        <item x="65"/>
        <item x="73"/>
        <item x="1"/>
        <item x="48"/>
        <item x="66"/>
        <item x="78"/>
        <item x="54"/>
        <item x="67"/>
        <item x="19"/>
        <item x="3"/>
        <item x="16"/>
        <item x="98"/>
        <item x="63"/>
        <item x="80"/>
        <item x="64"/>
        <item x="102"/>
        <item t="default" sd="0"/>
      </items>
    </pivotField>
    <pivotField name="Line Item Description" compact="0" outline="0" showAll="0">
      <items count="115">
        <item x="48"/>
        <item x="99"/>
        <item x="60"/>
        <item x="107"/>
        <item x="109"/>
        <item x="59"/>
        <item x="93"/>
        <item x="98"/>
        <item x="97"/>
        <item x="71"/>
        <item x="102"/>
        <item x="104"/>
        <item x="103"/>
        <item x="105"/>
        <item x="96"/>
        <item x="74"/>
        <item x="36"/>
        <item x="110"/>
        <item x="81"/>
        <item x="80"/>
        <item x="95"/>
        <item x="61"/>
        <item x="94"/>
        <item x="62"/>
        <item x="75"/>
        <item x="42"/>
        <item x="79"/>
        <item x="69"/>
        <item x="73"/>
        <item x="91"/>
        <item x="29"/>
        <item x="90"/>
        <item x="63"/>
        <item x="92"/>
        <item x="15"/>
        <item x="112"/>
        <item x="20"/>
        <item x="27"/>
        <item x="19"/>
        <item x="11"/>
        <item x="28"/>
        <item x="53"/>
        <item x="76"/>
        <item x="39"/>
        <item x="31"/>
        <item x="14"/>
        <item x="85"/>
        <item x="12"/>
        <item x="13"/>
        <item x="84"/>
        <item x="8"/>
        <item x="16"/>
        <item x="46"/>
        <item x="65"/>
        <item x="44"/>
        <item x="49"/>
        <item x="24"/>
        <item x="38"/>
        <item x="7"/>
        <item x="56"/>
        <item x="37"/>
        <item x="40"/>
        <item x="78"/>
        <item x="70"/>
        <item x="86"/>
        <item x="30"/>
        <item x="21"/>
        <item x="34"/>
        <item x="35"/>
        <item x="0"/>
        <item x="68"/>
        <item x="52"/>
        <item x="101"/>
        <item x="18"/>
        <item x="41"/>
        <item x="45"/>
        <item x="87"/>
        <item x="89"/>
        <item x="57"/>
        <item x="9"/>
        <item x="51"/>
        <item x="83"/>
        <item x="100"/>
        <item x="72"/>
        <item x="58"/>
        <item x="82"/>
        <item x="1"/>
        <item x="106"/>
        <item x="32"/>
        <item x="77"/>
        <item x="22"/>
        <item x="54"/>
        <item x="26"/>
        <item x="23"/>
        <item x="108"/>
        <item x="88"/>
        <item x="17"/>
        <item x="25"/>
        <item x="113"/>
        <item x="66"/>
        <item x="10"/>
        <item x="111"/>
        <item x="47"/>
        <item x="67"/>
        <item x="50"/>
        <item x="2"/>
        <item x="3"/>
        <item x="6"/>
        <item x="5"/>
        <item x="4"/>
        <item x="43"/>
        <item x="64"/>
        <item x="55"/>
        <item x="33"/>
        <item t="default" sd="0"/>
      </items>
    </pivotField>
    <pivotField name="Order Quantity" axis="axisValues" dataField="1" compact="0" outline="0" showAll="0"/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6"/>
    </i>
    <i>
      <x v="7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88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Items count="1">
    <i/>
  </colItems>
  <dataFields count="1">
    <dataField name="Sum of Order Quantity" fld="2"/>
  </dataFields>
  <pivotTableStyleInfo name="PivotStyleCustom21" showRowHeaders="1" showColHeaders="1" showRowStripes="1" showColStripes="0" showLastColumn="1"/>
</pivotTableDefinition>
</file>

<file path=xl/pivotTables/pivotTable22.xml><?xml version="1.0" encoding="utf-8"?>
<pivotTableDefinition xmlns="http://schemas.openxmlformats.org/spreadsheetml/2006/main" name="February 2024 Sales by SKU$" cacheId="21" dataPosition="0" autoFormatId="0" applyNumberFormats="0" applyBorderFormats="0" applyFontFormats="0" applyPatternFormats="0" applyAlignmentFormats="0" applyWidthHeightFormats="1" dataCaption="" missingCaption="" pivotTableStyle="PivotStyleCustom22" updatedVersion="7" useAutoFormatting="1" createdVersion="7" indent="0" showEmptyCol="1" showEmptyRow="1" compact="0" compactData="0" multipleFieldFilters="0">
  <location ref="R572:S676" firstHeaderRow="1" firstDataRow="1" firstDataCol="1"/>
  <pivotFields count="5">
    <pivotField name="Line Item Name" axis="axisRow" compact="0" numFmtId="49" outline="0" showAll="0" sortType="ascending">
      <items count="104">
        <item x="84"/>
        <item x="60"/>
        <item x="55"/>
        <item x="81"/>
        <item x="57"/>
        <item x="97"/>
        <item x="99"/>
        <item x="56"/>
        <item x="85"/>
        <item x="90"/>
        <item x="89"/>
        <item x="88"/>
        <item x="100"/>
        <item x="75"/>
        <item x="87"/>
        <item x="86"/>
        <item x="91"/>
        <item x="79"/>
        <item x="35"/>
        <item x="58"/>
        <item x="41"/>
        <item x="15"/>
        <item x="82"/>
        <item x="30"/>
        <item x="10"/>
        <item x="45"/>
        <item x="101"/>
        <item x="7"/>
        <item x="20"/>
        <item x="50"/>
        <item x="72"/>
        <item x="11"/>
        <item x="23"/>
        <item x="52"/>
        <item x="39"/>
        <item x="62"/>
        <item x="36"/>
        <item x="69"/>
        <item x="29"/>
        <item x="59"/>
        <item x="51"/>
        <item x="71"/>
        <item x="38"/>
        <item x="32"/>
        <item x="14"/>
        <item x="12"/>
        <item x="13"/>
        <item x="8"/>
        <item x="17"/>
        <item x="44"/>
        <item x="61"/>
        <item x="42"/>
        <item x="47"/>
        <item x="25"/>
        <item x="37"/>
        <item x="21"/>
        <item x="28"/>
        <item x="68"/>
        <item x="46"/>
        <item x="31"/>
        <item x="0"/>
        <item x="70"/>
        <item x="40"/>
        <item x="76"/>
        <item x="22"/>
        <item x="34"/>
        <item x="27"/>
        <item x="33"/>
        <item x="43"/>
        <item x="5"/>
        <item x="9"/>
        <item x="49"/>
        <item x="4"/>
        <item x="77"/>
        <item x="93"/>
        <item x="95"/>
        <item x="94"/>
        <item x="96"/>
        <item x="24"/>
        <item x="26"/>
        <item x="2"/>
        <item x="6"/>
        <item x="83"/>
        <item x="18"/>
        <item x="74"/>
        <item x="53"/>
        <item x="92"/>
        <item x="65"/>
        <item x="73"/>
        <item x="1"/>
        <item x="48"/>
        <item x="66"/>
        <item x="78"/>
        <item x="54"/>
        <item x="67"/>
        <item x="19"/>
        <item x="3"/>
        <item x="16"/>
        <item x="98"/>
        <item x="63"/>
        <item x="80"/>
        <item x="64"/>
        <item x="102"/>
        <item t="default" sd="0"/>
      </items>
    </pivotField>
    <pivotField name="Line Item Description" compact="0" outline="0" showAll="0">
      <items count="115">
        <item x="48"/>
        <item x="99"/>
        <item x="60"/>
        <item x="107"/>
        <item x="109"/>
        <item x="59"/>
        <item x="93"/>
        <item x="98"/>
        <item x="97"/>
        <item x="71"/>
        <item x="102"/>
        <item x="104"/>
        <item x="103"/>
        <item x="105"/>
        <item x="96"/>
        <item x="74"/>
        <item x="36"/>
        <item x="110"/>
        <item x="81"/>
        <item x="80"/>
        <item x="95"/>
        <item x="61"/>
        <item x="94"/>
        <item x="62"/>
        <item x="75"/>
        <item x="42"/>
        <item x="79"/>
        <item x="69"/>
        <item x="73"/>
        <item x="91"/>
        <item x="29"/>
        <item x="90"/>
        <item x="63"/>
        <item x="92"/>
        <item x="15"/>
        <item x="112"/>
        <item x="20"/>
        <item x="27"/>
        <item x="19"/>
        <item x="11"/>
        <item x="28"/>
        <item x="53"/>
        <item x="76"/>
        <item x="39"/>
        <item x="31"/>
        <item x="14"/>
        <item x="85"/>
        <item x="12"/>
        <item x="13"/>
        <item x="84"/>
        <item x="8"/>
        <item x="16"/>
        <item x="46"/>
        <item x="65"/>
        <item x="44"/>
        <item x="49"/>
        <item x="24"/>
        <item x="38"/>
        <item x="7"/>
        <item x="56"/>
        <item x="37"/>
        <item x="40"/>
        <item x="78"/>
        <item x="70"/>
        <item x="86"/>
        <item x="30"/>
        <item x="21"/>
        <item x="34"/>
        <item x="35"/>
        <item x="0"/>
        <item x="68"/>
        <item x="52"/>
        <item x="101"/>
        <item x="18"/>
        <item x="41"/>
        <item x="45"/>
        <item x="87"/>
        <item x="89"/>
        <item x="57"/>
        <item x="9"/>
        <item x="51"/>
        <item x="83"/>
        <item x="100"/>
        <item x="72"/>
        <item x="58"/>
        <item x="82"/>
        <item x="1"/>
        <item x="106"/>
        <item x="32"/>
        <item x="77"/>
        <item x="22"/>
        <item x="54"/>
        <item x="26"/>
        <item x="23"/>
        <item x="108"/>
        <item x="88"/>
        <item x="17"/>
        <item x="25"/>
        <item x="113"/>
        <item x="66"/>
        <item x="10"/>
        <item x="111"/>
        <item x="47"/>
        <item x="67"/>
        <item x="50"/>
        <item x="2"/>
        <item x="3"/>
        <item x="6"/>
        <item x="5"/>
        <item x="4"/>
        <item x="43"/>
        <item x="64"/>
        <item x="55"/>
        <item x="33"/>
        <item t="default" sd="0"/>
      </items>
    </pivotField>
    <pivotField name="Order Quantity" compact="0" outline="0" showAll="0">
      <items count="21">
        <item x="0"/>
        <item x="2"/>
        <item x="4"/>
        <item x="1"/>
        <item x="8"/>
        <item x="5"/>
        <item x="14"/>
        <item x="3"/>
        <item x="6"/>
        <item x="9"/>
        <item x="7"/>
        <item x="15"/>
        <item x="12"/>
        <item x="18"/>
        <item x="19"/>
        <item x="16"/>
        <item x="17"/>
        <item x="11"/>
        <item x="10"/>
        <item x="13"/>
        <item t="default" sd="0"/>
      </items>
    </pivotField>
    <pivotField name="Unit Price" compact="0" outline="0" showAll="0">
      <items count="107">
        <item x="67"/>
        <item x="5"/>
        <item x="15"/>
        <item x="96"/>
        <item x="66"/>
        <item x="31"/>
        <item x="20"/>
        <item x="81"/>
        <item x="79"/>
        <item x="50"/>
        <item x="47"/>
        <item x="97"/>
        <item x="23"/>
        <item x="83"/>
        <item x="58"/>
        <item x="3"/>
        <item x="0"/>
        <item x="91"/>
        <item x="99"/>
        <item x="27"/>
        <item x="104"/>
        <item x="46"/>
        <item x="1"/>
        <item x="17"/>
        <item x="42"/>
        <item x="22"/>
        <item x="12"/>
        <item x="82"/>
        <item x="76"/>
        <item x="34"/>
        <item x="73"/>
        <item x="95"/>
        <item x="13"/>
        <item x="44"/>
        <item x="105"/>
        <item x="71"/>
        <item x="57"/>
        <item x="64"/>
        <item x="25"/>
        <item x="2"/>
        <item x="78"/>
        <item x="21"/>
        <item x="37"/>
        <item x="45"/>
        <item x="54"/>
        <item x="26"/>
        <item x="48"/>
        <item x="28"/>
        <item x="60"/>
        <item x="85"/>
        <item x="8"/>
        <item x="74"/>
        <item x="40"/>
        <item x="56"/>
        <item x="38"/>
        <item x="49"/>
        <item x="10"/>
        <item x="94"/>
        <item x="92"/>
        <item x="65"/>
        <item x="77"/>
        <item x="41"/>
        <item x="24"/>
        <item x="11"/>
        <item x="9"/>
        <item x="63"/>
        <item x="90"/>
        <item x="36"/>
        <item x="55"/>
        <item x="61"/>
        <item x="102"/>
        <item x="62"/>
        <item x="18"/>
        <item x="59"/>
        <item x="86"/>
        <item x="88"/>
        <item x="80"/>
        <item x="32"/>
        <item x="30"/>
        <item x="70"/>
        <item x="14"/>
        <item x="35"/>
        <item x="19"/>
        <item x="93"/>
        <item x="89"/>
        <item x="103"/>
        <item x="39"/>
        <item x="7"/>
        <item x="69"/>
        <item x="75"/>
        <item x="29"/>
        <item x="52"/>
        <item x="87"/>
        <item x="43"/>
        <item x="53"/>
        <item x="72"/>
        <item x="100"/>
        <item x="51"/>
        <item x="98"/>
        <item x="16"/>
        <item x="101"/>
        <item x="6"/>
        <item x="84"/>
        <item x="33"/>
        <item x="4"/>
        <item x="68"/>
        <item t="default" sd="0"/>
      </items>
    </pivotField>
    <pivotField name="Total Line Item $" axis="axisValues" dataField="1" compact="0" outline="0" showAll="0"/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6"/>
    </i>
    <i>
      <x v="7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88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Items count="1">
    <i/>
  </colItems>
  <dataFields count="1">
    <dataField name="Sum of Total Line Item $" fld="4" numFmtId="60"/>
  </dataFields>
  <pivotTableStyleInfo name="PivotStyleCustom22" showRowHeaders="1" showColHeaders="1" showRowStripes="1" showColStripes="0" showLastColumn="1"/>
</pivotTableDefinition>
</file>

<file path=xl/pivotTables/pivotTable23.xml><?xml version="1.0" encoding="utf-8"?>
<pivotTableDefinition xmlns="http://schemas.openxmlformats.org/spreadsheetml/2006/main" name="January 2024 Sales by Customer" cacheId="22" dataPosition="0" autoFormatId="0" applyNumberFormats="0" applyBorderFormats="0" applyFontFormats="0" applyPatternFormats="0" applyAlignmentFormats="0" applyWidthHeightFormats="1" dataCaption="" missingCaption="" pivotTableStyle="PivotStyleCustom23" updatedVersion="7" useAutoFormatting="1" createdVersion="7" indent="0" showEmptyCol="1" showEmptyRow="1" compact="0" compactData="0" multipleFieldFilters="0">
  <location ref="I265:O371" firstHeaderRow="1" firstDataRow="2" firstDataCol="4"/>
  <pivotFields count="8">
    <pivotField name="Sales Order" axis="axisRow" compact="0" numFmtId="49" outline="0" showAll="0" sortType="ascending">
      <items count="115">
        <item sd="0" x="113"/>
        <item sd="0" x="112"/>
        <item sd="0" x="111"/>
        <item sd="0" x="110"/>
        <item sd="0" x="109"/>
        <item sd="0" x="108"/>
        <item sd="0" x="107"/>
        <item sd="0" x="106"/>
        <item sd="0" x="103"/>
        <item sd="0" x="102"/>
        <item sd="0" x="105"/>
        <item sd="0" x="104"/>
        <item sd="0" x="101"/>
        <item sd="0" x="100"/>
        <item sd="0" x="99"/>
        <item sd="0" x="97"/>
        <item sd="0" x="96"/>
        <item sd="0" x="95"/>
        <item sd="0" x="94"/>
        <item sd="0" x="93"/>
        <item sd="0" x="98"/>
        <item sd="0" x="92"/>
        <item sd="0" x="90"/>
        <item sd="0" x="89"/>
        <item sd="0" x="88"/>
        <item sd="0" x="87"/>
        <item sd="0" x="86"/>
        <item sd="0" x="91"/>
        <item sd="0" x="85"/>
        <item sd="0" x="84"/>
        <item sd="0" x="82"/>
        <item sd="0" x="81"/>
        <item sd="0" x="83"/>
        <item sd="0" x="80"/>
        <item sd="0" x="78"/>
        <item sd="0" x="79"/>
        <item sd="0" x="76"/>
        <item sd="0" x="74"/>
        <item sd="0" x="73"/>
        <item sd="0" x="72"/>
        <item sd="0" x="75"/>
        <item sd="0" x="77"/>
        <item sd="0" x="71"/>
        <item sd="0" x="70"/>
        <item sd="0" x="69"/>
        <item sd="0" x="68"/>
        <item sd="0" x="67"/>
        <item sd="0" x="66"/>
        <item sd="0" x="65"/>
        <item sd="0" x="64"/>
        <item sd="0" x="62"/>
        <item sd="0" x="61"/>
        <item sd="0" x="63"/>
        <item sd="0" x="58"/>
        <item sd="0" x="60"/>
        <item sd="0" x="59"/>
        <item sd="0" x="56"/>
        <item sd="0" x="55"/>
        <item sd="0" x="54"/>
        <item sd="0" x="57"/>
        <item sd="0" x="53"/>
        <item sd="0" x="51"/>
        <item sd="0" x="52"/>
        <item sd="0" x="50"/>
        <item sd="0" x="49"/>
        <item sd="0" x="48"/>
        <item sd="0" x="47"/>
        <item sd="0" x="46"/>
        <item sd="0" x="44"/>
        <item sd="0" x="43"/>
        <item sd="0" x="42"/>
        <item sd="0" x="45"/>
        <item sd="0" x="38"/>
        <item sd="0" x="37"/>
        <item sd="0" x="40"/>
        <item sd="0" x="36"/>
        <item sd="0" x="41"/>
        <item sd="0" x="30"/>
        <item sd="0" x="29"/>
        <item sd="0" x="28"/>
        <item sd="0" x="39"/>
        <item sd="0" x="32"/>
        <item sd="0" x="27"/>
        <item sd="0" x="33"/>
        <item sd="0" x="31"/>
        <item sd="0" x="26"/>
        <item sd="0" x="34"/>
        <item sd="0" x="35"/>
        <item sd="0" x="23"/>
        <item sd="0" x="22"/>
        <item sd="0" x="21"/>
        <item sd="0" x="25"/>
        <item sd="0" x="24"/>
        <item sd="0" x="20"/>
        <item sd="0" x="18"/>
        <item sd="0" x="19"/>
        <item sd="0" x="17"/>
        <item sd="0" x="15"/>
        <item sd="0" x="16"/>
        <item sd="0" x="12"/>
        <item sd="0" x="13"/>
        <item sd="0" x="11"/>
        <item sd="0" x="14"/>
        <item sd="0" x="10"/>
        <item sd="0" x="9"/>
        <item sd="0" x="8"/>
        <item sd="0" x="7"/>
        <item sd="0" x="4"/>
        <item sd="0" x="3"/>
        <item sd="0" x="2"/>
        <item sd="0" x="1"/>
        <item sd="0" x="5"/>
        <item sd="0" x="6"/>
        <item sd="0" x="0"/>
        <item t="default" sd="0"/>
      </items>
    </pivotField>
    <pivotField name="Customer" axis="axisRow" compact="0" numFmtId="49" outline="0" showAll="0" sortType="ascending">
      <items count="105">
        <item sd="0" x="95"/>
        <item sd="0" x="32"/>
        <item sd="0" x="61"/>
        <item sd="0" x="97"/>
        <item sd="0" x="91"/>
        <item sd="0" x="46"/>
        <item sd="0" x="48"/>
        <item sd="0" x="41"/>
        <item sd="0" x="67"/>
        <item sd="0" x="17"/>
        <item sd="0" x="102"/>
        <item sd="0" x="78"/>
        <item sd="0" x="76"/>
        <item sd="0" x="49"/>
        <item sd="0" x="93"/>
        <item sd="0" x="86"/>
        <item sd="0" x="51"/>
        <item sd="0" x="79"/>
        <item sd="0" x="99"/>
        <item sd="0" x="88"/>
        <item sd="0" x="65"/>
        <item sd="0" x="58"/>
        <item sd="0" x="103"/>
        <item sd="0" x="68"/>
        <item sd="0" x="74"/>
        <item sd="0" x="1"/>
        <item sd="0" x="80"/>
        <item sd="0" x="89"/>
        <item sd="0" x="64"/>
        <item sd="0" x="53"/>
        <item sd="0" x="7"/>
        <item sd="0" x="90"/>
        <item sd="0" x="72"/>
        <item sd="0" x="87"/>
        <item sd="0" x="18"/>
        <item sd="0" x="25"/>
        <item sd="0" x="62"/>
        <item sd="0" x="81"/>
        <item sd="0" x="6"/>
        <item sd="0" x="21"/>
        <item sd="0" x="9"/>
        <item sd="0" x="11"/>
        <item sd="0" x="0"/>
        <item sd="0" x="19"/>
        <item sd="0" x="50"/>
        <item sd="0" x="47"/>
        <item sd="0" x="35"/>
        <item sd="0" x="92"/>
        <item sd="0" x="44"/>
        <item sd="0" x="8"/>
        <item sd="0" x="28"/>
        <item sd="0" x="45"/>
        <item sd="0" x="5"/>
        <item sd="0" x="29"/>
        <item sd="0" x="15"/>
        <item sd="0" x="16"/>
        <item sd="0" x="38"/>
        <item sd="0" x="82"/>
        <item sd="0" x="94"/>
        <item sd="0" x="37"/>
        <item sd="0" x="57"/>
        <item sd="0" x="85"/>
        <item sd="0" x="77"/>
        <item sd="0" x="3"/>
        <item sd="0" x="96"/>
        <item sd="0" x="23"/>
        <item sd="0" x="70"/>
        <item sd="0" x="36"/>
        <item sd="0" x="69"/>
        <item sd="0" x="73"/>
        <item sd="0" x="52"/>
        <item sd="0" x="75"/>
        <item sd="0" x="84"/>
        <item sd="0" x="33"/>
        <item sd="0" x="60"/>
        <item sd="0" x="40"/>
        <item sd="0" x="63"/>
        <item sd="0" x="13"/>
        <item sd="0" x="24"/>
        <item sd="0" x="42"/>
        <item sd="0" x="34"/>
        <item sd="0" x="101"/>
        <item sd="0" x="12"/>
        <item sd="0" x="54"/>
        <item sd="0" x="98"/>
        <item sd="0" x="2"/>
        <item sd="0" x="83"/>
        <item sd="0" x="22"/>
        <item sd="0" x="31"/>
        <item sd="0" x="59"/>
        <item sd="0" x="56"/>
        <item sd="0" x="66"/>
        <item sd="0" x="14"/>
        <item sd="0" x="10"/>
        <item sd="0" x="20"/>
        <item sd="0" x="39"/>
        <item sd="0" x="30"/>
        <item sd="0" x="71"/>
        <item sd="0" x="4"/>
        <item sd="0" x="55"/>
        <item sd="0" x="100"/>
        <item sd="0" x="26"/>
        <item sd="0" x="43"/>
        <item sd="0" x="27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88">
        <item x="68"/>
        <item x="36"/>
        <item x="77"/>
        <item x="78"/>
        <item x="66"/>
        <item x="56"/>
        <item x="41"/>
        <item x="49"/>
        <item x="83"/>
        <item x="17"/>
        <item x="3"/>
        <item x="64"/>
        <item x="65"/>
        <item x="13"/>
        <item x="51"/>
        <item x="9"/>
        <item x="4"/>
        <item x="10"/>
        <item x="82"/>
        <item x="19"/>
        <item x="54"/>
        <item x="46"/>
        <item x="11"/>
        <item x="5"/>
        <item x="79"/>
        <item x="20"/>
        <item x="12"/>
        <item x="69"/>
        <item x="84"/>
        <item x="86"/>
        <item x="85"/>
        <item x="72"/>
        <item x="74"/>
        <item x="44"/>
        <item x="39"/>
        <item x="73"/>
        <item x="1"/>
        <item x="45"/>
        <item x="63"/>
        <item x="18"/>
        <item x="57"/>
        <item x="25"/>
        <item x="38"/>
        <item x="80"/>
        <item x="28"/>
        <item x="50"/>
        <item x="29"/>
        <item x="40"/>
        <item x="59"/>
        <item x="42"/>
        <item x="8"/>
        <item x="26"/>
        <item x="70"/>
        <item x="37"/>
        <item x="23"/>
        <item x="43"/>
        <item x="22"/>
        <item x="7"/>
        <item x="75"/>
        <item x="76"/>
        <item x="71"/>
        <item x="27"/>
        <item x="55"/>
        <item x="30"/>
        <item x="31"/>
        <item x="32"/>
        <item x="15"/>
        <item x="81"/>
        <item x="2"/>
        <item x="0"/>
        <item x="33"/>
        <item x="67"/>
        <item x="62"/>
        <item x="21"/>
        <item x="61"/>
        <item x="34"/>
        <item x="48"/>
        <item x="47"/>
        <item x="60"/>
        <item x="58"/>
        <item x="53"/>
        <item x="6"/>
        <item x="52"/>
        <item x="16"/>
        <item x="24"/>
        <item x="35"/>
        <item x="14"/>
        <item t="default" sd="0"/>
      </items>
    </pivotField>
    <pivotField name="Line Item Description" compact="0" outline="0" showAll="0">
      <items count="98">
        <item x="86"/>
        <item x="87"/>
        <item x="60"/>
        <item x="94"/>
        <item x="96"/>
        <item x="64"/>
        <item x="66"/>
        <item x="93"/>
        <item x="52"/>
        <item x="58"/>
        <item x="53"/>
        <item x="61"/>
        <item x="18"/>
        <item x="89"/>
        <item x="69"/>
        <item x="3"/>
        <item x="67"/>
        <item x="11"/>
        <item x="20"/>
        <item x="0"/>
        <item x="95"/>
        <item x="81"/>
        <item x="83"/>
        <item x="80"/>
        <item x="82"/>
        <item x="1"/>
        <item x="48"/>
        <item x="19"/>
        <item x="59"/>
        <item x="4"/>
        <item x="13"/>
        <item x="77"/>
        <item x="88"/>
        <item x="51"/>
        <item x="50"/>
        <item x="54"/>
        <item x="74"/>
        <item x="9"/>
        <item x="21"/>
        <item x="68"/>
        <item x="91"/>
        <item x="63"/>
        <item x="8"/>
        <item x="84"/>
        <item x="85"/>
        <item x="23"/>
        <item x="79"/>
        <item x="92"/>
        <item x="57"/>
        <item x="78"/>
        <item x="62"/>
        <item x="65"/>
        <item x="7"/>
        <item x="5"/>
        <item x="49"/>
        <item x="12"/>
        <item x="71"/>
        <item x="56"/>
        <item x="16"/>
        <item x="90"/>
        <item x="76"/>
        <item x="75"/>
        <item x="2"/>
        <item x="15"/>
        <item x="22"/>
        <item x="14"/>
        <item x="10"/>
        <item x="55"/>
        <item x="72"/>
        <item x="73"/>
        <item x="6"/>
        <item x="17"/>
        <item x="28"/>
        <item x="42"/>
        <item x="36"/>
        <item x="30"/>
        <item x="31"/>
        <item x="32"/>
        <item x="25"/>
        <item x="38"/>
        <item x="47"/>
        <item x="39"/>
        <item x="29"/>
        <item x="43"/>
        <item x="37"/>
        <item x="26"/>
        <item x="40"/>
        <item x="46"/>
        <item x="24"/>
        <item x="27"/>
        <item x="44"/>
        <item x="45"/>
        <item x="41"/>
        <item x="35"/>
        <item x="33"/>
        <item x="70"/>
        <item x="34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98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6"/>
    </i>
    <i>
      <x v="35"/>
    </i>
    <i>
      <x v="37"/>
    </i>
    <i>
      <x v="38"/>
    </i>
    <i>
      <x v="39"/>
    </i>
    <i>
      <x v="9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100"/>
    </i>
    <i>
      <x v="49"/>
    </i>
    <i>
      <x v="50"/>
    </i>
    <i>
      <x v="51"/>
    </i>
    <i>
      <x v="52"/>
    </i>
    <i>
      <x v="10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4"/>
    </i>
    <i>
      <x v="75"/>
    </i>
    <i>
      <x v="76"/>
    </i>
    <i>
      <x v="77"/>
    </i>
    <i>
      <x v="73"/>
    </i>
    <i>
      <x v="78"/>
    </i>
    <i>
      <x v="79"/>
    </i>
    <i>
      <x v="80"/>
    </i>
    <i>
      <x v="81"/>
    </i>
    <i>
      <x v="82"/>
    </i>
    <i>
      <x v="84"/>
    </i>
    <i>
      <x v="85"/>
    </i>
    <i>
      <x v="86"/>
    </i>
    <i>
      <x v="87"/>
    </i>
    <i>
      <x v="88"/>
    </i>
    <i>
      <x v="83"/>
    </i>
    <i>
      <x v="89"/>
    </i>
    <i>
      <x v="90"/>
    </i>
    <i>
      <x v="91"/>
    </i>
    <i>
      <x v="92"/>
    </i>
    <i>
      <x v="93"/>
    </i>
    <i>
      <x v="94"/>
    </i>
    <i>
      <x v="95"/>
    </i>
    <i>
      <x v="102"/>
    </i>
    <i>
      <x v="96"/>
    </i>
    <i>
      <x v="103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23" showRowHeaders="1" showColHeaders="1" showRowStripes="1" showColStripes="0" showLastColumn="1"/>
</pivotTableDefinition>
</file>

<file path=xl/pivotTables/pivotTable24.xml><?xml version="1.0" encoding="utf-8"?>
<pivotTableDefinition xmlns="http://schemas.openxmlformats.org/spreadsheetml/2006/main" name="January 2024 Sales by SKU (Quantity)" cacheId="23" dataPosition="0" autoFormatId="0" applyNumberFormats="0" applyBorderFormats="0" applyFontFormats="0" applyPatternFormats="0" applyAlignmentFormats="0" applyWidthHeightFormats="1" dataCaption="" missingCaption="" pivotTableStyle="PivotStyleCustom24" updatedVersion="7" useAutoFormatting="1" createdVersion="7" indent="0" showEmptyCol="1" showEmptyRow="1" compact="0" compactData="0" multipleFieldFilters="0">
  <location ref="P374:Q462" firstHeaderRow="1" firstDataRow="1" firstDataCol="1"/>
  <pivotFields count="3">
    <pivotField name="Line Item Name" axis="axisRow" compact="0" numFmtId="49" outline="0" showAll="0" sortType="ascending">
      <items count="88">
        <item x="68"/>
        <item x="36"/>
        <item x="77"/>
        <item x="78"/>
        <item x="66"/>
        <item x="56"/>
        <item x="41"/>
        <item x="49"/>
        <item x="83"/>
        <item x="17"/>
        <item x="3"/>
        <item x="64"/>
        <item x="65"/>
        <item x="13"/>
        <item x="51"/>
        <item x="9"/>
        <item x="4"/>
        <item x="10"/>
        <item x="82"/>
        <item x="19"/>
        <item x="54"/>
        <item x="46"/>
        <item x="11"/>
        <item x="5"/>
        <item x="79"/>
        <item x="20"/>
        <item x="12"/>
        <item x="69"/>
        <item x="84"/>
        <item x="86"/>
        <item x="85"/>
        <item x="72"/>
        <item x="74"/>
        <item x="44"/>
        <item x="39"/>
        <item x="73"/>
        <item x="1"/>
        <item x="45"/>
        <item x="63"/>
        <item x="18"/>
        <item x="57"/>
        <item x="25"/>
        <item x="38"/>
        <item x="80"/>
        <item x="28"/>
        <item x="50"/>
        <item x="29"/>
        <item x="40"/>
        <item x="59"/>
        <item x="42"/>
        <item x="8"/>
        <item x="26"/>
        <item x="70"/>
        <item x="37"/>
        <item x="23"/>
        <item x="43"/>
        <item x="22"/>
        <item x="7"/>
        <item x="75"/>
        <item x="76"/>
        <item x="71"/>
        <item x="27"/>
        <item x="55"/>
        <item x="30"/>
        <item x="31"/>
        <item x="32"/>
        <item x="15"/>
        <item x="81"/>
        <item x="2"/>
        <item x="0"/>
        <item x="33"/>
        <item x="67"/>
        <item x="62"/>
        <item x="21"/>
        <item x="61"/>
        <item x="34"/>
        <item x="48"/>
        <item x="47"/>
        <item x="60"/>
        <item x="58"/>
        <item x="53"/>
        <item x="6"/>
        <item x="52"/>
        <item x="16"/>
        <item x="24"/>
        <item x="35"/>
        <item x="14"/>
        <item t="default" sd="0"/>
      </items>
    </pivotField>
    <pivotField name="Line Item Description" compact="0" outline="0" showAll="0">
      <items count="98">
        <item x="86"/>
        <item x="87"/>
        <item x="60"/>
        <item x="94"/>
        <item x="96"/>
        <item x="64"/>
        <item x="66"/>
        <item x="93"/>
        <item x="52"/>
        <item x="58"/>
        <item x="53"/>
        <item x="61"/>
        <item x="18"/>
        <item x="89"/>
        <item x="69"/>
        <item x="3"/>
        <item x="67"/>
        <item x="11"/>
        <item x="20"/>
        <item x="0"/>
        <item x="95"/>
        <item x="81"/>
        <item x="83"/>
        <item x="80"/>
        <item x="82"/>
        <item x="1"/>
        <item x="48"/>
        <item x="19"/>
        <item x="59"/>
        <item x="4"/>
        <item x="13"/>
        <item x="77"/>
        <item x="88"/>
        <item x="51"/>
        <item x="50"/>
        <item x="54"/>
        <item x="74"/>
        <item x="9"/>
        <item x="21"/>
        <item x="68"/>
        <item x="91"/>
        <item x="63"/>
        <item x="8"/>
        <item x="84"/>
        <item x="85"/>
        <item x="23"/>
        <item x="79"/>
        <item x="92"/>
        <item x="57"/>
        <item x="78"/>
        <item x="62"/>
        <item x="65"/>
        <item x="7"/>
        <item x="5"/>
        <item x="49"/>
        <item x="12"/>
        <item x="71"/>
        <item x="56"/>
        <item x="16"/>
        <item x="90"/>
        <item x="76"/>
        <item x="75"/>
        <item x="2"/>
        <item x="15"/>
        <item x="22"/>
        <item x="14"/>
        <item x="10"/>
        <item x="55"/>
        <item x="72"/>
        <item x="73"/>
        <item x="6"/>
        <item x="17"/>
        <item x="28"/>
        <item x="42"/>
        <item x="36"/>
        <item x="30"/>
        <item x="31"/>
        <item x="32"/>
        <item x="25"/>
        <item x="38"/>
        <item x="47"/>
        <item x="39"/>
        <item x="29"/>
        <item x="43"/>
        <item x="37"/>
        <item x="26"/>
        <item x="40"/>
        <item x="46"/>
        <item x="24"/>
        <item x="27"/>
        <item x="44"/>
        <item x="45"/>
        <item x="41"/>
        <item x="35"/>
        <item x="33"/>
        <item x="70"/>
        <item x="34"/>
        <item t="default" sd="0"/>
      </items>
    </pivotField>
    <pivotField name="Order Quantity" axis="axisValues" dataField="1" compact="0" outline="0" showAll="0"/>
  </pivotFields>
  <rowFields count="1">
    <field x="0"/>
  </rowFields>
  <rowItems count="88"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4"/>
    </i>
    <i>
      <x v="13"/>
    </i>
    <i>
      <x v="12"/>
    </i>
    <i>
      <x v="11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Order Quantity" fld="2"/>
  </dataFields>
  <pivotTableStyleInfo name="PivotStyleCustom24" showRowHeaders="1" showColHeaders="1" showRowStripes="1" showColStripes="0" showLastColumn="1"/>
</pivotTableDefinition>
</file>

<file path=xl/pivotTables/pivotTable25.xml><?xml version="1.0" encoding="utf-8"?>
<pivotTableDefinition xmlns="http://schemas.openxmlformats.org/spreadsheetml/2006/main" name="January 2024 Sales by SKU$" cacheId="24" dataPosition="0" autoFormatId="0" applyNumberFormats="0" applyBorderFormats="0" applyFontFormats="0" applyPatternFormats="0" applyAlignmentFormats="0" applyWidthHeightFormats="1" dataCaption="" missingCaption="" pivotTableStyle="PivotStyleCustom25" updatedVersion="7" useAutoFormatting="1" createdVersion="7" indent="0" showEmptyCol="1" showEmptyRow="1" compact="0" compactData="0" multipleFieldFilters="0">
  <location ref="R465:S553" firstHeaderRow="1" firstDataRow="1" firstDataCol="1"/>
  <pivotFields count="5">
    <pivotField name="Line Item Name" axis="axisRow" compact="0" numFmtId="49" outline="0" showAll="0" sortType="ascending">
      <items count="88">
        <item x="68"/>
        <item x="36"/>
        <item x="77"/>
        <item x="78"/>
        <item x="66"/>
        <item x="56"/>
        <item x="41"/>
        <item x="49"/>
        <item x="83"/>
        <item x="17"/>
        <item x="3"/>
        <item x="64"/>
        <item x="65"/>
        <item x="13"/>
        <item x="51"/>
        <item x="9"/>
        <item x="4"/>
        <item x="10"/>
        <item x="82"/>
        <item x="19"/>
        <item x="54"/>
        <item x="46"/>
        <item x="11"/>
        <item x="5"/>
        <item x="79"/>
        <item x="20"/>
        <item x="12"/>
        <item x="69"/>
        <item x="84"/>
        <item x="86"/>
        <item x="85"/>
        <item x="72"/>
        <item x="74"/>
        <item x="44"/>
        <item x="39"/>
        <item x="73"/>
        <item x="1"/>
        <item x="45"/>
        <item x="63"/>
        <item x="18"/>
        <item x="57"/>
        <item x="25"/>
        <item x="38"/>
        <item x="80"/>
        <item x="28"/>
        <item x="50"/>
        <item x="29"/>
        <item x="40"/>
        <item x="59"/>
        <item x="42"/>
        <item x="8"/>
        <item x="26"/>
        <item x="70"/>
        <item x="37"/>
        <item x="23"/>
        <item x="43"/>
        <item x="22"/>
        <item x="7"/>
        <item x="75"/>
        <item x="76"/>
        <item x="71"/>
        <item x="27"/>
        <item x="55"/>
        <item x="30"/>
        <item x="31"/>
        <item x="32"/>
        <item x="15"/>
        <item x="81"/>
        <item x="2"/>
        <item x="0"/>
        <item x="33"/>
        <item x="67"/>
        <item x="62"/>
        <item x="21"/>
        <item x="61"/>
        <item x="34"/>
        <item x="48"/>
        <item x="47"/>
        <item x="60"/>
        <item x="58"/>
        <item x="53"/>
        <item x="6"/>
        <item x="52"/>
        <item x="16"/>
        <item x="24"/>
        <item x="35"/>
        <item x="14"/>
        <item t="default" sd="0"/>
      </items>
    </pivotField>
    <pivotField name="Line Item Description" compact="0" outline="0" showAll="0">
      <items count="98">
        <item x="86"/>
        <item x="87"/>
        <item x="60"/>
        <item x="94"/>
        <item x="96"/>
        <item x="64"/>
        <item x="66"/>
        <item x="93"/>
        <item x="52"/>
        <item x="58"/>
        <item x="53"/>
        <item x="61"/>
        <item x="18"/>
        <item x="89"/>
        <item x="69"/>
        <item x="3"/>
        <item x="67"/>
        <item x="11"/>
        <item x="20"/>
        <item x="0"/>
        <item x="95"/>
        <item x="81"/>
        <item x="83"/>
        <item x="80"/>
        <item x="82"/>
        <item x="1"/>
        <item x="48"/>
        <item x="19"/>
        <item x="59"/>
        <item x="4"/>
        <item x="13"/>
        <item x="77"/>
        <item x="88"/>
        <item x="51"/>
        <item x="50"/>
        <item x="54"/>
        <item x="74"/>
        <item x="9"/>
        <item x="21"/>
        <item x="68"/>
        <item x="91"/>
        <item x="63"/>
        <item x="8"/>
        <item x="84"/>
        <item x="85"/>
        <item x="23"/>
        <item x="79"/>
        <item x="92"/>
        <item x="57"/>
        <item x="78"/>
        <item x="62"/>
        <item x="65"/>
        <item x="7"/>
        <item x="5"/>
        <item x="49"/>
        <item x="12"/>
        <item x="71"/>
        <item x="56"/>
        <item x="16"/>
        <item x="90"/>
        <item x="76"/>
        <item x="75"/>
        <item x="2"/>
        <item x="15"/>
        <item x="22"/>
        <item x="14"/>
        <item x="10"/>
        <item x="55"/>
        <item x="72"/>
        <item x="73"/>
        <item x="6"/>
        <item x="17"/>
        <item x="28"/>
        <item x="42"/>
        <item x="36"/>
        <item x="30"/>
        <item x="31"/>
        <item x="32"/>
        <item x="25"/>
        <item x="38"/>
        <item x="47"/>
        <item x="39"/>
        <item x="29"/>
        <item x="43"/>
        <item x="37"/>
        <item x="26"/>
        <item x="40"/>
        <item x="46"/>
        <item x="24"/>
        <item x="27"/>
        <item x="44"/>
        <item x="45"/>
        <item x="41"/>
        <item x="35"/>
        <item x="33"/>
        <item x="70"/>
        <item x="34"/>
        <item t="default" sd="0"/>
      </items>
    </pivotField>
    <pivotField name="Order Quantity" compact="0" outline="0" showAll="0">
      <items count="16">
        <item x="0"/>
        <item x="2"/>
        <item x="12"/>
        <item x="1"/>
        <item x="13"/>
        <item x="6"/>
        <item x="3"/>
        <item x="10"/>
        <item x="14"/>
        <item x="8"/>
        <item x="11"/>
        <item x="4"/>
        <item x="9"/>
        <item x="5"/>
        <item x="7"/>
        <item t="default" sd="0"/>
      </items>
    </pivotField>
    <pivotField name="Unit Price" compact="0" outline="0" showAll="0">
      <items count="82">
        <item x="5"/>
        <item x="10"/>
        <item x="4"/>
        <item x="0"/>
        <item x="73"/>
        <item x="15"/>
        <item x="13"/>
        <item x="57"/>
        <item x="61"/>
        <item x="31"/>
        <item x="25"/>
        <item x="59"/>
        <item x="35"/>
        <item x="68"/>
        <item x="8"/>
        <item x="34"/>
        <item x="74"/>
        <item x="46"/>
        <item x="22"/>
        <item x="66"/>
        <item x="9"/>
        <item x="78"/>
        <item x="6"/>
        <item x="67"/>
        <item x="63"/>
        <item x="29"/>
        <item x="20"/>
        <item x="48"/>
        <item x="76"/>
        <item x="80"/>
        <item x="71"/>
        <item x="45"/>
        <item x="77"/>
        <item x="51"/>
        <item x="39"/>
        <item x="64"/>
        <item x="70"/>
        <item x="3"/>
        <item x="37"/>
        <item x="49"/>
        <item x="60"/>
        <item x="30"/>
        <item x="75"/>
        <item x="17"/>
        <item x="1"/>
        <item x="18"/>
        <item x="38"/>
        <item x="27"/>
        <item x="14"/>
        <item x="40"/>
        <item x="16"/>
        <item x="32"/>
        <item x="55"/>
        <item x="33"/>
        <item x="56"/>
        <item x="21"/>
        <item x="7"/>
        <item x="72"/>
        <item x="2"/>
        <item x="69"/>
        <item x="11"/>
        <item x="53"/>
        <item x="23"/>
        <item x="52"/>
        <item x="54"/>
        <item x="65"/>
        <item x="28"/>
        <item x="19"/>
        <item x="47"/>
        <item x="36"/>
        <item x="43"/>
        <item x="50"/>
        <item x="44"/>
        <item x="58"/>
        <item x="12"/>
        <item x="24"/>
        <item x="62"/>
        <item x="79"/>
        <item x="26"/>
        <item x="41"/>
        <item x="42"/>
        <item t="default" sd="0"/>
      </items>
    </pivotField>
    <pivotField name="Total Line Item $" axis="axisValues" dataField="1" compact="0" outline="0" showAll="0"/>
  </pivotFields>
  <rowFields count="1">
    <field x="0"/>
  </rowFields>
  <rowItems count="88">
    <i>
      <x v="86"/>
    </i>
    <i>
      <x v="85"/>
    </i>
    <i>
      <x v="84"/>
    </i>
    <i>
      <x v="83"/>
    </i>
    <i>
      <x v="82"/>
    </i>
    <i>
      <x v="81"/>
    </i>
    <i>
      <x v="80"/>
    </i>
    <i>
      <x v="79"/>
    </i>
    <i>
      <x v="78"/>
    </i>
    <i>
      <x v="77"/>
    </i>
    <i>
      <x v="76"/>
    </i>
    <i>
      <x v="75"/>
    </i>
    <i>
      <x v="74"/>
    </i>
    <i>
      <x v="73"/>
    </i>
    <i>
      <x v="72"/>
    </i>
    <i>
      <x v="71"/>
    </i>
    <i>
      <x v="70"/>
    </i>
    <i>
      <x v="69"/>
    </i>
    <i>
      <x v="68"/>
    </i>
    <i>
      <x v="67"/>
    </i>
    <i>
      <x v="66"/>
    </i>
    <i>
      <x v="65"/>
    </i>
    <i>
      <x v="64"/>
    </i>
    <i>
      <x v="63"/>
    </i>
    <i>
      <x v="62"/>
    </i>
    <i>
      <x v="61"/>
    </i>
    <i>
      <x v="60"/>
    </i>
    <i>
      <x v="59"/>
    </i>
    <i>
      <x v="58"/>
    </i>
    <i>
      <x v="57"/>
    </i>
    <i>
      <x v="56"/>
    </i>
    <i>
      <x v="55"/>
    </i>
    <i>
      <x v="54"/>
    </i>
    <i>
      <x v="53"/>
    </i>
    <i>
      <x v="52"/>
    </i>
    <i>
      <x v="51"/>
    </i>
    <i>
      <x v="50"/>
    </i>
    <i>
      <x v="49"/>
    </i>
    <i>
      <x v="48"/>
    </i>
    <i>
      <x v="47"/>
    </i>
    <i>
      <x v="46"/>
    </i>
    <i>
      <x v="45"/>
    </i>
    <i>
      <x v="44"/>
    </i>
    <i>
      <x v="43"/>
    </i>
    <i>
      <x v="42"/>
    </i>
    <i>
      <x v="41"/>
    </i>
    <i>
      <x v="40"/>
    </i>
    <i>
      <x v="39"/>
    </i>
    <i>
      <x v="38"/>
    </i>
    <i>
      <x v="37"/>
    </i>
    <i>
      <x v="36"/>
    </i>
    <i>
      <x v="35"/>
    </i>
    <i>
      <x v="34"/>
    </i>
    <i>
      <x v="33"/>
    </i>
    <i>
      <x v="32"/>
    </i>
    <i>
      <x v="31"/>
    </i>
    <i>
      <x v="30"/>
    </i>
    <i>
      <x v="29"/>
    </i>
    <i>
      <x v="28"/>
    </i>
    <i>
      <x v="27"/>
    </i>
    <i>
      <x v="26"/>
    </i>
    <i>
      <x v="25"/>
    </i>
    <i>
      <x v="24"/>
    </i>
    <i>
      <x v="23"/>
    </i>
    <i>
      <x v="22"/>
    </i>
    <i>
      <x v="21"/>
    </i>
    <i>
      <x v="20"/>
    </i>
    <i>
      <x v="19"/>
    </i>
    <i>
      <x v="18"/>
    </i>
    <i>
      <x v="17"/>
    </i>
    <i>
      <x v="16"/>
    </i>
    <i>
      <x v="15"/>
    </i>
    <i>
      <x v="14"/>
    </i>
    <i>
      <x v="13"/>
    </i>
    <i>
      <x v="12"/>
    </i>
    <i>
      <x v="11"/>
    </i>
    <i>
      <x v="10"/>
    </i>
    <i>
      <x v="9"/>
    </i>
    <i>
      <x v="8"/>
    </i>
    <i>
      <x v="7"/>
    </i>
    <i>
      <x v="6"/>
    </i>
    <i>
      <x v="5"/>
    </i>
    <i>
      <x v="4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Sum of Total Line Item $" fld="4" numFmtId="60"/>
  </dataFields>
  <pivotTableStyleInfo name="PivotStyleCustom25" showRowHeaders="1" showColHeaders="1" showRowStripes="1" showColStripes="0" showLastColumn="1"/>
</pivotTableDefinition>
</file>

<file path=xl/pivotTables/pivotTable26.xml><?xml version="1.0" encoding="utf-8"?>
<pivotTableDefinition xmlns="http://schemas.openxmlformats.org/spreadsheetml/2006/main" name="December 2023 Sales by Customer" cacheId="25" dataPosition="0" autoFormatId="0" applyNumberFormats="0" applyBorderFormats="0" applyFontFormats="0" applyPatternFormats="0" applyAlignmentFormats="0" applyWidthHeightFormats="1" dataCaption="" missingCaption="" pivotTableStyle="PivotStyleCustom26" updatedVersion="7" useAutoFormatting="1" createdVersion="7" indent="0" showEmptyCol="1" showEmptyRow="1" compact="0" compactData="0" multipleFieldFilters="0">
  <location ref="I308:O416" firstHeaderRow="1" firstDataRow="2" firstDataCol="4"/>
  <pivotFields count="8">
    <pivotField name="Sales Order" axis="axisRow" compact="0" numFmtId="49" outline="0" showAll="0" sortType="ascending">
      <items count="128">
        <item sd="0" x="126"/>
        <item sd="0" x="125"/>
        <item sd="0" x="124"/>
        <item sd="0" x="122"/>
        <item sd="0" x="121"/>
        <item sd="0" x="120"/>
        <item sd="0" x="123"/>
        <item sd="0" x="119"/>
        <item sd="0" x="118"/>
        <item sd="0" x="117"/>
        <item sd="0" x="116"/>
        <item sd="0" x="115"/>
        <item sd="0" x="114"/>
        <item sd="0" x="113"/>
        <item sd="0" x="112"/>
        <item sd="0" x="111"/>
        <item sd="0" x="109"/>
        <item sd="0" x="108"/>
        <item sd="0" x="107"/>
        <item sd="0" x="106"/>
        <item sd="0" x="105"/>
        <item sd="0" x="104"/>
        <item sd="0" x="103"/>
        <item sd="0" x="110"/>
        <item sd="0" x="102"/>
        <item sd="0" x="101"/>
        <item sd="0" x="100"/>
        <item sd="0" x="99"/>
        <item sd="0" x="96"/>
        <item sd="0" x="98"/>
        <item sd="0" x="95"/>
        <item sd="0" x="97"/>
        <item sd="0" x="91"/>
        <item sd="0" x="90"/>
        <item sd="0" x="94"/>
        <item sd="0" x="92"/>
        <item sd="0" x="93"/>
        <item sd="0" x="89"/>
        <item sd="0" x="87"/>
        <item sd="0" x="86"/>
        <item sd="0" x="88"/>
        <item sd="0" x="85"/>
        <item sd="0" x="83"/>
        <item sd="0" x="81"/>
        <item sd="0" x="84"/>
        <item sd="0" x="82"/>
        <item sd="0" x="80"/>
        <item sd="0" x="77"/>
        <item sd="0" x="78"/>
        <item sd="0" x="76"/>
        <item sd="0" x="79"/>
        <item sd="0" x="73"/>
        <item sd="0" x="74"/>
        <item sd="0" x="72"/>
        <item sd="0" x="71"/>
        <item sd="0" x="70"/>
        <item sd="0" x="75"/>
        <item sd="0" x="69"/>
        <item sd="0" x="67"/>
        <item sd="0" x="66"/>
        <item sd="0" x="65"/>
        <item sd="0" x="68"/>
        <item sd="0" x="64"/>
        <item sd="0" x="61"/>
        <item sd="0" x="62"/>
        <item sd="0" x="60"/>
        <item sd="0" x="63"/>
        <item sd="0" x="59"/>
        <item sd="0" x="58"/>
        <item sd="0" x="57"/>
        <item sd="0" x="53"/>
        <item sd="0" x="52"/>
        <item sd="0" x="51"/>
        <item sd="0" x="50"/>
        <item sd="0" x="54"/>
        <item sd="0" x="55"/>
        <item sd="0" x="49"/>
        <item sd="0" x="56"/>
        <item sd="0" x="48"/>
        <item sd="0" x="46"/>
        <item sd="0" x="47"/>
        <item sd="0" x="43"/>
        <item sd="0" x="42"/>
        <item sd="0" x="41"/>
        <item sd="0" x="44"/>
        <item sd="0" x="45"/>
        <item sd="0" x="40"/>
        <item sd="0" x="32"/>
        <item sd="0" x="36"/>
        <item sd="0" x="31"/>
        <item sd="0" x="30"/>
        <item sd="0" x="35"/>
        <item sd="0" x="33"/>
        <item sd="0" x="34"/>
        <item sd="0" x="29"/>
        <item sd="0" x="38"/>
        <item sd="0" x="39"/>
        <item sd="0" x="28"/>
        <item sd="0" x="37"/>
        <item sd="0" x="26"/>
        <item sd="0" x="27"/>
        <item sd="0" x="24"/>
        <item sd="0" x="23"/>
        <item sd="0" x="25"/>
        <item sd="0" x="22"/>
        <item sd="0" x="21"/>
        <item sd="0" x="20"/>
        <item sd="0" x="19"/>
        <item sd="0" x="18"/>
        <item sd="0" x="17"/>
        <item sd="0" x="16"/>
        <item sd="0" x="15"/>
        <item sd="0" x="14"/>
        <item sd="0" x="13"/>
        <item sd="0" x="12"/>
        <item sd="0" x="8"/>
        <item sd="0" x="7"/>
        <item sd="0" x="9"/>
        <item sd="0" x="10"/>
        <item sd="0" x="11"/>
        <item sd="0" x="6"/>
        <item sd="0" x="5"/>
        <item sd="0" x="4"/>
        <item sd="0" x="3"/>
        <item sd="0" x="2"/>
        <item sd="0" x="1"/>
        <item sd="0" x="0"/>
        <item t="default" sd="0"/>
      </items>
    </pivotField>
    <pivotField name="Customer" axis="axisRow" compact="0" numFmtId="49" outline="0" showAll="0" sortType="ascending">
      <items count="107">
        <item sd="0" x="33"/>
        <item sd="0" x="26"/>
        <item sd="0" x="46"/>
        <item sd="0" x="105"/>
        <item sd="0" x="14"/>
        <item sd="0" x="72"/>
        <item sd="0" x="2"/>
        <item sd="0" x="56"/>
        <item sd="0" x="20"/>
        <item sd="0" x="1"/>
        <item sd="0" x="86"/>
        <item sd="0" x="89"/>
        <item sd="0" x="16"/>
        <item sd="0" x="38"/>
        <item sd="0" x="92"/>
        <item sd="0" x="54"/>
        <item sd="0" x="40"/>
        <item sd="0" x="29"/>
        <item sd="0" x="10"/>
        <item sd="0" x="13"/>
        <item sd="0" x="82"/>
        <item sd="0" x="34"/>
        <item sd="0" x="35"/>
        <item sd="0" x="18"/>
        <item sd="0" x="15"/>
        <item sd="0" x="98"/>
        <item sd="0" x="94"/>
        <item sd="0" x="49"/>
        <item sd="0" x="43"/>
        <item sd="0" x="91"/>
        <item sd="0" x="100"/>
        <item sd="0" x="7"/>
        <item sd="0" x="52"/>
        <item sd="0" x="99"/>
        <item sd="0" x="60"/>
        <item sd="0" x="24"/>
        <item sd="0" x="81"/>
        <item sd="0" x="25"/>
        <item sd="0" x="8"/>
        <item sd="0" x="0"/>
        <item sd="0" x="70"/>
        <item sd="0" x="61"/>
        <item sd="0" x="45"/>
        <item sd="0" x="17"/>
        <item sd="0" x="36"/>
        <item sd="0" x="85"/>
        <item sd="0" x="3"/>
        <item sd="0" x="90"/>
        <item sd="0" x="95"/>
        <item sd="0" x="84"/>
        <item sd="0" x="39"/>
        <item sd="0" x="28"/>
        <item sd="0" x="67"/>
        <item sd="0" x="63"/>
        <item sd="0" x="65"/>
        <item sd="0" x="44"/>
        <item sd="0" x="11"/>
        <item sd="0" x="73"/>
        <item sd="0" x="42"/>
        <item sd="0" x="69"/>
        <item sd="0" x="87"/>
        <item sd="0" x="22"/>
        <item sd="0" x="64"/>
        <item sd="0" x="74"/>
        <item sd="0" x="80"/>
        <item sd="0" x="78"/>
        <item sd="0" x="19"/>
        <item sd="0" x="21"/>
        <item sd="0" x="37"/>
        <item sd="0" x="102"/>
        <item sd="0" x="30"/>
        <item sd="0" x="9"/>
        <item sd="0" x="59"/>
        <item sd="0" x="68"/>
        <item sd="0" x="104"/>
        <item sd="0" x="5"/>
        <item sd="0" x="41"/>
        <item sd="0" x="71"/>
        <item sd="0" x="62"/>
        <item sd="0" x="96"/>
        <item sd="0" x="66"/>
        <item sd="0" x="88"/>
        <item sd="0" x="76"/>
        <item sd="0" x="57"/>
        <item sd="0" x="75"/>
        <item sd="0" x="50"/>
        <item sd="0" x="32"/>
        <item sd="0" x="103"/>
        <item sd="0" x="27"/>
        <item sd="0" x="6"/>
        <item sd="0" x="51"/>
        <item sd="0" x="93"/>
        <item sd="0" x="31"/>
        <item sd="0" x="58"/>
        <item sd="0" x="79"/>
        <item sd="0" x="83"/>
        <item sd="0" x="101"/>
        <item sd="0" x="12"/>
        <item sd="0" x="47"/>
        <item sd="0" x="23"/>
        <item sd="0" x="55"/>
        <item sd="0" x="77"/>
        <item sd="0" x="48"/>
        <item sd="0" x="53"/>
        <item sd="0" x="97"/>
        <item sd="0" x="4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5">
        <item x="49"/>
        <item x="57"/>
        <item x="85"/>
        <item x="86"/>
        <item x="47"/>
        <item x="79"/>
        <item x="102"/>
        <item x="81"/>
        <item x="84"/>
        <item x="80"/>
        <item x="74"/>
        <item x="59"/>
        <item x="95"/>
        <item x="72"/>
        <item x="46"/>
        <item x="55"/>
        <item x="101"/>
        <item x="8"/>
        <item x="4"/>
        <item x="28"/>
        <item x="83"/>
        <item x="89"/>
        <item x="2"/>
        <item x="0"/>
        <item x="9"/>
        <item x="19"/>
        <item x="70"/>
        <item x="21"/>
        <item x="96"/>
        <item x="40"/>
        <item x="45"/>
        <item x="39"/>
        <item x="33"/>
        <item x="34"/>
        <item x="69"/>
        <item x="11"/>
        <item x="76"/>
        <item x="13"/>
        <item x="92"/>
        <item x="32"/>
        <item x="18"/>
        <item x="5"/>
        <item x="68"/>
        <item x="20"/>
        <item x="91"/>
        <item x="93"/>
        <item x="3"/>
        <item x="87"/>
        <item x="31"/>
        <item x="17"/>
        <item x="71"/>
        <item x="16"/>
        <item x="12"/>
        <item x="103"/>
        <item x="7"/>
        <item x="97"/>
        <item x="64"/>
        <item x="29"/>
        <item x="14"/>
        <item x="67"/>
        <item x="15"/>
        <item x="43"/>
        <item x="30"/>
        <item x="36"/>
        <item x="37"/>
        <item x="38"/>
        <item x="23"/>
        <item x="24"/>
        <item x="44"/>
        <item x="10"/>
        <item x="54"/>
        <item x="6"/>
        <item x="35"/>
        <item x="1"/>
        <item x="48"/>
        <item x="41"/>
        <item x="82"/>
        <item x="58"/>
        <item x="66"/>
        <item x="63"/>
        <item x="60"/>
        <item x="62"/>
        <item x="56"/>
        <item x="51"/>
        <item x="52"/>
        <item x="73"/>
        <item x="65"/>
        <item x="75"/>
        <item x="98"/>
        <item x="90"/>
        <item x="94"/>
        <item x="53"/>
        <item x="50"/>
        <item x="100"/>
        <item x="25"/>
        <item x="77"/>
        <item x="78"/>
        <item x="22"/>
        <item x="27"/>
        <item x="26"/>
        <item x="61"/>
        <item x="99"/>
        <item x="88"/>
        <item x="42"/>
        <item t="default" sd="0"/>
      </items>
    </pivotField>
    <pivotField name="Line Item Description" compact="0" outline="0" showAll="0">
      <items count="113">
        <item x="31"/>
        <item x="87"/>
        <item x="80"/>
        <item x="82"/>
        <item x="94"/>
        <item x="36"/>
        <item x="37"/>
        <item x="38"/>
        <item x="33"/>
        <item x="34"/>
        <item x="103"/>
        <item x="81"/>
        <item x="111"/>
        <item x="75"/>
        <item x="64"/>
        <item x="8"/>
        <item x="60"/>
        <item x="100"/>
        <item x="73"/>
        <item x="70"/>
        <item x="46"/>
        <item x="48"/>
        <item x="47"/>
        <item x="13"/>
        <item x="106"/>
        <item x="28"/>
        <item x="49"/>
        <item x="4"/>
        <item x="3"/>
        <item x="90"/>
        <item x="0"/>
        <item x="20"/>
        <item x="1"/>
        <item x="83"/>
        <item x="12"/>
        <item x="77"/>
        <item x="14"/>
        <item x="96"/>
        <item x="32"/>
        <item x="19"/>
        <item x="5"/>
        <item x="89"/>
        <item x="69"/>
        <item x="21"/>
        <item x="97"/>
        <item x="95"/>
        <item x="98"/>
        <item x="2"/>
        <item x="59"/>
        <item x="23"/>
        <item x="56"/>
        <item x="45"/>
        <item x="39"/>
        <item x="40"/>
        <item x="67"/>
        <item x="68"/>
        <item x="18"/>
        <item x="63"/>
        <item x="72"/>
        <item x="7"/>
        <item x="29"/>
        <item x="102"/>
        <item x="109"/>
        <item x="17"/>
        <item x="92"/>
        <item x="9"/>
        <item x="78"/>
        <item x="88"/>
        <item x="15"/>
        <item x="108"/>
        <item x="76"/>
        <item x="107"/>
        <item x="57"/>
        <item x="43"/>
        <item x="16"/>
        <item x="30"/>
        <item x="99"/>
        <item x="58"/>
        <item x="53"/>
        <item x="66"/>
        <item x="55"/>
        <item x="84"/>
        <item x="104"/>
        <item x="110"/>
        <item x="52"/>
        <item x="101"/>
        <item x="71"/>
        <item x="22"/>
        <item x="105"/>
        <item x="44"/>
        <item x="11"/>
        <item x="10"/>
        <item x="79"/>
        <item x="35"/>
        <item x="86"/>
        <item x="74"/>
        <item x="24"/>
        <item x="25"/>
        <item x="41"/>
        <item x="6"/>
        <item x="26"/>
        <item x="27"/>
        <item x="42"/>
        <item x="54"/>
        <item x="85"/>
        <item x="93"/>
        <item x="50"/>
        <item x="65"/>
        <item x="91"/>
        <item x="61"/>
        <item x="51"/>
        <item x="62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07">
    <i>
      <x/>
    </i>
    <i>
      <x v="2"/>
    </i>
    <i>
      <x v="100"/>
    </i>
    <i>
      <x v="1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9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101"/>
    </i>
    <i>
      <x v="28"/>
    </i>
    <i>
      <x v="30"/>
    </i>
    <i>
      <x v="29"/>
    </i>
    <i>
      <x v="31"/>
    </i>
    <i>
      <x v="32"/>
    </i>
    <i>
      <x v="33"/>
    </i>
    <i>
      <x v="34"/>
    </i>
    <i>
      <x v="36"/>
    </i>
    <i>
      <x v="35"/>
    </i>
    <i>
      <x v="37"/>
    </i>
    <i>
      <x v="39"/>
    </i>
    <i>
      <x v="40"/>
    </i>
    <i>
      <x v="41"/>
    </i>
    <i>
      <x v="42"/>
    </i>
    <i>
      <x v="43"/>
    </i>
    <i>
      <x v="44"/>
    </i>
    <i>
      <x v="102"/>
    </i>
    <i>
      <x v="45"/>
    </i>
    <i>
      <x v="46"/>
    </i>
    <i>
      <x v="38"/>
    </i>
    <i>
      <x v="47"/>
    </i>
    <i>
      <x v="48"/>
    </i>
    <i>
      <x v="49"/>
    </i>
    <i>
      <x v="50"/>
    </i>
    <i>
      <x v="51"/>
    </i>
    <i>
      <x v="52"/>
    </i>
    <i>
      <x v="53"/>
    </i>
    <i>
      <x v="56"/>
    </i>
    <i>
      <x v="57"/>
    </i>
    <i>
      <x v="58"/>
    </i>
    <i>
      <x v="59"/>
    </i>
    <i>
      <x v="60"/>
    </i>
    <i>
      <x v="61"/>
    </i>
    <i>
      <x v="62"/>
    </i>
    <i>
      <x v="54"/>
    </i>
    <i>
      <x v="63"/>
    </i>
    <i>
      <x v="64"/>
    </i>
    <i>
      <x v="65"/>
    </i>
    <i>
      <x v="5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103"/>
    </i>
    <i>
      <x v="91"/>
    </i>
    <i>
      <x v="104"/>
    </i>
    <i>
      <x v="92"/>
    </i>
    <i>
      <x v="93"/>
    </i>
    <i>
      <x v="94"/>
    </i>
    <i>
      <x v="105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26" showRowHeaders="1" showColHeaders="1" showRowStripes="1" showColStripes="0" showLastColumn="1"/>
</pivotTableDefinition>
</file>

<file path=xl/pivotTables/pivotTable27.xml><?xml version="1.0" encoding="utf-8"?>
<pivotTableDefinition xmlns="http://schemas.openxmlformats.org/spreadsheetml/2006/main" name="December 2023 Sales by SKU (Quantity)" cacheId="26" dataPosition="0" autoFormatId="0" applyNumberFormats="0" applyBorderFormats="0" applyFontFormats="0" applyPatternFormats="0" applyAlignmentFormats="0" applyWidthHeightFormats="1" dataCaption="" missingCaption="" pivotTableStyle="PivotStyleCustom27" updatedVersion="7" useAutoFormatting="1" createdVersion="7" indent="0" showEmptyCol="1" showEmptyRow="1" compact="0" compactData="0" multipleFieldFilters="0">
  <location ref="P419:Q524" firstHeaderRow="1" firstDataRow="1" firstDataCol="1"/>
  <pivotFields count="3">
    <pivotField name="Line Item Name" axis="axisRow" compact="0" numFmtId="49" outline="0" showAll="0" sortType="ascending">
      <items count="105">
        <item x="49"/>
        <item x="57"/>
        <item x="85"/>
        <item x="86"/>
        <item x="47"/>
        <item x="79"/>
        <item x="102"/>
        <item x="81"/>
        <item x="84"/>
        <item x="80"/>
        <item x="74"/>
        <item x="59"/>
        <item x="95"/>
        <item x="72"/>
        <item x="46"/>
        <item x="55"/>
        <item x="101"/>
        <item x="8"/>
        <item x="4"/>
        <item x="28"/>
        <item x="83"/>
        <item x="89"/>
        <item x="2"/>
        <item x="0"/>
        <item x="9"/>
        <item x="19"/>
        <item x="70"/>
        <item x="21"/>
        <item x="96"/>
        <item x="40"/>
        <item x="45"/>
        <item x="39"/>
        <item x="33"/>
        <item x="34"/>
        <item x="69"/>
        <item x="11"/>
        <item x="76"/>
        <item x="13"/>
        <item x="92"/>
        <item x="32"/>
        <item x="18"/>
        <item x="5"/>
        <item x="68"/>
        <item x="20"/>
        <item x="91"/>
        <item x="93"/>
        <item x="3"/>
        <item x="87"/>
        <item x="31"/>
        <item x="17"/>
        <item x="71"/>
        <item x="16"/>
        <item x="12"/>
        <item x="103"/>
        <item x="7"/>
        <item x="97"/>
        <item x="64"/>
        <item x="29"/>
        <item x="14"/>
        <item x="67"/>
        <item x="15"/>
        <item x="43"/>
        <item x="30"/>
        <item x="36"/>
        <item x="37"/>
        <item x="38"/>
        <item x="23"/>
        <item x="24"/>
        <item x="44"/>
        <item x="10"/>
        <item x="54"/>
        <item x="6"/>
        <item x="35"/>
        <item x="1"/>
        <item x="48"/>
        <item x="41"/>
        <item x="82"/>
        <item x="58"/>
        <item x="66"/>
        <item x="63"/>
        <item x="60"/>
        <item x="62"/>
        <item x="56"/>
        <item x="51"/>
        <item x="52"/>
        <item x="73"/>
        <item x="65"/>
        <item x="75"/>
        <item x="98"/>
        <item x="90"/>
        <item x="94"/>
        <item x="53"/>
        <item x="50"/>
        <item x="100"/>
        <item x="25"/>
        <item x="77"/>
        <item x="78"/>
        <item x="22"/>
        <item x="27"/>
        <item x="26"/>
        <item x="61"/>
        <item x="99"/>
        <item x="88"/>
        <item x="42"/>
        <item t="default" sd="0"/>
      </items>
    </pivotField>
    <pivotField name="Line Item Description" compact="0" outline="0" showAll="0">
      <items count="113">
        <item x="31"/>
        <item x="87"/>
        <item x="80"/>
        <item x="82"/>
        <item x="94"/>
        <item x="36"/>
        <item x="37"/>
        <item x="38"/>
        <item x="33"/>
        <item x="34"/>
        <item x="103"/>
        <item x="81"/>
        <item x="111"/>
        <item x="75"/>
        <item x="64"/>
        <item x="8"/>
        <item x="60"/>
        <item x="100"/>
        <item x="73"/>
        <item x="70"/>
        <item x="46"/>
        <item x="48"/>
        <item x="47"/>
        <item x="13"/>
        <item x="106"/>
        <item x="28"/>
        <item x="49"/>
        <item x="4"/>
        <item x="3"/>
        <item x="90"/>
        <item x="0"/>
        <item x="20"/>
        <item x="1"/>
        <item x="83"/>
        <item x="12"/>
        <item x="77"/>
        <item x="14"/>
        <item x="96"/>
        <item x="32"/>
        <item x="19"/>
        <item x="5"/>
        <item x="89"/>
        <item x="69"/>
        <item x="21"/>
        <item x="97"/>
        <item x="95"/>
        <item x="98"/>
        <item x="2"/>
        <item x="59"/>
        <item x="23"/>
        <item x="56"/>
        <item x="45"/>
        <item x="39"/>
        <item x="40"/>
        <item x="67"/>
        <item x="68"/>
        <item x="18"/>
        <item x="63"/>
        <item x="72"/>
        <item x="7"/>
        <item x="29"/>
        <item x="102"/>
        <item x="109"/>
        <item x="17"/>
        <item x="92"/>
        <item x="9"/>
        <item x="78"/>
        <item x="88"/>
        <item x="15"/>
        <item x="108"/>
        <item x="76"/>
        <item x="107"/>
        <item x="57"/>
        <item x="43"/>
        <item x="16"/>
        <item x="30"/>
        <item x="99"/>
        <item x="58"/>
        <item x="53"/>
        <item x="66"/>
        <item x="55"/>
        <item x="84"/>
        <item x="104"/>
        <item x="110"/>
        <item x="52"/>
        <item x="101"/>
        <item x="71"/>
        <item x="22"/>
        <item x="105"/>
        <item x="44"/>
        <item x="11"/>
        <item x="10"/>
        <item x="79"/>
        <item x="35"/>
        <item x="86"/>
        <item x="74"/>
        <item x="24"/>
        <item x="25"/>
        <item x="41"/>
        <item x="6"/>
        <item x="26"/>
        <item x="27"/>
        <item x="42"/>
        <item x="54"/>
        <item x="85"/>
        <item x="93"/>
        <item x="50"/>
        <item x="65"/>
        <item x="91"/>
        <item x="61"/>
        <item x="51"/>
        <item x="62"/>
        <item t="default" sd="0"/>
      </items>
    </pivotField>
    <pivotField name="Order Quantity" axis="axisValues" dataField="1" compact="0" outline="0" showAll="0"/>
  </pivotFields>
  <rowFields count="1">
    <field x="0"/>
  </rowFields>
  <rowItems count="105">
    <i>
      <x/>
    </i>
    <i>
      <x v="1"/>
    </i>
    <i>
      <x v="2"/>
    </i>
    <i>
      <x v="3"/>
    </i>
    <i>
      <x v="5"/>
    </i>
    <i>
      <x v="6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5"/>
    </i>
    <i>
      <x v="77"/>
    </i>
    <i>
      <x v="78"/>
    </i>
    <i>
      <x v="80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Items count="1">
    <i/>
  </colItems>
  <dataFields count="1">
    <dataField name="Sum of Order Quantity" fld="2"/>
  </dataFields>
  <pivotTableStyleInfo name="PivotStyleCustom27" showRowHeaders="1" showColHeaders="1" showRowStripes="1" showColStripes="0" showLastColumn="1"/>
</pivotTableDefinition>
</file>

<file path=xl/pivotTables/pivotTable28.xml><?xml version="1.0" encoding="utf-8"?>
<pivotTableDefinition xmlns="http://schemas.openxmlformats.org/spreadsheetml/2006/main" name="December 2023 Sales by SKU$" cacheId="27" dataPosition="0" autoFormatId="0" applyNumberFormats="0" applyBorderFormats="0" applyFontFormats="0" applyPatternFormats="0" applyAlignmentFormats="0" applyWidthHeightFormats="1" dataCaption="" missingCaption="" pivotTableStyle="PivotStyleCustom28" updatedVersion="7" useAutoFormatting="1" createdVersion="7" indent="0" showEmptyCol="1" showEmptyRow="1" compact="0" compactData="0" multipleFieldFilters="0">
  <location ref="R527:S632" firstHeaderRow="1" firstDataRow="1" firstDataCol="1"/>
  <pivotFields count="5">
    <pivotField name="Line Item Name" axis="axisRow" compact="0" numFmtId="49" outline="0" showAll="0" sortType="ascending">
      <items count="105">
        <item x="49"/>
        <item x="57"/>
        <item x="85"/>
        <item x="86"/>
        <item x="47"/>
        <item x="79"/>
        <item x="102"/>
        <item x="81"/>
        <item x="84"/>
        <item x="80"/>
        <item x="74"/>
        <item x="59"/>
        <item x="95"/>
        <item x="72"/>
        <item x="46"/>
        <item x="55"/>
        <item x="101"/>
        <item x="8"/>
        <item x="4"/>
        <item x="28"/>
        <item x="83"/>
        <item x="89"/>
        <item x="2"/>
        <item x="0"/>
        <item x="9"/>
        <item x="19"/>
        <item x="70"/>
        <item x="21"/>
        <item x="96"/>
        <item x="40"/>
        <item x="45"/>
        <item x="39"/>
        <item x="33"/>
        <item x="34"/>
        <item x="69"/>
        <item x="11"/>
        <item x="76"/>
        <item x="13"/>
        <item x="92"/>
        <item x="32"/>
        <item x="18"/>
        <item x="5"/>
        <item x="68"/>
        <item x="20"/>
        <item x="91"/>
        <item x="93"/>
        <item x="3"/>
        <item x="87"/>
        <item x="31"/>
        <item x="17"/>
        <item x="71"/>
        <item x="16"/>
        <item x="12"/>
        <item x="103"/>
        <item x="7"/>
        <item x="97"/>
        <item x="64"/>
        <item x="29"/>
        <item x="14"/>
        <item x="67"/>
        <item x="15"/>
        <item x="43"/>
        <item x="30"/>
        <item x="36"/>
        <item x="37"/>
        <item x="38"/>
        <item x="23"/>
        <item x="24"/>
        <item x="44"/>
        <item x="10"/>
        <item x="54"/>
        <item x="6"/>
        <item x="35"/>
        <item x="1"/>
        <item x="48"/>
        <item x="41"/>
        <item x="82"/>
        <item x="58"/>
        <item x="66"/>
        <item x="63"/>
        <item x="60"/>
        <item x="62"/>
        <item x="56"/>
        <item x="51"/>
        <item x="52"/>
        <item x="73"/>
        <item x="65"/>
        <item x="75"/>
        <item x="98"/>
        <item x="90"/>
        <item x="94"/>
        <item x="53"/>
        <item x="50"/>
        <item x="100"/>
        <item x="25"/>
        <item x="77"/>
        <item x="78"/>
        <item x="22"/>
        <item x="27"/>
        <item x="26"/>
        <item x="61"/>
        <item x="99"/>
        <item x="88"/>
        <item x="42"/>
        <item t="default" sd="0"/>
      </items>
    </pivotField>
    <pivotField name="Line Item Description" compact="0" outline="0" showAll="0">
      <items count="113">
        <item x="31"/>
        <item x="87"/>
        <item x="80"/>
        <item x="82"/>
        <item x="94"/>
        <item x="36"/>
        <item x="37"/>
        <item x="38"/>
        <item x="33"/>
        <item x="34"/>
        <item x="103"/>
        <item x="81"/>
        <item x="111"/>
        <item x="75"/>
        <item x="64"/>
        <item x="8"/>
        <item x="60"/>
        <item x="100"/>
        <item x="73"/>
        <item x="70"/>
        <item x="46"/>
        <item x="48"/>
        <item x="47"/>
        <item x="13"/>
        <item x="106"/>
        <item x="28"/>
        <item x="49"/>
        <item x="4"/>
        <item x="3"/>
        <item x="90"/>
        <item x="0"/>
        <item x="20"/>
        <item x="1"/>
        <item x="83"/>
        <item x="12"/>
        <item x="77"/>
        <item x="14"/>
        <item x="96"/>
        <item x="32"/>
        <item x="19"/>
        <item x="5"/>
        <item x="89"/>
        <item x="69"/>
        <item x="21"/>
        <item x="97"/>
        <item x="95"/>
        <item x="98"/>
        <item x="2"/>
        <item x="59"/>
        <item x="23"/>
        <item x="56"/>
        <item x="45"/>
        <item x="39"/>
        <item x="40"/>
        <item x="67"/>
        <item x="68"/>
        <item x="18"/>
        <item x="63"/>
        <item x="72"/>
        <item x="7"/>
        <item x="29"/>
        <item x="102"/>
        <item x="109"/>
        <item x="17"/>
        <item x="92"/>
        <item x="9"/>
        <item x="78"/>
        <item x="88"/>
        <item x="15"/>
        <item x="108"/>
        <item x="76"/>
        <item x="107"/>
        <item x="57"/>
        <item x="43"/>
        <item x="16"/>
        <item x="30"/>
        <item x="99"/>
        <item x="58"/>
        <item x="53"/>
        <item x="66"/>
        <item x="55"/>
        <item x="84"/>
        <item x="104"/>
        <item x="110"/>
        <item x="52"/>
        <item x="101"/>
        <item x="71"/>
        <item x="22"/>
        <item x="105"/>
        <item x="44"/>
        <item x="11"/>
        <item x="10"/>
        <item x="79"/>
        <item x="35"/>
        <item x="86"/>
        <item x="74"/>
        <item x="24"/>
        <item x="25"/>
        <item x="41"/>
        <item x="6"/>
        <item x="26"/>
        <item x="27"/>
        <item x="42"/>
        <item x="54"/>
        <item x="85"/>
        <item x="93"/>
        <item x="50"/>
        <item x="65"/>
        <item x="91"/>
        <item x="61"/>
        <item x="51"/>
        <item x="62"/>
        <item t="default" sd="0"/>
      </items>
    </pivotField>
    <pivotField name="Order Quantity" compact="0" outline="0" showAll="0">
      <items count="21">
        <item x="1"/>
        <item x="0"/>
        <item x="7"/>
        <item x="6"/>
        <item x="4"/>
        <item x="15"/>
        <item x="19"/>
        <item x="8"/>
        <item x="17"/>
        <item x="3"/>
        <item x="11"/>
        <item x="18"/>
        <item x="14"/>
        <item x="9"/>
        <item x="2"/>
        <item x="12"/>
        <item x="5"/>
        <item x="10"/>
        <item x="13"/>
        <item x="16"/>
        <item t="default" sd="0"/>
      </items>
    </pivotField>
    <pivotField name="Unit Price" compact="0" outline="0" showAll="0">
      <items count="88">
        <item x="8"/>
        <item x="66"/>
        <item x="16"/>
        <item x="18"/>
        <item x="72"/>
        <item x="71"/>
        <item x="84"/>
        <item x="33"/>
        <item x="1"/>
        <item x="67"/>
        <item x="20"/>
        <item x="47"/>
        <item x="69"/>
        <item x="45"/>
        <item x="27"/>
        <item x="14"/>
        <item x="17"/>
        <item x="49"/>
        <item x="39"/>
        <item x="58"/>
        <item x="86"/>
        <item x="32"/>
        <item x="59"/>
        <item x="10"/>
        <item x="46"/>
        <item x="21"/>
        <item x="35"/>
        <item x="73"/>
        <item x="13"/>
        <item x="78"/>
        <item x="77"/>
        <item x="54"/>
        <item x="51"/>
        <item x="68"/>
        <item x="25"/>
        <item x="0"/>
        <item x="48"/>
        <item x="26"/>
        <item x="57"/>
        <item x="75"/>
        <item x="37"/>
        <item x="38"/>
        <item x="65"/>
        <item x="19"/>
        <item x="60"/>
        <item x="42"/>
        <item x="83"/>
        <item x="34"/>
        <item x="61"/>
        <item x="9"/>
        <item x="15"/>
        <item x="11"/>
        <item x="43"/>
        <item x="70"/>
        <item x="56"/>
        <item x="2"/>
        <item x="64"/>
        <item x="24"/>
        <item x="52"/>
        <item x="28"/>
        <item x="3"/>
        <item x="80"/>
        <item x="82"/>
        <item x="36"/>
        <item x="6"/>
        <item x="55"/>
        <item x="76"/>
        <item x="62"/>
        <item x="44"/>
        <item x="5"/>
        <item x="79"/>
        <item x="31"/>
        <item x="50"/>
        <item x="4"/>
        <item x="81"/>
        <item x="30"/>
        <item x="41"/>
        <item x="85"/>
        <item x="22"/>
        <item x="7"/>
        <item x="53"/>
        <item x="12"/>
        <item x="74"/>
        <item x="63"/>
        <item x="40"/>
        <item x="29"/>
        <item x="23"/>
        <item t="default" sd="0"/>
      </items>
    </pivotField>
    <pivotField name="Total Line Item $" axis="axisValues" dataField="1" compact="0" outline="0" showAll="0"/>
  </pivotFields>
  <rowFields count="1">
    <field x="0"/>
  </rowFields>
  <rowItems count="105">
    <i>
      <x/>
    </i>
    <i>
      <x v="1"/>
    </i>
    <i>
      <x v="2"/>
    </i>
    <i>
      <x v="3"/>
    </i>
    <i>
      <x v="5"/>
    </i>
    <i>
      <x v="6"/>
    </i>
    <i>
      <x v="4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5"/>
    </i>
    <i>
      <x v="77"/>
    </i>
    <i>
      <x v="78"/>
    </i>
    <i>
      <x v="80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Items count="1">
    <i/>
  </colItems>
  <dataFields count="1">
    <dataField name="Sum of Total Line Item $" fld="4" numFmtId="60"/>
  </dataFields>
  <pivotTableStyleInfo name="PivotStyleCustom28" showRowHeaders="1" showColHeaders="1" showRowStripes="1" showColStripes="0" showLastColumn="1"/>
</pivotTableDefinition>
</file>

<file path=xl/pivotTables/pivotTable29.xml><?xml version="1.0" encoding="utf-8"?>
<pivotTableDefinition xmlns="http://schemas.openxmlformats.org/spreadsheetml/2006/main" name="November 2023 Sales by Customer" cacheId="28" dataPosition="0" autoFormatId="0" applyNumberFormats="0" applyBorderFormats="0" applyFontFormats="0" applyPatternFormats="0" applyAlignmentFormats="0" applyWidthHeightFormats="1" dataCaption="" missingCaption="" pivotTableStyle="PivotStyleCustom29" updatedVersion="7" useAutoFormatting="1" createdVersion="7" indent="0" showEmptyCol="1" showEmptyRow="1" compact="0" compactData="0" multipleFieldFilters="0">
  <location ref="I338:O451" firstHeaderRow="1" firstDataRow="2" firstDataCol="4"/>
  <pivotFields count="8">
    <pivotField name="Sales Order" axis="axisRow" compact="0" numFmtId="49" outline="0" showAll="0" sortType="ascending">
      <items count="130">
        <item sd="0" x="83"/>
        <item sd="0" x="125"/>
        <item sd="0" x="124"/>
        <item sd="0" x="123"/>
        <item sd="0" x="122"/>
        <item sd="0" x="121"/>
        <item sd="0" x="126"/>
        <item sd="0" x="128"/>
        <item sd="0" x="127"/>
        <item sd="0" x="118"/>
        <item sd="0" x="120"/>
        <item sd="0" x="119"/>
        <item sd="0" x="117"/>
        <item sd="0" x="116"/>
        <item sd="0" x="115"/>
        <item sd="0" x="114"/>
        <item sd="0" x="113"/>
        <item sd="0" x="112"/>
        <item sd="0" x="110"/>
        <item sd="0" x="109"/>
        <item sd="0" x="108"/>
        <item sd="0" x="107"/>
        <item sd="0" x="106"/>
        <item sd="0" x="105"/>
        <item sd="0" x="111"/>
        <item sd="0" x="104"/>
        <item sd="0" x="103"/>
        <item sd="0" x="101"/>
        <item sd="0" x="100"/>
        <item sd="0" x="99"/>
        <item sd="0" x="102"/>
        <item sd="0" x="96"/>
        <item sd="0" x="95"/>
        <item sd="0" x="94"/>
        <item sd="0" x="93"/>
        <item sd="0" x="92"/>
        <item sd="0" x="97"/>
        <item sd="0" x="98"/>
        <item sd="0" x="89"/>
        <item sd="0" x="88"/>
        <item sd="0" x="90"/>
        <item sd="0" x="87"/>
        <item sd="0" x="91"/>
        <item sd="0" x="86"/>
        <item sd="0" x="85"/>
        <item sd="0" x="84"/>
        <item sd="0" x="79"/>
        <item sd="0" x="78"/>
        <item sd="0" x="77"/>
        <item sd="0" x="81"/>
        <item sd="0" x="80"/>
        <item sd="0" x="82"/>
        <item sd="0" x="76"/>
        <item sd="0" x="75"/>
        <item sd="0" x="74"/>
        <item sd="0" x="73"/>
        <item sd="0" x="72"/>
        <item sd="0" x="71"/>
        <item sd="0" x="70"/>
        <item sd="0" x="69"/>
        <item sd="0" x="68"/>
        <item sd="0" x="67"/>
        <item sd="0" x="66"/>
        <item sd="0" x="65"/>
        <item sd="0" x="64"/>
        <item sd="0" x="63"/>
        <item sd="0" x="62"/>
        <item sd="0" x="61"/>
        <item sd="0" x="60"/>
        <item sd="0" x="59"/>
        <item sd="0" x="58"/>
        <item sd="0" x="56"/>
        <item sd="0" x="57"/>
        <item sd="0" x="55"/>
        <item sd="0" x="52"/>
        <item sd="0" x="51"/>
        <item sd="0" x="50"/>
        <item sd="0" x="53"/>
        <item sd="0" x="54"/>
        <item sd="0" x="49"/>
        <item sd="0" x="48"/>
        <item sd="0" x="47"/>
        <item sd="0" x="42"/>
        <item sd="0" x="41"/>
        <item sd="0" x="40"/>
        <item sd="0" x="43"/>
        <item sd="0" x="45"/>
        <item sd="0" x="39"/>
        <item sd="0" x="38"/>
        <item sd="0" x="44"/>
        <item sd="0" x="37"/>
        <item sd="0" x="46"/>
        <item sd="0" x="35"/>
        <item sd="0" x="36"/>
        <item sd="0" x="34"/>
        <item sd="0" x="28"/>
        <item sd="0" x="33"/>
        <item sd="0" x="30"/>
        <item sd="0" x="27"/>
        <item sd="0" x="32"/>
        <item sd="0" x="31"/>
        <item sd="0" x="29"/>
        <item sd="0" x="26"/>
        <item sd="0" x="25"/>
        <item sd="0" x="24"/>
        <item sd="0" x="23"/>
        <item sd="0" x="22"/>
        <item sd="0" x="21"/>
        <item sd="0" x="20"/>
        <item sd="0" x="19"/>
        <item sd="0" x="16"/>
        <item sd="0" x="17"/>
        <item sd="0" x="15"/>
        <item sd="0" x="14"/>
        <item sd="0" x="13"/>
        <item sd="0" x="18"/>
        <item sd="0" x="10"/>
        <item sd="0" x="9"/>
        <item sd="0" x="8"/>
        <item sd="0" x="7"/>
        <item sd="0" x="12"/>
        <item sd="0" x="11"/>
        <item sd="0" x="3"/>
        <item sd="0" x="6"/>
        <item sd="0" x="2"/>
        <item sd="0" x="1"/>
        <item sd="0" x="4"/>
        <item sd="0" x="5"/>
        <item sd="0" x="0"/>
        <item t="default" sd="0"/>
      </items>
    </pivotField>
    <pivotField name="Customer" axis="axisRow" compact="0" numFmtId="49" outline="0" showAll="0" sortType="ascending">
      <items count="112">
        <item sd="0" x="104"/>
        <item sd="0" x="15"/>
        <item sd="0" x="93"/>
        <item sd="0" x="95"/>
        <item sd="0" x="55"/>
        <item sd="0" x="81"/>
        <item sd="0" x="63"/>
        <item sd="0" x="28"/>
        <item sd="0" x="53"/>
        <item sd="0" x="11"/>
        <item sd="0" x="42"/>
        <item sd="0" x="51"/>
        <item sd="0" x="74"/>
        <item sd="0" x="61"/>
        <item sd="0" x="62"/>
        <item sd="0" x="5"/>
        <item sd="0" x="103"/>
        <item sd="0" x="40"/>
        <item sd="0" x="78"/>
        <item sd="0" x="4"/>
        <item sd="0" x="75"/>
        <item sd="0" x="66"/>
        <item sd="0" x="0"/>
        <item sd="0" x="44"/>
        <item sd="0" x="17"/>
        <item sd="0" x="92"/>
        <item sd="0" x="91"/>
        <item sd="0" x="67"/>
        <item sd="0" x="9"/>
        <item sd="0" x="90"/>
        <item sd="0" x="64"/>
        <item sd="0" x="89"/>
        <item sd="0" x="60"/>
        <item sd="0" x="38"/>
        <item sd="0" x="99"/>
        <item sd="0" x="10"/>
        <item sd="0" x="46"/>
        <item sd="0" x="72"/>
        <item sd="0" x="27"/>
        <item sd="0" x="73"/>
        <item sd="0" x="13"/>
        <item sd="0" x="25"/>
        <item sd="0" x="36"/>
        <item sd="0" x="50"/>
        <item sd="0" x="97"/>
        <item sd="0" x="39"/>
        <item sd="0" x="34"/>
        <item sd="0" x="108"/>
        <item sd="0" x="22"/>
        <item sd="0" x="32"/>
        <item sd="0" x="21"/>
        <item sd="0" x="70"/>
        <item sd="0" x="87"/>
        <item sd="0" x="30"/>
        <item sd="0" x="71"/>
        <item sd="0" x="84"/>
        <item sd="0" x="85"/>
        <item sd="0" x="16"/>
        <item sd="0" x="101"/>
        <item sd="0" x="54"/>
        <item sd="0" x="35"/>
        <item sd="0" x="82"/>
        <item sd="0" x="6"/>
        <item sd="0" x="7"/>
        <item sd="0" x="1"/>
        <item sd="0" x="58"/>
        <item sd="0" x="68"/>
        <item sd="0" x="14"/>
        <item sd="0" x="31"/>
        <item sd="0" x="57"/>
        <item sd="0" x="88"/>
        <item sd="0" x="100"/>
        <item sd="0" x="26"/>
        <item sd="0" x="3"/>
        <item sd="0" x="29"/>
        <item sd="0" x="98"/>
        <item sd="0" x="69"/>
        <item sd="0" x="80"/>
        <item sd="0" x="77"/>
        <item sd="0" x="48"/>
        <item sd="0" x="43"/>
        <item sd="0" x="19"/>
        <item sd="0" x="106"/>
        <item sd="0" x="23"/>
        <item sd="0" x="109"/>
        <item sd="0" x="59"/>
        <item sd="0" x="2"/>
        <item sd="0" x="37"/>
        <item sd="0" x="24"/>
        <item sd="0" x="33"/>
        <item sd="0" x="110"/>
        <item sd="0" x="45"/>
        <item sd="0" x="107"/>
        <item sd="0" x="83"/>
        <item sd="0" x="18"/>
        <item sd="0" x="47"/>
        <item sd="0" x="65"/>
        <item sd="0" x="49"/>
        <item sd="0" x="96"/>
        <item sd="0" x="52"/>
        <item sd="0" x="20"/>
        <item sd="0" x="102"/>
        <item sd="0" x="76"/>
        <item sd="0" x="79"/>
        <item sd="0" x="105"/>
        <item sd="0" x="8"/>
        <item sd="0" x="94"/>
        <item sd="0" x="86"/>
        <item sd="0" x="56"/>
        <item sd="0" x="41"/>
        <item sd="0" x="12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92">
        <item x="34"/>
        <item x="89"/>
        <item x="24"/>
        <item x="27"/>
        <item x="12"/>
        <item x="53"/>
        <item x="47"/>
        <item x="8"/>
        <item x="26"/>
        <item x="65"/>
        <item x="62"/>
        <item x="40"/>
        <item x="79"/>
        <item x="69"/>
        <item x="31"/>
        <item x="66"/>
        <item x="38"/>
        <item x="46"/>
        <item x="82"/>
        <item x="28"/>
        <item x="67"/>
        <item x="80"/>
        <item x="68"/>
        <item x="81"/>
        <item x="55"/>
        <item x="63"/>
        <item x="17"/>
        <item x="16"/>
        <item x="41"/>
        <item x="5"/>
        <item x="42"/>
        <item x="18"/>
        <item x="36"/>
        <item x="70"/>
        <item x="64"/>
        <item x="37"/>
        <item x="1"/>
        <item x="30"/>
        <item x="20"/>
        <item x="19"/>
        <item x="29"/>
        <item x="88"/>
        <item x="43"/>
        <item x="9"/>
        <item x="48"/>
        <item x="45"/>
        <item x="2"/>
        <item x="3"/>
        <item x="87"/>
        <item x="4"/>
        <item x="39"/>
        <item x="54"/>
        <item x="6"/>
        <item x="56"/>
        <item x="72"/>
        <item x="74"/>
        <item x="73"/>
        <item x="75"/>
        <item x="84"/>
        <item x="85"/>
        <item x="13"/>
        <item x="10"/>
        <item x="15"/>
        <item x="11"/>
        <item x="0"/>
        <item x="7"/>
        <item x="44"/>
        <item x="76"/>
        <item x="61"/>
        <item x="50"/>
        <item x="86"/>
        <item x="90"/>
        <item x="51"/>
        <item x="22"/>
        <item x="57"/>
        <item x="35"/>
        <item x="78"/>
        <item x="21"/>
        <item x="23"/>
        <item x="49"/>
        <item x="14"/>
        <item x="25"/>
        <item x="32"/>
        <item x="33"/>
        <item x="83"/>
        <item x="52"/>
        <item x="77"/>
        <item x="59"/>
        <item x="71"/>
        <item x="60"/>
        <item x="58"/>
        <item t="default" sd="0"/>
      </items>
    </pivotField>
    <pivotField name="Line Item Description" compact="0" outline="0" showAll="0">
      <items count="98">
        <item x="29"/>
        <item x="74"/>
        <item x="84"/>
        <item x="33"/>
        <item x="34"/>
        <item x="79"/>
        <item x="81"/>
        <item x="80"/>
        <item x="82"/>
        <item x="27"/>
        <item x="59"/>
        <item x="94"/>
        <item x="95"/>
        <item x="26"/>
        <item x="72"/>
        <item x="28"/>
        <item x="63"/>
        <item x="64"/>
        <item x="53"/>
        <item x="12"/>
        <item x="36"/>
        <item x="1"/>
        <item x="25"/>
        <item x="39"/>
        <item x="7"/>
        <item x="24"/>
        <item x="71"/>
        <item x="85"/>
        <item x="86"/>
        <item x="55"/>
        <item x="66"/>
        <item x="17"/>
        <item x="16"/>
        <item x="40"/>
        <item x="5"/>
        <item x="49"/>
        <item x="41"/>
        <item x="18"/>
        <item x="67"/>
        <item x="35"/>
        <item x="8"/>
        <item x="90"/>
        <item x="83"/>
        <item x="44"/>
        <item x="88"/>
        <item x="22"/>
        <item x="43"/>
        <item x="20"/>
        <item x="9"/>
        <item x="2"/>
        <item x="46"/>
        <item x="19"/>
        <item x="76"/>
        <item x="69"/>
        <item x="50"/>
        <item x="51"/>
        <item x="42"/>
        <item x="3"/>
        <item x="4"/>
        <item x="47"/>
        <item x="32"/>
        <item x="62"/>
        <item x="38"/>
        <item x="54"/>
        <item x="56"/>
        <item x="21"/>
        <item x="23"/>
        <item x="6"/>
        <item x="89"/>
        <item x="57"/>
        <item x="58"/>
        <item x="65"/>
        <item x="70"/>
        <item x="30"/>
        <item x="68"/>
        <item x="78"/>
        <item x="73"/>
        <item x="10"/>
        <item x="13"/>
        <item x="0"/>
        <item x="96"/>
        <item x="91"/>
        <item x="92"/>
        <item x="31"/>
        <item x="52"/>
        <item x="11"/>
        <item x="14"/>
        <item x="61"/>
        <item x="93"/>
        <item x="37"/>
        <item x="15"/>
        <item x="45"/>
        <item x="77"/>
        <item x="75"/>
        <item x="87"/>
        <item x="60"/>
        <item x="48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12">
    <i>
      <x/>
    </i>
    <i>
      <x v="2"/>
    </i>
    <i>
      <x v="3"/>
    </i>
    <i>
      <x v="1"/>
    </i>
    <i>
      <x v="4"/>
    </i>
    <i>
      <x v="5"/>
    </i>
    <i>
      <x v="6"/>
    </i>
    <i>
      <x v="7"/>
    </i>
    <i>
      <x v="8"/>
    </i>
    <i>
      <x v="9"/>
    </i>
    <i>
      <x v="10"/>
    </i>
    <i>
      <x v="107"/>
    </i>
    <i>
      <x v="11"/>
    </i>
    <i>
      <x v="12"/>
    </i>
    <i>
      <x v="13"/>
    </i>
    <i>
      <x v="14"/>
    </i>
    <i>
      <x v="108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109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5"/>
    </i>
    <i>
      <x v="67"/>
    </i>
    <i>
      <x v="68"/>
    </i>
    <i>
      <x v="69"/>
    </i>
    <i>
      <x v="71"/>
    </i>
    <i>
      <x v="110"/>
    </i>
    <i>
      <x v="72"/>
    </i>
    <i>
      <x v="73"/>
    </i>
    <i>
      <x v="70"/>
    </i>
    <i>
      <x v="74"/>
    </i>
    <i>
      <x v="76"/>
    </i>
    <i>
      <x v="77"/>
    </i>
    <i>
      <x v="78"/>
    </i>
    <i>
      <x v="79"/>
    </i>
    <i>
      <x v="75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8"/>
    </i>
    <i>
      <x v="99"/>
    </i>
    <i>
      <x v="100"/>
    </i>
    <i>
      <x v="101"/>
    </i>
    <i>
      <x v="102"/>
    </i>
    <i>
      <x v="97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29" showRowHeaders="1" showColHeaders="1" showRowStripes="1" showColStripes="0" showLastColumn="1"/>
</pivotTableDefinition>
</file>

<file path=xl/pivotTables/pivotTable30.xml><?xml version="1.0" encoding="utf-8"?>
<pivotTableDefinition xmlns="http://schemas.openxmlformats.org/spreadsheetml/2006/main" name="November 2023 Sales by SKU (Quantity)" cacheId="29" dataPosition="0" autoFormatId="0" applyNumberFormats="0" applyBorderFormats="0" applyFontFormats="0" applyPatternFormats="0" applyAlignmentFormats="0" applyWidthHeightFormats="1" dataCaption="" missingCaption="" pivotTableStyle="PivotStyleCustom30" updatedVersion="7" useAutoFormatting="1" createdVersion="7" indent="0" showEmptyCol="1" showEmptyRow="1" compact="0" compactData="0" multipleFieldFilters="0">
  <location ref="P454:Q546" firstHeaderRow="1" firstDataRow="1" firstDataCol="1"/>
  <pivotFields count="3">
    <pivotField name="Line Item Name" axis="axisRow" compact="0" numFmtId="49" outline="0" showAll="0" sortType="ascending">
      <items count="92">
        <item x="34"/>
        <item x="89"/>
        <item x="24"/>
        <item x="27"/>
        <item x="12"/>
        <item x="53"/>
        <item x="47"/>
        <item x="8"/>
        <item x="26"/>
        <item x="65"/>
        <item x="62"/>
        <item x="40"/>
        <item x="79"/>
        <item x="69"/>
        <item x="31"/>
        <item x="66"/>
        <item x="38"/>
        <item x="46"/>
        <item x="82"/>
        <item x="28"/>
        <item x="67"/>
        <item x="80"/>
        <item x="68"/>
        <item x="81"/>
        <item x="55"/>
        <item x="63"/>
        <item x="17"/>
        <item x="16"/>
        <item x="41"/>
        <item x="5"/>
        <item x="42"/>
        <item x="18"/>
        <item x="36"/>
        <item x="70"/>
        <item x="64"/>
        <item x="37"/>
        <item x="1"/>
        <item x="30"/>
        <item x="20"/>
        <item x="19"/>
        <item x="29"/>
        <item x="88"/>
        <item x="43"/>
        <item x="9"/>
        <item x="48"/>
        <item x="45"/>
        <item x="2"/>
        <item x="3"/>
        <item x="87"/>
        <item x="4"/>
        <item x="39"/>
        <item x="54"/>
        <item x="6"/>
        <item x="56"/>
        <item x="72"/>
        <item x="74"/>
        <item x="73"/>
        <item x="75"/>
        <item x="84"/>
        <item x="85"/>
        <item x="13"/>
        <item x="10"/>
        <item x="15"/>
        <item x="11"/>
        <item x="0"/>
        <item x="7"/>
        <item x="44"/>
        <item x="76"/>
        <item x="61"/>
        <item x="50"/>
        <item x="86"/>
        <item x="90"/>
        <item x="51"/>
        <item x="22"/>
        <item x="57"/>
        <item x="35"/>
        <item x="78"/>
        <item x="21"/>
        <item x="23"/>
        <item x="49"/>
        <item x="14"/>
        <item x="25"/>
        <item x="32"/>
        <item x="33"/>
        <item x="83"/>
        <item x="52"/>
        <item x="77"/>
        <item x="59"/>
        <item x="71"/>
        <item x="60"/>
        <item x="58"/>
        <item t="default" sd="0"/>
      </items>
    </pivotField>
    <pivotField name="Line Item Description" compact="0" outline="0" showAll="0">
      <items count="98">
        <item x="29"/>
        <item x="74"/>
        <item x="84"/>
        <item x="33"/>
        <item x="34"/>
        <item x="79"/>
        <item x="81"/>
        <item x="80"/>
        <item x="82"/>
        <item x="27"/>
        <item x="59"/>
        <item x="94"/>
        <item x="95"/>
        <item x="26"/>
        <item x="72"/>
        <item x="28"/>
        <item x="63"/>
        <item x="64"/>
        <item x="53"/>
        <item x="12"/>
        <item x="36"/>
        <item x="1"/>
        <item x="25"/>
        <item x="39"/>
        <item x="7"/>
        <item x="24"/>
        <item x="71"/>
        <item x="85"/>
        <item x="86"/>
        <item x="55"/>
        <item x="66"/>
        <item x="17"/>
        <item x="16"/>
        <item x="40"/>
        <item x="5"/>
        <item x="49"/>
        <item x="41"/>
        <item x="18"/>
        <item x="67"/>
        <item x="35"/>
        <item x="8"/>
        <item x="90"/>
        <item x="83"/>
        <item x="44"/>
        <item x="88"/>
        <item x="22"/>
        <item x="43"/>
        <item x="20"/>
        <item x="9"/>
        <item x="2"/>
        <item x="46"/>
        <item x="19"/>
        <item x="76"/>
        <item x="69"/>
        <item x="50"/>
        <item x="51"/>
        <item x="42"/>
        <item x="3"/>
        <item x="4"/>
        <item x="47"/>
        <item x="32"/>
        <item x="62"/>
        <item x="38"/>
        <item x="54"/>
        <item x="56"/>
        <item x="21"/>
        <item x="23"/>
        <item x="6"/>
        <item x="89"/>
        <item x="57"/>
        <item x="58"/>
        <item x="65"/>
        <item x="70"/>
        <item x="30"/>
        <item x="68"/>
        <item x="78"/>
        <item x="73"/>
        <item x="10"/>
        <item x="13"/>
        <item x="0"/>
        <item x="96"/>
        <item x="91"/>
        <item x="92"/>
        <item x="31"/>
        <item x="52"/>
        <item x="11"/>
        <item x="14"/>
        <item x="61"/>
        <item x="93"/>
        <item x="37"/>
        <item x="15"/>
        <item x="45"/>
        <item x="77"/>
        <item x="75"/>
        <item x="87"/>
        <item x="60"/>
        <item x="48"/>
        <item t="default" sd="0"/>
      </items>
    </pivotField>
    <pivotField name="Order Quantity" axis="axisValues" dataField="1" compact="0" outline="0" showAll="0"/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85"/>
    </i>
    <i t="grand">
      <x/>
    </i>
  </rowItems>
  <colItems count="1">
    <i/>
  </colItems>
  <dataFields count="1">
    <dataField name="Sum of Order Quantity" fld="2"/>
  </dataFields>
  <pivotTableStyleInfo name="PivotStyleCustom30" showRowHeaders="1" showColHeaders="1" showRowStripes="1" showColStripes="0" showLastColumn="1"/>
</pivotTableDefinition>
</file>

<file path=xl/pivotTables/pivotTable31.xml><?xml version="1.0" encoding="utf-8"?>
<pivotTableDefinition xmlns="http://schemas.openxmlformats.org/spreadsheetml/2006/main" name="November 2023 Sales by SKU$" cacheId="30" dataPosition="0" autoFormatId="0" applyNumberFormats="0" applyBorderFormats="0" applyFontFormats="0" applyPatternFormats="0" applyAlignmentFormats="0" applyWidthHeightFormats="1" dataCaption="" missingCaption="" pivotTableStyle="PivotStyleCustom31" updatedVersion="7" useAutoFormatting="1" createdVersion="7" indent="0" showEmptyCol="1" showEmptyRow="1" compact="0" compactData="0" multipleFieldFilters="0">
  <location ref="R549:S641" firstHeaderRow="1" firstDataRow="1" firstDataCol="1"/>
  <pivotFields count="5">
    <pivotField name="Line Item Name" axis="axisRow" compact="0" numFmtId="49" outline="0" showAll="0" sortType="ascending">
      <items count="92">
        <item x="34"/>
        <item x="89"/>
        <item x="24"/>
        <item x="27"/>
        <item x="12"/>
        <item x="53"/>
        <item x="47"/>
        <item x="8"/>
        <item x="26"/>
        <item x="65"/>
        <item x="62"/>
        <item x="40"/>
        <item x="79"/>
        <item x="69"/>
        <item x="31"/>
        <item x="66"/>
        <item x="38"/>
        <item x="46"/>
        <item x="82"/>
        <item x="28"/>
        <item x="67"/>
        <item x="80"/>
        <item x="68"/>
        <item x="81"/>
        <item x="55"/>
        <item x="63"/>
        <item x="17"/>
        <item x="16"/>
        <item x="41"/>
        <item x="5"/>
        <item x="42"/>
        <item x="18"/>
        <item x="36"/>
        <item x="70"/>
        <item x="64"/>
        <item x="37"/>
        <item x="1"/>
        <item x="30"/>
        <item x="20"/>
        <item x="19"/>
        <item x="29"/>
        <item x="88"/>
        <item x="43"/>
        <item x="9"/>
        <item x="48"/>
        <item x="45"/>
        <item x="2"/>
        <item x="3"/>
        <item x="87"/>
        <item x="4"/>
        <item x="39"/>
        <item x="54"/>
        <item x="6"/>
        <item x="56"/>
        <item x="72"/>
        <item x="74"/>
        <item x="73"/>
        <item x="75"/>
        <item x="84"/>
        <item x="85"/>
        <item x="13"/>
        <item x="10"/>
        <item x="15"/>
        <item x="11"/>
        <item x="0"/>
        <item x="7"/>
        <item x="44"/>
        <item x="76"/>
        <item x="61"/>
        <item x="50"/>
        <item x="86"/>
        <item x="90"/>
        <item x="51"/>
        <item x="22"/>
        <item x="57"/>
        <item x="35"/>
        <item x="78"/>
        <item x="21"/>
        <item x="23"/>
        <item x="49"/>
        <item x="14"/>
        <item x="25"/>
        <item x="32"/>
        <item x="33"/>
        <item x="83"/>
        <item x="52"/>
        <item x="77"/>
        <item x="59"/>
        <item x="71"/>
        <item x="60"/>
        <item x="58"/>
        <item t="default" sd="0"/>
      </items>
    </pivotField>
    <pivotField name="Line Item Description" compact="0" outline="0" showAll="0">
      <items count="98">
        <item x="29"/>
        <item x="74"/>
        <item x="84"/>
        <item x="33"/>
        <item x="34"/>
        <item x="79"/>
        <item x="81"/>
        <item x="80"/>
        <item x="82"/>
        <item x="27"/>
        <item x="59"/>
        <item x="94"/>
        <item x="95"/>
        <item x="26"/>
        <item x="72"/>
        <item x="28"/>
        <item x="63"/>
        <item x="64"/>
        <item x="53"/>
        <item x="12"/>
        <item x="36"/>
        <item x="1"/>
        <item x="25"/>
        <item x="39"/>
        <item x="7"/>
        <item x="24"/>
        <item x="71"/>
        <item x="85"/>
        <item x="86"/>
        <item x="55"/>
        <item x="66"/>
        <item x="17"/>
        <item x="16"/>
        <item x="40"/>
        <item x="5"/>
        <item x="49"/>
        <item x="41"/>
        <item x="18"/>
        <item x="67"/>
        <item x="35"/>
        <item x="8"/>
        <item x="90"/>
        <item x="83"/>
        <item x="44"/>
        <item x="88"/>
        <item x="22"/>
        <item x="43"/>
        <item x="20"/>
        <item x="9"/>
        <item x="2"/>
        <item x="46"/>
        <item x="19"/>
        <item x="76"/>
        <item x="69"/>
        <item x="50"/>
        <item x="51"/>
        <item x="42"/>
        <item x="3"/>
        <item x="4"/>
        <item x="47"/>
        <item x="32"/>
        <item x="62"/>
        <item x="38"/>
        <item x="54"/>
        <item x="56"/>
        <item x="21"/>
        <item x="23"/>
        <item x="6"/>
        <item x="89"/>
        <item x="57"/>
        <item x="58"/>
        <item x="65"/>
        <item x="70"/>
        <item x="30"/>
        <item x="68"/>
        <item x="78"/>
        <item x="73"/>
        <item x="10"/>
        <item x="13"/>
        <item x="0"/>
        <item x="96"/>
        <item x="91"/>
        <item x="92"/>
        <item x="31"/>
        <item x="52"/>
        <item x="11"/>
        <item x="14"/>
        <item x="61"/>
        <item x="93"/>
        <item x="37"/>
        <item x="15"/>
        <item x="45"/>
        <item x="77"/>
        <item x="75"/>
        <item x="87"/>
        <item x="60"/>
        <item x="48"/>
        <item t="default" sd="0"/>
      </items>
    </pivotField>
    <pivotField name="Order Quantity" compact="0" outline="0" showAll="0">
      <items count="19">
        <item x="1"/>
        <item x="6"/>
        <item x="9"/>
        <item x="2"/>
        <item x="10"/>
        <item x="3"/>
        <item x="14"/>
        <item x="7"/>
        <item x="11"/>
        <item x="12"/>
        <item x="13"/>
        <item x="8"/>
        <item x="15"/>
        <item x="4"/>
        <item x="5"/>
        <item x="16"/>
        <item x="17"/>
        <item x="0"/>
        <item t="default" sd="0"/>
      </items>
    </pivotField>
    <pivotField name="Unit Price" compact="0" outline="0" showAll="0">
      <items count="90">
        <item x="85"/>
        <item x="72"/>
        <item x="82"/>
        <item x="0"/>
        <item x="26"/>
        <item x="84"/>
        <item x="79"/>
        <item x="81"/>
        <item x="75"/>
        <item x="80"/>
        <item x="22"/>
        <item x="36"/>
        <item x="47"/>
        <item x="60"/>
        <item x="12"/>
        <item x="38"/>
        <item x="88"/>
        <item x="31"/>
        <item x="15"/>
        <item x="62"/>
        <item x="65"/>
        <item x="48"/>
        <item x="55"/>
        <item x="29"/>
        <item x="27"/>
        <item x="16"/>
        <item x="4"/>
        <item x="56"/>
        <item x="18"/>
        <item x="59"/>
        <item x="46"/>
        <item x="78"/>
        <item x="21"/>
        <item x="43"/>
        <item x="1"/>
        <item x="45"/>
        <item x="50"/>
        <item x="58"/>
        <item x="25"/>
        <item x="19"/>
        <item x="77"/>
        <item x="69"/>
        <item x="83"/>
        <item x="9"/>
        <item x="68"/>
        <item x="66"/>
        <item x="52"/>
        <item x="23"/>
        <item x="17"/>
        <item x="13"/>
        <item x="37"/>
        <item x="63"/>
        <item x="67"/>
        <item x="24"/>
        <item x="34"/>
        <item x="32"/>
        <item x="30"/>
        <item x="14"/>
        <item x="6"/>
        <item x="28"/>
        <item x="70"/>
        <item x="8"/>
        <item x="54"/>
        <item x="35"/>
        <item x="73"/>
        <item x="44"/>
        <item x="40"/>
        <item x="76"/>
        <item x="20"/>
        <item x="39"/>
        <item x="41"/>
        <item x="2"/>
        <item x="64"/>
        <item x="74"/>
        <item x="3"/>
        <item x="61"/>
        <item x="42"/>
        <item x="87"/>
        <item x="7"/>
        <item x="49"/>
        <item x="57"/>
        <item x="11"/>
        <item x="51"/>
        <item x="71"/>
        <item x="33"/>
        <item x="86"/>
        <item x="5"/>
        <item x="10"/>
        <item x="53"/>
        <item t="default" sd="0"/>
      </items>
    </pivotField>
    <pivotField name="Total Line Item $" axis="axisValues" dataField="1" compact="0" outline="0" showAll="0"/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85"/>
    </i>
    <i t="grand">
      <x/>
    </i>
  </rowItems>
  <colItems count="1">
    <i/>
  </colItems>
  <dataFields count="1">
    <dataField name="Sum of Total Line Item $" fld="4" numFmtId="60"/>
  </dataFields>
  <pivotTableStyleInfo name="PivotStyleCustom31" showRowHeaders="1" showColHeaders="1" showRowStripes="1" showColStripes="0" showLastColumn="1"/>
</pivotTableDefinition>
</file>

<file path=xl/pivotTables/pivotTable32.xml><?xml version="1.0" encoding="utf-8"?>
<pivotTableDefinition xmlns="http://schemas.openxmlformats.org/spreadsheetml/2006/main" name="October 2023 Sales by Customer" cacheId="31" dataPosition="0" autoFormatId="0" applyNumberFormats="0" applyBorderFormats="0" applyFontFormats="0" applyPatternFormats="0" applyAlignmentFormats="0" applyWidthHeightFormats="1" dataCaption="" missingCaption="" pivotTableStyle="PivotStyleCustom32" updatedVersion="7" useAutoFormatting="1" createdVersion="7" indent="0" showEmptyCol="1" showEmptyRow="1" compact="0" compactData="0" multipleFieldFilters="0">
  <location ref="I441:O596" firstHeaderRow="1" firstDataRow="2" firstDataCol="4"/>
  <pivotFields count="8">
    <pivotField name="Sales Order" axis="axisRow" compact="0" numFmtId="49" outline="0" showAll="0" sortType="ascending">
      <items count="175">
        <item sd="0" x="173"/>
        <item sd="0" x="172"/>
        <item sd="0" x="171"/>
        <item sd="0" x="170"/>
        <item sd="0" x="169"/>
        <item sd="0" x="168"/>
        <item sd="0" x="165"/>
        <item sd="0" x="164"/>
        <item sd="0" x="163"/>
        <item sd="0" x="162"/>
        <item sd="0" x="167"/>
        <item sd="0" x="161"/>
        <item sd="0" x="166"/>
        <item sd="0" x="160"/>
        <item sd="0" x="159"/>
        <item sd="0" x="158"/>
        <item sd="0" x="157"/>
        <item sd="0" x="149"/>
        <item sd="0" x="154"/>
        <item sd="0" x="151"/>
        <item sd="0" x="155"/>
        <item sd="0" x="152"/>
        <item sd="0" x="156"/>
        <item sd="0" x="148"/>
        <item sd="0" x="153"/>
        <item sd="0" x="147"/>
        <item sd="0" x="146"/>
        <item sd="0" x="145"/>
        <item sd="0" x="144"/>
        <item sd="0" x="143"/>
        <item sd="0" x="142"/>
        <item sd="0" x="141"/>
        <item sd="0" x="139"/>
        <item sd="0" x="138"/>
        <item sd="0" x="140"/>
        <item sd="0" x="135"/>
        <item sd="0" x="133"/>
        <item sd="0" x="137"/>
        <item sd="0" x="134"/>
        <item sd="0" x="132"/>
        <item sd="0" x="131"/>
        <item sd="0" x="136"/>
        <item sd="0" x="130"/>
        <item sd="0" x="127"/>
        <item sd="0" x="126"/>
        <item sd="0" x="125"/>
        <item sd="0" x="128"/>
        <item sd="0" x="124"/>
        <item sd="0" x="123"/>
        <item sd="0" x="129"/>
        <item sd="0" x="122"/>
        <item sd="0" x="121"/>
        <item sd="0" x="118"/>
        <item sd="0" x="117"/>
        <item sd="0" x="120"/>
        <item sd="0" x="116"/>
        <item sd="0" x="119"/>
        <item sd="0" x="115"/>
        <item sd="0" x="114"/>
        <item sd="0" x="110"/>
        <item sd="0" x="111"/>
        <item sd="0" x="113"/>
        <item sd="0" x="109"/>
        <item sd="0" x="108"/>
        <item sd="0" x="112"/>
        <item sd="0" x="107"/>
        <item sd="0" x="105"/>
        <item sd="0" x="106"/>
        <item sd="0" x="104"/>
        <item sd="0" x="103"/>
        <item sd="0" x="102"/>
        <item sd="0" x="101"/>
        <item sd="0" x="99"/>
        <item sd="0" x="98"/>
        <item sd="0" x="97"/>
        <item sd="0" x="100"/>
        <item sd="0" x="95"/>
        <item sd="0" x="94"/>
        <item sd="0" x="93"/>
        <item sd="0" x="96"/>
        <item sd="0" x="92"/>
        <item sd="0" x="91"/>
        <item sd="0" x="90"/>
        <item sd="0" x="88"/>
        <item sd="0" x="87"/>
        <item sd="0" x="89"/>
        <item sd="0" x="86"/>
        <item sd="0" x="85"/>
        <item sd="0" x="84"/>
        <item sd="0" x="82"/>
        <item sd="0" x="81"/>
        <item sd="0" x="80"/>
        <item sd="0" x="79"/>
        <item sd="0" x="78"/>
        <item sd="0" x="77"/>
        <item sd="0" x="83"/>
        <item sd="0" x="76"/>
        <item sd="0" x="72"/>
        <item sd="0" x="71"/>
        <item sd="0" x="70"/>
        <item sd="0" x="69"/>
        <item sd="0" x="68"/>
        <item sd="0" x="67"/>
        <item sd="0" x="73"/>
        <item sd="0" x="66"/>
        <item sd="0" x="65"/>
        <item sd="0" x="64"/>
        <item sd="0" x="75"/>
        <item sd="0" x="74"/>
        <item sd="0" x="63"/>
        <item sd="0" x="62"/>
        <item sd="0" x="61"/>
        <item sd="0" x="60"/>
        <item sd="0" x="59"/>
        <item sd="0" x="58"/>
        <item sd="0" x="57"/>
        <item sd="0" x="56"/>
        <item sd="0" x="54"/>
        <item sd="0" x="53"/>
        <item sd="0" x="52"/>
        <item sd="0" x="51"/>
        <item sd="0" x="55"/>
        <item sd="0" x="50"/>
        <item sd="0" x="49"/>
        <item sd="0" x="46"/>
        <item sd="0" x="45"/>
        <item sd="0" x="48"/>
        <item sd="0" x="44"/>
        <item sd="0" x="47"/>
        <item sd="0" x="43"/>
        <item sd="0" x="42"/>
        <item sd="0" x="41"/>
        <item sd="0" x="40"/>
        <item sd="0" x="39"/>
        <item sd="0" x="38"/>
        <item sd="0" x="37"/>
        <item sd="0" x="36"/>
        <item sd="0" x="32"/>
        <item sd="0" x="31"/>
        <item sd="0" x="30"/>
        <item sd="0" x="29"/>
        <item sd="0" x="35"/>
        <item sd="0" x="34"/>
        <item sd="0" x="28"/>
        <item sd="0" x="27"/>
        <item sd="0" x="26"/>
        <item sd="0" x="33"/>
        <item sd="0" x="23"/>
        <item sd="0" x="22"/>
        <item sd="0" x="25"/>
        <item sd="0" x="21"/>
        <item sd="0" x="24"/>
        <item sd="0" x="20"/>
        <item sd="0" x="19"/>
        <item sd="0" x="18"/>
        <item sd="0" x="17"/>
        <item sd="0" x="16"/>
        <item sd="0" x="15"/>
        <item sd="0" x="14"/>
        <item sd="0" x="10"/>
        <item sd="0" x="9"/>
        <item sd="0" x="8"/>
        <item sd="0" x="13"/>
        <item sd="0" x="7"/>
        <item sd="0" x="6"/>
        <item sd="0" x="11"/>
        <item sd="0" x="12"/>
        <item sd="0" x="5"/>
        <item sd="0" x="4"/>
        <item sd="0" x="1"/>
        <item sd="0" x="3"/>
        <item sd="0" x="2"/>
        <item sd="0" x="0"/>
        <item sd="0" x="150"/>
        <item t="default" sd="0"/>
      </items>
    </pivotField>
    <pivotField name="Customer" axis="axisRow" compact="0" numFmtId="49" outline="0" showAll="0" sortType="ascending">
      <items count="154">
        <item sd="0" x="10"/>
        <item sd="0" x="15"/>
        <item sd="0" x="33"/>
        <item sd="0" x="70"/>
        <item sd="0" x="20"/>
        <item sd="0" x="86"/>
        <item sd="0" x="48"/>
        <item sd="0" x="79"/>
        <item sd="0" x="43"/>
        <item sd="0" x="137"/>
        <item sd="0" x="1"/>
        <item sd="0" x="85"/>
        <item sd="0" x="31"/>
        <item sd="0" x="143"/>
        <item sd="0" x="7"/>
        <item sd="0" x="124"/>
        <item sd="0" x="94"/>
        <item sd="0" x="67"/>
        <item sd="0" x="59"/>
        <item sd="0" x="133"/>
        <item sd="0" x="35"/>
        <item sd="0" x="119"/>
        <item sd="0" x="102"/>
        <item sd="0" x="151"/>
        <item sd="0" x="49"/>
        <item sd="0" x="113"/>
        <item sd="0" x="142"/>
        <item sd="0" x="76"/>
        <item sd="0" x="125"/>
        <item sd="0" x="17"/>
        <item sd="0" x="37"/>
        <item sd="0" x="41"/>
        <item sd="0" x="144"/>
        <item sd="0" x="107"/>
        <item sd="0" x="27"/>
        <item sd="0" x="13"/>
        <item sd="0" x="105"/>
        <item sd="0" x="92"/>
        <item sd="0" x="93"/>
        <item sd="0" x="42"/>
        <item sd="0" x="135"/>
        <item sd="0" x="18"/>
        <item sd="0" x="87"/>
        <item sd="0" x="11"/>
        <item sd="0" x="146"/>
        <item sd="0" x="50"/>
        <item sd="0" x="106"/>
        <item sd="0" x="100"/>
        <item sd="0" x="81"/>
        <item sd="0" x="101"/>
        <item sd="0" x="24"/>
        <item sd="0" x="32"/>
        <item sd="0" x="72"/>
        <item sd="0" x="3"/>
        <item sd="0" x="73"/>
        <item sd="0" x="28"/>
        <item sd="0" x="9"/>
        <item sd="0" x="39"/>
        <item sd="0" x="145"/>
        <item sd="0" x="53"/>
        <item sd="0" x="136"/>
        <item sd="0" x="149"/>
        <item sd="0" x="99"/>
        <item sd="0" x="134"/>
        <item sd="0" x="2"/>
        <item sd="0" x="36"/>
        <item sd="0" x="4"/>
        <item sd="0" x="132"/>
        <item sd="0" x="91"/>
        <item sd="0" x="62"/>
        <item sd="0" x="116"/>
        <item sd="0" x="128"/>
        <item sd="0" x="60"/>
        <item sd="0" x="65"/>
        <item sd="0" x="66"/>
        <item sd="0" x="121"/>
        <item sd="0" x="57"/>
        <item sd="0" x="14"/>
        <item sd="0" x="34"/>
        <item sd="0" x="83"/>
        <item sd="0" x="129"/>
        <item sd="0" x="52"/>
        <item sd="0" x="45"/>
        <item sd="0" x="120"/>
        <item sd="0" x="54"/>
        <item sd="0" x="19"/>
        <item sd="0" x="114"/>
        <item sd="0" x="8"/>
        <item sd="0" x="47"/>
        <item sd="0" x="97"/>
        <item sd="0" x="95"/>
        <item sd="0" x="78"/>
        <item sd="0" x="21"/>
        <item sd="0" x="63"/>
        <item sd="0" x="147"/>
        <item sd="0" x="64"/>
        <item sd="0" x="80"/>
        <item sd="0" x="148"/>
        <item sd="0" x="16"/>
        <item sd="0" x="22"/>
        <item sd="0" x="82"/>
        <item sd="0" x="138"/>
        <item sd="0" x="98"/>
        <item sd="0" x="46"/>
        <item sd="0" x="140"/>
        <item sd="0" x="44"/>
        <item sd="0" x="127"/>
        <item sd="0" x="38"/>
        <item sd="0" x="96"/>
        <item sd="0" x="104"/>
        <item sd="0" x="61"/>
        <item sd="0" x="5"/>
        <item sd="0" x="103"/>
        <item sd="0" x="90"/>
        <item sd="0" x="40"/>
        <item sd="0" x="110"/>
        <item sd="0" x="88"/>
        <item sd="0" x="111"/>
        <item sd="0" x="23"/>
        <item sd="0" x="68"/>
        <item sd="0" x="71"/>
        <item sd="0" x="108"/>
        <item sd="0" x="12"/>
        <item sd="0" x="84"/>
        <item sd="0" x="58"/>
        <item sd="0" x="55"/>
        <item sd="0" x="150"/>
        <item sd="0" x="112"/>
        <item sd="0" x="25"/>
        <item sd="0" x="141"/>
        <item sd="0" x="74"/>
        <item sd="0" x="29"/>
        <item sd="0" x="122"/>
        <item sd="0" x="130"/>
        <item sd="0" x="51"/>
        <item sd="0" x="115"/>
        <item sd="0" x="89"/>
        <item sd="0" x="56"/>
        <item sd="0" x="0"/>
        <item sd="0" x="152"/>
        <item sd="0" x="131"/>
        <item sd="0" x="126"/>
        <item sd="0" x="118"/>
        <item sd="0" x="30"/>
        <item sd="0" x="109"/>
        <item sd="0" x="117"/>
        <item sd="0" x="26"/>
        <item sd="0" x="69"/>
        <item sd="0" x="6"/>
        <item sd="0" x="75"/>
        <item sd="0" x="123"/>
        <item sd="0" x="77"/>
        <item sd="0" x="139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6">
        <item x="77"/>
        <item x="64"/>
        <item x="49"/>
        <item x="54"/>
        <item x="50"/>
        <item x="68"/>
        <item x="63"/>
        <item x="51"/>
        <item x="79"/>
        <item x="83"/>
        <item x="100"/>
        <item x="48"/>
        <item x="96"/>
        <item x="65"/>
        <item x="66"/>
        <item x="67"/>
        <item x="101"/>
        <item x="60"/>
        <item x="97"/>
        <item x="62"/>
        <item x="80"/>
        <item x="26"/>
        <item x="89"/>
        <item x="7"/>
        <item x="53"/>
        <item x="74"/>
        <item x="15"/>
        <item x="18"/>
        <item x="73"/>
        <item x="47"/>
        <item x="4"/>
        <item x="2"/>
        <item x="25"/>
        <item x="46"/>
        <item x="75"/>
        <item x="37"/>
        <item x="86"/>
        <item x="88"/>
        <item x="98"/>
        <item x="27"/>
        <item x="28"/>
        <item x="103"/>
        <item x="29"/>
        <item x="61"/>
        <item x="57"/>
        <item x="10"/>
        <item x="22"/>
        <item x="20"/>
        <item x="11"/>
        <item x="31"/>
        <item x="17"/>
        <item x="32"/>
        <item x="21"/>
        <item x="104"/>
        <item x="33"/>
        <item x="0"/>
        <item x="40"/>
        <item x="34"/>
        <item x="19"/>
        <item x="24"/>
        <item x="12"/>
        <item x="84"/>
        <item x="16"/>
        <item x="36"/>
        <item x="76"/>
        <item x="23"/>
        <item x="35"/>
        <item x="30"/>
        <item x="59"/>
        <item x="39"/>
        <item x="9"/>
        <item x="38"/>
        <item x="58"/>
        <item x="70"/>
        <item x="1"/>
        <item x="3"/>
        <item x="41"/>
        <item x="42"/>
        <item x="14"/>
        <item x="82"/>
        <item x="43"/>
        <item x="95"/>
        <item x="92"/>
        <item x="99"/>
        <item x="94"/>
        <item x="93"/>
        <item x="87"/>
        <item x="71"/>
        <item x="13"/>
        <item x="85"/>
        <item x="8"/>
        <item x="91"/>
        <item x="90"/>
        <item x="69"/>
        <item x="72"/>
        <item x="102"/>
        <item x="55"/>
        <item x="56"/>
        <item x="6"/>
        <item x="44"/>
        <item x="5"/>
        <item x="52"/>
        <item x="45"/>
        <item x="81"/>
        <item x="78"/>
        <item t="default" sd="0"/>
      </items>
    </pivotField>
    <pivotField name="Line Item Description" compact="0" outline="0" showAll="0">
      <items count="109">
        <item x="17"/>
        <item x="66"/>
        <item x="2"/>
        <item x="70"/>
        <item x="65"/>
        <item x="54"/>
        <item x="84"/>
        <item x="102"/>
        <item x="95"/>
        <item x="101"/>
        <item x="97"/>
        <item x="96"/>
        <item x="28"/>
        <item x="29"/>
        <item x="67"/>
        <item x="61"/>
        <item x="69"/>
        <item x="62"/>
        <item x="27"/>
        <item x="30"/>
        <item x="57"/>
        <item x="103"/>
        <item x="68"/>
        <item x="46"/>
        <item x="56"/>
        <item x="31"/>
        <item x="104"/>
        <item x="91"/>
        <item x="79"/>
        <item x="81"/>
        <item x="93"/>
        <item x="55"/>
        <item x="78"/>
        <item x="8"/>
        <item x="25"/>
        <item x="13"/>
        <item x="19"/>
        <item x="4"/>
        <item x="9"/>
        <item x="106"/>
        <item x="59"/>
        <item x="11"/>
        <item x="23"/>
        <item x="21"/>
        <item x="12"/>
        <item x="32"/>
        <item x="18"/>
        <item x="33"/>
        <item x="22"/>
        <item x="107"/>
        <item x="34"/>
        <item x="0"/>
        <item x="42"/>
        <item x="35"/>
        <item x="20"/>
        <item x="16"/>
        <item x="64"/>
        <item x="90"/>
        <item x="100"/>
        <item x="80"/>
        <item x="85"/>
        <item x="37"/>
        <item x="24"/>
        <item x="41"/>
        <item x="60"/>
        <item x="10"/>
        <item x="36"/>
        <item x="77"/>
        <item x="74"/>
        <item x="89"/>
        <item x="58"/>
        <item x="1"/>
        <item x="43"/>
        <item x="44"/>
        <item x="3"/>
        <item x="105"/>
        <item x="15"/>
        <item x="83"/>
        <item x="45"/>
        <item x="98"/>
        <item x="63"/>
        <item x="40"/>
        <item x="76"/>
        <item x="26"/>
        <item x="88"/>
        <item x="72"/>
        <item x="86"/>
        <item x="82"/>
        <item x="99"/>
        <item x="71"/>
        <item x="14"/>
        <item x="87"/>
        <item x="75"/>
        <item x="6"/>
        <item x="73"/>
        <item x="92"/>
        <item x="39"/>
        <item x="38"/>
        <item x="7"/>
        <item x="5"/>
        <item x="47"/>
        <item x="52"/>
        <item x="51"/>
        <item x="53"/>
        <item x="50"/>
        <item x="49"/>
        <item x="48"/>
        <item x="94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54">
    <i>
      <x/>
    </i>
    <i>
      <x v="1"/>
    </i>
    <i>
      <x v="3"/>
    </i>
    <i>
      <x v="4"/>
    </i>
    <i>
      <x v="5"/>
    </i>
    <i>
      <x v="2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142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143"/>
    </i>
    <i>
      <x v="35"/>
    </i>
    <i>
      <x v="37"/>
    </i>
    <i>
      <x v="38"/>
    </i>
    <i>
      <x v="39"/>
    </i>
    <i>
      <x v="40"/>
    </i>
    <i>
      <x v="41"/>
    </i>
    <i>
      <x v="42"/>
    </i>
    <i>
      <x v="43"/>
    </i>
    <i>
      <x v="144"/>
    </i>
    <i>
      <x v="44"/>
    </i>
    <i>
      <x v="45"/>
    </i>
    <i>
      <x v="46"/>
    </i>
    <i>
      <x v="47"/>
    </i>
    <i>
      <x v="36"/>
    </i>
    <i>
      <x v="48"/>
    </i>
    <i>
      <x v="49"/>
    </i>
    <i>
      <x v="50"/>
    </i>
    <i>
      <x v="52"/>
    </i>
    <i>
      <x v="51"/>
    </i>
    <i>
      <x v="53"/>
    </i>
    <i>
      <x v="54"/>
    </i>
    <i>
      <x v="145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146"/>
    </i>
    <i>
      <x v="73"/>
    </i>
    <i>
      <x v="74"/>
    </i>
    <i>
      <x v="75"/>
    </i>
    <i>
      <x v="147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148"/>
    </i>
    <i>
      <x v="87"/>
    </i>
    <i>
      <x v="88"/>
    </i>
    <i>
      <x v="149"/>
    </i>
    <i>
      <x v="89"/>
    </i>
    <i>
      <x v="90"/>
    </i>
    <i>
      <x v="91"/>
    </i>
    <i>
      <x v="92"/>
    </i>
    <i>
      <x v="94"/>
    </i>
    <i>
      <x v="93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50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9"/>
    </i>
    <i>
      <x v="120"/>
    </i>
    <i>
      <x v="117"/>
    </i>
    <i>
      <x v="121"/>
    </i>
    <i>
      <x v="118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51"/>
    </i>
    <i>
      <x v="136"/>
    </i>
    <i>
      <x v="137"/>
    </i>
    <i>
      <x v="138"/>
    </i>
    <i>
      <x v="139"/>
    </i>
    <i>
      <x v="152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32" showRowHeaders="1" showColHeaders="1" showRowStripes="1" showColStripes="0" showLastColumn="1"/>
</pivotTableDefinition>
</file>

<file path=xl/pivotTables/pivotTable33.xml><?xml version="1.0" encoding="utf-8"?>
<pivotTableDefinition xmlns="http://schemas.openxmlformats.org/spreadsheetml/2006/main" name="October 2023 Sales by SKU (Quantity)" cacheId="32" dataPosition="0" autoFormatId="0" applyNumberFormats="0" applyBorderFormats="0" applyFontFormats="0" applyPatternFormats="0" applyAlignmentFormats="0" applyWidthHeightFormats="1" dataCaption="" missingCaption="" pivotTableStyle="PivotStyleCustom33" updatedVersion="7" useAutoFormatting="1" createdVersion="7" indent="0" showEmptyCol="1" showEmptyRow="1" compact="0" compactData="0" multipleFieldFilters="0">
  <location ref="P599:Q705" firstHeaderRow="1" firstDataRow="1" firstDataCol="1"/>
  <pivotFields count="3">
    <pivotField name="Line Item Name" axis="axisRow" compact="0" numFmtId="49" outline="0" showAll="0" sortType="ascending">
      <items count="106">
        <item x="77"/>
        <item x="64"/>
        <item x="49"/>
        <item x="54"/>
        <item x="50"/>
        <item x="68"/>
        <item x="63"/>
        <item x="51"/>
        <item x="79"/>
        <item x="83"/>
        <item x="100"/>
        <item x="48"/>
        <item x="96"/>
        <item x="65"/>
        <item x="66"/>
        <item x="67"/>
        <item x="101"/>
        <item x="60"/>
        <item x="97"/>
        <item x="62"/>
        <item x="80"/>
        <item x="26"/>
        <item x="89"/>
        <item x="7"/>
        <item x="53"/>
        <item x="74"/>
        <item x="15"/>
        <item x="18"/>
        <item x="73"/>
        <item x="47"/>
        <item x="4"/>
        <item x="2"/>
        <item x="25"/>
        <item x="46"/>
        <item x="75"/>
        <item x="37"/>
        <item x="86"/>
        <item x="88"/>
        <item x="98"/>
        <item x="27"/>
        <item x="28"/>
        <item x="103"/>
        <item x="29"/>
        <item x="61"/>
        <item x="57"/>
        <item x="10"/>
        <item x="22"/>
        <item x="20"/>
        <item x="11"/>
        <item x="31"/>
        <item x="17"/>
        <item x="32"/>
        <item x="21"/>
        <item x="104"/>
        <item x="33"/>
        <item x="0"/>
        <item x="40"/>
        <item x="34"/>
        <item x="19"/>
        <item x="24"/>
        <item x="12"/>
        <item x="84"/>
        <item x="16"/>
        <item x="36"/>
        <item x="76"/>
        <item x="23"/>
        <item x="35"/>
        <item x="30"/>
        <item x="59"/>
        <item x="39"/>
        <item x="9"/>
        <item x="38"/>
        <item x="58"/>
        <item x="70"/>
        <item x="1"/>
        <item x="3"/>
        <item x="41"/>
        <item x="42"/>
        <item x="14"/>
        <item x="82"/>
        <item x="43"/>
        <item x="95"/>
        <item x="92"/>
        <item x="99"/>
        <item x="94"/>
        <item x="93"/>
        <item x="87"/>
        <item x="71"/>
        <item x="13"/>
        <item x="85"/>
        <item x="8"/>
        <item x="91"/>
        <item x="90"/>
        <item x="69"/>
        <item x="72"/>
        <item x="102"/>
        <item x="55"/>
        <item x="56"/>
        <item x="6"/>
        <item x="44"/>
        <item x="5"/>
        <item x="52"/>
        <item x="45"/>
        <item x="81"/>
        <item x="78"/>
        <item t="default" sd="0"/>
      </items>
    </pivotField>
    <pivotField name="Line Item Description" compact="0" outline="0" showAll="0">
      <items count="109">
        <item x="17"/>
        <item x="66"/>
        <item x="2"/>
        <item x="70"/>
        <item x="65"/>
        <item x="54"/>
        <item x="84"/>
        <item x="102"/>
        <item x="95"/>
        <item x="101"/>
        <item x="97"/>
        <item x="96"/>
        <item x="28"/>
        <item x="29"/>
        <item x="67"/>
        <item x="61"/>
        <item x="69"/>
        <item x="62"/>
        <item x="27"/>
        <item x="30"/>
        <item x="57"/>
        <item x="103"/>
        <item x="68"/>
        <item x="46"/>
        <item x="56"/>
        <item x="31"/>
        <item x="104"/>
        <item x="91"/>
        <item x="79"/>
        <item x="81"/>
        <item x="93"/>
        <item x="55"/>
        <item x="78"/>
        <item x="8"/>
        <item x="25"/>
        <item x="13"/>
        <item x="19"/>
        <item x="4"/>
        <item x="9"/>
        <item x="106"/>
        <item x="59"/>
        <item x="11"/>
        <item x="23"/>
        <item x="21"/>
        <item x="12"/>
        <item x="32"/>
        <item x="18"/>
        <item x="33"/>
        <item x="22"/>
        <item x="107"/>
        <item x="34"/>
        <item x="0"/>
        <item x="42"/>
        <item x="35"/>
        <item x="20"/>
        <item x="16"/>
        <item x="64"/>
        <item x="90"/>
        <item x="100"/>
        <item x="80"/>
        <item x="85"/>
        <item x="37"/>
        <item x="24"/>
        <item x="41"/>
        <item x="60"/>
        <item x="10"/>
        <item x="36"/>
        <item x="77"/>
        <item x="74"/>
        <item x="89"/>
        <item x="58"/>
        <item x="1"/>
        <item x="43"/>
        <item x="44"/>
        <item x="3"/>
        <item x="105"/>
        <item x="15"/>
        <item x="83"/>
        <item x="45"/>
        <item x="98"/>
        <item x="63"/>
        <item x="40"/>
        <item x="76"/>
        <item x="26"/>
        <item x="88"/>
        <item x="72"/>
        <item x="86"/>
        <item x="82"/>
        <item x="99"/>
        <item x="71"/>
        <item x="14"/>
        <item x="87"/>
        <item x="75"/>
        <item x="6"/>
        <item x="73"/>
        <item x="92"/>
        <item x="39"/>
        <item x="38"/>
        <item x="7"/>
        <item x="5"/>
        <item x="47"/>
        <item x="52"/>
        <item x="51"/>
        <item x="53"/>
        <item x="50"/>
        <item x="49"/>
        <item x="48"/>
        <item x="94"/>
        <item t="default" sd="0"/>
      </items>
    </pivotField>
    <pivotField name="Order Quantity" axis="axisValues" dataField="1" compact="0" outline="0" showAll="0"/>
  </pivotFields>
  <rowFields count="1">
    <field x="0"/>
  </rowFields>
  <rowItems count="106">
    <i>
      <x/>
    </i>
    <i>
      <x v="1"/>
    </i>
    <i>
      <x v="5"/>
    </i>
    <i>
      <x v="6"/>
    </i>
    <i>
      <x v="2"/>
    </i>
    <i>
      <x v="3"/>
    </i>
    <i>
      <x v="7"/>
    </i>
    <i>
      <x v="4"/>
    </i>
    <i>
      <x v="8"/>
    </i>
    <i>
      <x v="9"/>
    </i>
    <i>
      <x v="10"/>
    </i>
    <i>
      <x v="11"/>
    </i>
    <i>
      <x v="12"/>
    </i>
    <i>
      <x v="13"/>
    </i>
    <i>
      <x v="17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Items count="1">
    <i/>
  </colItems>
  <dataFields count="1">
    <dataField name="Sum of Order Quantity" fld="2"/>
  </dataFields>
  <pivotTableStyleInfo name="PivotStyleCustom33" showRowHeaders="1" showColHeaders="1" showRowStripes="1" showColStripes="0" showLastColumn="1"/>
</pivotTableDefinition>
</file>

<file path=xl/pivotTables/pivotTable34.xml><?xml version="1.0" encoding="utf-8"?>
<pivotTableDefinition xmlns="http://schemas.openxmlformats.org/spreadsheetml/2006/main" name="October 2023 Sales by SKU$" cacheId="33" dataPosition="0" autoFormatId="0" applyNumberFormats="0" applyBorderFormats="0" applyFontFormats="0" applyPatternFormats="0" applyAlignmentFormats="0" applyWidthHeightFormats="1" dataCaption="" missingCaption="" pivotTableStyle="PivotStyleCustom34" updatedVersion="7" useAutoFormatting="1" createdVersion="7" indent="0" showEmptyCol="1" showEmptyRow="1" compact="0" compactData="0" multipleFieldFilters="0">
  <location ref="R708:S814" firstHeaderRow="1" firstDataRow="1" firstDataCol="1"/>
  <pivotFields count="5">
    <pivotField name="Line Item Name" axis="axisRow" compact="0" numFmtId="49" outline="0" showAll="0" sortType="ascending">
      <items count="106">
        <item x="77"/>
        <item x="64"/>
        <item x="49"/>
        <item x="54"/>
        <item x="50"/>
        <item x="68"/>
        <item x="63"/>
        <item x="51"/>
        <item x="79"/>
        <item x="83"/>
        <item x="100"/>
        <item x="48"/>
        <item x="96"/>
        <item x="65"/>
        <item x="66"/>
        <item x="67"/>
        <item x="101"/>
        <item x="60"/>
        <item x="97"/>
        <item x="62"/>
        <item x="80"/>
        <item x="26"/>
        <item x="89"/>
        <item x="7"/>
        <item x="53"/>
        <item x="74"/>
        <item x="15"/>
        <item x="18"/>
        <item x="73"/>
        <item x="47"/>
        <item x="4"/>
        <item x="2"/>
        <item x="25"/>
        <item x="46"/>
        <item x="75"/>
        <item x="37"/>
        <item x="86"/>
        <item x="88"/>
        <item x="98"/>
        <item x="27"/>
        <item x="28"/>
        <item x="103"/>
        <item x="29"/>
        <item x="61"/>
        <item x="57"/>
        <item x="10"/>
        <item x="22"/>
        <item x="20"/>
        <item x="11"/>
        <item x="31"/>
        <item x="17"/>
        <item x="32"/>
        <item x="21"/>
        <item x="104"/>
        <item x="33"/>
        <item x="0"/>
        <item x="40"/>
        <item x="34"/>
        <item x="19"/>
        <item x="24"/>
        <item x="12"/>
        <item x="84"/>
        <item x="16"/>
        <item x="36"/>
        <item x="76"/>
        <item x="23"/>
        <item x="35"/>
        <item x="30"/>
        <item x="59"/>
        <item x="39"/>
        <item x="9"/>
        <item x="38"/>
        <item x="58"/>
        <item x="70"/>
        <item x="1"/>
        <item x="3"/>
        <item x="41"/>
        <item x="42"/>
        <item x="14"/>
        <item x="82"/>
        <item x="43"/>
        <item x="95"/>
        <item x="92"/>
        <item x="99"/>
        <item x="94"/>
        <item x="93"/>
        <item x="87"/>
        <item x="71"/>
        <item x="13"/>
        <item x="85"/>
        <item x="8"/>
        <item x="91"/>
        <item x="90"/>
        <item x="69"/>
        <item x="72"/>
        <item x="102"/>
        <item x="55"/>
        <item x="56"/>
        <item x="6"/>
        <item x="44"/>
        <item x="5"/>
        <item x="52"/>
        <item x="45"/>
        <item x="81"/>
        <item x="78"/>
        <item t="default" sd="0"/>
      </items>
    </pivotField>
    <pivotField name="Line Item Description" compact="0" outline="0" showAll="0">
      <items count="109">
        <item x="17"/>
        <item x="66"/>
        <item x="2"/>
        <item x="70"/>
        <item x="65"/>
        <item x="54"/>
        <item x="84"/>
        <item x="102"/>
        <item x="95"/>
        <item x="101"/>
        <item x="97"/>
        <item x="96"/>
        <item x="28"/>
        <item x="29"/>
        <item x="67"/>
        <item x="61"/>
        <item x="69"/>
        <item x="62"/>
        <item x="27"/>
        <item x="30"/>
        <item x="57"/>
        <item x="103"/>
        <item x="68"/>
        <item x="46"/>
        <item x="56"/>
        <item x="31"/>
        <item x="104"/>
        <item x="91"/>
        <item x="79"/>
        <item x="81"/>
        <item x="93"/>
        <item x="55"/>
        <item x="78"/>
        <item x="8"/>
        <item x="25"/>
        <item x="13"/>
        <item x="19"/>
        <item x="4"/>
        <item x="9"/>
        <item x="106"/>
        <item x="59"/>
        <item x="11"/>
        <item x="23"/>
        <item x="21"/>
        <item x="12"/>
        <item x="32"/>
        <item x="18"/>
        <item x="33"/>
        <item x="22"/>
        <item x="107"/>
        <item x="34"/>
        <item x="0"/>
        <item x="42"/>
        <item x="35"/>
        <item x="20"/>
        <item x="16"/>
        <item x="64"/>
        <item x="90"/>
        <item x="100"/>
        <item x="80"/>
        <item x="85"/>
        <item x="37"/>
        <item x="24"/>
        <item x="41"/>
        <item x="60"/>
        <item x="10"/>
        <item x="36"/>
        <item x="77"/>
        <item x="74"/>
        <item x="89"/>
        <item x="58"/>
        <item x="1"/>
        <item x="43"/>
        <item x="44"/>
        <item x="3"/>
        <item x="105"/>
        <item x="15"/>
        <item x="83"/>
        <item x="45"/>
        <item x="98"/>
        <item x="63"/>
        <item x="40"/>
        <item x="76"/>
        <item x="26"/>
        <item x="88"/>
        <item x="72"/>
        <item x="86"/>
        <item x="82"/>
        <item x="99"/>
        <item x="71"/>
        <item x="14"/>
        <item x="87"/>
        <item x="75"/>
        <item x="6"/>
        <item x="73"/>
        <item x="92"/>
        <item x="39"/>
        <item x="38"/>
        <item x="7"/>
        <item x="5"/>
        <item x="47"/>
        <item x="52"/>
        <item x="51"/>
        <item x="53"/>
        <item x="50"/>
        <item x="49"/>
        <item x="48"/>
        <item x="94"/>
        <item t="default" sd="0"/>
      </items>
    </pivotField>
    <pivotField name="Order Quantity" compact="0" outline="0" showAll="0">
      <items count="22">
        <item x="0"/>
        <item x="1"/>
        <item x="5"/>
        <item x="2"/>
        <item x="9"/>
        <item x="3"/>
        <item x="15"/>
        <item x="10"/>
        <item x="4"/>
        <item x="7"/>
        <item x="12"/>
        <item x="14"/>
        <item x="11"/>
        <item x="8"/>
        <item x="20"/>
        <item x="16"/>
        <item x="6"/>
        <item x="13"/>
        <item x="17"/>
        <item x="18"/>
        <item x="19"/>
        <item t="default" sd="0"/>
      </items>
    </pivotField>
    <pivotField name="Unit Price" compact="0" outline="0" showAll="0">
      <items count="103">
        <item x="71"/>
        <item x="4"/>
        <item x="87"/>
        <item x="81"/>
        <item x="80"/>
        <item x="76"/>
        <item x="59"/>
        <item x="50"/>
        <item x="62"/>
        <item x="46"/>
        <item x="82"/>
        <item x="52"/>
        <item x="51"/>
        <item x="3"/>
        <item x="47"/>
        <item x="53"/>
        <item x="31"/>
        <item x="28"/>
        <item x="101"/>
        <item x="6"/>
        <item x="33"/>
        <item x="49"/>
        <item x="93"/>
        <item x="86"/>
        <item x="27"/>
        <item x="63"/>
        <item x="75"/>
        <item x="70"/>
        <item x="21"/>
        <item x="61"/>
        <item x="34"/>
        <item x="88"/>
        <item x="30"/>
        <item x="79"/>
        <item x="60"/>
        <item x="74"/>
        <item x="48"/>
        <item x="95"/>
        <item x="42"/>
        <item x="85"/>
        <item x="15"/>
        <item x="96"/>
        <item x="54"/>
        <item x="45"/>
        <item x="22"/>
        <item x="78"/>
        <item x="24"/>
        <item x="32"/>
        <item x="65"/>
        <item x="25"/>
        <item x="73"/>
        <item x="26"/>
        <item x="10"/>
        <item x="83"/>
        <item x="38"/>
        <item x="39"/>
        <item x="19"/>
        <item x="99"/>
        <item x="14"/>
        <item x="41"/>
        <item x="55"/>
        <item x="2"/>
        <item x="8"/>
        <item x="13"/>
        <item x="5"/>
        <item x="23"/>
        <item x="9"/>
        <item x="18"/>
        <item x="58"/>
        <item x="67"/>
        <item x="44"/>
        <item x="29"/>
        <item x="37"/>
        <item x="89"/>
        <item x="16"/>
        <item x="0"/>
        <item x="98"/>
        <item x="36"/>
        <item x="20"/>
        <item x="77"/>
        <item x="35"/>
        <item x="97"/>
        <item x="11"/>
        <item x="17"/>
        <item x="57"/>
        <item x="91"/>
        <item x="100"/>
        <item x="7"/>
        <item x="56"/>
        <item x="84"/>
        <item x="92"/>
        <item x="43"/>
        <item x="66"/>
        <item x="1"/>
        <item x="69"/>
        <item x="72"/>
        <item x="12"/>
        <item x="68"/>
        <item x="64"/>
        <item x="40"/>
        <item x="94"/>
        <item x="90"/>
        <item t="default" sd="0"/>
      </items>
    </pivotField>
    <pivotField name="Total Line Item $" axis="axisValues" dataField="1" compact="0" outline="0" showAll="0"/>
  </pivotFields>
  <rowFields count="1">
    <field x="0"/>
  </rowFields>
  <rowItems count="106">
    <i>
      <x/>
    </i>
    <i>
      <x v="1"/>
    </i>
    <i>
      <x v="5"/>
    </i>
    <i>
      <x v="6"/>
    </i>
    <i>
      <x v="2"/>
    </i>
    <i>
      <x v="3"/>
    </i>
    <i>
      <x v="7"/>
    </i>
    <i>
      <x v="4"/>
    </i>
    <i>
      <x v="8"/>
    </i>
    <i>
      <x v="9"/>
    </i>
    <i>
      <x v="10"/>
    </i>
    <i>
      <x v="11"/>
    </i>
    <i>
      <x v="12"/>
    </i>
    <i>
      <x v="13"/>
    </i>
    <i>
      <x v="17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Items count="1">
    <i/>
  </colItems>
  <dataFields count="1">
    <dataField name="Sum of Total Line Item $" fld="4" numFmtId="60"/>
  </dataFields>
  <pivotTableStyleInfo name="PivotStyleCustom34" showRowHeaders="1" showColHeaders="1" showRowStripes="1" showColStripes="0" showLastColumn="1"/>
</pivotTableDefinition>
</file>

<file path=xl/pivotTables/pivotTable35.xml><?xml version="1.0" encoding="utf-8"?>
<pivotTableDefinition xmlns="http://schemas.openxmlformats.org/spreadsheetml/2006/main" name="September 2023 Sales by Customer" cacheId="34" dataPosition="0" autoFormatId="0" applyNumberFormats="0" applyBorderFormats="0" applyFontFormats="0" applyPatternFormats="0" applyAlignmentFormats="0" applyWidthHeightFormats="1" dataCaption="" missingCaption="" pivotTableStyle="PivotStyleCustom35" updatedVersion="7" useAutoFormatting="1" createdVersion="7" indent="0" showEmptyCol="1" showEmptyRow="1" compact="0" compactData="0" multipleFieldFilters="0">
  <location ref="I447:O596" firstHeaderRow="1" firstDataRow="2" firstDataCol="4"/>
  <pivotFields count="8">
    <pivotField name="Sales Order" axis="axisRow" compact="0" numFmtId="49" outline="0" showAll="0" sortType="ascending">
      <items count="191">
        <item sd="0" x="188"/>
        <item sd="0" x="187"/>
        <item sd="0" x="186"/>
        <item sd="0" x="185"/>
        <item sd="0" x="184"/>
        <item sd="0" x="189"/>
        <item sd="0" x="183"/>
        <item sd="0" x="182"/>
        <item sd="0" x="181"/>
        <item sd="0" x="180"/>
        <item sd="0" x="178"/>
        <item sd="0" x="177"/>
        <item sd="0" x="176"/>
        <item sd="0" x="175"/>
        <item sd="0" x="174"/>
        <item sd="0" x="179"/>
        <item sd="0" x="173"/>
        <item sd="0" x="172"/>
        <item sd="0" x="171"/>
        <item sd="0" x="165"/>
        <item sd="0" x="164"/>
        <item sd="0" x="169"/>
        <item sd="0" x="163"/>
        <item sd="0" x="170"/>
        <item sd="0" x="168"/>
        <item sd="0" x="162"/>
        <item sd="0" x="167"/>
        <item sd="0" x="161"/>
        <item sd="0" x="166"/>
        <item sd="0" x="160"/>
        <item sd="0" x="159"/>
        <item sd="0" x="155"/>
        <item sd="0" x="157"/>
        <item sd="0" x="156"/>
        <item sd="0" x="154"/>
        <item sd="0" x="158"/>
        <item sd="0" x="153"/>
        <item sd="0" x="152"/>
        <item sd="0" x="151"/>
        <item sd="0" x="150"/>
        <item sd="0" x="146"/>
        <item sd="0" x="145"/>
        <item sd="0" x="149"/>
        <item sd="0" x="147"/>
        <item sd="0" x="148"/>
        <item sd="0" x="144"/>
        <item sd="0" x="143"/>
        <item sd="0" x="142"/>
        <item sd="0" x="141"/>
        <item sd="0" x="140"/>
        <item sd="0" x="139"/>
        <item sd="0" x="138"/>
        <item sd="0" x="137"/>
        <item sd="0" x="136"/>
        <item sd="0" x="135"/>
        <item sd="0" x="134"/>
        <item sd="0" x="133"/>
        <item sd="0" x="130"/>
        <item sd="0" x="129"/>
        <item sd="0" x="132"/>
        <item sd="0" x="131"/>
        <item sd="0" x="128"/>
        <item sd="0" x="127"/>
        <item sd="0" x="126"/>
        <item sd="0" x="125"/>
        <item sd="0" x="124"/>
        <item sd="0" x="123"/>
        <item sd="0" x="122"/>
        <item sd="0" x="121"/>
        <item sd="0" x="120"/>
        <item sd="0" x="119"/>
        <item sd="0" x="118"/>
        <item sd="0" x="110"/>
        <item sd="0" x="109"/>
        <item sd="0" x="108"/>
        <item sd="0" x="107"/>
        <item sd="0" x="112"/>
        <item sd="0" x="114"/>
        <item sd="0" x="117"/>
        <item sd="0" x="106"/>
        <item sd="0" x="116"/>
        <item sd="0" x="113"/>
        <item sd="0" x="105"/>
        <item sd="0" x="115"/>
        <item sd="0" x="100"/>
        <item sd="0" x="99"/>
        <item sd="0" x="103"/>
        <item sd="0" x="98"/>
        <item sd="0" x="102"/>
        <item sd="0" x="97"/>
        <item sd="0" x="96"/>
        <item sd="0" x="101"/>
        <item sd="0" x="95"/>
        <item sd="0" x="94"/>
        <item sd="0" x="104"/>
        <item sd="0" x="93"/>
        <item sd="0" x="92"/>
        <item sd="0" x="91"/>
        <item sd="0" x="90"/>
        <item sd="0" x="89"/>
        <item sd="0" x="88"/>
        <item sd="0" x="84"/>
        <item sd="0" x="83"/>
        <item sd="0" x="85"/>
        <item sd="0" x="86"/>
        <item sd="0" x="82"/>
        <item sd="0" x="87"/>
        <item sd="0" x="81"/>
        <item sd="0" x="79"/>
        <item sd="0" x="78"/>
        <item sd="0" x="77"/>
        <item sd="0" x="76"/>
        <item sd="0" x="80"/>
        <item sd="0" x="75"/>
        <item sd="0" x="74"/>
        <item sd="0" x="73"/>
        <item sd="0" x="70"/>
        <item sd="0" x="69"/>
        <item sd="0" x="72"/>
        <item sd="0" x="68"/>
        <item sd="0" x="71"/>
        <item sd="0" x="67"/>
        <item sd="0" x="66"/>
        <item sd="0" x="65"/>
        <item sd="0" x="64"/>
        <item sd="0" x="58"/>
        <item sd="0" x="60"/>
        <item sd="0" x="59"/>
        <item sd="0" x="57"/>
        <item sd="0" x="56"/>
        <item sd="0" x="55"/>
        <item sd="0" x="61"/>
        <item sd="0" x="54"/>
        <item sd="0" x="62"/>
        <item sd="0" x="63"/>
        <item sd="0" x="52"/>
        <item sd="0" x="51"/>
        <item sd="0" x="50"/>
        <item sd="0" x="49"/>
        <item sd="0" x="53"/>
        <item sd="0" x="48"/>
        <item sd="0" x="43"/>
        <item sd="0" x="42"/>
        <item sd="0" x="41"/>
        <item sd="0" x="44"/>
        <item sd="0" x="40"/>
        <item sd="0" x="45"/>
        <item sd="0" x="39"/>
        <item sd="0" x="38"/>
        <item sd="0" x="46"/>
        <item sd="0" x="37"/>
        <item sd="0" x="36"/>
        <item sd="0" x="35"/>
        <item sd="0" x="47"/>
        <item sd="0" x="32"/>
        <item sd="0" x="31"/>
        <item sd="0" x="30"/>
        <item sd="0" x="29"/>
        <item sd="0" x="33"/>
        <item sd="0" x="34"/>
        <item sd="0" x="28"/>
        <item sd="0" x="27"/>
        <item sd="0" x="26"/>
        <item sd="0" x="23"/>
        <item sd="0" x="22"/>
        <item sd="0" x="21"/>
        <item sd="0" x="20"/>
        <item sd="0" x="25"/>
        <item sd="0" x="19"/>
        <item sd="0" x="24"/>
        <item sd="0" x="16"/>
        <item sd="0" x="15"/>
        <item sd="0" x="14"/>
        <item sd="0" x="17"/>
        <item sd="0" x="18"/>
        <item sd="0" x="13"/>
        <item sd="0" x="5"/>
        <item sd="0" x="4"/>
        <item sd="0" x="3"/>
        <item sd="0" x="11"/>
        <item sd="0" x="9"/>
        <item sd="0" x="2"/>
        <item sd="0" x="7"/>
        <item sd="0" x="8"/>
        <item sd="0" x="12"/>
        <item sd="0" x="6"/>
        <item sd="0" x="1"/>
        <item sd="0" x="10"/>
        <item sd="0" x="0"/>
        <item sd="0" x="111"/>
        <item t="default" sd="0"/>
      </items>
    </pivotField>
    <pivotField name="Customer" axis="axisRow" compact="0" numFmtId="49" outline="0" showAll="0" sortType="ascending">
      <items count="148">
        <item sd="0" x="26"/>
        <item sd="0" x="72"/>
        <item sd="0" x="138"/>
        <item sd="0" x="35"/>
        <item sd="0" x="117"/>
        <item sd="0" x="73"/>
        <item sd="0" x="16"/>
        <item sd="0" x="18"/>
        <item sd="0" x="20"/>
        <item sd="0" x="9"/>
        <item sd="0" x="17"/>
        <item sd="0" x="68"/>
        <item sd="0" x="53"/>
        <item sd="0" x="145"/>
        <item sd="0" x="131"/>
        <item sd="0" x="22"/>
        <item sd="0" x="134"/>
        <item sd="0" x="71"/>
        <item sd="0" x="103"/>
        <item sd="0" x="82"/>
        <item sd="0" x="46"/>
        <item sd="0" x="98"/>
        <item sd="0" x="91"/>
        <item sd="0" x="75"/>
        <item sd="0" x="146"/>
        <item sd="0" x="121"/>
        <item sd="0" x="88"/>
        <item sd="0" x="57"/>
        <item sd="0" x="14"/>
        <item sd="0" x="1"/>
        <item sd="0" x="85"/>
        <item sd="0" x="34"/>
        <item sd="0" x="116"/>
        <item sd="0" x="141"/>
        <item sd="0" x="21"/>
        <item sd="0" x="139"/>
        <item sd="0" x="47"/>
        <item sd="0" x="50"/>
        <item sd="0" x="87"/>
        <item sd="0" x="111"/>
        <item sd="0" x="130"/>
        <item sd="0" x="30"/>
        <item sd="0" x="137"/>
        <item sd="0" x="8"/>
        <item sd="0" x="112"/>
        <item sd="0" x="7"/>
        <item sd="0" x="115"/>
        <item sd="0" x="142"/>
        <item sd="0" x="40"/>
        <item sd="0" x="36"/>
        <item sd="0" x="24"/>
        <item sd="0" x="89"/>
        <item sd="0" x="80"/>
        <item sd="0" x="114"/>
        <item sd="0" x="76"/>
        <item sd="0" x="13"/>
        <item sd="0" x="136"/>
        <item sd="0" x="58"/>
        <item sd="0" x="19"/>
        <item sd="0" x="56"/>
        <item sd="0" x="96"/>
        <item sd="0" x="70"/>
        <item sd="0" x="109"/>
        <item sd="0" x="122"/>
        <item sd="0" x="59"/>
        <item sd="0" x="124"/>
        <item sd="0" x="94"/>
        <item sd="0" x="140"/>
        <item sd="0" x="44"/>
        <item sd="0" x="64"/>
        <item sd="0" x="6"/>
        <item sd="0" x="55"/>
        <item sd="0" x="74"/>
        <item sd="0" x="127"/>
        <item sd="0" x="120"/>
        <item sd="0" x="105"/>
        <item sd="0" x="38"/>
        <item sd="0" x="79"/>
        <item sd="0" x="93"/>
        <item sd="0" x="118"/>
        <item sd="0" x="104"/>
        <item sd="0" x="29"/>
        <item sd="0" x="128"/>
        <item sd="0" x="81"/>
        <item sd="0" x="113"/>
        <item sd="0" x="10"/>
        <item sd="0" x="15"/>
        <item sd="0" x="0"/>
        <item sd="0" x="23"/>
        <item sd="0" x="125"/>
        <item sd="0" x="33"/>
        <item sd="0" x="48"/>
        <item sd="0" x="31"/>
        <item sd="0" x="25"/>
        <item sd="0" x="32"/>
        <item sd="0" x="28"/>
        <item sd="0" x="77"/>
        <item sd="0" x="99"/>
        <item sd="0" x="90"/>
        <item sd="0" x="39"/>
        <item sd="0" x="2"/>
        <item sd="0" x="41"/>
        <item sd="0" x="43"/>
        <item sd="0" x="65"/>
        <item sd="0" x="110"/>
        <item sd="0" x="67"/>
        <item sd="0" x="61"/>
        <item sd="0" x="62"/>
        <item sd="0" x="126"/>
        <item sd="0" x="133"/>
        <item sd="0" x="52"/>
        <item sd="0" x="132"/>
        <item sd="0" x="51"/>
        <item sd="0" x="63"/>
        <item sd="0" x="12"/>
        <item sd="0" x="69"/>
        <item sd="0" x="66"/>
        <item sd="0" x="100"/>
        <item sd="0" x="86"/>
        <item sd="0" x="3"/>
        <item sd="0" x="95"/>
        <item sd="0" x="102"/>
        <item sd="0" x="11"/>
        <item sd="0" x="54"/>
        <item sd="0" x="37"/>
        <item sd="0" x="119"/>
        <item sd="0" x="97"/>
        <item sd="0" x="107"/>
        <item sd="0" x="60"/>
        <item sd="0" x="5"/>
        <item sd="0" x="83"/>
        <item sd="0" x="106"/>
        <item sd="0" x="45"/>
        <item sd="0" x="78"/>
        <item sd="0" x="129"/>
        <item sd="0" x="4"/>
        <item sd="0" x="135"/>
        <item sd="0" x="27"/>
        <item sd="0" x="42"/>
        <item sd="0" x="49"/>
        <item sd="0" x="84"/>
        <item sd="0" x="144"/>
        <item sd="0" x="108"/>
        <item sd="0" x="123"/>
        <item sd="0" x="143"/>
        <item sd="0" x="92"/>
        <item sd="0" x="101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14">
        <item x="82"/>
        <item x="94"/>
        <item x="52"/>
        <item x="60"/>
        <item x="23"/>
        <item x="27"/>
        <item x="11"/>
        <item x="62"/>
        <item x="13"/>
        <item x="28"/>
        <item x="84"/>
        <item x="56"/>
        <item x="12"/>
        <item x="111"/>
        <item x="104"/>
        <item x="22"/>
        <item x="90"/>
        <item x="9"/>
        <item x="5"/>
        <item x="105"/>
        <item x="17"/>
        <item x="39"/>
        <item x="16"/>
        <item x="34"/>
        <item x="31"/>
        <item x="46"/>
        <item x="47"/>
        <item x="48"/>
        <item x="30"/>
        <item x="37"/>
        <item x="54"/>
        <item x="55"/>
        <item x="42"/>
        <item x="43"/>
        <item x="69"/>
        <item x="98"/>
        <item x="40"/>
        <item x="8"/>
        <item x="91"/>
        <item x="107"/>
        <item x="74"/>
        <item x="4"/>
        <item x="36"/>
        <item x="65"/>
        <item x="89"/>
        <item x="44"/>
        <item x="7"/>
        <item x="106"/>
        <item x="41"/>
        <item x="0"/>
        <item x="112"/>
        <item x="83"/>
        <item x="58"/>
        <item x="93"/>
        <item x="51"/>
        <item x="18"/>
        <item x="63"/>
        <item x="29"/>
        <item x="35"/>
        <item x="109"/>
        <item x="2"/>
        <item x="97"/>
        <item x="1"/>
        <item x="64"/>
        <item x="53"/>
        <item x="61"/>
        <item x="75"/>
        <item x="38"/>
        <item x="92"/>
        <item x="76"/>
        <item x="88"/>
        <item x="77"/>
        <item x="99"/>
        <item x="72"/>
        <item x="78"/>
        <item x="79"/>
        <item x="80"/>
        <item x="81"/>
        <item x="32"/>
        <item x="33"/>
        <item x="45"/>
        <item x="26"/>
        <item x="3"/>
        <item x="100"/>
        <item x="6"/>
        <item x="95"/>
        <item x="108"/>
        <item x="110"/>
        <item x="15"/>
        <item x="14"/>
        <item x="49"/>
        <item x="87"/>
        <item x="25"/>
        <item x="24"/>
        <item x="59"/>
        <item x="102"/>
        <item x="103"/>
        <item x="96"/>
        <item x="20"/>
        <item x="10"/>
        <item x="57"/>
        <item x="50"/>
        <item x="19"/>
        <item x="73"/>
        <item x="70"/>
        <item x="71"/>
        <item x="68"/>
        <item x="67"/>
        <item x="21"/>
        <item x="85"/>
        <item x="86"/>
        <item x="101"/>
        <item x="66"/>
        <item t="default" sd="0"/>
      </items>
    </pivotField>
    <pivotField name="Line Item Description" compact="0" outline="0" showAll="0">
      <items count="124">
        <item x="28"/>
        <item x="51"/>
        <item x="60"/>
        <item x="53"/>
        <item x="23"/>
        <item x="68"/>
        <item x="26"/>
        <item x="9"/>
        <item x="29"/>
        <item x="30"/>
        <item x="77"/>
        <item x="78"/>
        <item x="79"/>
        <item x="80"/>
        <item x="10"/>
        <item x="91"/>
        <item x="84"/>
        <item x="62"/>
        <item x="118"/>
        <item x="27"/>
        <item x="90"/>
        <item x="83"/>
        <item x="55"/>
        <item x="73"/>
        <item x="11"/>
        <item x="14"/>
        <item x="12"/>
        <item x="120"/>
        <item x="22"/>
        <item x="8"/>
        <item x="112"/>
        <item x="16"/>
        <item x="81"/>
        <item x="113"/>
        <item x="4"/>
        <item x="105"/>
        <item x="50"/>
        <item x="17"/>
        <item x="33"/>
        <item x="36"/>
        <item x="5"/>
        <item x="110"/>
        <item x="115"/>
        <item x="3"/>
        <item x="35"/>
        <item x="65"/>
        <item x="89"/>
        <item x="43"/>
        <item x="6"/>
        <item x="114"/>
        <item x="40"/>
        <item x="0"/>
        <item x="57"/>
        <item x="121"/>
        <item x="82"/>
        <item x="103"/>
        <item x="58"/>
        <item x="93"/>
        <item x="15"/>
        <item x="97"/>
        <item x="39"/>
        <item x="7"/>
        <item x="108"/>
        <item x="85"/>
        <item x="1"/>
        <item x="119"/>
        <item x="64"/>
        <item x="101"/>
        <item x="34"/>
        <item x="63"/>
        <item x="66"/>
        <item x="45"/>
        <item x="95"/>
        <item x="99"/>
        <item x="46"/>
        <item x="48"/>
        <item x="107"/>
        <item x="70"/>
        <item x="52"/>
        <item x="61"/>
        <item x="59"/>
        <item x="109"/>
        <item x="98"/>
        <item x="92"/>
        <item x="72"/>
        <item x="37"/>
        <item x="74"/>
        <item x="75"/>
        <item x="67"/>
        <item x="86"/>
        <item x="87"/>
        <item x="94"/>
        <item x="76"/>
        <item x="56"/>
        <item x="96"/>
        <item x="104"/>
        <item x="71"/>
        <item x="111"/>
        <item x="117"/>
        <item x="122"/>
        <item x="116"/>
        <item x="49"/>
        <item x="47"/>
        <item x="69"/>
        <item x="41"/>
        <item x="42"/>
        <item x="54"/>
        <item x="44"/>
        <item x="88"/>
        <item x="106"/>
        <item x="31"/>
        <item x="32"/>
        <item x="2"/>
        <item x="102"/>
        <item x="38"/>
        <item x="13"/>
        <item x="18"/>
        <item x="21"/>
        <item x="25"/>
        <item x="20"/>
        <item x="24"/>
        <item x="19"/>
        <item x="100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48">
    <i>
      <x/>
    </i>
    <i>
      <x v="2"/>
    </i>
    <i>
      <x v="3"/>
    </i>
    <i>
      <x v="4"/>
    </i>
    <i>
      <x v="5"/>
    </i>
    <i>
      <x v="1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142"/>
    </i>
    <i>
      <x v="44"/>
    </i>
    <i>
      <x v="46"/>
    </i>
    <i>
      <x v="47"/>
    </i>
    <i>
      <x v="48"/>
    </i>
    <i>
      <x v="49"/>
    </i>
    <i>
      <x v="50"/>
    </i>
    <i>
      <x v="45"/>
    </i>
    <i>
      <x v="51"/>
    </i>
    <i>
      <x v="52"/>
    </i>
    <i>
      <x v="143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144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2"/>
    </i>
    <i>
      <x v="87"/>
    </i>
    <i>
      <x v="88"/>
    </i>
    <i>
      <x v="89"/>
    </i>
    <i>
      <x v="90"/>
    </i>
    <i>
      <x v="86"/>
    </i>
    <i>
      <x v="91"/>
    </i>
    <i>
      <x v="92"/>
    </i>
    <i>
      <x v="93"/>
    </i>
    <i>
      <x v="94"/>
    </i>
    <i>
      <x v="95"/>
    </i>
    <i>
      <x v="96"/>
    </i>
    <i>
      <x v="97"/>
    </i>
    <i>
      <x v="145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05"/>
    </i>
    <i>
      <x v="112"/>
    </i>
    <i>
      <x v="114"/>
    </i>
    <i>
      <x v="115"/>
    </i>
    <i>
      <x v="116"/>
    </i>
    <i>
      <x v="113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46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35" showRowHeaders="1" showColHeaders="1" showRowStripes="1" showColStripes="0" showLastColumn="1"/>
</pivotTableDefinition>
</file>

<file path=xl/pivotTables/pivotTable36.xml><?xml version="1.0" encoding="utf-8"?>
<pivotTableDefinition xmlns="http://schemas.openxmlformats.org/spreadsheetml/2006/main" name="September 2023 Sales by SKU (Quantity)" cacheId="35" dataPosition="0" autoFormatId="0" applyNumberFormats="0" applyBorderFormats="0" applyFontFormats="0" applyPatternFormats="0" applyAlignmentFormats="0" applyWidthHeightFormats="1" dataCaption="" missingCaption="" pivotTableStyle="PivotStyleCustom36" updatedVersion="7" useAutoFormatting="1" createdVersion="7" indent="0" showEmptyCol="1" showEmptyRow="1" compact="0" compactData="0" multipleFieldFilters="0">
  <location ref="P599:Q713" firstHeaderRow="1" firstDataRow="1" firstDataCol="1"/>
  <pivotFields count="3">
    <pivotField name="Line Item Name" axis="axisRow" compact="0" numFmtId="49" outline="0" showAll="0" sortType="ascending">
      <items count="114">
        <item x="82"/>
        <item x="94"/>
        <item x="52"/>
        <item x="60"/>
        <item x="23"/>
        <item x="27"/>
        <item x="11"/>
        <item x="62"/>
        <item x="13"/>
        <item x="28"/>
        <item x="84"/>
        <item x="56"/>
        <item x="12"/>
        <item x="111"/>
        <item x="104"/>
        <item x="22"/>
        <item x="90"/>
        <item x="9"/>
        <item x="5"/>
        <item x="105"/>
        <item x="17"/>
        <item x="39"/>
        <item x="16"/>
        <item x="34"/>
        <item x="31"/>
        <item x="46"/>
        <item x="47"/>
        <item x="48"/>
        <item x="30"/>
        <item x="37"/>
        <item x="54"/>
        <item x="55"/>
        <item x="42"/>
        <item x="43"/>
        <item x="69"/>
        <item x="98"/>
        <item x="40"/>
        <item x="8"/>
        <item x="91"/>
        <item x="107"/>
        <item x="74"/>
        <item x="4"/>
        <item x="36"/>
        <item x="65"/>
        <item x="89"/>
        <item x="44"/>
        <item x="7"/>
        <item x="106"/>
        <item x="41"/>
        <item x="0"/>
        <item x="112"/>
        <item x="83"/>
        <item x="58"/>
        <item x="93"/>
        <item x="51"/>
        <item x="18"/>
        <item x="63"/>
        <item x="29"/>
        <item x="35"/>
        <item x="109"/>
        <item x="2"/>
        <item x="97"/>
        <item x="1"/>
        <item x="64"/>
        <item x="53"/>
        <item x="61"/>
        <item x="75"/>
        <item x="38"/>
        <item x="92"/>
        <item x="76"/>
        <item x="88"/>
        <item x="77"/>
        <item x="99"/>
        <item x="72"/>
        <item x="78"/>
        <item x="79"/>
        <item x="80"/>
        <item x="81"/>
        <item x="32"/>
        <item x="33"/>
        <item x="45"/>
        <item x="26"/>
        <item x="3"/>
        <item x="100"/>
        <item x="6"/>
        <item x="95"/>
        <item x="108"/>
        <item x="110"/>
        <item x="15"/>
        <item x="14"/>
        <item x="49"/>
        <item x="87"/>
        <item x="25"/>
        <item x="24"/>
        <item x="59"/>
        <item x="102"/>
        <item x="103"/>
        <item x="96"/>
        <item x="20"/>
        <item x="10"/>
        <item x="57"/>
        <item x="50"/>
        <item x="19"/>
        <item x="73"/>
        <item x="70"/>
        <item x="71"/>
        <item x="68"/>
        <item x="67"/>
        <item x="21"/>
        <item x="85"/>
        <item x="86"/>
        <item x="101"/>
        <item x="66"/>
        <item t="default" sd="0"/>
      </items>
    </pivotField>
    <pivotField name="Line Item Description" compact="0" outline="0" showAll="0">
      <items count="124">
        <item x="28"/>
        <item x="51"/>
        <item x="60"/>
        <item x="53"/>
        <item x="23"/>
        <item x="68"/>
        <item x="26"/>
        <item x="9"/>
        <item x="29"/>
        <item x="30"/>
        <item x="77"/>
        <item x="78"/>
        <item x="79"/>
        <item x="80"/>
        <item x="10"/>
        <item x="91"/>
        <item x="84"/>
        <item x="62"/>
        <item x="118"/>
        <item x="27"/>
        <item x="90"/>
        <item x="83"/>
        <item x="55"/>
        <item x="73"/>
        <item x="11"/>
        <item x="14"/>
        <item x="12"/>
        <item x="120"/>
        <item x="22"/>
        <item x="8"/>
        <item x="112"/>
        <item x="16"/>
        <item x="81"/>
        <item x="113"/>
        <item x="4"/>
        <item x="105"/>
        <item x="50"/>
        <item x="17"/>
        <item x="33"/>
        <item x="36"/>
        <item x="5"/>
        <item x="110"/>
        <item x="115"/>
        <item x="3"/>
        <item x="35"/>
        <item x="65"/>
        <item x="89"/>
        <item x="43"/>
        <item x="6"/>
        <item x="114"/>
        <item x="40"/>
        <item x="0"/>
        <item x="57"/>
        <item x="121"/>
        <item x="82"/>
        <item x="103"/>
        <item x="58"/>
        <item x="93"/>
        <item x="15"/>
        <item x="97"/>
        <item x="39"/>
        <item x="7"/>
        <item x="108"/>
        <item x="85"/>
        <item x="1"/>
        <item x="119"/>
        <item x="64"/>
        <item x="101"/>
        <item x="34"/>
        <item x="63"/>
        <item x="66"/>
        <item x="45"/>
        <item x="95"/>
        <item x="99"/>
        <item x="46"/>
        <item x="48"/>
        <item x="107"/>
        <item x="70"/>
        <item x="52"/>
        <item x="61"/>
        <item x="59"/>
        <item x="109"/>
        <item x="98"/>
        <item x="92"/>
        <item x="72"/>
        <item x="37"/>
        <item x="74"/>
        <item x="75"/>
        <item x="67"/>
        <item x="86"/>
        <item x="87"/>
        <item x="94"/>
        <item x="76"/>
        <item x="56"/>
        <item x="96"/>
        <item x="104"/>
        <item x="71"/>
        <item x="111"/>
        <item x="117"/>
        <item x="122"/>
        <item x="116"/>
        <item x="49"/>
        <item x="47"/>
        <item x="69"/>
        <item x="41"/>
        <item x="42"/>
        <item x="54"/>
        <item x="44"/>
        <item x="88"/>
        <item x="106"/>
        <item x="31"/>
        <item x="32"/>
        <item x="2"/>
        <item x="102"/>
        <item x="38"/>
        <item x="13"/>
        <item x="18"/>
        <item x="21"/>
        <item x="25"/>
        <item x="20"/>
        <item x="24"/>
        <item x="19"/>
        <item x="100"/>
        <item t="default" sd="0"/>
      </items>
    </pivotField>
    <pivotField name="Order Quantity" axis="axisValues" dataField="1" compact="0" outline="0" showAll="0"/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11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1"/>
    </i>
    <i>
      <x v="109"/>
    </i>
    <i>
      <x v="110"/>
    </i>
    <i t="grand">
      <x/>
    </i>
  </rowItems>
  <colItems count="1">
    <i/>
  </colItems>
  <dataFields count="1">
    <dataField name="Sum of Order Quantity" fld="2"/>
  </dataFields>
  <pivotTableStyleInfo name="PivotStyleCustom36" showRowHeaders="1" showColHeaders="1" showRowStripes="1" showColStripes="0" showLastColumn="1"/>
</pivotTableDefinition>
</file>

<file path=xl/pivotTables/pivotTable37.xml><?xml version="1.0" encoding="utf-8"?>
<pivotTableDefinition xmlns="http://schemas.openxmlformats.org/spreadsheetml/2006/main" name="September 2023 Sales by SKU$" cacheId="36" dataPosition="0" autoFormatId="0" applyNumberFormats="0" applyBorderFormats="0" applyFontFormats="0" applyPatternFormats="0" applyAlignmentFormats="0" applyWidthHeightFormats="1" dataCaption="" missingCaption="" pivotTableStyle="PivotStyleCustom37" updatedVersion="7" useAutoFormatting="1" createdVersion="7" indent="0" showEmptyCol="1" showEmptyRow="1" compact="0" compactData="0" multipleFieldFilters="0">
  <location ref="R716:S830" firstHeaderRow="1" firstDataRow="1" firstDataCol="1"/>
  <pivotFields count="5">
    <pivotField name="Line Item Name" axis="axisRow" compact="0" numFmtId="49" outline="0" showAll="0" sortType="ascending">
      <items count="114">
        <item x="82"/>
        <item x="94"/>
        <item x="52"/>
        <item x="60"/>
        <item x="23"/>
        <item x="27"/>
        <item x="11"/>
        <item x="62"/>
        <item x="13"/>
        <item x="28"/>
        <item x="84"/>
        <item x="56"/>
        <item x="12"/>
        <item x="111"/>
        <item x="104"/>
        <item x="22"/>
        <item x="90"/>
        <item x="9"/>
        <item x="5"/>
        <item x="105"/>
        <item x="17"/>
        <item x="39"/>
        <item x="16"/>
        <item x="34"/>
        <item x="31"/>
        <item x="46"/>
        <item x="47"/>
        <item x="48"/>
        <item x="30"/>
        <item x="37"/>
        <item x="54"/>
        <item x="55"/>
        <item x="42"/>
        <item x="43"/>
        <item x="69"/>
        <item x="98"/>
        <item x="40"/>
        <item x="8"/>
        <item x="91"/>
        <item x="107"/>
        <item x="74"/>
        <item x="4"/>
        <item x="36"/>
        <item x="65"/>
        <item x="89"/>
        <item x="44"/>
        <item x="7"/>
        <item x="106"/>
        <item x="41"/>
        <item x="0"/>
        <item x="112"/>
        <item x="83"/>
        <item x="58"/>
        <item x="93"/>
        <item x="51"/>
        <item x="18"/>
        <item x="63"/>
        <item x="29"/>
        <item x="35"/>
        <item x="109"/>
        <item x="2"/>
        <item x="97"/>
        <item x="1"/>
        <item x="64"/>
        <item x="53"/>
        <item x="61"/>
        <item x="75"/>
        <item x="38"/>
        <item x="92"/>
        <item x="76"/>
        <item x="88"/>
        <item x="77"/>
        <item x="99"/>
        <item x="72"/>
        <item x="78"/>
        <item x="79"/>
        <item x="80"/>
        <item x="81"/>
        <item x="32"/>
        <item x="33"/>
        <item x="45"/>
        <item x="26"/>
        <item x="3"/>
        <item x="100"/>
        <item x="6"/>
        <item x="95"/>
        <item x="108"/>
        <item x="110"/>
        <item x="15"/>
        <item x="14"/>
        <item x="49"/>
        <item x="87"/>
        <item x="25"/>
        <item x="24"/>
        <item x="59"/>
        <item x="102"/>
        <item x="103"/>
        <item x="96"/>
        <item x="20"/>
        <item x="10"/>
        <item x="57"/>
        <item x="50"/>
        <item x="19"/>
        <item x="73"/>
        <item x="70"/>
        <item x="71"/>
        <item x="68"/>
        <item x="67"/>
        <item x="21"/>
        <item x="85"/>
        <item x="86"/>
        <item x="101"/>
        <item x="66"/>
        <item t="default" sd="0"/>
      </items>
    </pivotField>
    <pivotField name="Line Item Description" compact="0" outline="0" showAll="0">
      <items count="124">
        <item x="28"/>
        <item x="51"/>
        <item x="60"/>
        <item x="53"/>
        <item x="23"/>
        <item x="68"/>
        <item x="26"/>
        <item x="9"/>
        <item x="29"/>
        <item x="30"/>
        <item x="77"/>
        <item x="78"/>
        <item x="79"/>
        <item x="80"/>
        <item x="10"/>
        <item x="91"/>
        <item x="84"/>
        <item x="62"/>
        <item x="118"/>
        <item x="27"/>
        <item x="90"/>
        <item x="83"/>
        <item x="55"/>
        <item x="73"/>
        <item x="11"/>
        <item x="14"/>
        <item x="12"/>
        <item x="120"/>
        <item x="22"/>
        <item x="8"/>
        <item x="112"/>
        <item x="16"/>
        <item x="81"/>
        <item x="113"/>
        <item x="4"/>
        <item x="105"/>
        <item x="50"/>
        <item x="17"/>
        <item x="33"/>
        <item x="36"/>
        <item x="5"/>
        <item x="110"/>
        <item x="115"/>
        <item x="3"/>
        <item x="35"/>
        <item x="65"/>
        <item x="89"/>
        <item x="43"/>
        <item x="6"/>
        <item x="114"/>
        <item x="40"/>
        <item x="0"/>
        <item x="57"/>
        <item x="121"/>
        <item x="82"/>
        <item x="103"/>
        <item x="58"/>
        <item x="93"/>
        <item x="15"/>
        <item x="97"/>
        <item x="39"/>
        <item x="7"/>
        <item x="108"/>
        <item x="85"/>
        <item x="1"/>
        <item x="119"/>
        <item x="64"/>
        <item x="101"/>
        <item x="34"/>
        <item x="63"/>
        <item x="66"/>
        <item x="45"/>
        <item x="95"/>
        <item x="99"/>
        <item x="46"/>
        <item x="48"/>
        <item x="107"/>
        <item x="70"/>
        <item x="52"/>
        <item x="61"/>
        <item x="59"/>
        <item x="109"/>
        <item x="98"/>
        <item x="92"/>
        <item x="72"/>
        <item x="37"/>
        <item x="74"/>
        <item x="75"/>
        <item x="67"/>
        <item x="86"/>
        <item x="87"/>
        <item x="94"/>
        <item x="76"/>
        <item x="56"/>
        <item x="96"/>
        <item x="104"/>
        <item x="71"/>
        <item x="111"/>
        <item x="117"/>
        <item x="122"/>
        <item x="116"/>
        <item x="49"/>
        <item x="47"/>
        <item x="69"/>
        <item x="41"/>
        <item x="42"/>
        <item x="54"/>
        <item x="44"/>
        <item x="88"/>
        <item x="106"/>
        <item x="31"/>
        <item x="32"/>
        <item x="2"/>
        <item x="102"/>
        <item x="38"/>
        <item x="13"/>
        <item x="18"/>
        <item x="21"/>
        <item x="25"/>
        <item x="20"/>
        <item x="24"/>
        <item x="19"/>
        <item x="100"/>
        <item t="default" sd="0"/>
      </items>
    </pivotField>
    <pivotField name="Order Quantity" compact="0" outline="0" showAll="0">
      <items count="21">
        <item x="1"/>
        <item x="0"/>
        <item x="12"/>
        <item x="2"/>
        <item x="3"/>
        <item x="11"/>
        <item x="10"/>
        <item x="7"/>
        <item x="5"/>
        <item x="19"/>
        <item x="4"/>
        <item x="17"/>
        <item x="13"/>
        <item x="6"/>
        <item x="14"/>
        <item x="15"/>
        <item x="9"/>
        <item x="16"/>
        <item x="8"/>
        <item x="18"/>
        <item t="default" sd="0"/>
      </items>
    </pivotField>
    <pivotField name="Unit Price" compact="0" outline="0" showAll="0">
      <items count="110">
        <item x="8"/>
        <item x="94"/>
        <item x="15"/>
        <item x="35"/>
        <item x="16"/>
        <item x="25"/>
        <item x="41"/>
        <item x="91"/>
        <item x="100"/>
        <item x="98"/>
        <item x="33"/>
        <item x="93"/>
        <item x="5"/>
        <item x="43"/>
        <item x="60"/>
        <item x="31"/>
        <item x="53"/>
        <item x="42"/>
        <item x="29"/>
        <item x="56"/>
        <item x="39"/>
        <item x="14"/>
        <item x="95"/>
        <item x="90"/>
        <item x="68"/>
        <item x="21"/>
        <item x="13"/>
        <item x="52"/>
        <item x="102"/>
        <item x="70"/>
        <item x="61"/>
        <item x="12"/>
        <item x="50"/>
        <item x="105"/>
        <item x="49"/>
        <item x="27"/>
        <item x="26"/>
        <item x="99"/>
        <item x="97"/>
        <item x="58"/>
        <item x="32"/>
        <item x="57"/>
        <item x="80"/>
        <item x="85"/>
        <item x="79"/>
        <item x="82"/>
        <item x="11"/>
        <item x="101"/>
        <item x="54"/>
        <item x="46"/>
        <item x="108"/>
        <item x="59"/>
        <item x="103"/>
        <item x="83"/>
        <item x="3"/>
        <item x="44"/>
        <item x="92"/>
        <item x="30"/>
        <item x="96"/>
        <item x="106"/>
        <item x="4"/>
        <item x="38"/>
        <item x="19"/>
        <item x="17"/>
        <item x="6"/>
        <item x="72"/>
        <item x="10"/>
        <item x="45"/>
        <item x="78"/>
        <item x="47"/>
        <item x="34"/>
        <item x="24"/>
        <item x="20"/>
        <item x="89"/>
        <item x="0"/>
        <item x="64"/>
        <item x="81"/>
        <item x="104"/>
        <item x="9"/>
        <item x="66"/>
        <item x="36"/>
        <item x="28"/>
        <item x="75"/>
        <item x="2"/>
        <item x="71"/>
        <item x="1"/>
        <item x="7"/>
        <item x="48"/>
        <item x="87"/>
        <item x="74"/>
        <item x="22"/>
        <item x="51"/>
        <item x="23"/>
        <item x="107"/>
        <item x="65"/>
        <item x="84"/>
        <item x="69"/>
        <item x="86"/>
        <item x="40"/>
        <item x="88"/>
        <item x="18"/>
        <item x="62"/>
        <item x="73"/>
        <item x="77"/>
        <item x="63"/>
        <item x="76"/>
        <item x="55"/>
        <item x="67"/>
        <item x="37"/>
        <item t="default" sd="0"/>
      </items>
    </pivotField>
    <pivotField name="Total Line Item $" axis="axisValues" dataField="1" compact="0" outline="0" showAll="0"/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11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11"/>
    </i>
    <i>
      <x v="109"/>
    </i>
    <i>
      <x v="110"/>
    </i>
    <i t="grand">
      <x/>
    </i>
  </rowItems>
  <colItems count="1">
    <i/>
  </colItems>
  <dataFields count="1">
    <dataField name="Sum of Total Line Item $" fld="4" numFmtId="60"/>
  </dataFields>
  <pivotTableStyleInfo name="PivotStyleCustom37" showRowHeaders="1" showColHeaders="1" showRowStripes="1" showColStripes="0" showLastColumn="1"/>
</pivotTableDefinition>
</file>

<file path=xl/pivotTables/pivotTable38.xml><?xml version="1.0" encoding="utf-8"?>
<pivotTableDefinition xmlns="http://schemas.openxmlformats.org/spreadsheetml/2006/main" name="August 2023 Sales by Customer" cacheId="37" dataPosition="0" autoFormatId="0" applyNumberFormats="0" applyBorderFormats="0" applyFontFormats="0" applyPatternFormats="0" applyAlignmentFormats="0" applyWidthHeightFormats="1" dataCaption="" missingCaption="" pivotTableStyle="PivotStyleCustom38" updatedVersion="7" useAutoFormatting="1" createdVersion="7" indent="0" showEmptyCol="1" showEmptyRow="1" compact="0" compactData="0" multipleFieldFilters="0">
  <location ref="I487:O652" firstHeaderRow="1" firstDataRow="2" firstDataCol="4"/>
  <pivotFields count="8">
    <pivotField name="Sales Order" axis="axisRow" compact="0" numFmtId="49" outline="0" showAll="0" sortType="ascending">
      <items count="190">
        <item sd="0" x="181"/>
        <item sd="0" x="185"/>
        <item sd="0" x="180"/>
        <item sd="0" x="188"/>
        <item sd="0" x="187"/>
        <item sd="0" x="186"/>
        <item sd="0" x="184"/>
        <item sd="0" x="183"/>
        <item sd="0" x="175"/>
        <item sd="0" x="178"/>
        <item sd="0" x="176"/>
        <item sd="0" x="179"/>
        <item sd="0" x="174"/>
        <item sd="0" x="173"/>
        <item sd="0" x="172"/>
        <item sd="0" x="177"/>
        <item sd="0" x="171"/>
        <item sd="0" x="170"/>
        <item sd="0" x="169"/>
        <item sd="0" x="168"/>
        <item sd="0" x="166"/>
        <item sd="0" x="167"/>
        <item sd="0" x="165"/>
        <item sd="0" x="164"/>
        <item sd="0" x="163"/>
        <item sd="0" x="162"/>
        <item sd="0" x="161"/>
        <item sd="0" x="160"/>
        <item sd="0" x="155"/>
        <item sd="0" x="154"/>
        <item sd="0" x="153"/>
        <item sd="0" x="156"/>
        <item sd="0" x="152"/>
        <item sd="0" x="151"/>
        <item sd="0" x="158"/>
        <item sd="0" x="159"/>
        <item sd="0" x="150"/>
        <item sd="0" x="157"/>
        <item sd="0" x="147"/>
        <item sd="0" x="146"/>
        <item sd="0" x="145"/>
        <item sd="0" x="144"/>
        <item sd="0" x="149"/>
        <item sd="0" x="148"/>
        <item sd="0" x="143"/>
        <item sd="0" x="142"/>
        <item sd="0" x="141"/>
        <item sd="0" x="140"/>
        <item sd="0" x="136"/>
        <item sd="0" x="138"/>
        <item sd="0" x="135"/>
        <item sd="0" x="139"/>
        <item sd="0" x="137"/>
        <item sd="0" x="134"/>
        <item sd="0" x="133"/>
        <item sd="0" x="132"/>
        <item sd="0" x="131"/>
        <item sd="0" x="130"/>
        <item sd="0" x="129"/>
        <item sd="0" x="128"/>
        <item sd="0" x="127"/>
        <item sd="0" x="126"/>
        <item sd="0" x="125"/>
        <item sd="0" x="115"/>
        <item sd="0" x="114"/>
        <item sd="0" x="113"/>
        <item sd="0" x="116"/>
        <item sd="0" x="119"/>
        <item sd="0" x="112"/>
        <item sd="0" x="111"/>
        <item sd="0" x="110"/>
        <item sd="0" x="118"/>
        <item sd="0" x="117"/>
        <item sd="0" x="123"/>
        <item sd="0" x="109"/>
        <item sd="0" x="121"/>
        <item sd="0" x="122"/>
        <item sd="0" x="120"/>
        <item sd="0" x="106"/>
        <item sd="0" x="105"/>
        <item sd="0" x="103"/>
        <item sd="0" x="102"/>
        <item sd="0" x="107"/>
        <item sd="0" x="108"/>
        <item sd="0" x="98"/>
        <item sd="0" x="97"/>
        <item sd="0" x="96"/>
        <item sd="0" x="95"/>
        <item sd="0" x="94"/>
        <item sd="0" x="93"/>
        <item sd="0" x="92"/>
        <item sd="0" x="91"/>
        <item sd="0" x="101"/>
        <item sd="0" x="99"/>
        <item sd="0" x="100"/>
        <item sd="0" x="87"/>
        <item sd="0" x="86"/>
        <item sd="0" x="85"/>
        <item sd="0" x="84"/>
        <item sd="0" x="83"/>
        <item sd="0" x="82"/>
        <item sd="0" x="81"/>
        <item sd="0" x="88"/>
        <item sd="0" x="90"/>
        <item sd="0" x="89"/>
        <item sd="0" x="78"/>
        <item sd="0" x="77"/>
        <item sd="0" x="79"/>
        <item sd="0" x="76"/>
        <item sd="0" x="75"/>
        <item sd="0" x="80"/>
        <item sd="0" x="74"/>
        <item sd="0" x="73"/>
        <item sd="0" x="72"/>
        <item sd="0" x="71"/>
        <item sd="0" x="70"/>
        <item sd="0" x="68"/>
        <item sd="0" x="67"/>
        <item sd="0" x="66"/>
        <item sd="0" x="69"/>
        <item sd="0" x="63"/>
        <item sd="0" x="62"/>
        <item sd="0" x="61"/>
        <item sd="0" x="60"/>
        <item sd="0" x="65"/>
        <item sd="0" x="59"/>
        <item sd="0" x="58"/>
        <item sd="0" x="57"/>
        <item sd="0" x="56"/>
        <item sd="0" x="64"/>
        <item sd="0" x="52"/>
        <item sd="0" x="51"/>
        <item sd="0" x="50"/>
        <item sd="0" x="49"/>
        <item sd="0" x="54"/>
        <item sd="0" x="48"/>
        <item sd="0" x="47"/>
        <item sd="0" x="53"/>
        <item sd="0" x="46"/>
        <item sd="0" x="44"/>
        <item sd="0" x="43"/>
        <item sd="0" x="42"/>
        <item sd="0" x="45"/>
        <item sd="0" x="41"/>
        <item sd="0" x="40"/>
        <item sd="0" x="38"/>
        <item sd="0" x="37"/>
        <item sd="0" x="36"/>
        <item sd="0" x="39"/>
        <item sd="0" x="35"/>
        <item sd="0" x="34"/>
        <item sd="0" x="32"/>
        <item sd="0" x="31"/>
        <item sd="0" x="30"/>
        <item sd="0" x="29"/>
        <item sd="0" x="182"/>
        <item sd="0" x="28"/>
        <item sd="0" x="27"/>
        <item sd="0" x="33"/>
        <item sd="0" x="26"/>
        <item sd="0" x="21"/>
        <item sd="0" x="23"/>
        <item sd="0" x="24"/>
        <item sd="0" x="20"/>
        <item sd="0" x="19"/>
        <item sd="0" x="25"/>
        <item sd="0" x="22"/>
        <item sd="0" x="18"/>
        <item sd="0" x="17"/>
        <item sd="0" x="16"/>
        <item sd="0" x="15"/>
        <item sd="0" x="14"/>
        <item sd="0" x="13"/>
        <item sd="0" x="12"/>
        <item sd="0" x="11"/>
        <item sd="0" x="10"/>
        <item sd="0" x="9"/>
        <item sd="0" x="7"/>
        <item sd="0" x="6"/>
        <item sd="0" x="5"/>
        <item sd="0" x="4"/>
        <item sd="0" x="3"/>
        <item sd="0" x="2"/>
        <item sd="0" x="8"/>
        <item sd="0" x="1"/>
        <item sd="0" x="0"/>
        <item sd="0" x="104"/>
        <item sd="0" x="55"/>
        <item sd="0" x="124"/>
        <item t="default" sd="0"/>
      </items>
    </pivotField>
    <pivotField name="Customer" axis="axisRow" compact="0" numFmtId="49" outline="0" showAll="0" sortType="ascending">
      <items count="164">
        <item sd="0" x="75"/>
        <item sd="0" x="8"/>
        <item sd="0" x="136"/>
        <item sd="0" x="103"/>
        <item sd="0" x="156"/>
        <item sd="0" x="87"/>
        <item sd="0" x="36"/>
        <item sd="0" x="79"/>
        <item sd="0" x="93"/>
        <item sd="0" x="58"/>
        <item sd="0" x="128"/>
        <item sd="0" x="95"/>
        <item sd="0" x="102"/>
        <item sd="0" x="152"/>
        <item sd="0" x="64"/>
        <item sd="0" x="158"/>
        <item sd="0" x="21"/>
        <item sd="0" x="149"/>
        <item sd="0" x="89"/>
        <item sd="0" x="113"/>
        <item sd="0" x="145"/>
        <item sd="0" x="60"/>
        <item sd="0" x="117"/>
        <item sd="0" x="3"/>
        <item sd="0" x="151"/>
        <item sd="0" x="2"/>
        <item sd="0" x="86"/>
        <item sd="0" x="143"/>
        <item sd="0" x="162"/>
        <item sd="0" x="97"/>
        <item sd="0" x="54"/>
        <item sd="0" x="127"/>
        <item sd="0" x="159"/>
        <item sd="0" x="19"/>
        <item sd="0" x="38"/>
        <item sd="0" x="157"/>
        <item sd="0" x="78"/>
        <item sd="0" x="31"/>
        <item sd="0" x="13"/>
        <item sd="0" x="118"/>
        <item sd="0" x="135"/>
        <item sd="0" x="123"/>
        <item sd="0" x="108"/>
        <item sd="0" x="99"/>
        <item sd="0" x="109"/>
        <item sd="0" x="32"/>
        <item sd="0" x="12"/>
        <item sd="0" x="77"/>
        <item sd="0" x="111"/>
        <item sd="0" x="116"/>
        <item sd="0" x="137"/>
        <item sd="0" x="134"/>
        <item sd="0" x="101"/>
        <item sd="0" x="41"/>
        <item sd="0" x="27"/>
        <item sd="0" x="107"/>
        <item sd="0" x="130"/>
        <item sd="0" x="84"/>
        <item sd="0" x="61"/>
        <item sd="0" x="81"/>
        <item sd="0" x="120"/>
        <item sd="0" x="146"/>
        <item sd="0" x="25"/>
        <item sd="0" x="161"/>
        <item sd="0" x="43"/>
        <item sd="0" x="83"/>
        <item sd="0" x="160"/>
        <item sd="0" x="46"/>
        <item sd="0" x="112"/>
        <item sd="0" x="106"/>
        <item sd="0" x="141"/>
        <item sd="0" x="9"/>
        <item sd="0" x="7"/>
        <item sd="0" x="74"/>
        <item sd="0" x="121"/>
        <item sd="0" x="67"/>
        <item sd="0" x="63"/>
        <item sd="0" x="57"/>
        <item sd="0" x="114"/>
        <item sd="0" x="24"/>
        <item sd="0" x="16"/>
        <item sd="0" x="115"/>
        <item sd="0" x="39"/>
        <item sd="0" x="131"/>
        <item sd="0" x="50"/>
        <item sd="0" x="23"/>
        <item sd="0" x="155"/>
        <item sd="0" x="133"/>
        <item sd="0" x="138"/>
        <item sd="0" x="48"/>
        <item sd="0" x="29"/>
        <item sd="0" x="139"/>
        <item sd="0" x="35"/>
        <item sd="0" x="105"/>
        <item sd="0" x="69"/>
        <item sd="0" x="15"/>
        <item sd="0" x="92"/>
        <item sd="0" x="18"/>
        <item sd="0" x="122"/>
        <item sd="0" x="144"/>
        <item sd="0" x="66"/>
        <item sd="0" x="72"/>
        <item sd="0" x="45"/>
        <item sd="0" x="33"/>
        <item sd="0" x="17"/>
        <item sd="0" x="40"/>
        <item sd="0" x="110"/>
        <item sd="0" x="88"/>
        <item sd="0" x="28"/>
        <item sd="0" x="65"/>
        <item sd="0" x="91"/>
        <item sd="0" x="73"/>
        <item sd="0" x="126"/>
        <item sd="0" x="154"/>
        <item sd="0" x="119"/>
        <item sd="0" x="125"/>
        <item sd="0" x="76"/>
        <item sd="0" x="42"/>
        <item sd="0" x="100"/>
        <item sd="0" x="104"/>
        <item sd="0" x="70"/>
        <item sd="0" x="0"/>
        <item sd="0" x="85"/>
        <item sd="0" x="68"/>
        <item sd="0" x="142"/>
        <item sd="0" x="124"/>
        <item sd="0" x="22"/>
        <item sd="0" x="94"/>
        <item sd="0" x="56"/>
        <item sd="0" x="132"/>
        <item sd="0" x="153"/>
        <item sd="0" x="20"/>
        <item sd="0" x="5"/>
        <item sd="0" x="44"/>
        <item sd="0" x="14"/>
        <item sd="0" x="6"/>
        <item sd="0" x="53"/>
        <item sd="0" x="140"/>
        <item sd="0" x="98"/>
        <item sd="0" x="96"/>
        <item sd="0" x="147"/>
        <item sd="0" x="34"/>
        <item sd="0" x="62"/>
        <item sd="0" x="11"/>
        <item sd="0" x="71"/>
        <item sd="0" x="51"/>
        <item sd="0" x="82"/>
        <item sd="0" x="49"/>
        <item sd="0" x="47"/>
        <item sd="0" x="129"/>
        <item sd="0" x="26"/>
        <item sd="0" x="37"/>
        <item sd="0" x="4"/>
        <item sd="0" x="30"/>
        <item sd="0" x="52"/>
        <item sd="0" x="59"/>
        <item sd="0" x="80"/>
        <item sd="0" x="150"/>
        <item sd="0" x="10"/>
        <item sd="0" x="148"/>
        <item sd="0" x="90"/>
        <item sd="0" x="1"/>
        <item sd="0" x="55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2">
        <item x="60"/>
        <item x="63"/>
        <item x="41"/>
        <item x="59"/>
        <item x="96"/>
        <item x="97"/>
        <item x="91"/>
        <item x="67"/>
        <item x="14"/>
        <item x="77"/>
        <item x="4"/>
        <item x="7"/>
        <item x="94"/>
        <item x="44"/>
        <item x="93"/>
        <item x="25"/>
        <item x="1"/>
        <item x="19"/>
        <item x="57"/>
        <item x="100"/>
        <item x="13"/>
        <item x="88"/>
        <item x="50"/>
        <item x="20"/>
        <item x="27"/>
        <item x="70"/>
        <item x="69"/>
        <item x="85"/>
        <item x="3"/>
        <item x="36"/>
        <item x="78"/>
        <item x="21"/>
        <item x="62"/>
        <item x="68"/>
        <item x="29"/>
        <item x="23"/>
        <item x="35"/>
        <item x="84"/>
        <item x="79"/>
        <item x="5"/>
        <item x="16"/>
        <item x="22"/>
        <item x="17"/>
        <item x="80"/>
        <item x="32"/>
        <item x="38"/>
        <item x="26"/>
        <item x="81"/>
        <item x="0"/>
        <item x="33"/>
        <item x="76"/>
        <item x="12"/>
        <item x="51"/>
        <item x="71"/>
        <item x="58"/>
        <item x="43"/>
        <item x="75"/>
        <item x="15"/>
        <item x="90"/>
        <item x="54"/>
        <item x="8"/>
        <item x="37"/>
        <item x="31"/>
        <item x="30"/>
        <item x="73"/>
        <item x="45"/>
        <item x="86"/>
        <item x="11"/>
        <item x="24"/>
        <item x="10"/>
        <item x="53"/>
        <item x="92"/>
        <item x="40"/>
        <item x="61"/>
        <item x="52"/>
        <item x="9"/>
        <item x="2"/>
        <item x="87"/>
        <item x="6"/>
        <item x="95"/>
        <item x="28"/>
        <item x="89"/>
        <item x="74"/>
        <item x="65"/>
        <item x="46"/>
        <item x="42"/>
        <item x="99"/>
        <item x="66"/>
        <item x="64"/>
        <item x="39"/>
        <item x="72"/>
        <item x="83"/>
        <item x="18"/>
        <item x="47"/>
        <item x="49"/>
        <item x="48"/>
        <item x="82"/>
        <item x="34"/>
        <item x="98"/>
        <item x="55"/>
        <item x="56"/>
        <item t="default" sd="0"/>
      </items>
    </pivotField>
    <pivotField name="Line Item Description" compact="0" outline="0" showAll="0">
      <items count="105">
        <item x="48"/>
        <item x="39"/>
        <item x="90"/>
        <item x="37"/>
        <item x="56"/>
        <item x="99"/>
        <item x="92"/>
        <item x="100"/>
        <item x="14"/>
        <item x="76"/>
        <item x="66"/>
        <item x="94"/>
        <item x="15"/>
        <item x="4"/>
        <item x="91"/>
        <item x="44"/>
        <item x="75"/>
        <item x="42"/>
        <item x="57"/>
        <item x="7"/>
        <item x="86"/>
        <item x="84"/>
        <item x="0"/>
        <item x="32"/>
        <item x="19"/>
        <item x="13"/>
        <item x="87"/>
        <item x="6"/>
        <item x="21"/>
        <item x="60"/>
        <item x="29"/>
        <item x="23"/>
        <item x="33"/>
        <item x="78"/>
        <item x="5"/>
        <item x="93"/>
        <item x="16"/>
        <item x="22"/>
        <item x="77"/>
        <item x="17"/>
        <item x="79"/>
        <item x="31"/>
        <item x="36"/>
        <item x="26"/>
        <item x="80"/>
        <item x="96"/>
        <item x="1"/>
        <item x="63"/>
        <item x="85"/>
        <item x="3"/>
        <item x="34"/>
        <item x="68"/>
        <item x="89"/>
        <item x="70"/>
        <item x="8"/>
        <item x="72"/>
        <item x="30"/>
        <item x="35"/>
        <item x="51"/>
        <item x="41"/>
        <item x="12"/>
        <item x="55"/>
        <item x="97"/>
        <item x="101"/>
        <item x="53"/>
        <item x="54"/>
        <item x="82"/>
        <item x="102"/>
        <item x="46"/>
        <item x="74"/>
        <item x="43"/>
        <item x="64"/>
        <item x="65"/>
        <item x="62"/>
        <item x="11"/>
        <item x="45"/>
        <item x="59"/>
        <item x="10"/>
        <item x="50"/>
        <item x="95"/>
        <item x="71"/>
        <item x="61"/>
        <item x="69"/>
        <item x="38"/>
        <item x="58"/>
        <item x="103"/>
        <item x="27"/>
        <item x="47"/>
        <item x="49"/>
        <item x="9"/>
        <item x="88"/>
        <item x="98"/>
        <item x="81"/>
        <item x="28"/>
        <item x="2"/>
        <item x="18"/>
        <item x="24"/>
        <item x="20"/>
        <item x="67"/>
        <item x="52"/>
        <item x="25"/>
        <item x="40"/>
        <item x="73"/>
        <item x="83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64">
    <i>
      <x/>
    </i>
    <i>
      <x v="2"/>
    </i>
    <i>
      <x v="3"/>
    </i>
    <i>
      <x v="4"/>
    </i>
    <i>
      <x v="1"/>
    </i>
    <i>
      <x v="5"/>
    </i>
    <i>
      <x v="6"/>
    </i>
    <i>
      <x v="7"/>
    </i>
    <i>
      <x v="15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31"/>
    </i>
    <i>
      <x v="32"/>
    </i>
    <i>
      <x v="157"/>
    </i>
    <i>
      <x v="158"/>
    </i>
    <i>
      <x v="45"/>
    </i>
    <i>
      <x v="46"/>
    </i>
    <i>
      <x v="47"/>
    </i>
    <i>
      <x v="48"/>
    </i>
    <i>
      <x v="43"/>
    </i>
    <i>
      <x v="49"/>
    </i>
    <i>
      <x v="44"/>
    </i>
    <i>
      <x v="159"/>
    </i>
    <i>
      <x v="50"/>
    </i>
    <i>
      <x v="51"/>
    </i>
    <i>
      <x v="52"/>
    </i>
    <i>
      <x v="53"/>
    </i>
    <i>
      <x v="160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16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8"/>
    </i>
    <i>
      <x v="87"/>
    </i>
    <i>
      <x v="89"/>
    </i>
    <i>
      <x v="92"/>
    </i>
    <i>
      <x v="93"/>
    </i>
    <i>
      <x v="94"/>
    </i>
    <i>
      <x v="90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91"/>
    </i>
    <i>
      <x v="104"/>
    </i>
    <i>
      <x v="105"/>
    </i>
    <i>
      <x v="106"/>
    </i>
    <i>
      <x v="107"/>
    </i>
    <i>
      <x v="108"/>
    </i>
    <i>
      <x v="162"/>
    </i>
    <i>
      <x v="109"/>
    </i>
    <i>
      <x v="110"/>
    </i>
    <i>
      <x v="111"/>
    </i>
    <i>
      <x v="112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13"/>
    </i>
    <i>
      <x v="114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29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38" showRowHeaders="1" showColHeaders="1" showRowStripes="1" showColStripes="0" showLastColumn="1"/>
</pivotTableDefinition>
</file>

<file path=xl/pivotTables/pivotTable39.xml><?xml version="1.0" encoding="utf-8"?>
<pivotTableDefinition xmlns="http://schemas.openxmlformats.org/spreadsheetml/2006/main" name="August 2023 Sales by SKU (Quantity)" cacheId="38" dataPosition="0" autoFormatId="0" applyNumberFormats="0" applyBorderFormats="0" applyFontFormats="0" applyPatternFormats="0" applyAlignmentFormats="0" applyWidthHeightFormats="1" dataCaption="" missingCaption="" pivotTableStyle="PivotStyleCustom39" updatedVersion="7" useAutoFormatting="1" createdVersion="7" indent="0" showEmptyCol="1" showEmptyRow="1" compact="0" compactData="0" multipleFieldFilters="0">
  <location ref="P655:Q757" firstHeaderRow="1" firstDataRow="1" firstDataCol="1"/>
  <pivotFields count="3">
    <pivotField name="Line Item Name" axis="axisRow" compact="0" numFmtId="49" outline="0" showAll="0" sortType="ascending">
      <items count="102">
        <item x="60"/>
        <item x="63"/>
        <item x="41"/>
        <item x="59"/>
        <item x="96"/>
        <item x="97"/>
        <item x="91"/>
        <item x="67"/>
        <item x="14"/>
        <item x="77"/>
        <item x="4"/>
        <item x="7"/>
        <item x="94"/>
        <item x="44"/>
        <item x="93"/>
        <item x="25"/>
        <item x="1"/>
        <item x="19"/>
        <item x="57"/>
        <item x="100"/>
        <item x="13"/>
        <item x="88"/>
        <item x="50"/>
        <item x="20"/>
        <item x="27"/>
        <item x="70"/>
        <item x="69"/>
        <item x="85"/>
        <item x="3"/>
        <item x="36"/>
        <item x="78"/>
        <item x="21"/>
        <item x="62"/>
        <item x="68"/>
        <item x="29"/>
        <item x="23"/>
        <item x="35"/>
        <item x="84"/>
        <item x="79"/>
        <item x="5"/>
        <item x="16"/>
        <item x="22"/>
        <item x="17"/>
        <item x="80"/>
        <item x="32"/>
        <item x="38"/>
        <item x="26"/>
        <item x="81"/>
        <item x="0"/>
        <item x="33"/>
        <item x="76"/>
        <item x="12"/>
        <item x="51"/>
        <item x="71"/>
        <item x="58"/>
        <item x="43"/>
        <item x="75"/>
        <item x="15"/>
        <item x="90"/>
        <item x="54"/>
        <item x="8"/>
        <item x="37"/>
        <item x="31"/>
        <item x="30"/>
        <item x="73"/>
        <item x="45"/>
        <item x="86"/>
        <item x="11"/>
        <item x="24"/>
        <item x="10"/>
        <item x="53"/>
        <item x="92"/>
        <item x="40"/>
        <item x="61"/>
        <item x="52"/>
        <item x="9"/>
        <item x="2"/>
        <item x="87"/>
        <item x="6"/>
        <item x="95"/>
        <item x="28"/>
        <item x="89"/>
        <item x="74"/>
        <item x="65"/>
        <item x="46"/>
        <item x="42"/>
        <item x="99"/>
        <item x="66"/>
        <item x="64"/>
        <item x="39"/>
        <item x="72"/>
        <item x="83"/>
        <item x="18"/>
        <item x="47"/>
        <item x="49"/>
        <item x="48"/>
        <item x="82"/>
        <item x="34"/>
        <item x="98"/>
        <item x="55"/>
        <item x="56"/>
        <item t="default" sd="0"/>
      </items>
    </pivotField>
    <pivotField name="Line Item Description" compact="0" outline="0" showAll="0">
      <items count="105">
        <item x="48"/>
        <item x="39"/>
        <item x="90"/>
        <item x="37"/>
        <item x="56"/>
        <item x="99"/>
        <item x="92"/>
        <item x="100"/>
        <item x="14"/>
        <item x="76"/>
        <item x="66"/>
        <item x="94"/>
        <item x="15"/>
        <item x="4"/>
        <item x="91"/>
        <item x="44"/>
        <item x="75"/>
        <item x="42"/>
        <item x="57"/>
        <item x="7"/>
        <item x="86"/>
        <item x="84"/>
        <item x="0"/>
        <item x="32"/>
        <item x="19"/>
        <item x="13"/>
        <item x="87"/>
        <item x="6"/>
        <item x="21"/>
        <item x="60"/>
        <item x="29"/>
        <item x="23"/>
        <item x="33"/>
        <item x="78"/>
        <item x="5"/>
        <item x="93"/>
        <item x="16"/>
        <item x="22"/>
        <item x="77"/>
        <item x="17"/>
        <item x="79"/>
        <item x="31"/>
        <item x="36"/>
        <item x="26"/>
        <item x="80"/>
        <item x="96"/>
        <item x="1"/>
        <item x="63"/>
        <item x="85"/>
        <item x="3"/>
        <item x="34"/>
        <item x="68"/>
        <item x="89"/>
        <item x="70"/>
        <item x="8"/>
        <item x="72"/>
        <item x="30"/>
        <item x="35"/>
        <item x="51"/>
        <item x="41"/>
        <item x="12"/>
        <item x="55"/>
        <item x="97"/>
        <item x="101"/>
        <item x="53"/>
        <item x="54"/>
        <item x="82"/>
        <item x="102"/>
        <item x="46"/>
        <item x="74"/>
        <item x="43"/>
        <item x="64"/>
        <item x="65"/>
        <item x="62"/>
        <item x="11"/>
        <item x="45"/>
        <item x="59"/>
        <item x="10"/>
        <item x="50"/>
        <item x="95"/>
        <item x="71"/>
        <item x="61"/>
        <item x="69"/>
        <item x="38"/>
        <item x="58"/>
        <item x="103"/>
        <item x="27"/>
        <item x="47"/>
        <item x="49"/>
        <item x="9"/>
        <item x="88"/>
        <item x="98"/>
        <item x="81"/>
        <item x="28"/>
        <item x="2"/>
        <item x="18"/>
        <item x="24"/>
        <item x="20"/>
        <item x="67"/>
        <item x="52"/>
        <item x="25"/>
        <item x="40"/>
        <item x="73"/>
        <item x="83"/>
        <item t="default" sd="0"/>
      </items>
    </pivotField>
    <pivotField name="Order Quantity" axis="axisValues" dataField="1" compact="0" outline="0" showAll="0"/>
  </pivotFields>
  <rowFields count="1">
    <field x="0"/>
  </rowFields>
  <rowItems count="102">
    <i>
      <x v="79"/>
    </i>
    <i>
      <x v="77"/>
    </i>
    <i>
      <x v="78"/>
    </i>
    <i>
      <x v="67"/>
    </i>
    <i>
      <x v="5"/>
    </i>
    <i>
      <x v="12"/>
    </i>
    <i>
      <x v="16"/>
    </i>
    <i>
      <x v="39"/>
    </i>
    <i>
      <x v="11"/>
    </i>
    <i>
      <x v="95"/>
    </i>
    <i>
      <x v="50"/>
    </i>
    <i>
      <x v="15"/>
    </i>
    <i>
      <x v="20"/>
    </i>
    <i>
      <x v="1"/>
    </i>
    <i>
      <x v="83"/>
    </i>
    <i>
      <x v="88"/>
    </i>
    <i>
      <x v="4"/>
    </i>
    <i>
      <x v="69"/>
    </i>
    <i>
      <x v="17"/>
    </i>
    <i>
      <x v="46"/>
    </i>
    <i>
      <x v="76"/>
    </i>
    <i>
      <x v="70"/>
    </i>
    <i>
      <x v="51"/>
    </i>
    <i>
      <x v="48"/>
    </i>
    <i>
      <x v="53"/>
    </i>
    <i>
      <x v="92"/>
    </i>
    <i>
      <x v="7"/>
    </i>
    <i>
      <x v="87"/>
    </i>
    <i>
      <x v="29"/>
    </i>
    <i>
      <x v="30"/>
    </i>
    <i>
      <x v="55"/>
    </i>
    <i>
      <x v="63"/>
    </i>
    <i>
      <x v="6"/>
    </i>
    <i>
      <x v="49"/>
    </i>
    <i>
      <x v="94"/>
    </i>
    <i>
      <x v="10"/>
    </i>
    <i>
      <x v="35"/>
    </i>
    <i>
      <x v="28"/>
    </i>
    <i>
      <x v="22"/>
    </i>
    <i>
      <x v="62"/>
    </i>
    <i>
      <x v="66"/>
    </i>
    <i>
      <x v="23"/>
    </i>
    <i>
      <x v="60"/>
    </i>
    <i>
      <x v="31"/>
    </i>
    <i>
      <x v="40"/>
    </i>
    <i>
      <x v="45"/>
    </i>
    <i>
      <x v="65"/>
    </i>
    <i>
      <x v="80"/>
    </i>
    <i>
      <x v="61"/>
    </i>
    <i>
      <x v="85"/>
    </i>
    <i>
      <x v="9"/>
    </i>
    <i>
      <x v="38"/>
    </i>
    <i>
      <x v="41"/>
    </i>
    <i>
      <x v="72"/>
    </i>
    <i>
      <x v="74"/>
    </i>
    <i>
      <x v="93"/>
    </i>
    <i>
      <x v="52"/>
    </i>
    <i>
      <x v="75"/>
    </i>
    <i>
      <x v="13"/>
    </i>
    <i>
      <x v="14"/>
    </i>
    <i>
      <x v="56"/>
    </i>
    <i>
      <x v="57"/>
    </i>
    <i>
      <x v="71"/>
    </i>
    <i>
      <x v="2"/>
    </i>
    <i>
      <x v="21"/>
    </i>
    <i>
      <x v="24"/>
    </i>
    <i>
      <x v="34"/>
    </i>
    <i>
      <x v="37"/>
    </i>
    <i>
      <x v="43"/>
    </i>
    <i>
      <x v="47"/>
    </i>
    <i>
      <x v="44"/>
    </i>
    <i>
      <x v="54"/>
    </i>
    <i>
      <x v="90"/>
    </i>
    <i>
      <x v="91"/>
    </i>
    <i>
      <x v="97"/>
    </i>
    <i>
      <x/>
    </i>
    <i>
      <x v="3"/>
    </i>
    <i>
      <x v="18"/>
    </i>
    <i>
      <x v="32"/>
    </i>
    <i>
      <x v="33"/>
    </i>
    <i>
      <x v="36"/>
    </i>
    <i>
      <x v="42"/>
    </i>
    <i>
      <x v="58"/>
    </i>
    <i>
      <x v="59"/>
    </i>
    <i>
      <x v="73"/>
    </i>
    <i>
      <x v="89"/>
    </i>
    <i>
      <x v="98"/>
    </i>
    <i>
      <x v="99"/>
    </i>
    <i>
      <x v="100"/>
    </i>
    <i>
      <x v="8"/>
    </i>
    <i>
      <x v="19"/>
    </i>
    <i>
      <x v="25"/>
    </i>
    <i>
      <x v="26"/>
    </i>
    <i>
      <x v="27"/>
    </i>
    <i>
      <x v="64"/>
    </i>
    <i>
      <x v="68"/>
    </i>
    <i>
      <x v="82"/>
    </i>
    <i>
      <x v="81"/>
    </i>
    <i>
      <x v="84"/>
    </i>
    <i>
      <x v="86"/>
    </i>
    <i>
      <x v="96"/>
    </i>
    <i t="grand">
      <x/>
    </i>
  </rowItems>
  <colItems count="1">
    <i/>
  </colItems>
  <dataFields count="1">
    <dataField name="Sum of Order Quantity" fld="2"/>
  </dataFields>
  <pivotTableStyleInfo name="PivotStyleCustom39" showRowHeaders="1" showColHeaders="1" showRowStripes="1" showColStripes="0" showLastColumn="1"/>
</pivotTableDefinition>
</file>

<file path=xl/pivotTables/pivotTable40.xml><?xml version="1.0" encoding="utf-8"?>
<pivotTableDefinition xmlns="http://schemas.openxmlformats.org/spreadsheetml/2006/main" name="August 2023 Sales by SKU$" cacheId="39" dataPosition="0" autoFormatId="0" applyNumberFormats="0" applyBorderFormats="0" applyFontFormats="0" applyPatternFormats="0" applyAlignmentFormats="0" applyWidthHeightFormats="1" dataCaption="" missingCaption="" pivotTableStyle="PivotStyleCustom40" updatedVersion="7" useAutoFormatting="1" createdVersion="7" indent="0" showEmptyCol="1" showEmptyRow="1" compact="0" compactData="0" multipleFieldFilters="0">
  <location ref="R760:S862" firstHeaderRow="1" firstDataRow="1" firstDataCol="1"/>
  <pivotFields count="5">
    <pivotField name="Line Item Name" axis="axisRow" compact="0" numFmtId="49" outline="0" showAll="0" sortType="ascending">
      <items count="102">
        <item x="60"/>
        <item x="63"/>
        <item x="41"/>
        <item x="59"/>
        <item x="96"/>
        <item x="97"/>
        <item x="91"/>
        <item x="67"/>
        <item x="14"/>
        <item x="77"/>
        <item x="4"/>
        <item x="7"/>
        <item x="94"/>
        <item x="44"/>
        <item x="93"/>
        <item x="25"/>
        <item x="1"/>
        <item x="19"/>
        <item x="57"/>
        <item x="100"/>
        <item x="13"/>
        <item x="88"/>
        <item x="50"/>
        <item x="20"/>
        <item x="27"/>
        <item x="70"/>
        <item x="69"/>
        <item x="85"/>
        <item x="3"/>
        <item x="36"/>
        <item x="78"/>
        <item x="21"/>
        <item x="62"/>
        <item x="68"/>
        <item x="29"/>
        <item x="23"/>
        <item x="35"/>
        <item x="84"/>
        <item x="79"/>
        <item x="5"/>
        <item x="16"/>
        <item x="22"/>
        <item x="17"/>
        <item x="80"/>
        <item x="32"/>
        <item x="38"/>
        <item x="26"/>
        <item x="81"/>
        <item x="0"/>
        <item x="33"/>
        <item x="76"/>
        <item x="12"/>
        <item x="51"/>
        <item x="71"/>
        <item x="58"/>
        <item x="43"/>
        <item x="75"/>
        <item x="15"/>
        <item x="90"/>
        <item x="54"/>
        <item x="8"/>
        <item x="37"/>
        <item x="31"/>
        <item x="30"/>
        <item x="73"/>
        <item x="45"/>
        <item x="86"/>
        <item x="11"/>
        <item x="24"/>
        <item x="10"/>
        <item x="53"/>
        <item x="92"/>
        <item x="40"/>
        <item x="61"/>
        <item x="52"/>
        <item x="9"/>
        <item x="2"/>
        <item x="87"/>
        <item x="6"/>
        <item x="95"/>
        <item x="28"/>
        <item x="89"/>
        <item x="74"/>
        <item x="65"/>
        <item x="46"/>
        <item x="42"/>
        <item x="99"/>
        <item x="66"/>
        <item x="64"/>
        <item x="39"/>
        <item x="72"/>
        <item x="83"/>
        <item x="18"/>
        <item x="47"/>
        <item x="49"/>
        <item x="48"/>
        <item x="82"/>
        <item x="34"/>
        <item x="98"/>
        <item x="55"/>
        <item x="56"/>
        <item t="default" sd="0"/>
      </items>
    </pivotField>
    <pivotField name="Line Item Description" compact="0" outline="0" showAll="0">
      <items count="105">
        <item x="48"/>
        <item x="39"/>
        <item x="90"/>
        <item x="37"/>
        <item x="56"/>
        <item x="99"/>
        <item x="92"/>
        <item x="100"/>
        <item x="14"/>
        <item x="76"/>
        <item x="66"/>
        <item x="94"/>
        <item x="15"/>
        <item x="4"/>
        <item x="91"/>
        <item x="44"/>
        <item x="75"/>
        <item x="42"/>
        <item x="57"/>
        <item x="7"/>
        <item x="86"/>
        <item x="84"/>
        <item x="0"/>
        <item x="32"/>
        <item x="19"/>
        <item x="13"/>
        <item x="87"/>
        <item x="6"/>
        <item x="21"/>
        <item x="60"/>
        <item x="29"/>
        <item x="23"/>
        <item x="33"/>
        <item x="78"/>
        <item x="5"/>
        <item x="93"/>
        <item x="16"/>
        <item x="22"/>
        <item x="77"/>
        <item x="17"/>
        <item x="79"/>
        <item x="31"/>
        <item x="36"/>
        <item x="26"/>
        <item x="80"/>
        <item x="96"/>
        <item x="1"/>
        <item x="63"/>
        <item x="85"/>
        <item x="3"/>
        <item x="34"/>
        <item x="68"/>
        <item x="89"/>
        <item x="70"/>
        <item x="8"/>
        <item x="72"/>
        <item x="30"/>
        <item x="35"/>
        <item x="51"/>
        <item x="41"/>
        <item x="12"/>
        <item x="55"/>
        <item x="97"/>
        <item x="101"/>
        <item x="53"/>
        <item x="54"/>
        <item x="82"/>
        <item x="102"/>
        <item x="46"/>
        <item x="74"/>
        <item x="43"/>
        <item x="64"/>
        <item x="65"/>
        <item x="62"/>
        <item x="11"/>
        <item x="45"/>
        <item x="59"/>
        <item x="10"/>
        <item x="50"/>
        <item x="95"/>
        <item x="71"/>
        <item x="61"/>
        <item x="69"/>
        <item x="38"/>
        <item x="58"/>
        <item x="103"/>
        <item x="27"/>
        <item x="47"/>
        <item x="49"/>
        <item x="9"/>
        <item x="88"/>
        <item x="98"/>
        <item x="81"/>
        <item x="28"/>
        <item x="2"/>
        <item x="18"/>
        <item x="24"/>
        <item x="20"/>
        <item x="67"/>
        <item x="52"/>
        <item x="25"/>
        <item x="40"/>
        <item x="73"/>
        <item x="83"/>
        <item t="default" sd="0"/>
      </items>
    </pivotField>
    <pivotField name="Order Quantity" compact="0" outline="0" showAll="0">
      <items count="26">
        <item x="0"/>
        <item x="3"/>
        <item x="7"/>
        <item x="2"/>
        <item x="5"/>
        <item x="6"/>
        <item x="19"/>
        <item x="4"/>
        <item x="12"/>
        <item x="1"/>
        <item x="15"/>
        <item x="8"/>
        <item x="11"/>
        <item x="10"/>
        <item x="17"/>
        <item x="14"/>
        <item x="16"/>
        <item x="13"/>
        <item x="9"/>
        <item x="23"/>
        <item x="18"/>
        <item x="21"/>
        <item x="20"/>
        <item x="24"/>
        <item x="22"/>
        <item t="default" sd="0"/>
      </items>
    </pivotField>
    <pivotField name="Unit Price" compact="0" outline="0" showAll="0">
      <items count="111">
        <item x="4"/>
        <item x="103"/>
        <item x="17"/>
        <item x="105"/>
        <item x="93"/>
        <item x="48"/>
        <item x="6"/>
        <item x="1"/>
        <item x="62"/>
        <item x="90"/>
        <item x="22"/>
        <item x="55"/>
        <item x="74"/>
        <item x="12"/>
        <item x="91"/>
        <item x="23"/>
        <item x="50"/>
        <item x="65"/>
        <item x="16"/>
        <item x="36"/>
        <item x="98"/>
        <item x="102"/>
        <item x="54"/>
        <item x="44"/>
        <item x="15"/>
        <item x="104"/>
        <item x="85"/>
        <item x="33"/>
        <item x="53"/>
        <item x="75"/>
        <item x="0"/>
        <item x="19"/>
        <item x="83"/>
        <item x="71"/>
        <item x="21"/>
        <item x="68"/>
        <item x="76"/>
        <item x="28"/>
        <item x="69"/>
        <item x="47"/>
        <item x="57"/>
        <item x="97"/>
        <item x="24"/>
        <item x="31"/>
        <item x="109"/>
        <item x="18"/>
        <item x="67"/>
        <item x="107"/>
        <item x="88"/>
        <item x="20"/>
        <item x="77"/>
        <item x="7"/>
        <item x="56"/>
        <item x="64"/>
        <item x="5"/>
        <item x="108"/>
        <item x="79"/>
        <item x="106"/>
        <item x="42"/>
        <item x="11"/>
        <item x="34"/>
        <item x="81"/>
        <item x="32"/>
        <item x="89"/>
        <item x="26"/>
        <item x="13"/>
        <item x="40"/>
        <item x="70"/>
        <item x="25"/>
        <item x="92"/>
        <item x="14"/>
        <item x="87"/>
        <item x="73"/>
        <item x="78"/>
        <item x="45"/>
        <item x="37"/>
        <item x="52"/>
        <item x="84"/>
        <item x="59"/>
        <item x="43"/>
        <item x="8"/>
        <item x="82"/>
        <item x="38"/>
        <item x="39"/>
        <item x="63"/>
        <item x="101"/>
        <item x="49"/>
        <item x="2"/>
        <item x="72"/>
        <item x="30"/>
        <item x="3"/>
        <item x="61"/>
        <item x="41"/>
        <item x="29"/>
        <item x="99"/>
        <item x="51"/>
        <item x="95"/>
        <item x="35"/>
        <item x="86"/>
        <item x="80"/>
        <item x="94"/>
        <item x="60"/>
        <item x="27"/>
        <item x="9"/>
        <item x="10"/>
        <item x="66"/>
        <item x="100"/>
        <item x="46"/>
        <item x="96"/>
        <item x="58"/>
        <item t="default" sd="0"/>
      </items>
    </pivotField>
    <pivotField name="Total Line Item $" axis="axisValues" dataField="1" compact="0" outline="0" showAll="0"/>
  </pivotFields>
  <rowFields count="1">
    <field x="0"/>
  </rowFields>
  <rowItems count="102">
    <i>
      <x v="69"/>
    </i>
    <i>
      <x v="70"/>
    </i>
    <i>
      <x v="74"/>
    </i>
    <i>
      <x v="72"/>
    </i>
    <i>
      <x v="76"/>
    </i>
    <i>
      <x v="66"/>
    </i>
    <i>
      <x v="63"/>
    </i>
    <i>
      <x v="46"/>
    </i>
    <i>
      <x v="29"/>
    </i>
    <i>
      <x v="28"/>
    </i>
    <i>
      <x v="65"/>
    </i>
    <i>
      <x v="11"/>
    </i>
    <i>
      <x v="75"/>
    </i>
    <i>
      <x v="62"/>
    </i>
    <i>
      <x v="92"/>
    </i>
    <i>
      <x v="60"/>
    </i>
    <i>
      <x v="61"/>
    </i>
    <i>
      <x v="71"/>
    </i>
    <i>
      <x v="12"/>
    </i>
    <i>
      <x v="73"/>
    </i>
    <i>
      <x v="14"/>
    </i>
    <i>
      <x v="45"/>
    </i>
    <i>
      <x v="39"/>
    </i>
    <i>
      <x v="50"/>
    </i>
    <i>
      <x v="17"/>
    </i>
    <i>
      <x v="4"/>
    </i>
    <i>
      <x v="35"/>
    </i>
    <i>
      <x v="6"/>
    </i>
    <i>
      <x v="37"/>
    </i>
    <i>
      <x v="40"/>
    </i>
    <i>
      <x v="30"/>
    </i>
    <i>
      <x v="9"/>
    </i>
    <i>
      <x v="31"/>
    </i>
    <i>
      <x v="48"/>
    </i>
    <i>
      <x v="41"/>
    </i>
    <i>
      <x v="93"/>
    </i>
    <i>
      <x v="47"/>
    </i>
    <i>
      <x v="97"/>
    </i>
    <i>
      <x v="49"/>
    </i>
    <i>
      <x v="95"/>
    </i>
    <i>
      <x v="15"/>
    </i>
    <i>
      <x v="78"/>
    </i>
    <i>
      <x v="38"/>
    </i>
    <i>
      <x v="43"/>
    </i>
    <i>
      <x v="22"/>
    </i>
    <i>
      <x v="44"/>
    </i>
    <i>
      <x v="89"/>
    </i>
    <i>
      <x v="53"/>
    </i>
    <i>
      <x v="42"/>
    </i>
    <i>
      <x v="5"/>
    </i>
    <i>
      <x v="64"/>
    </i>
    <i>
      <x v="3"/>
    </i>
    <i>
      <x v="55"/>
    </i>
    <i>
      <x v="16"/>
    </i>
    <i>
      <x v="94"/>
    </i>
    <i>
      <x v="27"/>
    </i>
    <i>
      <x v="26"/>
    </i>
    <i>
      <x v="36"/>
    </i>
    <i>
      <x v="32"/>
    </i>
    <i>
      <x v="8"/>
    </i>
    <i>
      <x v="33"/>
    </i>
    <i>
      <x v="52"/>
    </i>
    <i>
      <x v="13"/>
    </i>
    <i>
      <x v="79"/>
    </i>
    <i>
      <x v="20"/>
    </i>
    <i>
      <x v="57"/>
    </i>
    <i>
      <x v="56"/>
    </i>
    <i>
      <x v="67"/>
    </i>
    <i>
      <x v="54"/>
    </i>
    <i>
      <x v="68"/>
    </i>
    <i>
      <x v="84"/>
    </i>
    <i>
      <x v="51"/>
    </i>
    <i>
      <x v="59"/>
    </i>
    <i>
      <x v="21"/>
    </i>
    <i>
      <x v="23"/>
    </i>
    <i>
      <x v="24"/>
    </i>
    <i>
      <x v="100"/>
    </i>
    <i>
      <x v="99"/>
    </i>
    <i>
      <x v="96"/>
    </i>
    <i>
      <x v="98"/>
    </i>
    <i>
      <x v="91"/>
    </i>
    <i>
      <x v="90"/>
    </i>
    <i>
      <x v="88"/>
    </i>
    <i>
      <x v="87"/>
    </i>
    <i>
      <x v="85"/>
    </i>
    <i>
      <x v="86"/>
    </i>
    <i>
      <x v="83"/>
    </i>
    <i>
      <x v="81"/>
    </i>
    <i>
      <x v="80"/>
    </i>
    <i>
      <x v="82"/>
    </i>
    <i>
      <x v="77"/>
    </i>
    <i>
      <x v="58"/>
    </i>
    <i>
      <x v="34"/>
    </i>
    <i>
      <x v="25"/>
    </i>
    <i>
      <x v="19"/>
    </i>
    <i>
      <x v="18"/>
    </i>
    <i>
      <x v="10"/>
    </i>
    <i>
      <x v="7"/>
    </i>
    <i>
      <x v="2"/>
    </i>
    <i>
      <x v="1"/>
    </i>
    <i>
      <x/>
    </i>
    <i t="grand">
      <x/>
    </i>
  </rowItems>
  <colItems count="1">
    <i/>
  </colItems>
  <dataFields count="1">
    <dataField name="Sum of Total Line Item $" fld="4" numFmtId="60"/>
  </dataFields>
  <pivotTableStyleInfo name="PivotStyleCustom40" showRowHeaders="1" showColHeaders="1" showRowStripes="1" showColStripes="0" showLastColumn="1"/>
</pivotTableDefinition>
</file>

<file path=xl/pivotTables/pivotTable41.xml><?xml version="1.0" encoding="utf-8"?>
<pivotTableDefinition xmlns="http://schemas.openxmlformats.org/spreadsheetml/2006/main" name="July 2023 Sales by SKU (Quantity)" cacheId="40" dataPosition="0" autoFormatId="0" applyNumberFormats="0" applyBorderFormats="0" applyFontFormats="0" applyPatternFormats="0" applyAlignmentFormats="0" applyWidthHeightFormats="1" dataCaption="" missingCaption="" pivotTableStyle="PivotStyleCustom41" updatedVersion="7" useAutoFormatting="1" createdVersion="7" indent="0" showEmptyCol="1" showEmptyRow="1" compact="0" compactData="0" multipleFieldFilters="0">
  <location ref="P1024:Q1130" firstHeaderRow="1" firstDataRow="1" firstDataCol="1"/>
  <pivotFields count="3">
    <pivotField name="Line Item Name" axis="axisRow" compact="0" numFmtId="49" outline="0" showAll="0" sortType="ascending">
      <items count="106">
        <item x="78"/>
        <item x="29"/>
        <item x="102"/>
        <item x="90"/>
        <item x="73"/>
        <item x="50"/>
        <item x="44"/>
        <item x="74"/>
        <item x="67"/>
        <item x="38"/>
        <item x="69"/>
        <item x="86"/>
        <item x="63"/>
        <item x="92"/>
        <item x="91"/>
        <item x="35"/>
        <item x="16"/>
        <item x="11"/>
        <item x="21"/>
        <item x="19"/>
        <item x="97"/>
        <item x="14"/>
        <item x="12"/>
        <item x="2"/>
        <item x="3"/>
        <item x="98"/>
        <item x="36"/>
        <item x="58"/>
        <item x="26"/>
        <item x="34"/>
        <item x="77"/>
        <item x="76"/>
        <item x="4"/>
        <item x="85"/>
        <item x="41"/>
        <item x="5"/>
        <item x="103"/>
        <item x="104"/>
        <item x="53"/>
        <item x="10"/>
        <item x="81"/>
        <item x="42"/>
        <item x="18"/>
        <item x="15"/>
        <item x="25"/>
        <item x="40"/>
        <item x="61"/>
        <item x="0"/>
        <item x="1"/>
        <item x="75"/>
        <item x="54"/>
        <item x="82"/>
        <item x="52"/>
        <item x="56"/>
        <item x="65"/>
        <item x="7"/>
        <item x="57"/>
        <item x="66"/>
        <item x="72"/>
        <item x="27"/>
        <item x="59"/>
        <item x="60"/>
        <item x="22"/>
        <item x="24"/>
        <item x="9"/>
        <item x="20"/>
        <item x="80"/>
        <item x="13"/>
        <item x="70"/>
        <item x="51"/>
        <item x="32"/>
        <item x="84"/>
        <item x="31"/>
        <item x="23"/>
        <item x="6"/>
        <item x="39"/>
        <item x="17"/>
        <item x="64"/>
        <item x="28"/>
        <item x="96"/>
        <item x="37"/>
        <item x="83"/>
        <item x="87"/>
        <item x="49"/>
        <item x="89"/>
        <item x="79"/>
        <item x="101"/>
        <item x="62"/>
        <item x="45"/>
        <item x="30"/>
        <item x="33"/>
        <item x="47"/>
        <item x="48"/>
        <item x="46"/>
        <item x="43"/>
        <item x="100"/>
        <item x="8"/>
        <item x="55"/>
        <item x="68"/>
        <item x="95"/>
        <item x="94"/>
        <item x="99"/>
        <item x="93"/>
        <item x="88"/>
        <item x="71"/>
        <item t="default" sd="0"/>
      </items>
    </pivotField>
    <pivotField name="Line Item Description" compact="0" outline="0" showAll="0">
      <items count="116">
        <item x="100"/>
        <item x="98"/>
        <item x="77"/>
        <item x="13"/>
        <item x="50"/>
        <item x="44"/>
        <item x="34"/>
        <item x="78"/>
        <item x="70"/>
        <item x="81"/>
        <item x="80"/>
        <item x="76"/>
        <item x="39"/>
        <item x="90"/>
        <item x="69"/>
        <item x="72"/>
        <item x="36"/>
        <item x="103"/>
        <item x="99"/>
        <item x="107"/>
        <item x="54"/>
        <item x="85"/>
        <item x="82"/>
        <item x="17"/>
        <item x="11"/>
        <item x="53"/>
        <item x="19"/>
        <item x="56"/>
        <item x="114"/>
        <item x="83"/>
        <item x="0"/>
        <item x="1"/>
        <item x="20"/>
        <item x="57"/>
        <item x="15"/>
        <item x="18"/>
        <item x="95"/>
        <item x="4"/>
        <item x="5"/>
        <item x="22"/>
        <item x="29"/>
        <item x="104"/>
        <item x="65"/>
        <item x="97"/>
        <item x="27"/>
        <item x="35"/>
        <item x="37"/>
        <item x="79"/>
        <item x="45"/>
        <item x="68"/>
        <item x="7"/>
        <item x="58"/>
        <item x="23"/>
        <item x="75"/>
        <item x="25"/>
        <item x="61"/>
        <item x="28"/>
        <item x="52"/>
        <item x="112"/>
        <item x="109"/>
        <item x="108"/>
        <item x="111"/>
        <item x="59"/>
        <item x="110"/>
        <item x="10"/>
        <item x="21"/>
        <item x="62"/>
        <item x="31"/>
        <item x="73"/>
        <item x="88"/>
        <item x="14"/>
        <item x="84"/>
        <item x="51"/>
        <item x="33"/>
        <item x="41"/>
        <item x="49"/>
        <item x="47"/>
        <item x="48"/>
        <item x="46"/>
        <item x="30"/>
        <item x="67"/>
        <item x="16"/>
        <item x="26"/>
        <item x="113"/>
        <item x="89"/>
        <item x="32"/>
        <item x="63"/>
        <item x="96"/>
        <item x="87"/>
        <item x="105"/>
        <item x="106"/>
        <item x="3"/>
        <item x="2"/>
        <item x="24"/>
        <item x="40"/>
        <item x="55"/>
        <item x="71"/>
        <item x="66"/>
        <item x="6"/>
        <item x="8"/>
        <item x="9"/>
        <item x="102"/>
        <item x="101"/>
        <item x="94"/>
        <item x="60"/>
        <item x="12"/>
        <item x="92"/>
        <item x="91"/>
        <item x="93"/>
        <item x="64"/>
        <item x="74"/>
        <item x="86"/>
        <item x="38"/>
        <item x="42"/>
        <item x="43"/>
        <item t="default" sd="0"/>
      </items>
    </pivotField>
    <pivotField name="Order Quantity" axis="axisValues" dataField="1" compact="0" outline="0" showAll="0"/>
  </pivotFields>
  <rowFields count="1">
    <field x="0"/>
  </rowFields>
  <rowItems count="106">
    <i>
      <x v="75"/>
    </i>
    <i>
      <x/>
    </i>
    <i>
      <x v="80"/>
    </i>
    <i>
      <x v="95"/>
    </i>
    <i>
      <x v="67"/>
    </i>
    <i>
      <x v="24"/>
    </i>
    <i>
      <x v="86"/>
    </i>
    <i>
      <x v="14"/>
    </i>
    <i>
      <x v="53"/>
    </i>
    <i>
      <x v="4"/>
    </i>
    <i>
      <x v="7"/>
    </i>
    <i>
      <x v="49"/>
    </i>
    <i>
      <x v="76"/>
    </i>
    <i>
      <x v="17"/>
    </i>
    <i>
      <x v="52"/>
    </i>
    <i>
      <x v="69"/>
    </i>
    <i>
      <x v="28"/>
    </i>
    <i>
      <x v="21"/>
    </i>
    <i>
      <x v="74"/>
    </i>
    <i>
      <x v="54"/>
    </i>
    <i>
      <x v="16"/>
    </i>
    <i>
      <x v="47"/>
    </i>
    <i>
      <x v="96"/>
    </i>
    <i>
      <x v="13"/>
    </i>
    <i>
      <x v="51"/>
    </i>
    <i>
      <x v="23"/>
    </i>
    <i>
      <x v="48"/>
    </i>
    <i>
      <x v="1"/>
    </i>
    <i>
      <x v="15"/>
    </i>
    <i>
      <x v="71"/>
    </i>
    <i>
      <x v="78"/>
    </i>
    <i>
      <x v="89"/>
    </i>
    <i>
      <x v="18"/>
    </i>
    <i>
      <x v="38"/>
    </i>
    <i>
      <x v="39"/>
    </i>
    <i>
      <x v="72"/>
    </i>
    <i>
      <x v="62"/>
    </i>
    <i>
      <x v="55"/>
    </i>
    <i>
      <x v="64"/>
    </i>
    <i>
      <x v="70"/>
    </i>
    <i>
      <x v="8"/>
    </i>
    <i>
      <x v="10"/>
    </i>
    <i>
      <x v="22"/>
    </i>
    <i>
      <x v="9"/>
    </i>
    <i>
      <x v="12"/>
    </i>
    <i>
      <x v="43"/>
    </i>
    <i>
      <x v="50"/>
    </i>
    <i>
      <x v="60"/>
    </i>
    <i>
      <x v="3"/>
    </i>
    <i>
      <x v="19"/>
    </i>
    <i>
      <x v="31"/>
    </i>
    <i>
      <x v="36"/>
    </i>
    <i>
      <x v="46"/>
    </i>
    <i>
      <x v="82"/>
    </i>
    <i>
      <x v="85"/>
    </i>
    <i>
      <x v="73"/>
    </i>
    <i>
      <x v="94"/>
    </i>
    <i>
      <x v="33"/>
    </i>
    <i>
      <x v="42"/>
    </i>
    <i>
      <x v="63"/>
    </i>
    <i>
      <x v="56"/>
    </i>
    <i>
      <x v="97"/>
    </i>
    <i>
      <x v="20"/>
    </i>
    <i>
      <x v="25"/>
    </i>
    <i>
      <x v="34"/>
    </i>
    <i>
      <x v="37"/>
    </i>
    <i>
      <x v="65"/>
    </i>
    <i>
      <x v="98"/>
    </i>
    <i>
      <x v="35"/>
    </i>
    <i>
      <x v="81"/>
    </i>
    <i>
      <x v="6"/>
    </i>
    <i>
      <x v="11"/>
    </i>
    <i>
      <x v="26"/>
    </i>
    <i>
      <x v="29"/>
    </i>
    <i>
      <x v="30"/>
    </i>
    <i>
      <x v="32"/>
    </i>
    <i>
      <x v="40"/>
    </i>
    <i>
      <x v="59"/>
    </i>
    <i>
      <x v="61"/>
    </i>
    <i>
      <x v="68"/>
    </i>
    <i>
      <x v="79"/>
    </i>
    <i>
      <x v="87"/>
    </i>
    <i>
      <x v="90"/>
    </i>
    <i>
      <x v="99"/>
    </i>
    <i>
      <x v="100"/>
    </i>
    <i>
      <x v="102"/>
    </i>
    <i>
      <x v="2"/>
    </i>
    <i>
      <x v="5"/>
    </i>
    <i>
      <x v="27"/>
    </i>
    <i>
      <x v="41"/>
    </i>
    <i>
      <x v="44"/>
    </i>
    <i>
      <x v="45"/>
    </i>
    <i>
      <x v="57"/>
    </i>
    <i>
      <x v="58"/>
    </i>
    <i>
      <x v="66"/>
    </i>
    <i>
      <x v="77"/>
    </i>
    <i>
      <x v="83"/>
    </i>
    <i>
      <x v="84"/>
    </i>
    <i>
      <x v="88"/>
    </i>
    <i>
      <x v="91"/>
    </i>
    <i>
      <x v="92"/>
    </i>
    <i>
      <x v="93"/>
    </i>
    <i>
      <x v="101"/>
    </i>
    <i>
      <x v="103"/>
    </i>
    <i>
      <x v="104"/>
    </i>
    <i t="grand">
      <x/>
    </i>
  </rowItems>
  <colItems count="1">
    <i/>
  </colItems>
  <dataFields count="1">
    <dataField name="Sum of Order Quantity" fld="2"/>
  </dataFields>
  <pivotTableStyleInfo name="PivotStyleCustom41" showRowHeaders="1" showColHeaders="1" showRowStripes="1" showColStripes="0" showLastColumn="1"/>
</pivotTableDefinition>
</file>

<file path=xl/pivotTables/pivotTable42.xml><?xml version="1.0" encoding="utf-8"?>
<pivotTableDefinition xmlns="http://schemas.openxmlformats.org/spreadsheetml/2006/main" name="July 2023 Sales by SKU$" cacheId="41" dataPosition="0" autoFormatId="0" applyNumberFormats="0" applyBorderFormats="0" applyFontFormats="0" applyPatternFormats="0" applyAlignmentFormats="0" applyWidthHeightFormats="1" dataCaption="" missingCaption="" pivotTableStyle="PivotStyleCustom42" updatedVersion="7" useAutoFormatting="1" createdVersion="7" indent="0" showEmptyCol="1" showEmptyRow="1" compact="0" compactData="0" multipleFieldFilters="0">
  <location ref="R1133:S1239" firstHeaderRow="1" firstDataRow="1" firstDataCol="1"/>
  <pivotFields count="5">
    <pivotField name="Line Item Name" axis="axisRow" compact="0" numFmtId="49" outline="0" showAll="0" sortType="ascending">
      <items count="106">
        <item x="78"/>
        <item x="29"/>
        <item x="102"/>
        <item x="90"/>
        <item x="73"/>
        <item x="50"/>
        <item x="44"/>
        <item x="74"/>
        <item x="67"/>
        <item x="38"/>
        <item x="69"/>
        <item x="86"/>
        <item x="63"/>
        <item x="92"/>
        <item x="91"/>
        <item x="35"/>
        <item x="16"/>
        <item x="11"/>
        <item x="21"/>
        <item x="19"/>
        <item x="97"/>
        <item x="14"/>
        <item x="12"/>
        <item x="2"/>
        <item x="3"/>
        <item x="98"/>
        <item x="36"/>
        <item x="58"/>
        <item x="26"/>
        <item x="34"/>
        <item x="77"/>
        <item x="76"/>
        <item x="4"/>
        <item x="85"/>
        <item x="41"/>
        <item x="5"/>
        <item x="103"/>
        <item x="104"/>
        <item x="53"/>
        <item x="10"/>
        <item x="81"/>
        <item x="42"/>
        <item x="18"/>
        <item x="15"/>
        <item x="25"/>
        <item x="40"/>
        <item x="61"/>
        <item x="0"/>
        <item x="1"/>
        <item x="75"/>
        <item x="54"/>
        <item x="82"/>
        <item x="52"/>
        <item x="56"/>
        <item x="65"/>
        <item x="7"/>
        <item x="57"/>
        <item x="66"/>
        <item x="72"/>
        <item x="27"/>
        <item x="59"/>
        <item x="60"/>
        <item x="22"/>
        <item x="24"/>
        <item x="9"/>
        <item x="20"/>
        <item x="80"/>
        <item x="13"/>
        <item x="70"/>
        <item x="51"/>
        <item x="32"/>
        <item x="84"/>
        <item x="31"/>
        <item x="23"/>
        <item x="6"/>
        <item x="39"/>
        <item x="17"/>
        <item x="64"/>
        <item x="28"/>
        <item x="96"/>
        <item x="37"/>
        <item x="83"/>
        <item x="87"/>
        <item x="49"/>
        <item x="89"/>
        <item x="79"/>
        <item x="101"/>
        <item x="62"/>
        <item x="45"/>
        <item x="30"/>
        <item x="33"/>
        <item x="47"/>
        <item x="48"/>
        <item x="46"/>
        <item x="43"/>
        <item x="100"/>
        <item x="8"/>
        <item x="55"/>
        <item x="68"/>
        <item x="95"/>
        <item x="94"/>
        <item x="99"/>
        <item x="93"/>
        <item x="88"/>
        <item x="71"/>
        <item t="default" sd="0"/>
      </items>
    </pivotField>
    <pivotField name="Line Item Description" compact="0" outline="0" showAll="0">
      <items count="116">
        <item x="100"/>
        <item x="98"/>
        <item x="77"/>
        <item x="13"/>
        <item x="50"/>
        <item x="44"/>
        <item x="34"/>
        <item x="78"/>
        <item x="70"/>
        <item x="81"/>
        <item x="80"/>
        <item x="76"/>
        <item x="39"/>
        <item x="90"/>
        <item x="69"/>
        <item x="72"/>
        <item x="36"/>
        <item x="103"/>
        <item x="99"/>
        <item x="107"/>
        <item x="54"/>
        <item x="85"/>
        <item x="82"/>
        <item x="17"/>
        <item x="11"/>
        <item x="53"/>
        <item x="19"/>
        <item x="56"/>
        <item x="114"/>
        <item x="83"/>
        <item x="0"/>
        <item x="1"/>
        <item x="20"/>
        <item x="57"/>
        <item x="15"/>
        <item x="18"/>
        <item x="95"/>
        <item x="4"/>
        <item x="5"/>
        <item x="22"/>
        <item x="29"/>
        <item x="104"/>
        <item x="65"/>
        <item x="97"/>
        <item x="27"/>
        <item x="35"/>
        <item x="37"/>
        <item x="79"/>
        <item x="45"/>
        <item x="68"/>
        <item x="7"/>
        <item x="58"/>
        <item x="23"/>
        <item x="75"/>
        <item x="25"/>
        <item x="61"/>
        <item x="28"/>
        <item x="52"/>
        <item x="112"/>
        <item x="109"/>
        <item x="108"/>
        <item x="111"/>
        <item x="59"/>
        <item x="110"/>
        <item x="10"/>
        <item x="21"/>
        <item x="62"/>
        <item x="31"/>
        <item x="73"/>
        <item x="88"/>
        <item x="14"/>
        <item x="84"/>
        <item x="51"/>
        <item x="33"/>
        <item x="41"/>
        <item x="49"/>
        <item x="47"/>
        <item x="48"/>
        <item x="46"/>
        <item x="30"/>
        <item x="67"/>
        <item x="16"/>
        <item x="26"/>
        <item x="113"/>
        <item x="89"/>
        <item x="32"/>
        <item x="63"/>
        <item x="96"/>
        <item x="87"/>
        <item x="105"/>
        <item x="106"/>
        <item x="3"/>
        <item x="2"/>
        <item x="24"/>
        <item x="40"/>
        <item x="55"/>
        <item x="71"/>
        <item x="66"/>
        <item x="6"/>
        <item x="8"/>
        <item x="9"/>
        <item x="102"/>
        <item x="101"/>
        <item x="94"/>
        <item x="60"/>
        <item x="12"/>
        <item x="92"/>
        <item x="91"/>
        <item x="93"/>
        <item x="64"/>
        <item x="74"/>
        <item x="86"/>
        <item x="38"/>
        <item x="42"/>
        <item x="43"/>
        <item t="default" sd="0"/>
      </items>
    </pivotField>
    <pivotField name="Order Quantity" compact="0" outline="0" showAll="0">
      <items count="24">
        <item x="2"/>
        <item x="0"/>
        <item x="8"/>
        <item x="4"/>
        <item x="7"/>
        <item x="5"/>
        <item x="9"/>
        <item x="16"/>
        <item x="1"/>
        <item x="3"/>
        <item x="18"/>
        <item x="6"/>
        <item x="17"/>
        <item x="13"/>
        <item x="15"/>
        <item x="22"/>
        <item x="12"/>
        <item x="19"/>
        <item x="21"/>
        <item x="10"/>
        <item x="20"/>
        <item x="14"/>
        <item x="11"/>
        <item t="default" sd="0"/>
      </items>
    </pivotField>
    <pivotField name="Unit Price" compact="0" outline="0" showAll="0">
      <items count="91">
        <item x="7"/>
        <item x="40"/>
        <item x="3"/>
        <item x="85"/>
        <item x="37"/>
        <item x="80"/>
        <item x="87"/>
        <item x="73"/>
        <item x="81"/>
        <item x="12"/>
        <item x="75"/>
        <item x="57"/>
        <item x="86"/>
        <item x="77"/>
        <item x="16"/>
        <item x="27"/>
        <item x="84"/>
        <item x="36"/>
        <item x="83"/>
        <item x="63"/>
        <item x="26"/>
        <item x="25"/>
        <item x="74"/>
        <item x="42"/>
        <item x="55"/>
        <item x="9"/>
        <item x="35"/>
        <item x="88"/>
        <item x="76"/>
        <item x="11"/>
        <item x="19"/>
        <item x="58"/>
        <item x="44"/>
        <item x="0"/>
        <item x="2"/>
        <item x="38"/>
        <item x="17"/>
        <item x="70"/>
        <item x="48"/>
        <item x="62"/>
        <item x="67"/>
        <item x="72"/>
        <item x="1"/>
        <item x="14"/>
        <item x="60"/>
        <item x="71"/>
        <item x="4"/>
        <item x="61"/>
        <item x="5"/>
        <item x="56"/>
        <item x="43"/>
        <item x="15"/>
        <item x="52"/>
        <item x="64"/>
        <item x="24"/>
        <item x="33"/>
        <item x="45"/>
        <item x="66"/>
        <item x="13"/>
        <item x="82"/>
        <item x="54"/>
        <item x="22"/>
        <item x="32"/>
        <item x="50"/>
        <item x="8"/>
        <item x="46"/>
        <item x="68"/>
        <item x="59"/>
        <item x="51"/>
        <item x="31"/>
        <item x="34"/>
        <item x="49"/>
        <item x="6"/>
        <item x="39"/>
        <item x="23"/>
        <item x="47"/>
        <item x="21"/>
        <item x="18"/>
        <item x="10"/>
        <item x="30"/>
        <item x="53"/>
        <item x="29"/>
        <item x="20"/>
        <item x="41"/>
        <item x="79"/>
        <item x="69"/>
        <item x="28"/>
        <item x="65"/>
        <item x="89"/>
        <item x="78"/>
        <item t="default" sd="0"/>
      </items>
    </pivotField>
    <pivotField name="Total Line Item $" axis="axisValues" dataField="1" compact="0" outline="0" showAll="0"/>
  </pivotFields>
  <rowFields count="1">
    <field x="0"/>
  </rowFields>
  <rowItems count="106">
    <i>
      <x v="69"/>
    </i>
    <i>
      <x v="71"/>
    </i>
    <i>
      <x v="72"/>
    </i>
    <i>
      <x v="85"/>
    </i>
    <i>
      <x v="70"/>
    </i>
    <i>
      <x v="28"/>
    </i>
    <i>
      <x v="64"/>
    </i>
    <i>
      <x v="74"/>
    </i>
    <i>
      <x v="73"/>
    </i>
    <i>
      <x v="62"/>
    </i>
    <i>
      <x v="4"/>
    </i>
    <i>
      <x v="63"/>
    </i>
    <i>
      <x/>
    </i>
    <i>
      <x v="60"/>
    </i>
    <i>
      <x v="84"/>
    </i>
    <i>
      <x v="16"/>
    </i>
    <i>
      <x v="65"/>
    </i>
    <i>
      <x v="96"/>
    </i>
    <i>
      <x v="37"/>
    </i>
    <i>
      <x v="46"/>
    </i>
    <i>
      <x v="7"/>
    </i>
    <i>
      <x v="80"/>
    </i>
    <i>
      <x v="53"/>
    </i>
    <i>
      <x v="8"/>
    </i>
    <i>
      <x v="43"/>
    </i>
    <i>
      <x v="42"/>
    </i>
    <i>
      <x v="61"/>
    </i>
    <i>
      <x v="48"/>
    </i>
    <i>
      <x v="51"/>
    </i>
    <i>
      <x v="47"/>
    </i>
    <i>
      <x v="17"/>
    </i>
    <i>
      <x v="49"/>
    </i>
    <i>
      <x v="29"/>
    </i>
    <i>
      <x v="23"/>
    </i>
    <i>
      <x v="75"/>
    </i>
    <i>
      <x v="86"/>
    </i>
    <i>
      <x v="97"/>
    </i>
    <i>
      <x v="38"/>
    </i>
    <i>
      <x v="54"/>
    </i>
    <i>
      <x v="90"/>
    </i>
    <i>
      <x v="50"/>
    </i>
    <i>
      <x v="39"/>
    </i>
    <i>
      <x v="34"/>
    </i>
    <i>
      <x v="31"/>
    </i>
    <i>
      <x v="40"/>
    </i>
    <i>
      <x v="19"/>
    </i>
    <i>
      <x v="33"/>
    </i>
    <i>
      <x v="76"/>
    </i>
    <i>
      <x v="14"/>
    </i>
    <i>
      <x v="45"/>
    </i>
    <i>
      <x v="44"/>
    </i>
    <i>
      <x v="41"/>
    </i>
    <i>
      <x v="32"/>
    </i>
    <i>
      <x v="27"/>
    </i>
    <i>
      <x v="68"/>
    </i>
    <i>
      <x v="13"/>
    </i>
    <i>
      <x v="35"/>
    </i>
    <i>
      <x v="95"/>
    </i>
    <i>
      <x v="30"/>
    </i>
    <i>
      <x v="56"/>
    </i>
    <i>
      <x v="67"/>
    </i>
    <i>
      <x v="10"/>
    </i>
    <i>
      <x v="22"/>
    </i>
    <i>
      <x v="66"/>
    </i>
    <i>
      <x v="82"/>
    </i>
    <i>
      <x v="26"/>
    </i>
    <i>
      <x v="59"/>
    </i>
    <i>
      <x v="9"/>
    </i>
    <i>
      <x v="55"/>
    </i>
    <i>
      <x v="57"/>
    </i>
    <i>
      <x v="21"/>
    </i>
    <i>
      <x v="18"/>
    </i>
    <i>
      <x v="11"/>
    </i>
    <i>
      <x v="2"/>
    </i>
    <i>
      <x v="24"/>
    </i>
    <i>
      <x v="104"/>
    </i>
    <i>
      <x v="103"/>
    </i>
    <i>
      <x v="102"/>
    </i>
    <i>
      <x v="101"/>
    </i>
    <i>
      <x v="100"/>
    </i>
    <i>
      <x v="99"/>
    </i>
    <i>
      <x v="98"/>
    </i>
    <i>
      <x v="94"/>
    </i>
    <i>
      <x v="93"/>
    </i>
    <i>
      <x v="92"/>
    </i>
    <i>
      <x v="91"/>
    </i>
    <i>
      <x v="89"/>
    </i>
    <i>
      <x v="88"/>
    </i>
    <i>
      <x v="87"/>
    </i>
    <i>
      <x v="83"/>
    </i>
    <i>
      <x v="81"/>
    </i>
    <i>
      <x v="79"/>
    </i>
    <i>
      <x v="78"/>
    </i>
    <i>
      <x v="77"/>
    </i>
    <i>
      <x v="58"/>
    </i>
    <i>
      <x v="52"/>
    </i>
    <i>
      <x v="36"/>
    </i>
    <i>
      <x v="25"/>
    </i>
    <i>
      <x v="20"/>
    </i>
    <i>
      <x v="15"/>
    </i>
    <i>
      <x v="12"/>
    </i>
    <i>
      <x v="6"/>
    </i>
    <i>
      <x v="5"/>
    </i>
    <i>
      <x v="3"/>
    </i>
    <i>
      <x v="1"/>
    </i>
    <i t="grand">
      <x/>
    </i>
  </rowItems>
  <colItems count="1">
    <i/>
  </colItems>
  <dataFields count="1">
    <dataField name="Sum of Total Line Item $" fld="4" numFmtId="60"/>
  </dataFields>
  <pivotTableStyleInfo name="PivotStyleCustom42" showRowHeaders="1" showColHeaders="1" showRowStripes="1" showColStripes="0" showLastColumn="1"/>
</pivotTableDefinition>
</file>

<file path=xl/pivotTables/pivotTable43.xml><?xml version="1.0" encoding="utf-8"?>
<pivotTableDefinition xmlns="http://schemas.openxmlformats.org/spreadsheetml/2006/main" name="June 2023 Sales by Customer" cacheId="42" dataPosition="0" autoFormatId="0" applyNumberFormats="0" applyBorderFormats="0" applyFontFormats="0" applyPatternFormats="0" applyAlignmentFormats="0" applyWidthHeightFormats="1" dataCaption="" missingCaption="" pivotTableStyle="PivotStyleCustom43" updatedVersion="7" useAutoFormatting="1" createdVersion="7" indent="0" showEmptyCol="1" showEmptyRow="1" compact="0" compactData="0" multipleFieldFilters="0">
  <location ref="I390:O497" firstHeaderRow="1" firstDataRow="2" firstDataCol="4"/>
  <pivotFields count="8">
    <pivotField name="Sales Order" axis="axisRow" compact="0" numFmtId="49" outline="0" showAll="0" sortType="ascending">
      <items count="134">
        <item sd="0" x="131"/>
        <item sd="0" x="132"/>
        <item sd="0" x="130"/>
        <item sd="0" x="129"/>
        <item sd="0" x="128"/>
        <item sd="0" x="127"/>
        <item sd="0" x="126"/>
        <item sd="0" x="125"/>
        <item sd="0" x="124"/>
        <item sd="0" x="123"/>
        <item sd="0" x="122"/>
        <item sd="0" x="120"/>
        <item sd="0" x="121"/>
        <item sd="0" x="119"/>
        <item sd="0" x="115"/>
        <item sd="0" x="118"/>
        <item sd="0" x="114"/>
        <item sd="0" x="113"/>
        <item sd="0" x="116"/>
        <item sd="0" x="117"/>
        <item sd="0" x="112"/>
        <item sd="0" x="111"/>
        <item sd="0" x="109"/>
        <item sd="0" x="107"/>
        <item sd="0" x="106"/>
        <item sd="0" x="105"/>
        <item sd="0" x="104"/>
        <item sd="0" x="103"/>
        <item sd="0" x="110"/>
        <item sd="0" x="108"/>
        <item sd="0" x="102"/>
        <item sd="0" x="100"/>
        <item sd="0" x="98"/>
        <item sd="0" x="97"/>
        <item sd="0" x="101"/>
        <item sd="0" x="99"/>
        <item sd="0" x="96"/>
        <item sd="0" x="94"/>
        <item sd="0" x="93"/>
        <item sd="0" x="92"/>
        <item sd="0" x="91"/>
        <item sd="0" x="95"/>
        <item sd="0" x="90"/>
        <item sd="0" x="89"/>
        <item sd="0" x="88"/>
        <item sd="0" x="86"/>
        <item sd="0" x="87"/>
        <item sd="0" x="83"/>
        <item sd="0" x="82"/>
        <item sd="0" x="81"/>
        <item sd="0" x="80"/>
        <item sd="0" x="79"/>
        <item sd="0" x="84"/>
        <item sd="0" x="85"/>
        <item sd="0" x="78"/>
        <item sd="0" x="73"/>
        <item sd="0" x="72"/>
        <item sd="0" x="75"/>
        <item sd="0" x="77"/>
        <item sd="0" x="71"/>
        <item sd="0" x="70"/>
        <item sd="0" x="74"/>
        <item sd="0" x="76"/>
        <item sd="0" x="69"/>
        <item sd="0" x="66"/>
        <item sd="0" x="65"/>
        <item sd="0" x="64"/>
        <item sd="0" x="63"/>
        <item sd="0" x="62"/>
        <item sd="0" x="67"/>
        <item sd="0" x="68"/>
        <item sd="0" x="60"/>
        <item sd="0" x="59"/>
        <item sd="0" x="61"/>
        <item sd="0" x="58"/>
        <item sd="0" x="57"/>
        <item sd="0" x="56"/>
        <item sd="0" x="55"/>
        <item sd="0" x="54"/>
        <item sd="0" x="53"/>
        <item sd="0" x="48"/>
        <item sd="0" x="52"/>
        <item sd="0" x="51"/>
        <item sd="0" x="47"/>
        <item sd="0" x="49"/>
        <item sd="0" x="50"/>
        <item sd="0" x="44"/>
        <item sd="0" x="42"/>
        <item sd="0" x="46"/>
        <item sd="0" x="41"/>
        <item sd="0" x="43"/>
        <item sd="0" x="40"/>
        <item sd="0" x="39"/>
        <item sd="0" x="38"/>
        <item sd="0" x="37"/>
        <item sd="0" x="36"/>
        <item sd="0" x="34"/>
        <item sd="0" x="33"/>
        <item sd="0" x="32"/>
        <item sd="0" x="30"/>
        <item sd="0" x="29"/>
        <item sd="0" x="31"/>
        <item sd="0" x="28"/>
        <item sd="0" x="27"/>
        <item sd="0" x="25"/>
        <item sd="0" x="26"/>
        <item sd="0" x="21"/>
        <item sd="0" x="20"/>
        <item sd="0" x="19"/>
        <item sd="0" x="18"/>
        <item sd="0" x="17"/>
        <item sd="0" x="24"/>
        <item sd="0" x="22"/>
        <item sd="0" x="16"/>
        <item sd="0" x="15"/>
        <item sd="0" x="12"/>
        <item sd="0" x="11"/>
        <item sd="0" x="10"/>
        <item sd="0" x="9"/>
        <item sd="0" x="23"/>
        <item sd="0" x="8"/>
        <item sd="0" x="7"/>
        <item sd="0" x="13"/>
        <item sd="0" x="6"/>
        <item sd="0" x="5"/>
        <item sd="0" x="14"/>
        <item sd="0" x="4"/>
        <item sd="0" x="2"/>
        <item sd="0" x="3"/>
        <item sd="0" x="1"/>
        <item sd="0" x="0"/>
        <item sd="0" x="45"/>
        <item sd="0" x="35"/>
        <item t="default" sd="0"/>
      </items>
    </pivotField>
    <pivotField name="Customer" axis="axisRow" compact="0" numFmtId="49" outline="0" showAll="0" sortType="ascending">
      <items count="106">
        <item sd="0" x="82"/>
        <item sd="0" x="56"/>
        <item sd="0" x="12"/>
        <item sd="0" x="38"/>
        <item sd="0" x="21"/>
        <item sd="0" x="40"/>
        <item sd="0" x="55"/>
        <item sd="0" x="17"/>
        <item sd="0" x="75"/>
        <item sd="0" x="79"/>
        <item sd="0" x="60"/>
        <item sd="0" x="34"/>
        <item sd="0" x="2"/>
        <item sd="0" x="96"/>
        <item sd="0" x="14"/>
        <item sd="0" x="18"/>
        <item sd="0" x="26"/>
        <item sd="0" x="64"/>
        <item sd="0" x="5"/>
        <item sd="0" x="98"/>
        <item sd="0" x="22"/>
        <item sd="0" x="30"/>
        <item sd="0" x="10"/>
        <item sd="0" x="101"/>
        <item sd="0" x="45"/>
        <item sd="0" x="35"/>
        <item sd="0" x="103"/>
        <item sd="0" x="51"/>
        <item sd="0" x="53"/>
        <item sd="0" x="20"/>
        <item sd="0" x="46"/>
        <item sd="0" x="58"/>
        <item sd="0" x="37"/>
        <item sd="0" x="59"/>
        <item sd="0" x="29"/>
        <item sd="0" x="84"/>
        <item sd="0" x="13"/>
        <item sd="0" x="87"/>
        <item sd="0" x="9"/>
        <item sd="0" x="8"/>
        <item sd="0" x="68"/>
        <item sd="0" x="74"/>
        <item sd="0" x="62"/>
        <item sd="0" x="23"/>
        <item sd="0" x="57"/>
        <item sd="0" x="41"/>
        <item sd="0" x="15"/>
        <item sd="0" x="76"/>
        <item sd="0" x="16"/>
        <item sd="0" x="39"/>
        <item sd="0" x="7"/>
        <item sd="0" x="94"/>
        <item sd="0" x="99"/>
        <item sd="0" x="36"/>
        <item sd="0" x="69"/>
        <item sd="0" x="33"/>
        <item sd="0" x="3"/>
        <item sd="0" x="67"/>
        <item sd="0" x="65"/>
        <item sd="0" x="77"/>
        <item sd="0" x="4"/>
        <item sd="0" x="49"/>
        <item sd="0" x="48"/>
        <item sd="0" x="95"/>
        <item sd="0" x="93"/>
        <item sd="0" x="1"/>
        <item sd="0" x="81"/>
        <item sd="0" x="31"/>
        <item sd="0" x="44"/>
        <item sd="0" x="86"/>
        <item sd="0" x="24"/>
        <item sd="0" x="80"/>
        <item sd="0" x="54"/>
        <item sd="0" x="43"/>
        <item sd="0" x="102"/>
        <item sd="0" x="73"/>
        <item sd="0" x="50"/>
        <item sd="0" x="61"/>
        <item sd="0" x="52"/>
        <item sd="0" x="28"/>
        <item sd="0" x="71"/>
        <item sd="0" x="11"/>
        <item sd="0" x="47"/>
        <item sd="0" x="25"/>
        <item sd="0" x="19"/>
        <item sd="0" x="83"/>
        <item sd="0" x="91"/>
        <item sd="0" x="42"/>
        <item sd="0" x="32"/>
        <item sd="0" x="66"/>
        <item sd="0" x="72"/>
        <item sd="0" x="63"/>
        <item sd="0" x="27"/>
        <item sd="0" x="100"/>
        <item sd="0" x="85"/>
        <item sd="0" x="97"/>
        <item sd="0" x="88"/>
        <item sd="0" x="0"/>
        <item sd="0" x="78"/>
        <item sd="0" x="70"/>
        <item sd="0" x="104"/>
        <item sd="0" x="90"/>
        <item sd="0" x="6"/>
        <item sd="0" x="89"/>
        <item sd="0" x="92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105">
        <item x="96"/>
        <item x="97"/>
        <item x="80"/>
        <item x="98"/>
        <item x="87"/>
        <item x="75"/>
        <item x="79"/>
        <item x="76"/>
        <item x="100"/>
        <item x="102"/>
        <item x="74"/>
        <item x="73"/>
        <item x="77"/>
        <item x="54"/>
        <item x="58"/>
        <item x="57"/>
        <item x="86"/>
        <item x="59"/>
        <item x="84"/>
        <item x="82"/>
        <item x="51"/>
        <item x="17"/>
        <item x="35"/>
        <item x="27"/>
        <item x="10"/>
        <item x="23"/>
        <item x="32"/>
        <item x="13"/>
        <item x="50"/>
        <item x="11"/>
        <item x="42"/>
        <item x="43"/>
        <item x="40"/>
        <item x="16"/>
        <item x="63"/>
        <item x="64"/>
        <item x="44"/>
        <item x="2"/>
        <item x="36"/>
        <item x="15"/>
        <item x="67"/>
        <item x="22"/>
        <item x="29"/>
        <item x="46"/>
        <item x="9"/>
        <item x="1"/>
        <item x="47"/>
        <item x="0"/>
        <item x="30"/>
        <item x="3"/>
        <item x="21"/>
        <item x="103"/>
        <item x="53"/>
        <item x="33"/>
        <item x="34"/>
        <item x="62"/>
        <item x="101"/>
        <item x="45"/>
        <item x="4"/>
        <item x="18"/>
        <item x="41"/>
        <item x="19"/>
        <item x="8"/>
        <item x="12"/>
        <item x="20"/>
        <item x="28"/>
        <item x="49"/>
        <item x="65"/>
        <item x="7"/>
        <item x="93"/>
        <item x="70"/>
        <item x="14"/>
        <item x="72"/>
        <item x="31"/>
        <item x="85"/>
        <item x="60"/>
        <item x="95"/>
        <item x="71"/>
        <item x="92"/>
        <item x="66"/>
        <item x="90"/>
        <item x="55"/>
        <item x="68"/>
        <item x="48"/>
        <item x="52"/>
        <item x="38"/>
        <item x="5"/>
        <item x="39"/>
        <item x="37"/>
        <item x="24"/>
        <item x="83"/>
        <item x="94"/>
        <item x="61"/>
        <item x="91"/>
        <item x="88"/>
        <item x="89"/>
        <item x="81"/>
        <item x="6"/>
        <item x="78"/>
        <item x="99"/>
        <item x="56"/>
        <item x="69"/>
        <item x="26"/>
        <item x="25"/>
        <item t="default" sd="0"/>
      </items>
    </pivotField>
    <pivotField name="Line Item Description" compact="0" outline="0" showAll="0">
      <items count="107">
        <item x="105"/>
        <item x="99"/>
        <item x="73"/>
        <item x="9"/>
        <item x="100"/>
        <item x="80"/>
        <item x="56"/>
        <item x="69"/>
        <item x="72"/>
        <item x="70"/>
        <item x="92"/>
        <item x="91"/>
        <item x="58"/>
        <item x="59"/>
        <item x="102"/>
        <item x="103"/>
        <item x="67"/>
        <item x="47"/>
        <item x="52"/>
        <item x="20"/>
        <item x="44"/>
        <item x="32"/>
        <item x="71"/>
        <item x="104"/>
        <item x="34"/>
        <item x="57"/>
        <item x="14"/>
        <item x="55"/>
        <item x="30"/>
        <item x="0"/>
        <item x="41"/>
        <item x="61"/>
        <item x="3"/>
        <item x="24"/>
        <item x="1"/>
        <item x="26"/>
        <item x="95"/>
        <item x="11"/>
        <item x="25"/>
        <item x="31"/>
        <item x="43"/>
        <item x="23"/>
        <item x="27"/>
        <item x="54"/>
        <item x="19"/>
        <item x="97"/>
        <item x="65"/>
        <item x="77"/>
        <item x="13"/>
        <item x="50"/>
        <item x="76"/>
        <item x="2"/>
        <item x="4"/>
        <item x="48"/>
        <item x="16"/>
        <item x="15"/>
        <item x="38"/>
        <item x="29"/>
        <item x="18"/>
        <item x="28"/>
        <item x="46"/>
        <item x="42"/>
        <item x="68"/>
        <item x="21"/>
        <item x="39"/>
        <item x="6"/>
        <item x="75"/>
        <item x="74"/>
        <item x="87"/>
        <item x="82"/>
        <item x="85"/>
        <item x="86"/>
        <item x="89"/>
        <item x="83"/>
        <item x="84"/>
        <item x="88"/>
        <item x="96"/>
        <item x="10"/>
        <item x="49"/>
        <item x="17"/>
        <item x="98"/>
        <item x="40"/>
        <item x="7"/>
        <item x="60"/>
        <item x="33"/>
        <item x="35"/>
        <item x="37"/>
        <item x="36"/>
        <item x="53"/>
        <item x="5"/>
        <item x="93"/>
        <item x="101"/>
        <item x="66"/>
        <item x="51"/>
        <item x="63"/>
        <item x="79"/>
        <item x="45"/>
        <item x="78"/>
        <item x="12"/>
        <item x="64"/>
        <item x="22"/>
        <item x="8"/>
        <item x="94"/>
        <item x="62"/>
        <item x="90"/>
        <item x="81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16"/>
    </i>
    <i>
      <x v="26"/>
    </i>
    <i>
      <x v="25"/>
    </i>
    <i>
      <x v="27"/>
    </i>
    <i>
      <x v="28"/>
    </i>
    <i>
      <x v="29"/>
    </i>
    <i>
      <x v="30"/>
    </i>
    <i>
      <x v="31"/>
    </i>
    <i>
      <x v="97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9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99"/>
    </i>
    <i>
      <x v="52"/>
    </i>
    <i>
      <x v="53"/>
    </i>
    <i>
      <x v="54"/>
    </i>
    <i>
      <x v="55"/>
    </i>
    <i>
      <x v="100"/>
    </i>
    <i>
      <x v="56"/>
    </i>
    <i>
      <x v="57"/>
    </i>
    <i>
      <x v="58"/>
    </i>
    <i>
      <x v="60"/>
    </i>
    <i>
      <x v="59"/>
    </i>
    <i>
      <x v="101"/>
    </i>
    <i>
      <x v="61"/>
    </i>
    <i>
      <x v="62"/>
    </i>
    <i>
      <x v="63"/>
    </i>
    <i>
      <x v="64"/>
    </i>
    <i>
      <x v="65"/>
    </i>
    <i>
      <x v="102"/>
    </i>
    <i>
      <x v="103"/>
    </i>
    <i>
      <x v="66"/>
    </i>
    <i>
      <x v="67"/>
    </i>
    <i>
      <x v="68"/>
    </i>
    <i>
      <x v="69"/>
    </i>
    <i>
      <x v="71"/>
    </i>
    <i>
      <x v="70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0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104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43" showRowHeaders="1" showColHeaders="1" showRowStripes="1" showColStripes="0" showLastColumn="1"/>
</pivotTableDefinition>
</file>

<file path=xl/pivotTables/pivotTable44.xml><?xml version="1.0" encoding="utf-8"?>
<pivotTableDefinition xmlns="http://schemas.openxmlformats.org/spreadsheetml/2006/main" name="June 2023 Sales by SKU (Quantity)" cacheId="43" dataPosition="0" autoFormatId="0" applyNumberFormats="0" applyBorderFormats="0" applyFontFormats="0" applyPatternFormats="0" applyAlignmentFormats="0" applyWidthHeightFormats="1" dataCaption="" missingCaption="" pivotTableStyle="PivotStyleCustom44" updatedVersion="7" useAutoFormatting="1" createdVersion="7" indent="0" showEmptyCol="1" showEmptyRow="1" compact="0" compactData="0" multipleFieldFilters="0">
  <location ref="P500:Q605" firstHeaderRow="1" firstDataRow="1" firstDataCol="1"/>
  <pivotFields count="3">
    <pivotField name="Line Item Name" axis="axisRow" compact="0" numFmtId="49" outline="0" showAll="0" sortType="ascending">
      <items count="105">
        <item x="96"/>
        <item x="97"/>
        <item x="80"/>
        <item x="98"/>
        <item x="87"/>
        <item x="75"/>
        <item x="79"/>
        <item x="76"/>
        <item x="100"/>
        <item x="102"/>
        <item x="74"/>
        <item x="73"/>
        <item x="77"/>
        <item x="54"/>
        <item x="58"/>
        <item x="57"/>
        <item x="86"/>
        <item x="59"/>
        <item x="84"/>
        <item x="82"/>
        <item x="51"/>
        <item x="17"/>
        <item x="35"/>
        <item x="27"/>
        <item x="10"/>
        <item x="23"/>
        <item x="32"/>
        <item x="13"/>
        <item x="50"/>
        <item x="11"/>
        <item x="42"/>
        <item x="43"/>
        <item x="40"/>
        <item x="16"/>
        <item x="63"/>
        <item x="64"/>
        <item x="44"/>
        <item x="2"/>
        <item x="36"/>
        <item x="15"/>
        <item x="67"/>
        <item x="22"/>
        <item x="29"/>
        <item x="46"/>
        <item x="9"/>
        <item x="1"/>
        <item x="47"/>
        <item x="0"/>
        <item x="30"/>
        <item x="3"/>
        <item x="21"/>
        <item x="103"/>
        <item x="53"/>
        <item x="33"/>
        <item x="34"/>
        <item x="62"/>
        <item x="101"/>
        <item x="45"/>
        <item x="4"/>
        <item x="18"/>
        <item x="41"/>
        <item x="19"/>
        <item x="8"/>
        <item x="12"/>
        <item x="20"/>
        <item x="28"/>
        <item x="49"/>
        <item x="65"/>
        <item x="7"/>
        <item x="93"/>
        <item x="70"/>
        <item x="14"/>
        <item x="72"/>
        <item x="31"/>
        <item x="85"/>
        <item x="60"/>
        <item x="95"/>
        <item x="71"/>
        <item x="92"/>
        <item x="66"/>
        <item x="90"/>
        <item x="55"/>
        <item x="68"/>
        <item x="48"/>
        <item x="52"/>
        <item x="38"/>
        <item x="5"/>
        <item x="39"/>
        <item x="37"/>
        <item x="24"/>
        <item x="83"/>
        <item x="94"/>
        <item x="61"/>
        <item x="91"/>
        <item x="88"/>
        <item x="89"/>
        <item x="81"/>
        <item x="6"/>
        <item x="78"/>
        <item x="99"/>
        <item x="56"/>
        <item x="69"/>
        <item x="26"/>
        <item x="25"/>
        <item t="default" sd="0"/>
      </items>
    </pivotField>
    <pivotField name="Line Item Description" compact="0" outline="0" showAll="0">
      <items count="107">
        <item x="105"/>
        <item x="99"/>
        <item x="73"/>
        <item x="9"/>
        <item x="100"/>
        <item x="80"/>
        <item x="56"/>
        <item x="69"/>
        <item x="72"/>
        <item x="70"/>
        <item x="92"/>
        <item x="91"/>
        <item x="58"/>
        <item x="59"/>
        <item x="102"/>
        <item x="103"/>
        <item x="67"/>
        <item x="47"/>
        <item x="52"/>
        <item x="20"/>
        <item x="44"/>
        <item x="32"/>
        <item x="71"/>
        <item x="104"/>
        <item x="34"/>
        <item x="57"/>
        <item x="14"/>
        <item x="55"/>
        <item x="30"/>
        <item x="0"/>
        <item x="41"/>
        <item x="61"/>
        <item x="3"/>
        <item x="24"/>
        <item x="1"/>
        <item x="26"/>
        <item x="95"/>
        <item x="11"/>
        <item x="25"/>
        <item x="31"/>
        <item x="43"/>
        <item x="23"/>
        <item x="27"/>
        <item x="54"/>
        <item x="19"/>
        <item x="97"/>
        <item x="65"/>
        <item x="77"/>
        <item x="13"/>
        <item x="50"/>
        <item x="76"/>
        <item x="2"/>
        <item x="4"/>
        <item x="48"/>
        <item x="16"/>
        <item x="15"/>
        <item x="38"/>
        <item x="29"/>
        <item x="18"/>
        <item x="28"/>
        <item x="46"/>
        <item x="42"/>
        <item x="68"/>
        <item x="21"/>
        <item x="39"/>
        <item x="6"/>
        <item x="75"/>
        <item x="74"/>
        <item x="87"/>
        <item x="82"/>
        <item x="85"/>
        <item x="86"/>
        <item x="89"/>
        <item x="83"/>
        <item x="84"/>
        <item x="88"/>
        <item x="96"/>
        <item x="10"/>
        <item x="49"/>
        <item x="17"/>
        <item x="98"/>
        <item x="40"/>
        <item x="7"/>
        <item x="60"/>
        <item x="33"/>
        <item x="35"/>
        <item x="37"/>
        <item x="36"/>
        <item x="53"/>
        <item x="5"/>
        <item x="93"/>
        <item x="101"/>
        <item x="66"/>
        <item x="51"/>
        <item x="63"/>
        <item x="79"/>
        <item x="45"/>
        <item x="78"/>
        <item x="12"/>
        <item x="64"/>
        <item x="22"/>
        <item x="8"/>
        <item x="94"/>
        <item x="62"/>
        <item x="90"/>
        <item x="81"/>
        <item t="default" sd="0"/>
      </items>
    </pivotField>
    <pivotField name="Order Quantity" axis="axisValues" dataField="1" compact="0" outline="0" showAll="0"/>
  </pivotFields>
  <rowFields count="1">
    <field x="0"/>
  </rowFields>
  <rowItems count="105">
    <i>
      <x v="72"/>
    </i>
    <i>
      <x v="73"/>
    </i>
    <i>
      <x v="10"/>
    </i>
    <i>
      <x v="11"/>
    </i>
    <i>
      <x v="31"/>
    </i>
    <i>
      <x v="63"/>
    </i>
    <i>
      <x v="50"/>
    </i>
    <i>
      <x v="25"/>
    </i>
    <i>
      <x v="22"/>
    </i>
    <i>
      <x v="27"/>
    </i>
    <i>
      <x v="18"/>
    </i>
    <i>
      <x v="42"/>
    </i>
    <i>
      <x v="65"/>
    </i>
    <i>
      <x v="30"/>
    </i>
    <i>
      <x v="58"/>
    </i>
    <i>
      <x v="29"/>
    </i>
    <i>
      <x v="71"/>
    </i>
    <i>
      <x v="44"/>
    </i>
    <i>
      <x v="97"/>
    </i>
    <i>
      <x v="24"/>
    </i>
    <i>
      <x v="62"/>
    </i>
    <i>
      <x v="26"/>
    </i>
    <i>
      <x v="33"/>
    </i>
    <i>
      <x v="45"/>
    </i>
    <i>
      <x v="23"/>
    </i>
    <i>
      <x v="37"/>
    </i>
    <i>
      <x v="7"/>
    </i>
    <i>
      <x v="9"/>
    </i>
    <i>
      <x v="12"/>
    </i>
    <i>
      <x v="17"/>
    </i>
    <i>
      <x v="48"/>
    </i>
    <i>
      <x v="55"/>
    </i>
    <i>
      <x v="56"/>
    </i>
    <i>
      <x v="70"/>
    </i>
    <i>
      <x v="61"/>
    </i>
    <i>
      <x v="19"/>
    </i>
    <i>
      <x v="34"/>
    </i>
    <i>
      <x v="86"/>
    </i>
    <i>
      <x v="94"/>
    </i>
    <i>
      <x v="96"/>
    </i>
    <i>
      <x v="101"/>
    </i>
    <i>
      <x v="102"/>
    </i>
    <i>
      <x v="103"/>
    </i>
    <i>
      <x v="20"/>
    </i>
    <i>
      <x v="41"/>
    </i>
    <i>
      <x v="43"/>
    </i>
    <i>
      <x v="95"/>
    </i>
    <i>
      <x v="49"/>
    </i>
    <i>
      <x v="52"/>
    </i>
    <i>
      <x v="84"/>
    </i>
    <i>
      <x v="93"/>
    </i>
    <i>
      <x v="13"/>
    </i>
    <i>
      <x v="21"/>
    </i>
    <i>
      <x v="39"/>
    </i>
    <i>
      <x v="47"/>
    </i>
    <i>
      <x v="54"/>
    </i>
    <i>
      <x v="57"/>
    </i>
    <i>
      <x v="59"/>
    </i>
    <i>
      <x v="60"/>
    </i>
    <i>
      <x v="69"/>
    </i>
    <i>
      <x v="87"/>
    </i>
    <i>
      <x/>
    </i>
    <i>
      <x v="35"/>
    </i>
    <i>
      <x v="68"/>
    </i>
    <i>
      <x v="76"/>
    </i>
    <i>
      <x v="91"/>
    </i>
    <i>
      <x v="53"/>
    </i>
    <i>
      <x v="90"/>
    </i>
    <i>
      <x v="5"/>
    </i>
    <i>
      <x v="8"/>
    </i>
    <i>
      <x v="28"/>
    </i>
    <i>
      <x v="32"/>
    </i>
    <i>
      <x v="36"/>
    </i>
    <i>
      <x v="40"/>
    </i>
    <i>
      <x v="46"/>
    </i>
    <i>
      <x v="51"/>
    </i>
    <i>
      <x v="64"/>
    </i>
    <i>
      <x v="66"/>
    </i>
    <i>
      <x v="67"/>
    </i>
    <i>
      <x v="81"/>
    </i>
    <i>
      <x v="82"/>
    </i>
    <i>
      <x v="85"/>
    </i>
    <i>
      <x v="89"/>
    </i>
    <i>
      <x v="98"/>
    </i>
    <i>
      <x v="99"/>
    </i>
    <i>
      <x v="1"/>
    </i>
    <i>
      <x v="3"/>
    </i>
    <i>
      <x v="2"/>
    </i>
    <i>
      <x v="4"/>
    </i>
    <i>
      <x v="6"/>
    </i>
    <i>
      <x v="14"/>
    </i>
    <i>
      <x v="15"/>
    </i>
    <i>
      <x v="16"/>
    </i>
    <i>
      <x v="38"/>
    </i>
    <i>
      <x v="74"/>
    </i>
    <i>
      <x v="77"/>
    </i>
    <i>
      <x v="75"/>
    </i>
    <i>
      <x v="78"/>
    </i>
    <i>
      <x v="79"/>
    </i>
    <i>
      <x v="80"/>
    </i>
    <i>
      <x v="83"/>
    </i>
    <i>
      <x v="88"/>
    </i>
    <i>
      <x v="92"/>
    </i>
    <i>
      <x v="100"/>
    </i>
    <i t="grand">
      <x/>
    </i>
  </rowItems>
  <colItems count="1">
    <i/>
  </colItems>
  <dataFields count="1">
    <dataField name="Sum of Order Quantity" fld="2"/>
  </dataFields>
  <pivotTableStyleInfo name="PivotStyleCustom44" showRowHeaders="1" showColHeaders="1" showRowStripes="1" showColStripes="0" showLastColumn="1"/>
</pivotTableDefinition>
</file>

<file path=xl/pivotTables/pivotTable45.xml><?xml version="1.0" encoding="utf-8"?>
<pivotTableDefinition xmlns="http://schemas.openxmlformats.org/spreadsheetml/2006/main" name="June 2023 Sales by SKU$" cacheId="44" dataPosition="0" autoFormatId="0" applyNumberFormats="0" applyBorderFormats="0" applyFontFormats="0" applyPatternFormats="0" applyAlignmentFormats="0" applyWidthHeightFormats="1" dataCaption="" missingCaption="" pivotTableStyle="PivotStyleCustom45" updatedVersion="7" useAutoFormatting="1" createdVersion="7" indent="0" showEmptyCol="1" showEmptyRow="1" compact="0" compactData="0" multipleFieldFilters="0">
  <location ref="R608:S713" firstHeaderRow="1" firstDataRow="1" firstDataCol="1"/>
  <pivotFields count="5">
    <pivotField name="Line Item Name" axis="axisRow" compact="0" numFmtId="49" outline="0" showAll="0" sortType="ascending">
      <items count="105">
        <item x="96"/>
        <item x="97"/>
        <item x="80"/>
        <item x="98"/>
        <item x="87"/>
        <item x="75"/>
        <item x="79"/>
        <item x="76"/>
        <item x="100"/>
        <item x="102"/>
        <item x="74"/>
        <item x="73"/>
        <item x="77"/>
        <item x="54"/>
        <item x="58"/>
        <item x="57"/>
        <item x="86"/>
        <item x="59"/>
        <item x="84"/>
        <item x="82"/>
        <item x="51"/>
        <item x="17"/>
        <item x="35"/>
        <item x="27"/>
        <item x="10"/>
        <item x="23"/>
        <item x="32"/>
        <item x="13"/>
        <item x="50"/>
        <item x="11"/>
        <item x="42"/>
        <item x="43"/>
        <item x="40"/>
        <item x="16"/>
        <item x="63"/>
        <item x="64"/>
        <item x="44"/>
        <item x="2"/>
        <item x="36"/>
        <item x="15"/>
        <item x="67"/>
        <item x="22"/>
        <item x="29"/>
        <item x="46"/>
        <item x="9"/>
        <item x="1"/>
        <item x="47"/>
        <item x="0"/>
        <item x="30"/>
        <item x="3"/>
        <item x="21"/>
        <item x="103"/>
        <item x="53"/>
        <item x="33"/>
        <item x="34"/>
        <item x="62"/>
        <item x="101"/>
        <item x="45"/>
        <item x="4"/>
        <item x="18"/>
        <item x="41"/>
        <item x="19"/>
        <item x="8"/>
        <item x="12"/>
        <item x="20"/>
        <item x="28"/>
        <item x="49"/>
        <item x="65"/>
        <item x="7"/>
        <item x="93"/>
        <item x="70"/>
        <item x="14"/>
        <item x="72"/>
        <item x="31"/>
        <item x="85"/>
        <item x="60"/>
        <item x="95"/>
        <item x="71"/>
        <item x="92"/>
        <item x="66"/>
        <item x="90"/>
        <item x="55"/>
        <item x="68"/>
        <item x="48"/>
        <item x="52"/>
        <item x="38"/>
        <item x="5"/>
        <item x="39"/>
        <item x="37"/>
        <item x="24"/>
        <item x="83"/>
        <item x="94"/>
        <item x="61"/>
        <item x="91"/>
        <item x="88"/>
        <item x="89"/>
        <item x="81"/>
        <item x="6"/>
        <item x="78"/>
        <item x="99"/>
        <item x="56"/>
        <item x="69"/>
        <item x="26"/>
        <item x="25"/>
        <item t="default" sd="0"/>
      </items>
    </pivotField>
    <pivotField name="Line Item Description" compact="0" outline="0" showAll="0">
      <items count="107">
        <item x="105"/>
        <item x="99"/>
        <item x="73"/>
        <item x="9"/>
        <item x="100"/>
        <item x="80"/>
        <item x="56"/>
        <item x="69"/>
        <item x="72"/>
        <item x="70"/>
        <item x="92"/>
        <item x="91"/>
        <item x="58"/>
        <item x="59"/>
        <item x="102"/>
        <item x="103"/>
        <item x="67"/>
        <item x="47"/>
        <item x="52"/>
        <item x="20"/>
        <item x="44"/>
        <item x="32"/>
        <item x="71"/>
        <item x="104"/>
        <item x="34"/>
        <item x="57"/>
        <item x="14"/>
        <item x="55"/>
        <item x="30"/>
        <item x="0"/>
        <item x="41"/>
        <item x="61"/>
        <item x="3"/>
        <item x="24"/>
        <item x="1"/>
        <item x="26"/>
        <item x="95"/>
        <item x="11"/>
        <item x="25"/>
        <item x="31"/>
        <item x="43"/>
        <item x="23"/>
        <item x="27"/>
        <item x="54"/>
        <item x="19"/>
        <item x="97"/>
        <item x="65"/>
        <item x="77"/>
        <item x="13"/>
        <item x="50"/>
        <item x="76"/>
        <item x="2"/>
        <item x="4"/>
        <item x="48"/>
        <item x="16"/>
        <item x="15"/>
        <item x="38"/>
        <item x="29"/>
        <item x="18"/>
        <item x="28"/>
        <item x="46"/>
        <item x="42"/>
        <item x="68"/>
        <item x="21"/>
        <item x="39"/>
        <item x="6"/>
        <item x="75"/>
        <item x="74"/>
        <item x="87"/>
        <item x="82"/>
        <item x="85"/>
        <item x="86"/>
        <item x="89"/>
        <item x="83"/>
        <item x="84"/>
        <item x="88"/>
        <item x="96"/>
        <item x="10"/>
        <item x="49"/>
        <item x="17"/>
        <item x="98"/>
        <item x="40"/>
        <item x="7"/>
        <item x="60"/>
        <item x="33"/>
        <item x="35"/>
        <item x="37"/>
        <item x="36"/>
        <item x="53"/>
        <item x="5"/>
        <item x="93"/>
        <item x="101"/>
        <item x="66"/>
        <item x="51"/>
        <item x="63"/>
        <item x="79"/>
        <item x="45"/>
        <item x="78"/>
        <item x="12"/>
        <item x="64"/>
        <item x="22"/>
        <item x="8"/>
        <item x="94"/>
        <item x="62"/>
        <item x="90"/>
        <item x="81"/>
        <item t="default" sd="0"/>
      </items>
    </pivotField>
    <pivotField name="Order Quantity" compact="0" outline="0" showAll="0">
      <items count="21">
        <item x="2"/>
        <item x="0"/>
        <item x="1"/>
        <item x="4"/>
        <item x="6"/>
        <item x="5"/>
        <item x="10"/>
        <item x="12"/>
        <item x="3"/>
        <item x="9"/>
        <item x="7"/>
        <item x="14"/>
        <item x="13"/>
        <item x="11"/>
        <item x="19"/>
        <item x="15"/>
        <item x="18"/>
        <item x="8"/>
        <item x="17"/>
        <item x="16"/>
        <item t="default" sd="0"/>
      </items>
    </pivotField>
    <pivotField name="Unit Price" compact="0" outline="0" showAll="0">
      <items count="106">
        <item x="62"/>
        <item x="12"/>
        <item x="79"/>
        <item x="68"/>
        <item x="81"/>
        <item x="77"/>
        <item x="70"/>
        <item x="46"/>
        <item x="100"/>
        <item x="76"/>
        <item x="36"/>
        <item x="69"/>
        <item x="82"/>
        <item x="73"/>
        <item x="97"/>
        <item x="11"/>
        <item x="33"/>
        <item x="44"/>
        <item x="80"/>
        <item x="27"/>
        <item x="91"/>
        <item x="20"/>
        <item x="96"/>
        <item x="38"/>
        <item x="45"/>
        <item x="21"/>
        <item x="49"/>
        <item x="31"/>
        <item x="28"/>
        <item x="30"/>
        <item x="67"/>
        <item x="78"/>
        <item x="52"/>
        <item x="32"/>
        <item x="10"/>
        <item x="24"/>
        <item x="85"/>
        <item x="94"/>
        <item x="57"/>
        <item x="53"/>
        <item x="47"/>
        <item x="71"/>
        <item x="26"/>
        <item x="9"/>
        <item x="3"/>
        <item x="59"/>
        <item x="55"/>
        <item x="104"/>
        <item x="60"/>
        <item x="72"/>
        <item x="83"/>
        <item x="90"/>
        <item x="64"/>
        <item x="87"/>
        <item x="37"/>
        <item x="84"/>
        <item x="2"/>
        <item x="93"/>
        <item x="75"/>
        <item x="29"/>
        <item x="43"/>
        <item x="19"/>
        <item x="89"/>
        <item x="50"/>
        <item x="42"/>
        <item x="18"/>
        <item x="54"/>
        <item x="99"/>
        <item x="39"/>
        <item x="41"/>
        <item x="74"/>
        <item x="1"/>
        <item x="86"/>
        <item x="48"/>
        <item x="103"/>
        <item x="101"/>
        <item x="95"/>
        <item x="0"/>
        <item x="40"/>
        <item x="6"/>
        <item x="65"/>
        <item x="88"/>
        <item x="4"/>
        <item x="34"/>
        <item x="35"/>
        <item x="66"/>
        <item x="23"/>
        <item x="13"/>
        <item x="58"/>
        <item x="14"/>
        <item x="15"/>
        <item x="51"/>
        <item x="16"/>
        <item x="56"/>
        <item x="22"/>
        <item x="63"/>
        <item x="8"/>
        <item x="102"/>
        <item x="98"/>
        <item x="25"/>
        <item x="92"/>
        <item x="17"/>
        <item x="5"/>
        <item x="61"/>
        <item x="7"/>
        <item t="default" sd="0"/>
      </items>
    </pivotField>
    <pivotField name="Total Line Item $" axis="axisValues" dataField="1" compact="0" outline="0" showAll="0"/>
  </pivotFields>
  <rowFields count="1">
    <field x="0"/>
  </rowFields>
  <rowItems count="105">
    <i>
      <x v="65"/>
    </i>
    <i>
      <x v="86"/>
    </i>
    <i>
      <x v="62"/>
    </i>
    <i>
      <x v="68"/>
    </i>
    <i>
      <x v="71"/>
    </i>
    <i>
      <x v="58"/>
    </i>
    <i>
      <x v="61"/>
    </i>
    <i>
      <x v="33"/>
    </i>
    <i>
      <x v="69"/>
    </i>
    <i>
      <x v="67"/>
    </i>
    <i>
      <x v="22"/>
    </i>
    <i>
      <x v="45"/>
    </i>
    <i>
      <x v="97"/>
    </i>
    <i>
      <x v="59"/>
    </i>
    <i>
      <x v="66"/>
    </i>
    <i>
      <x v="64"/>
    </i>
    <i>
      <x v="44"/>
    </i>
    <i>
      <x v="42"/>
    </i>
    <i>
      <x v="60"/>
    </i>
    <i>
      <x v="93"/>
    </i>
    <i>
      <x v="23"/>
    </i>
    <i>
      <x v="43"/>
    </i>
    <i>
      <x v="20"/>
    </i>
    <i>
      <x v="89"/>
    </i>
    <i>
      <x v="47"/>
    </i>
    <i>
      <x v="30"/>
    </i>
    <i>
      <x v="37"/>
    </i>
    <i>
      <x v="7"/>
    </i>
    <i>
      <x v="40"/>
    </i>
    <i>
      <x v="26"/>
    </i>
    <i>
      <x v="34"/>
    </i>
    <i>
      <x v="95"/>
    </i>
    <i>
      <x v="48"/>
    </i>
    <i>
      <x v="39"/>
    </i>
    <i>
      <x v="98"/>
    </i>
    <i>
      <x v="46"/>
    </i>
    <i>
      <x v="49"/>
    </i>
    <i>
      <x v="24"/>
    </i>
    <i>
      <x v="73"/>
    </i>
    <i>
      <x v="50"/>
    </i>
    <i>
      <x v="41"/>
    </i>
    <i>
      <x v="55"/>
    </i>
    <i>
      <x v="72"/>
    </i>
    <i>
      <x v="36"/>
    </i>
    <i>
      <x v="25"/>
    </i>
    <i>
      <x v="11"/>
    </i>
    <i>
      <x v="70"/>
    </i>
    <i>
      <x v="29"/>
    </i>
    <i>
      <x v="92"/>
    </i>
    <i>
      <x v="35"/>
    </i>
    <i>
      <x v="63"/>
    </i>
    <i>
      <x v="56"/>
    </i>
    <i>
      <x v="27"/>
    </i>
    <i>
      <x v="2"/>
    </i>
    <i>
      <x v="38"/>
    </i>
    <i>
      <x v="52"/>
    </i>
    <i>
      <x v="54"/>
    </i>
    <i>
      <x v="5"/>
    </i>
    <i>
      <x v="87"/>
    </i>
    <i>
      <x v="10"/>
    </i>
    <i>
      <x v="57"/>
    </i>
    <i>
      <x v="90"/>
    </i>
    <i>
      <x v="9"/>
    </i>
    <i>
      <x v="12"/>
    </i>
    <i>
      <x v="51"/>
    </i>
    <i>
      <x v="53"/>
    </i>
    <i>
      <x v="85"/>
    </i>
    <i>
      <x v="84"/>
    </i>
    <i>
      <x v="31"/>
    </i>
    <i>
      <x v="81"/>
    </i>
    <i>
      <x v="6"/>
    </i>
    <i>
      <x v="77"/>
    </i>
    <i>
      <x v="96"/>
    </i>
    <i>
      <x v="32"/>
    </i>
    <i>
      <x v="78"/>
    </i>
    <i>
      <x v="74"/>
    </i>
    <i>
      <x v="19"/>
    </i>
    <i>
      <x v="13"/>
    </i>
    <i>
      <x v="18"/>
    </i>
    <i>
      <x v="4"/>
    </i>
    <i>
      <x v="16"/>
    </i>
    <i>
      <x v="103"/>
    </i>
    <i>
      <x v="102"/>
    </i>
    <i>
      <x v="101"/>
    </i>
    <i>
      <x v="100"/>
    </i>
    <i>
      <x v="99"/>
    </i>
    <i>
      <x v="94"/>
    </i>
    <i>
      <x v="91"/>
    </i>
    <i>
      <x v="88"/>
    </i>
    <i>
      <x v="83"/>
    </i>
    <i>
      <x v="82"/>
    </i>
    <i>
      <x v="80"/>
    </i>
    <i>
      <x v="75"/>
    </i>
    <i>
      <x v="76"/>
    </i>
    <i>
      <x v="28"/>
    </i>
    <i>
      <x v="21"/>
    </i>
    <i>
      <x v="17"/>
    </i>
    <i>
      <x v="15"/>
    </i>
    <i>
      <x v="14"/>
    </i>
    <i>
      <x v="8"/>
    </i>
    <i>
      <x v="3"/>
    </i>
    <i>
      <x v="1"/>
    </i>
    <i>
      <x/>
    </i>
    <i>
      <x v="79"/>
    </i>
    <i t="grand">
      <x/>
    </i>
  </rowItems>
  <colItems count="1">
    <i/>
  </colItems>
  <dataFields count="1">
    <dataField name="Sum of Total Line Item $" fld="4" numFmtId="60"/>
  </dataFields>
  <pivotTableStyleInfo name="PivotStyleCustom45" showRowHeaders="1" showColHeaders="1" showRowStripes="1" showColStripes="0" showLastColumn="1"/>
</pivotTableDefinition>
</file>

<file path=xl/pivotTables/pivotTable46.xml><?xml version="1.0" encoding="utf-8"?>
<pivotTableDefinition xmlns="http://schemas.openxmlformats.org/spreadsheetml/2006/main" name="May 2023 Sales by SKU (Quantity)" cacheId="45" dataPosition="0" autoFormatId="0" applyNumberFormats="0" applyBorderFormats="0" applyFontFormats="0" applyPatternFormats="0" applyAlignmentFormats="0" applyWidthHeightFormats="1" dataCaption="" missingCaption="" pivotTableStyle="PivotStyleCustom46" updatedVersion="7" useAutoFormatting="1" createdVersion="7" indent="0" showEmptyCol="1" showEmptyRow="1" compact="0" compactData="0" multipleFieldFilters="0">
  <location ref="P1140:Q1233" firstHeaderRow="1" firstDataRow="1" firstDataCol="1"/>
  <pivotFields count="3">
    <pivotField name="Line Item Name" axis="axisRow" compact="0" numFmtId="49" outline="0" showAll="0" sortType="ascending">
      <items count="93">
        <item x="88"/>
        <item x="33"/>
        <item x="85"/>
        <item x="34"/>
        <item x="86"/>
        <item x="52"/>
        <item x="56"/>
        <item x="89"/>
        <item x="50"/>
        <item x="82"/>
        <item x="43"/>
        <item x="64"/>
        <item x="51"/>
        <item x="42"/>
        <item x="62"/>
        <item x="10"/>
        <item x="72"/>
        <item x="23"/>
        <item x="20"/>
        <item x="17"/>
        <item x="11"/>
        <item x="29"/>
        <item x="37"/>
        <item x="5"/>
        <item x="67"/>
        <item x="36"/>
        <item x="39"/>
        <item x="19"/>
        <item x="40"/>
        <item x="73"/>
        <item x="74"/>
        <item x="47"/>
        <item x="48"/>
        <item x="53"/>
        <item x="28"/>
        <item x="18"/>
        <item x="54"/>
        <item x="3"/>
        <item x="46"/>
        <item x="21"/>
        <item x="27"/>
        <item x="25"/>
        <item x="13"/>
        <item x="16"/>
        <item x="66"/>
        <item x="71"/>
        <item x="81"/>
        <item x="70"/>
        <item x="0"/>
        <item x="44"/>
        <item x="14"/>
        <item x="1"/>
        <item x="2"/>
        <item x="75"/>
        <item x="4"/>
        <item x="15"/>
        <item x="45"/>
        <item x="35"/>
        <item x="6"/>
        <item x="12"/>
        <item x="8"/>
        <item x="22"/>
        <item x="55"/>
        <item x="31"/>
        <item x="77"/>
        <item x="61"/>
        <item x="76"/>
        <item x="65"/>
        <item x="87"/>
        <item x="38"/>
        <item x="84"/>
        <item x="57"/>
        <item x="59"/>
        <item x="7"/>
        <item x="26"/>
        <item x="32"/>
        <item x="69"/>
        <item x="30"/>
        <item x="68"/>
        <item x="60"/>
        <item x="9"/>
        <item x="24"/>
        <item x="83"/>
        <item x="90"/>
        <item x="49"/>
        <item x="78"/>
        <item x="41"/>
        <item x="91"/>
        <item x="79"/>
        <item x="80"/>
        <item x="63"/>
        <item x="58"/>
        <item t="default" sd="0"/>
      </items>
    </pivotField>
    <pivotField name="Line Item Description" compact="0" outline="0" showAll="0">
      <items count="105">
        <item x="99"/>
        <item x="35"/>
        <item x="97"/>
        <item x="36"/>
        <item x="26"/>
        <item x="71"/>
        <item x="83"/>
        <item x="84"/>
        <item x="69"/>
        <item x="64"/>
        <item x="94"/>
        <item x="72"/>
        <item x="82"/>
        <item x="7"/>
        <item x="44"/>
        <item x="45"/>
        <item x="91"/>
        <item x="61"/>
        <item x="51"/>
        <item x="50"/>
        <item x="23"/>
        <item x="43"/>
        <item x="90"/>
        <item x="19"/>
        <item x="24"/>
        <item x="17"/>
        <item x="21"/>
        <item x="20"/>
        <item x="29"/>
        <item x="28"/>
        <item x="85"/>
        <item x="49"/>
        <item x="30"/>
        <item x="48"/>
        <item x="25"/>
        <item x="13"/>
        <item x="31"/>
        <item x="5"/>
        <item x="22"/>
        <item x="75"/>
        <item x="54"/>
        <item x="27"/>
        <item x="74"/>
        <item x="18"/>
        <item x="63"/>
        <item x="42"/>
        <item x="67"/>
        <item x="58"/>
        <item x="0"/>
        <item x="40"/>
        <item x="1"/>
        <item x="46"/>
        <item x="80"/>
        <item x="15"/>
        <item x="81"/>
        <item x="56"/>
        <item x="103"/>
        <item x="59"/>
        <item x="2"/>
        <item x="34"/>
        <item x="79"/>
        <item x="32"/>
        <item x="100"/>
        <item x="96"/>
        <item x="52"/>
        <item x="66"/>
        <item x="4"/>
        <item x="73"/>
        <item x="88"/>
        <item x="62"/>
        <item x="14"/>
        <item x="93"/>
        <item x="47"/>
        <item x="86"/>
        <item x="65"/>
        <item x="68"/>
        <item x="76"/>
        <item x="3"/>
        <item x="98"/>
        <item x="39"/>
        <item x="38"/>
        <item x="70"/>
        <item x="57"/>
        <item x="37"/>
        <item x="60"/>
        <item x="6"/>
        <item x="95"/>
        <item x="8"/>
        <item x="9"/>
        <item x="10"/>
        <item x="11"/>
        <item x="53"/>
        <item x="101"/>
        <item x="33"/>
        <item x="92"/>
        <item x="12"/>
        <item x="89"/>
        <item x="41"/>
        <item x="16"/>
        <item x="78"/>
        <item x="77"/>
        <item x="102"/>
        <item x="87"/>
        <item x="55"/>
        <item t="default" sd="0"/>
      </items>
    </pivotField>
    <pivotField name="Order Quantity" axis="axisValues" dataField="1" compact="0" outline="0" showAll="0"/>
  </pivotFields>
  <rowFields count="1">
    <field x="0"/>
  </rowFields>
  <rowItems count="93">
    <i>
      <x/>
    </i>
    <i>
      <x v="60"/>
    </i>
    <i>
      <x v="54"/>
    </i>
    <i>
      <x v="61"/>
    </i>
    <i>
      <x v="18"/>
    </i>
    <i>
      <x v="20"/>
    </i>
    <i>
      <x v="19"/>
    </i>
    <i>
      <x v="42"/>
    </i>
    <i>
      <x v="59"/>
    </i>
    <i>
      <x v="43"/>
    </i>
    <i>
      <x v="1"/>
    </i>
    <i>
      <x v="3"/>
    </i>
    <i>
      <x v="55"/>
    </i>
    <i>
      <x v="17"/>
    </i>
    <i>
      <x v="25"/>
    </i>
    <i>
      <x v="27"/>
    </i>
    <i>
      <x v="39"/>
    </i>
    <i>
      <x v="29"/>
    </i>
    <i>
      <x v="35"/>
    </i>
    <i>
      <x v="23"/>
    </i>
    <i>
      <x v="52"/>
    </i>
    <i>
      <x v="71"/>
    </i>
    <i>
      <x v="72"/>
    </i>
    <i>
      <x v="34"/>
    </i>
    <i>
      <x v="44"/>
    </i>
    <i>
      <x v="47"/>
    </i>
    <i>
      <x v="80"/>
    </i>
    <i>
      <x v="37"/>
    </i>
    <i>
      <x v="41"/>
    </i>
    <i>
      <x v="48"/>
    </i>
    <i>
      <x v="51"/>
    </i>
    <i>
      <x v="5"/>
    </i>
    <i>
      <x v="10"/>
    </i>
    <i>
      <x v="58"/>
    </i>
    <i>
      <x v="63"/>
    </i>
    <i>
      <x v="31"/>
    </i>
    <i>
      <x v="21"/>
    </i>
    <i>
      <x v="24"/>
    </i>
    <i>
      <x v="38"/>
    </i>
    <i>
      <x v="6"/>
    </i>
    <i>
      <x v="14"/>
    </i>
    <i>
      <x v="15"/>
    </i>
    <i>
      <x v="62"/>
    </i>
    <i>
      <x v="91"/>
    </i>
    <i>
      <x v="26"/>
    </i>
    <i>
      <x v="7"/>
    </i>
    <i>
      <x v="28"/>
    </i>
    <i>
      <x v="50"/>
    </i>
    <i>
      <x v="69"/>
    </i>
    <i>
      <x v="81"/>
    </i>
    <i>
      <x v="12"/>
    </i>
    <i>
      <x v="13"/>
    </i>
    <i>
      <x v="30"/>
    </i>
    <i>
      <x v="32"/>
    </i>
    <i>
      <x v="56"/>
    </i>
    <i>
      <x v="78"/>
    </i>
    <i>
      <x v="49"/>
    </i>
    <i>
      <x v="86"/>
    </i>
    <i>
      <x v="8"/>
    </i>
    <i>
      <x v="22"/>
    </i>
    <i>
      <x v="90"/>
    </i>
    <i>
      <x v="16"/>
    </i>
    <i>
      <x v="11"/>
    </i>
    <i>
      <x v="33"/>
    </i>
    <i>
      <x v="36"/>
    </i>
    <i>
      <x v="40"/>
    </i>
    <i>
      <x v="46"/>
    </i>
    <i>
      <x v="53"/>
    </i>
    <i>
      <x v="57"/>
    </i>
    <i>
      <x v="67"/>
    </i>
    <i>
      <x v="73"/>
    </i>
    <i>
      <x v="75"/>
    </i>
    <i>
      <x v="79"/>
    </i>
    <i>
      <x v="84"/>
    </i>
    <i>
      <x v="85"/>
    </i>
    <i>
      <x v="2"/>
    </i>
    <i>
      <x v="4"/>
    </i>
    <i>
      <x v="9"/>
    </i>
    <i>
      <x v="45"/>
    </i>
    <i>
      <x v="64"/>
    </i>
    <i>
      <x v="65"/>
    </i>
    <i>
      <x v="66"/>
    </i>
    <i>
      <x v="68"/>
    </i>
    <i>
      <x v="70"/>
    </i>
    <i>
      <x v="74"/>
    </i>
    <i>
      <x v="76"/>
    </i>
    <i>
      <x v="77"/>
    </i>
    <i>
      <x v="82"/>
    </i>
    <i>
      <x v="83"/>
    </i>
    <i>
      <x v="87"/>
    </i>
    <i>
      <x v="88"/>
    </i>
    <i>
      <x v="89"/>
    </i>
    <i t="grand">
      <x/>
    </i>
  </rowItems>
  <colItems count="1">
    <i/>
  </colItems>
  <dataFields count="1">
    <dataField name="Sum of Order Quantity" fld="2"/>
  </dataFields>
  <pivotTableStyleInfo name="PivotStyleCustom46" showRowHeaders="1" showColHeaders="1" showRowStripes="1" showColStripes="0" showLastColumn="1"/>
</pivotTableDefinition>
</file>

<file path=xl/pivotTables/pivotTable47.xml><?xml version="1.0" encoding="utf-8"?>
<pivotTableDefinition xmlns="http://schemas.openxmlformats.org/spreadsheetml/2006/main" name="May 2023 Sales by SKU$" cacheId="46" dataPosition="0" autoFormatId="0" applyNumberFormats="0" applyBorderFormats="0" applyFontFormats="0" applyPatternFormats="0" applyAlignmentFormats="0" applyWidthHeightFormats="1" dataCaption="" missingCaption="" pivotTableStyle="PivotStyleCustom47" updatedVersion="7" useAutoFormatting="1" createdVersion="7" indent="0" showEmptyCol="1" showEmptyRow="1" compact="0" compactData="0" multipleFieldFilters="0">
  <location ref="R1236:S1329" firstHeaderRow="1" firstDataRow="1" firstDataCol="1"/>
  <pivotFields count="5">
    <pivotField name="Line Item Name" axis="axisRow" compact="0" numFmtId="49" outline="0" showAll="0" sortType="ascending">
      <items count="93">
        <item x="88"/>
        <item x="33"/>
        <item x="85"/>
        <item x="34"/>
        <item x="86"/>
        <item x="52"/>
        <item x="56"/>
        <item x="89"/>
        <item x="50"/>
        <item x="82"/>
        <item x="43"/>
        <item x="64"/>
        <item x="51"/>
        <item x="42"/>
        <item x="62"/>
        <item x="10"/>
        <item x="72"/>
        <item x="23"/>
        <item x="20"/>
        <item x="17"/>
        <item x="11"/>
        <item x="29"/>
        <item x="37"/>
        <item x="5"/>
        <item x="67"/>
        <item x="36"/>
        <item x="39"/>
        <item x="19"/>
        <item x="40"/>
        <item x="73"/>
        <item x="74"/>
        <item x="47"/>
        <item x="48"/>
        <item x="53"/>
        <item x="28"/>
        <item x="18"/>
        <item x="54"/>
        <item x="3"/>
        <item x="46"/>
        <item x="21"/>
        <item x="27"/>
        <item x="25"/>
        <item x="13"/>
        <item x="16"/>
        <item x="66"/>
        <item x="71"/>
        <item x="81"/>
        <item x="70"/>
        <item x="0"/>
        <item x="44"/>
        <item x="14"/>
        <item x="1"/>
        <item x="2"/>
        <item x="75"/>
        <item x="4"/>
        <item x="15"/>
        <item x="45"/>
        <item x="35"/>
        <item x="6"/>
        <item x="12"/>
        <item x="8"/>
        <item x="22"/>
        <item x="55"/>
        <item x="31"/>
        <item x="77"/>
        <item x="61"/>
        <item x="76"/>
        <item x="65"/>
        <item x="87"/>
        <item x="38"/>
        <item x="84"/>
        <item x="57"/>
        <item x="59"/>
        <item x="7"/>
        <item x="26"/>
        <item x="32"/>
        <item x="69"/>
        <item x="30"/>
        <item x="68"/>
        <item x="60"/>
        <item x="9"/>
        <item x="24"/>
        <item x="83"/>
        <item x="90"/>
        <item x="49"/>
        <item x="78"/>
        <item x="41"/>
        <item x="91"/>
        <item x="79"/>
        <item x="80"/>
        <item x="63"/>
        <item x="58"/>
        <item t="default" sd="0"/>
      </items>
    </pivotField>
    <pivotField name="Line Item Description" compact="0" outline="0" showAll="0">
      <items count="105">
        <item x="99"/>
        <item x="35"/>
        <item x="97"/>
        <item x="36"/>
        <item x="26"/>
        <item x="71"/>
        <item x="83"/>
        <item x="84"/>
        <item x="69"/>
        <item x="64"/>
        <item x="94"/>
        <item x="72"/>
        <item x="82"/>
        <item x="7"/>
        <item x="44"/>
        <item x="45"/>
        <item x="91"/>
        <item x="61"/>
        <item x="51"/>
        <item x="50"/>
        <item x="23"/>
        <item x="43"/>
        <item x="90"/>
        <item x="19"/>
        <item x="24"/>
        <item x="17"/>
        <item x="21"/>
        <item x="20"/>
        <item x="29"/>
        <item x="28"/>
        <item x="85"/>
        <item x="49"/>
        <item x="30"/>
        <item x="48"/>
        <item x="25"/>
        <item x="13"/>
        <item x="31"/>
        <item x="5"/>
        <item x="22"/>
        <item x="75"/>
        <item x="54"/>
        <item x="27"/>
        <item x="74"/>
        <item x="18"/>
        <item x="63"/>
        <item x="42"/>
        <item x="67"/>
        <item x="58"/>
        <item x="0"/>
        <item x="40"/>
        <item x="1"/>
        <item x="46"/>
        <item x="80"/>
        <item x="15"/>
        <item x="81"/>
        <item x="56"/>
        <item x="103"/>
        <item x="59"/>
        <item x="2"/>
        <item x="34"/>
        <item x="79"/>
        <item x="32"/>
        <item x="100"/>
        <item x="96"/>
        <item x="52"/>
        <item x="66"/>
        <item x="4"/>
        <item x="73"/>
        <item x="88"/>
        <item x="62"/>
        <item x="14"/>
        <item x="93"/>
        <item x="47"/>
        <item x="86"/>
        <item x="65"/>
        <item x="68"/>
        <item x="76"/>
        <item x="3"/>
        <item x="98"/>
        <item x="39"/>
        <item x="38"/>
        <item x="70"/>
        <item x="57"/>
        <item x="37"/>
        <item x="60"/>
        <item x="6"/>
        <item x="95"/>
        <item x="8"/>
        <item x="9"/>
        <item x="10"/>
        <item x="11"/>
        <item x="53"/>
        <item x="101"/>
        <item x="33"/>
        <item x="92"/>
        <item x="12"/>
        <item x="89"/>
        <item x="41"/>
        <item x="16"/>
        <item x="78"/>
        <item x="77"/>
        <item x="102"/>
        <item x="87"/>
        <item x="55"/>
        <item t="default" sd="0"/>
      </items>
    </pivotField>
    <pivotField name="Order Quantity" compact="0" outline="0" showAll="0">
      <items count="20">
        <item x="0"/>
        <item x="1"/>
        <item x="12"/>
        <item x="3"/>
        <item x="8"/>
        <item x="7"/>
        <item x="15"/>
        <item x="6"/>
        <item x="4"/>
        <item x="2"/>
        <item x="9"/>
        <item x="17"/>
        <item x="14"/>
        <item x="11"/>
        <item x="10"/>
        <item x="18"/>
        <item x="5"/>
        <item x="13"/>
        <item x="16"/>
        <item t="default" sd="0"/>
      </items>
    </pivotField>
    <pivotField name="Unit Price" compact="0" outline="0" showAll="0">
      <items count="98">
        <item x="61"/>
        <item x="91"/>
        <item x="5"/>
        <item x="70"/>
        <item x="92"/>
        <item x="34"/>
        <item x="26"/>
        <item x="35"/>
        <item x="11"/>
        <item x="73"/>
        <item x="87"/>
        <item x="41"/>
        <item x="58"/>
        <item x="47"/>
        <item x="65"/>
        <item x="57"/>
        <item x="74"/>
        <item x="95"/>
        <item x="16"/>
        <item x="59"/>
        <item x="93"/>
        <item x="94"/>
        <item x="37"/>
        <item x="64"/>
        <item x="63"/>
        <item x="38"/>
        <item x="30"/>
        <item x="85"/>
        <item x="80"/>
        <item x="27"/>
        <item x="4"/>
        <item x="86"/>
        <item x="53"/>
        <item x="14"/>
        <item x="76"/>
        <item x="10"/>
        <item x="78"/>
        <item x="77"/>
        <item x="81"/>
        <item x="9"/>
        <item x="46"/>
        <item x="49"/>
        <item x="20"/>
        <item x="31"/>
        <item x="44"/>
        <item x="43"/>
        <item x="69"/>
        <item x="29"/>
        <item x="51"/>
        <item x="90"/>
        <item x="25"/>
        <item x="62"/>
        <item x="21"/>
        <item x="84"/>
        <item x="24"/>
        <item x="71"/>
        <item x="66"/>
        <item x="36"/>
        <item x="28"/>
        <item x="75"/>
        <item x="54"/>
        <item x="12"/>
        <item x="52"/>
        <item x="88"/>
        <item x="89"/>
        <item x="22"/>
        <item x="68"/>
        <item x="82"/>
        <item x="17"/>
        <item x="23"/>
        <item x="39"/>
        <item x="48"/>
        <item x="60"/>
        <item x="0"/>
        <item x="55"/>
        <item x="72"/>
        <item x="18"/>
        <item x="13"/>
        <item x="83"/>
        <item x="96"/>
        <item x="42"/>
        <item x="40"/>
        <item x="2"/>
        <item x="1"/>
        <item x="50"/>
        <item x="79"/>
        <item x="7"/>
        <item x="45"/>
        <item x="56"/>
        <item x="3"/>
        <item x="33"/>
        <item x="67"/>
        <item x="19"/>
        <item x="6"/>
        <item x="15"/>
        <item x="8"/>
        <item x="32"/>
        <item t="default" sd="0"/>
      </items>
    </pivotField>
    <pivotField name="Total Line Item $" axis="axisValues" dataField="1" compact="0" outline="0" showAll="0"/>
  </pivotFields>
  <rowFields count="1">
    <field x="0"/>
  </rowFields>
  <rowItems count="93">
    <i>
      <x v="55"/>
    </i>
    <i>
      <x v="52"/>
    </i>
    <i>
      <x v="58"/>
    </i>
    <i>
      <x v="59"/>
    </i>
    <i>
      <x v="27"/>
    </i>
    <i>
      <x v="51"/>
    </i>
    <i>
      <x v="62"/>
    </i>
    <i>
      <x v="56"/>
    </i>
    <i>
      <x v="48"/>
    </i>
    <i>
      <x v="39"/>
    </i>
    <i>
      <x v="57"/>
    </i>
    <i>
      <x v="18"/>
    </i>
    <i>
      <x v="28"/>
    </i>
    <i>
      <x v="50"/>
    </i>
    <i>
      <x v="49"/>
    </i>
    <i>
      <x v="80"/>
    </i>
    <i>
      <x v="34"/>
    </i>
    <i>
      <x v="42"/>
    </i>
    <i>
      <x v="81"/>
    </i>
    <i>
      <x v="37"/>
    </i>
    <i>
      <x v="38"/>
    </i>
    <i>
      <x v="26"/>
    </i>
    <i>
      <x v="29"/>
    </i>
    <i>
      <x v="73"/>
    </i>
    <i>
      <x v="13"/>
    </i>
    <i>
      <x v="69"/>
    </i>
    <i>
      <x v="53"/>
    </i>
    <i>
      <x v="31"/>
    </i>
    <i>
      <x v="12"/>
    </i>
    <i>
      <x v="15"/>
    </i>
    <i>
      <x v="5"/>
    </i>
    <i>
      <x v="35"/>
    </i>
    <i>
      <x v="40"/>
    </i>
    <i>
      <x v="84"/>
    </i>
    <i>
      <x v="41"/>
    </i>
    <i>
      <x/>
    </i>
    <i>
      <x v="21"/>
    </i>
    <i>
      <x v="19"/>
    </i>
    <i>
      <x v="32"/>
    </i>
    <i>
      <x v="16"/>
    </i>
    <i>
      <x v="8"/>
    </i>
    <i>
      <x v="61"/>
    </i>
    <i>
      <x v="72"/>
    </i>
    <i>
      <x v="71"/>
    </i>
    <i>
      <x v="36"/>
    </i>
    <i>
      <x v="14"/>
    </i>
    <i>
      <x v="54"/>
    </i>
    <i>
      <x v="44"/>
    </i>
    <i>
      <x v="79"/>
    </i>
    <i>
      <x v="30"/>
    </i>
    <i>
      <x v="91"/>
    </i>
    <i>
      <x v="11"/>
    </i>
    <i>
      <x v="6"/>
    </i>
    <i>
      <x v="47"/>
    </i>
    <i>
      <x v="20"/>
    </i>
    <i>
      <x v="33"/>
    </i>
    <i>
      <x v="75"/>
    </i>
    <i>
      <x v="25"/>
    </i>
    <i>
      <x v="17"/>
    </i>
    <i>
      <x v="90"/>
    </i>
    <i>
      <x v="67"/>
    </i>
    <i>
      <x v="66"/>
    </i>
    <i>
      <x v="7"/>
    </i>
    <i>
      <x v="22"/>
    </i>
    <i>
      <x v="23"/>
    </i>
    <i>
      <x v="46"/>
    </i>
    <i>
      <x v="45"/>
    </i>
    <i>
      <x v="24"/>
    </i>
    <i>
      <x v="89"/>
    </i>
    <i>
      <x v="88"/>
    </i>
    <i>
      <x v="87"/>
    </i>
    <i>
      <x v="86"/>
    </i>
    <i>
      <x v="85"/>
    </i>
    <i>
      <x v="83"/>
    </i>
    <i>
      <x v="82"/>
    </i>
    <i>
      <x v="78"/>
    </i>
    <i>
      <x v="77"/>
    </i>
    <i>
      <x v="76"/>
    </i>
    <i>
      <x v="74"/>
    </i>
    <i>
      <x v="70"/>
    </i>
    <i>
      <x v="63"/>
    </i>
    <i>
      <x v="64"/>
    </i>
    <i>
      <x v="60"/>
    </i>
    <i>
      <x v="43"/>
    </i>
    <i>
      <x v="10"/>
    </i>
    <i>
      <x v="9"/>
    </i>
    <i>
      <x v="4"/>
    </i>
    <i>
      <x v="3"/>
    </i>
    <i>
      <x v="2"/>
    </i>
    <i>
      <x v="1"/>
    </i>
    <i>
      <x v="68"/>
    </i>
    <i>
      <x v="65"/>
    </i>
    <i t="grand">
      <x/>
    </i>
  </rowItems>
  <colItems count="1">
    <i/>
  </colItems>
  <dataFields count="1">
    <dataField name="Sum of Total Line Item $" fld="4" numFmtId="60"/>
  </dataFields>
  <pivotTableStyleInfo name="PivotStyleCustom47" showRowHeaders="1" showColHeaders="1" showRowStripes="1" showColStripes="0" showLastColumn="1"/>
</pivotTableDefinition>
</file>

<file path=xl/pivotTables/pivotTable48.xml><?xml version="1.0" encoding="utf-8"?>
<pivotTableDefinition xmlns="http://schemas.openxmlformats.org/spreadsheetml/2006/main" name="April 2023 Sales by Customer" cacheId="47" dataPosition="0" autoFormatId="0" applyNumberFormats="0" applyBorderFormats="0" applyFontFormats="0" applyPatternFormats="0" applyAlignmentFormats="0" applyWidthHeightFormats="1" dataCaption="" missingCaption="" pivotTableStyle="PivotStyleCustom48" updatedVersion="7" useAutoFormatting="1" createdVersion="7" indent="0" showEmptyCol="1" showEmptyRow="1" compact="0" compactData="0" multipleFieldFilters="0">
  <location ref="I312:O433" firstHeaderRow="1" firstDataRow="2" firstDataCol="4"/>
  <pivotFields count="8">
    <pivotField name="Sales Order" axis="axisRow" compact="0" numFmtId="49" outline="0" showAll="0" sortType="ascending">
      <items count="138">
        <item sd="0" x="136"/>
        <item sd="0" x="135"/>
        <item sd="0" x="134"/>
        <item sd="0" x="133"/>
        <item sd="0" x="132"/>
        <item sd="0" x="131"/>
        <item sd="0" x="130"/>
        <item sd="0" x="129"/>
        <item sd="0" x="127"/>
        <item sd="0" x="126"/>
        <item sd="0" x="125"/>
        <item sd="0" x="124"/>
        <item sd="0" x="128"/>
        <item sd="0" x="123"/>
        <item sd="0" x="122"/>
        <item sd="0" x="121"/>
        <item sd="0" x="120"/>
        <item sd="0" x="119"/>
        <item sd="0" x="118"/>
        <item sd="0" x="117"/>
        <item sd="0" x="116"/>
        <item sd="0" x="115"/>
        <item sd="0" x="114"/>
        <item sd="0" x="113"/>
        <item sd="0" x="111"/>
        <item sd="0" x="110"/>
        <item sd="0" x="109"/>
        <item sd="0" x="112"/>
        <item sd="0" x="108"/>
        <item sd="0" x="107"/>
        <item sd="0" x="106"/>
        <item sd="0" x="105"/>
        <item sd="0" x="104"/>
        <item sd="0" x="103"/>
        <item sd="0" x="102"/>
        <item sd="0" x="99"/>
        <item sd="0" x="98"/>
        <item sd="0" x="100"/>
        <item sd="0" x="97"/>
        <item sd="0" x="96"/>
        <item sd="0" x="95"/>
        <item sd="0" x="101"/>
        <item sd="0" x="94"/>
        <item sd="0" x="92"/>
        <item sd="0" x="90"/>
        <item sd="0" x="89"/>
        <item sd="0" x="88"/>
        <item sd="0" x="93"/>
        <item sd="0" x="87"/>
        <item sd="0" x="86"/>
        <item sd="0" x="85"/>
        <item sd="0" x="91"/>
        <item sd="0" x="80"/>
        <item sd="0" x="79"/>
        <item sd="0" x="78"/>
        <item sd="0" x="81"/>
        <item sd="0" x="84"/>
        <item sd="0" x="83"/>
        <item sd="0" x="77"/>
        <item sd="0" x="75"/>
        <item sd="0" x="76"/>
        <item sd="0" x="74"/>
        <item sd="0" x="73"/>
        <item sd="0" x="72"/>
        <item sd="0" x="71"/>
        <item sd="0" x="70"/>
        <item sd="0" x="69"/>
        <item sd="0" x="68"/>
        <item sd="0" x="59"/>
        <item sd="0" x="58"/>
        <item sd="0" x="57"/>
        <item sd="0" x="56"/>
        <item sd="0" x="61"/>
        <item sd="0" x="63"/>
        <item sd="0" x="62"/>
        <item sd="0" x="65"/>
        <item sd="0" x="66"/>
        <item sd="0" x="67"/>
        <item sd="0" x="60"/>
        <item sd="0" x="82"/>
        <item sd="0" x="64"/>
        <item sd="0" x="55"/>
        <item sd="0" x="54"/>
        <item sd="0" x="50"/>
        <item sd="0" x="52"/>
        <item sd="0" x="49"/>
        <item sd="0" x="53"/>
        <item sd="0" x="51"/>
        <item sd="0" x="47"/>
        <item sd="0" x="46"/>
        <item sd="0" x="45"/>
        <item sd="0" x="44"/>
        <item sd="0" x="43"/>
        <item sd="0" x="42"/>
        <item sd="0" x="48"/>
        <item sd="0" x="41"/>
        <item sd="0" x="39"/>
        <item sd="0" x="38"/>
        <item sd="0" x="37"/>
        <item sd="0" x="36"/>
        <item sd="0" x="35"/>
        <item sd="0" x="34"/>
        <item sd="0" x="33"/>
        <item sd="0" x="32"/>
        <item sd="0" x="31"/>
        <item sd="0" x="30"/>
        <item sd="0" x="29"/>
        <item sd="0" x="28"/>
        <item sd="0" x="27"/>
        <item sd="0" x="26"/>
        <item sd="0" x="24"/>
        <item sd="0" x="23"/>
        <item sd="0" x="22"/>
        <item sd="0" x="21"/>
        <item sd="0" x="25"/>
        <item sd="0" x="20"/>
        <item sd="0" x="18"/>
        <item sd="0" x="19"/>
        <item sd="0" x="17"/>
        <item sd="0" x="15"/>
        <item sd="0" x="14"/>
        <item sd="0" x="16"/>
        <item sd="0" x="13"/>
        <item sd="0" x="12"/>
        <item sd="0" x="11"/>
        <item sd="0" x="10"/>
        <item sd="0" x="9"/>
        <item sd="0" x="7"/>
        <item sd="0" x="8"/>
        <item sd="0" x="6"/>
        <item sd="0" x="5"/>
        <item sd="0" x="4"/>
        <item sd="0" x="3"/>
        <item sd="0" x="2"/>
        <item sd="0" x="1"/>
        <item sd="0" x="0"/>
        <item sd="0" x="40"/>
        <item t="default" sd="0"/>
      </items>
    </pivotField>
    <pivotField name="Customer" axis="axisRow" compact="0" numFmtId="49" outline="0" showAll="0" sortType="ascending">
      <items count="120">
        <item sd="0" x="48"/>
        <item sd="0" x="59"/>
        <item sd="0" x="76"/>
        <item sd="0" x="68"/>
        <item sd="0" x="34"/>
        <item sd="0" x="88"/>
        <item sd="0" x="118"/>
        <item sd="0" x="57"/>
        <item sd="0" x="65"/>
        <item sd="0" x="105"/>
        <item sd="0" x="63"/>
        <item sd="0" x="4"/>
        <item sd="0" x="80"/>
        <item sd="0" x="5"/>
        <item sd="0" x="38"/>
        <item sd="0" x="28"/>
        <item sd="0" x="70"/>
        <item sd="0" x="102"/>
        <item sd="0" x="52"/>
        <item sd="0" x="92"/>
        <item sd="0" x="26"/>
        <item sd="0" x="16"/>
        <item sd="0" x="32"/>
        <item sd="0" x="77"/>
        <item sd="0" x="44"/>
        <item sd="0" x="19"/>
        <item sd="0" x="8"/>
        <item sd="0" x="29"/>
        <item sd="0" x="30"/>
        <item sd="0" x="115"/>
        <item sd="0" x="93"/>
        <item sd="0" x="67"/>
        <item sd="0" x="104"/>
        <item sd="0" x="71"/>
        <item sd="0" x="69"/>
        <item sd="0" x="112"/>
        <item sd="0" x="60"/>
        <item sd="0" x="39"/>
        <item sd="0" x="43"/>
        <item sd="0" x="56"/>
        <item sd="0" x="106"/>
        <item sd="0" x="85"/>
        <item sd="0" x="49"/>
        <item sd="0" x="58"/>
        <item sd="0" x="110"/>
        <item sd="0" x="101"/>
        <item sd="0" x="94"/>
        <item sd="0" x="72"/>
        <item sd="0" x="45"/>
        <item sd="0" x="53"/>
        <item sd="0" x="91"/>
        <item sd="0" x="17"/>
        <item sd="0" x="10"/>
        <item sd="0" x="7"/>
        <item sd="0" x="100"/>
        <item sd="0" x="74"/>
        <item sd="0" x="0"/>
        <item sd="0" x="20"/>
        <item sd="0" x="9"/>
        <item sd="0" x="62"/>
        <item sd="0" x="111"/>
        <item sd="0" x="98"/>
        <item sd="0" x="23"/>
        <item sd="0" x="103"/>
        <item sd="0" x="108"/>
        <item sd="0" x="75"/>
        <item sd="0" x="11"/>
        <item sd="0" x="107"/>
        <item sd="0" x="82"/>
        <item sd="0" x="46"/>
        <item sd="0" x="14"/>
        <item sd="0" x="13"/>
        <item sd="0" x="90"/>
        <item sd="0" x="78"/>
        <item sd="0" x="42"/>
        <item sd="0" x="89"/>
        <item sd="0" x="51"/>
        <item sd="0" x="86"/>
        <item sd="0" x="84"/>
        <item sd="0" x="31"/>
        <item sd="0" x="55"/>
        <item sd="0" x="99"/>
        <item sd="0" x="50"/>
        <item sd="0" x="81"/>
        <item sd="0" x="96"/>
        <item sd="0" x="73"/>
        <item sd="0" x="18"/>
        <item sd="0" x="12"/>
        <item sd="0" x="109"/>
        <item sd="0" x="22"/>
        <item sd="0" x="6"/>
        <item sd="0" x="2"/>
        <item sd="0" x="40"/>
        <item sd="0" x="24"/>
        <item sd="0" x="37"/>
        <item sd="0" x="113"/>
        <item sd="0" x="97"/>
        <item sd="0" x="116"/>
        <item sd="0" x="36"/>
        <item sd="0" x="83"/>
        <item sd="0" x="54"/>
        <item sd="0" x="95"/>
        <item sd="0" x="25"/>
        <item sd="0" x="47"/>
        <item sd="0" x="79"/>
        <item sd="0" x="117"/>
        <item sd="0" x="66"/>
        <item sd="0" x="41"/>
        <item sd="0" x="64"/>
        <item sd="0" x="87"/>
        <item sd="0" x="61"/>
        <item sd="0" x="1"/>
        <item sd="0" x="15"/>
        <item sd="0" x="3"/>
        <item sd="0" x="21"/>
        <item sd="0" x="27"/>
        <item sd="0" x="114"/>
        <item sd="0" x="33"/>
        <item sd="0" x="35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67">
        <item x="61"/>
        <item x="36"/>
        <item x="30"/>
        <item x="37"/>
        <item x="31"/>
        <item x="53"/>
        <item x="62"/>
        <item x="47"/>
        <item x="32"/>
        <item x="41"/>
        <item x="25"/>
        <item x="15"/>
        <item x="48"/>
        <item x="2"/>
        <item x="7"/>
        <item x="14"/>
        <item x="4"/>
        <item x="33"/>
        <item x="9"/>
        <item x="8"/>
        <item x="24"/>
        <item x="42"/>
        <item x="43"/>
        <item x="54"/>
        <item x="58"/>
        <item x="50"/>
        <item x="57"/>
        <item x="51"/>
        <item x="60"/>
        <item x="38"/>
        <item x="35"/>
        <item x="16"/>
        <item x="29"/>
        <item x="1"/>
        <item x="6"/>
        <item x="5"/>
        <item x="27"/>
        <item x="21"/>
        <item x="45"/>
        <item x="22"/>
        <item x="44"/>
        <item x="46"/>
        <item x="49"/>
        <item x="17"/>
        <item x="12"/>
        <item x="11"/>
        <item x="28"/>
        <item x="0"/>
        <item x="18"/>
        <item x="3"/>
        <item x="34"/>
        <item x="52"/>
        <item x="19"/>
        <item x="20"/>
        <item x="10"/>
        <item x="55"/>
        <item x="13"/>
        <item x="59"/>
        <item x="39"/>
        <item x="40"/>
        <item x="64"/>
        <item x="26"/>
        <item x="23"/>
        <item x="65"/>
        <item x="56"/>
        <item x="63"/>
        <item t="default" sd="0"/>
      </items>
    </pivotField>
    <pivotField name="Line Item Description" compact="0" outline="0" showAll="0">
      <items count="65">
        <item x="53"/>
        <item x="41"/>
        <item x="59"/>
        <item x="42"/>
        <item x="46"/>
        <item x="40"/>
        <item x="54"/>
        <item x="43"/>
        <item x="47"/>
        <item x="58"/>
        <item x="15"/>
        <item x="1"/>
        <item x="51"/>
        <item x="32"/>
        <item x="50"/>
        <item x="49"/>
        <item x="35"/>
        <item x="6"/>
        <item x="5"/>
        <item x="14"/>
        <item x="4"/>
        <item x="10"/>
        <item x="33"/>
        <item x="7"/>
        <item x="39"/>
        <item x="55"/>
        <item x="11"/>
        <item x="36"/>
        <item x="48"/>
        <item x="12"/>
        <item x="45"/>
        <item x="60"/>
        <item x="44"/>
        <item x="61"/>
        <item x="62"/>
        <item x="0"/>
        <item x="3"/>
        <item x="56"/>
        <item x="37"/>
        <item x="38"/>
        <item x="8"/>
        <item x="9"/>
        <item x="52"/>
        <item x="34"/>
        <item x="2"/>
        <item x="13"/>
        <item x="23"/>
        <item x="22"/>
        <item x="31"/>
        <item x="30"/>
        <item x="21"/>
        <item x="19"/>
        <item x="26"/>
        <item x="25"/>
        <item x="24"/>
        <item x="20"/>
        <item x="29"/>
        <item x="16"/>
        <item x="28"/>
        <item x="17"/>
        <item x="27"/>
        <item x="18"/>
        <item x="63"/>
        <item x="57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20">
    <i>
      <x v="2"/>
    </i>
    <i>
      <x v="3"/>
    </i>
    <i>
      <x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"/>
    </i>
    <i>
      <x v="13"/>
    </i>
    <i>
      <x v="14"/>
    </i>
    <i>
      <x v="15"/>
    </i>
    <i>
      <x v="16"/>
    </i>
    <i>
      <x v="17"/>
    </i>
    <i>
      <x v="113"/>
    </i>
    <i>
      <x v="18"/>
    </i>
    <i>
      <x v="19"/>
    </i>
    <i>
      <x v="20"/>
    </i>
    <i>
      <x v="22"/>
    </i>
    <i>
      <x v="23"/>
    </i>
    <i>
      <x v="24"/>
    </i>
    <i>
      <x v="25"/>
    </i>
    <i>
      <x v="21"/>
    </i>
    <i>
      <x v="114"/>
    </i>
    <i>
      <x v="27"/>
    </i>
    <i>
      <x v="28"/>
    </i>
    <i>
      <x v="29"/>
    </i>
    <i>
      <x v="30"/>
    </i>
    <i>
      <x v="26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115"/>
    </i>
    <i>
      <x v="54"/>
    </i>
    <i>
      <x v="55"/>
    </i>
    <i>
      <x v="56"/>
    </i>
    <i>
      <x v="57"/>
    </i>
    <i>
      <x v="58"/>
    </i>
    <i>
      <x v="59"/>
    </i>
    <i>
      <x v="43"/>
    </i>
    <i>
      <x v="60"/>
    </i>
    <i>
      <x v="44"/>
    </i>
    <i>
      <x v="61"/>
    </i>
    <i>
      <x v="62"/>
    </i>
    <i>
      <x v="63"/>
    </i>
    <i>
      <x v="64"/>
    </i>
    <i>
      <x v="65"/>
    </i>
    <i>
      <x v="66"/>
    </i>
    <i>
      <x v="11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117"/>
    </i>
    <i>
      <x v="87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18"/>
    </i>
    <i>
      <x v="104"/>
    </i>
    <i>
      <x v="96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48" showRowHeaders="1" showColHeaders="1" showRowStripes="1" showColStripes="0" showLastColumn="1"/>
</pivotTableDefinition>
</file>

<file path=xl/pivotTables/pivotTable49.xml><?xml version="1.0" encoding="utf-8"?>
<pivotTableDefinition xmlns="http://schemas.openxmlformats.org/spreadsheetml/2006/main" name="April 2023 Sales by SKU (Quantity)" cacheId="48" dataPosition="0" autoFormatId="0" applyNumberFormats="0" applyBorderFormats="0" applyFontFormats="0" applyPatternFormats="0" applyAlignmentFormats="0" applyWidthHeightFormats="1" dataCaption="" missingCaption="" pivotTableStyle="PivotStyleCustom49" updatedVersion="7" useAutoFormatting="1" createdVersion="7" indent="0" showEmptyCol="1" showEmptyRow="1" compact="0" compactData="0" multipleFieldFilters="0">
  <location ref="P436:Q503" firstHeaderRow="1" firstDataRow="1" firstDataCol="1"/>
  <pivotFields count="3">
    <pivotField name="Line Item Name" axis="axisRow" compact="0" numFmtId="49" outline="0" showAll="0" sortType="ascending">
      <items count="67">
        <item x="61"/>
        <item x="36"/>
        <item x="30"/>
        <item x="37"/>
        <item x="31"/>
        <item x="53"/>
        <item x="62"/>
        <item x="47"/>
        <item x="32"/>
        <item x="41"/>
        <item x="25"/>
        <item x="15"/>
        <item x="48"/>
        <item x="2"/>
        <item x="7"/>
        <item x="14"/>
        <item x="4"/>
        <item x="33"/>
        <item x="9"/>
        <item x="8"/>
        <item x="24"/>
        <item x="42"/>
        <item x="43"/>
        <item x="54"/>
        <item x="58"/>
        <item x="50"/>
        <item x="57"/>
        <item x="51"/>
        <item x="60"/>
        <item x="38"/>
        <item x="35"/>
        <item x="16"/>
        <item x="29"/>
        <item x="1"/>
        <item x="6"/>
        <item x="5"/>
        <item x="27"/>
        <item x="21"/>
        <item x="45"/>
        <item x="22"/>
        <item x="44"/>
        <item x="46"/>
        <item x="49"/>
        <item x="17"/>
        <item x="12"/>
        <item x="11"/>
        <item x="28"/>
        <item x="0"/>
        <item x="18"/>
        <item x="3"/>
        <item x="34"/>
        <item x="52"/>
        <item x="19"/>
        <item x="20"/>
        <item x="10"/>
        <item x="55"/>
        <item x="13"/>
        <item x="59"/>
        <item x="39"/>
        <item x="40"/>
        <item x="64"/>
        <item x="26"/>
        <item x="23"/>
        <item x="65"/>
        <item x="56"/>
        <item x="63"/>
        <item t="default" sd="0"/>
      </items>
    </pivotField>
    <pivotField name="Line Item Description" compact="0" outline="0" showAll="0">
      <items count="65">
        <item x="53"/>
        <item x="41"/>
        <item x="59"/>
        <item x="42"/>
        <item x="46"/>
        <item x="40"/>
        <item x="54"/>
        <item x="43"/>
        <item x="47"/>
        <item x="58"/>
        <item x="15"/>
        <item x="1"/>
        <item x="51"/>
        <item x="32"/>
        <item x="50"/>
        <item x="49"/>
        <item x="35"/>
        <item x="6"/>
        <item x="5"/>
        <item x="14"/>
        <item x="4"/>
        <item x="10"/>
        <item x="33"/>
        <item x="7"/>
        <item x="39"/>
        <item x="55"/>
        <item x="11"/>
        <item x="36"/>
        <item x="48"/>
        <item x="12"/>
        <item x="45"/>
        <item x="60"/>
        <item x="44"/>
        <item x="61"/>
        <item x="62"/>
        <item x="0"/>
        <item x="3"/>
        <item x="56"/>
        <item x="37"/>
        <item x="38"/>
        <item x="8"/>
        <item x="9"/>
        <item x="52"/>
        <item x="34"/>
        <item x="2"/>
        <item x="13"/>
        <item x="23"/>
        <item x="22"/>
        <item x="31"/>
        <item x="30"/>
        <item x="21"/>
        <item x="19"/>
        <item x="26"/>
        <item x="25"/>
        <item x="24"/>
        <item x="20"/>
        <item x="29"/>
        <item x="16"/>
        <item x="28"/>
        <item x="17"/>
        <item x="27"/>
        <item x="18"/>
        <item x="63"/>
        <item x="57"/>
        <item t="default" sd="0"/>
      </items>
    </pivotField>
    <pivotField name="Order Quantity" axis="axisValues" dataField="1" compact="0" outline="0" showAll="0"/>
  </pivotFields>
  <rowFields count="1">
    <field x="0"/>
  </rowFields>
  <rowItems count="67">
    <i>
      <x v="54"/>
    </i>
    <i>
      <x v="49"/>
    </i>
    <i>
      <x v="50"/>
    </i>
    <i>
      <x v="11"/>
    </i>
    <i>
      <x v="35"/>
    </i>
    <i>
      <x v="14"/>
    </i>
    <i>
      <x v="18"/>
    </i>
    <i>
      <x v="34"/>
    </i>
    <i>
      <x v="36"/>
    </i>
    <i>
      <x v="37"/>
    </i>
    <i>
      <x v="53"/>
    </i>
    <i>
      <x v="16"/>
    </i>
    <i>
      <x v="39"/>
    </i>
    <i>
      <x v="31"/>
    </i>
    <i>
      <x v="48"/>
    </i>
    <i>
      <x v="29"/>
    </i>
    <i>
      <x v="45"/>
    </i>
    <i>
      <x v="1"/>
    </i>
    <i>
      <x v="3"/>
    </i>
    <i>
      <x v="43"/>
    </i>
    <i>
      <x v="52"/>
    </i>
    <i>
      <x v="61"/>
    </i>
    <i>
      <x v="2"/>
    </i>
    <i>
      <x v="4"/>
    </i>
    <i>
      <x v="15"/>
    </i>
    <i>
      <x v="13"/>
    </i>
    <i>
      <x v="20"/>
    </i>
    <i>
      <x v="21"/>
    </i>
    <i>
      <x v="33"/>
    </i>
    <i>
      <x v="46"/>
    </i>
    <i>
      <x v="47"/>
    </i>
    <i>
      <x v="6"/>
    </i>
    <i>
      <x v="25"/>
    </i>
    <i>
      <x v="9"/>
    </i>
    <i>
      <x v="44"/>
    </i>
    <i>
      <x v="5"/>
    </i>
    <i>
      <x v="10"/>
    </i>
    <i>
      <x v="22"/>
    </i>
    <i>
      <x v="32"/>
    </i>
    <i>
      <x v="38"/>
    </i>
    <i>
      <x v="41"/>
    </i>
    <i>
      <x v="8"/>
    </i>
    <i>
      <x v="12"/>
    </i>
    <i>
      <x v="17"/>
    </i>
    <i>
      <x v="19"/>
    </i>
    <i>
      <x v="30"/>
    </i>
    <i>
      <x/>
    </i>
    <i>
      <x v="23"/>
    </i>
    <i>
      <x v="28"/>
    </i>
    <i>
      <x v="40"/>
    </i>
    <i>
      <x v="64"/>
    </i>
    <i>
      <x v="27"/>
    </i>
    <i>
      <x v="60"/>
    </i>
    <i>
      <x v="62"/>
    </i>
    <i>
      <x v="63"/>
    </i>
    <i>
      <x v="65"/>
    </i>
    <i>
      <x v="7"/>
    </i>
    <i>
      <x v="24"/>
    </i>
    <i>
      <x v="26"/>
    </i>
    <i>
      <x v="42"/>
    </i>
    <i>
      <x v="51"/>
    </i>
    <i>
      <x v="56"/>
    </i>
    <i>
      <x v="55"/>
    </i>
    <i>
      <x v="57"/>
    </i>
    <i>
      <x v="58"/>
    </i>
    <i>
      <x v="59"/>
    </i>
    <i t="grand">
      <x/>
    </i>
  </rowItems>
  <colItems count="1">
    <i/>
  </colItems>
  <dataFields count="1">
    <dataField name="Sum of Order Quantity" fld="2"/>
  </dataFields>
  <pivotTableStyleInfo name="PivotStyleCustom49" showRowHeaders="1" showColHeaders="1" showRowStripes="1" showColStripes="0" showLastColumn="1"/>
</pivotTableDefinition>
</file>

<file path=xl/pivotTables/pivotTable50.xml><?xml version="1.0" encoding="utf-8"?>
<pivotTableDefinition xmlns="http://schemas.openxmlformats.org/spreadsheetml/2006/main" name="April 2023 Sales by SKU$" cacheId="49" dataPosition="0" autoFormatId="0" applyNumberFormats="0" applyBorderFormats="0" applyFontFormats="0" applyPatternFormats="0" applyAlignmentFormats="0" applyWidthHeightFormats="1" dataCaption="" missingCaption="" pivotTableStyle="PivotStyleCustom50" updatedVersion="7" useAutoFormatting="1" createdVersion="7" indent="0" showEmptyCol="1" showEmptyRow="1" compact="0" compactData="0" multipleFieldFilters="0">
  <location ref="R506:S573" firstHeaderRow="1" firstDataRow="1" firstDataCol="1"/>
  <pivotFields count="5">
    <pivotField name="Line Item Name" axis="axisRow" compact="0" numFmtId="49" outline="0" showAll="0" sortType="ascending">
      <items count="67">
        <item x="61"/>
        <item x="36"/>
        <item x="30"/>
        <item x="37"/>
        <item x="31"/>
        <item x="53"/>
        <item x="62"/>
        <item x="47"/>
        <item x="32"/>
        <item x="41"/>
        <item x="25"/>
        <item x="15"/>
        <item x="48"/>
        <item x="2"/>
        <item x="7"/>
        <item x="14"/>
        <item x="4"/>
        <item x="33"/>
        <item x="9"/>
        <item x="8"/>
        <item x="24"/>
        <item x="42"/>
        <item x="43"/>
        <item x="54"/>
        <item x="58"/>
        <item x="50"/>
        <item x="57"/>
        <item x="51"/>
        <item x="60"/>
        <item x="38"/>
        <item x="35"/>
        <item x="16"/>
        <item x="29"/>
        <item x="1"/>
        <item x="6"/>
        <item x="5"/>
        <item x="27"/>
        <item x="21"/>
        <item x="45"/>
        <item x="22"/>
        <item x="44"/>
        <item x="46"/>
        <item x="49"/>
        <item x="17"/>
        <item x="12"/>
        <item x="11"/>
        <item x="28"/>
        <item x="0"/>
        <item x="18"/>
        <item x="3"/>
        <item x="34"/>
        <item x="52"/>
        <item x="19"/>
        <item x="20"/>
        <item x="10"/>
        <item x="55"/>
        <item x="13"/>
        <item x="59"/>
        <item x="39"/>
        <item x="40"/>
        <item x="64"/>
        <item x="26"/>
        <item x="23"/>
        <item x="65"/>
        <item x="56"/>
        <item x="63"/>
        <item t="default" sd="0"/>
      </items>
    </pivotField>
    <pivotField name="Line Item Description" compact="0" outline="0" showAll="0">
      <items count="65">
        <item x="53"/>
        <item x="41"/>
        <item x="59"/>
        <item x="42"/>
        <item x="46"/>
        <item x="40"/>
        <item x="54"/>
        <item x="43"/>
        <item x="47"/>
        <item x="58"/>
        <item x="15"/>
        <item x="1"/>
        <item x="51"/>
        <item x="32"/>
        <item x="50"/>
        <item x="49"/>
        <item x="35"/>
        <item x="6"/>
        <item x="5"/>
        <item x="14"/>
        <item x="4"/>
        <item x="10"/>
        <item x="33"/>
        <item x="7"/>
        <item x="39"/>
        <item x="55"/>
        <item x="11"/>
        <item x="36"/>
        <item x="48"/>
        <item x="12"/>
        <item x="45"/>
        <item x="60"/>
        <item x="44"/>
        <item x="61"/>
        <item x="62"/>
        <item x="0"/>
        <item x="3"/>
        <item x="56"/>
        <item x="37"/>
        <item x="38"/>
        <item x="8"/>
        <item x="9"/>
        <item x="52"/>
        <item x="34"/>
        <item x="2"/>
        <item x="13"/>
        <item x="23"/>
        <item x="22"/>
        <item x="31"/>
        <item x="30"/>
        <item x="21"/>
        <item x="19"/>
        <item x="26"/>
        <item x="25"/>
        <item x="24"/>
        <item x="20"/>
        <item x="29"/>
        <item x="16"/>
        <item x="28"/>
        <item x="17"/>
        <item x="27"/>
        <item x="18"/>
        <item x="63"/>
        <item x="57"/>
        <item t="default" sd="0"/>
      </items>
    </pivotField>
    <pivotField name="Order Quantity" compact="0" outline="0" showAll="0">
      <items count="16">
        <item x="0"/>
        <item x="1"/>
        <item x="8"/>
        <item x="5"/>
        <item x="9"/>
        <item x="2"/>
        <item x="12"/>
        <item x="11"/>
        <item x="3"/>
        <item x="6"/>
        <item x="7"/>
        <item x="10"/>
        <item x="13"/>
        <item x="4"/>
        <item x="14"/>
        <item t="default" sd="0"/>
      </items>
    </pivotField>
    <pivotField name="Unit Price" compact="0" outline="0" showAll="0">
      <items count="79">
        <item x="12"/>
        <item x="3"/>
        <item x="8"/>
        <item x="34"/>
        <item x="33"/>
        <item x="7"/>
        <item x="9"/>
        <item x="71"/>
        <item x="13"/>
        <item x="6"/>
        <item x="75"/>
        <item x="23"/>
        <item x="48"/>
        <item x="22"/>
        <item x="25"/>
        <item x="29"/>
        <item x="57"/>
        <item x="21"/>
        <item x="70"/>
        <item x="30"/>
        <item x="2"/>
        <item x="66"/>
        <item x="42"/>
        <item x="46"/>
        <item x="27"/>
        <item x="64"/>
        <item x="62"/>
        <item x="5"/>
        <item x="18"/>
        <item x="36"/>
        <item x="4"/>
        <item x="54"/>
        <item x="55"/>
        <item x="69"/>
        <item x="65"/>
        <item x="59"/>
        <item x="68"/>
        <item x="32"/>
        <item x="74"/>
        <item x="44"/>
        <item x="73"/>
        <item x="37"/>
        <item x="45"/>
        <item x="77"/>
        <item x="14"/>
        <item x="67"/>
        <item x="41"/>
        <item x="52"/>
        <item x="43"/>
        <item x="1"/>
        <item x="53"/>
        <item x="58"/>
        <item x="15"/>
        <item x="38"/>
        <item x="35"/>
        <item x="56"/>
        <item x="50"/>
        <item x="39"/>
        <item x="76"/>
        <item x="28"/>
        <item x="16"/>
        <item x="20"/>
        <item x="24"/>
        <item x="10"/>
        <item x="61"/>
        <item x="51"/>
        <item x="11"/>
        <item x="31"/>
        <item x="0"/>
        <item x="17"/>
        <item x="26"/>
        <item x="49"/>
        <item x="60"/>
        <item x="40"/>
        <item x="47"/>
        <item x="19"/>
        <item x="72"/>
        <item x="63"/>
        <item t="default" sd="0"/>
      </items>
    </pivotField>
    <pivotField name="Total Line Item $" axis="axisValues" dataField="1" compact="0" outline="0" showAll="0"/>
  </pivotFields>
  <rowFields count="1">
    <field x="0"/>
  </rowFields>
  <rowItems count="67">
    <i>
      <x v="50"/>
    </i>
    <i>
      <x v="48"/>
    </i>
    <i>
      <x v="52"/>
    </i>
    <i>
      <x v="53"/>
    </i>
    <i>
      <x v="47"/>
    </i>
    <i>
      <x v="46"/>
    </i>
    <i>
      <x v="45"/>
    </i>
    <i>
      <x v="11"/>
    </i>
    <i>
      <x v="20"/>
    </i>
    <i>
      <x v="44"/>
    </i>
    <i>
      <x v="43"/>
    </i>
    <i>
      <x v="51"/>
    </i>
    <i>
      <x v="35"/>
    </i>
    <i>
      <x v="34"/>
    </i>
    <i>
      <x v="33"/>
    </i>
    <i>
      <x v="31"/>
    </i>
    <i>
      <x v="9"/>
    </i>
    <i>
      <x v="32"/>
    </i>
    <i>
      <x v="4"/>
    </i>
    <i>
      <x v="8"/>
    </i>
    <i>
      <x v="61"/>
    </i>
    <i>
      <x v="27"/>
    </i>
    <i>
      <x v="5"/>
    </i>
    <i>
      <x v="29"/>
    </i>
    <i>
      <x v="30"/>
    </i>
    <i>
      <x v="21"/>
    </i>
    <i>
      <x v="2"/>
    </i>
    <i>
      <x v="15"/>
    </i>
    <i>
      <x v="37"/>
    </i>
    <i>
      <x v="22"/>
    </i>
    <i>
      <x v="54"/>
    </i>
    <i>
      <x v="23"/>
    </i>
    <i>
      <x v="39"/>
    </i>
    <i>
      <x v="42"/>
    </i>
    <i>
      <x v="58"/>
    </i>
    <i>
      <x v="17"/>
    </i>
    <i>
      <x v="13"/>
    </i>
    <i>
      <x v="49"/>
    </i>
    <i>
      <x v="14"/>
    </i>
    <i>
      <x v="62"/>
    </i>
    <i>
      <x v="26"/>
    </i>
    <i>
      <x v="24"/>
    </i>
    <i>
      <x v="12"/>
    </i>
    <i>
      <x v="25"/>
    </i>
    <i>
      <x v="40"/>
    </i>
    <i>
      <x v="16"/>
    </i>
    <i>
      <x v="36"/>
    </i>
    <i>
      <x v="19"/>
    </i>
    <i>
      <x v="64"/>
    </i>
    <i>
      <x v="18"/>
    </i>
    <i>
      <x v="41"/>
    </i>
    <i>
      <x v="65"/>
    </i>
    <i>
      <x v="63"/>
    </i>
    <i>
      <x v="60"/>
    </i>
    <i>
      <x v="59"/>
    </i>
    <i>
      <x v="57"/>
    </i>
    <i>
      <x v="55"/>
    </i>
    <i>
      <x v="38"/>
    </i>
    <i>
      <x v="28"/>
    </i>
    <i>
      <x v="10"/>
    </i>
    <i>
      <x v="7"/>
    </i>
    <i>
      <x v="6"/>
    </i>
    <i>
      <x v="3"/>
    </i>
    <i>
      <x v="1"/>
    </i>
    <i>
      <x/>
    </i>
    <i>
      <x v="56"/>
    </i>
    <i t="grand">
      <x/>
    </i>
  </rowItems>
  <colItems count="1">
    <i/>
  </colItems>
  <dataFields count="1">
    <dataField name="Sum of Total Line Item $" fld="4" numFmtId="60"/>
  </dataFields>
  <pivotTableStyleInfo name="PivotStyleCustom50" showRowHeaders="1" showColHeaders="1" showRowStripes="1" showColStripes="0" showLastColumn="1"/>
</pivotTableDefinition>
</file>

<file path=xl/pivotTables/pivotTable51.xml><?xml version="1.0" encoding="utf-8"?>
<pivotTableDefinition xmlns="http://schemas.openxmlformats.org/spreadsheetml/2006/main" name="March 2023 Sales by SKU (Quantity)" cacheId="50" dataPosition="0" autoFormatId="0" applyNumberFormats="0" applyBorderFormats="0" applyFontFormats="0" applyPatternFormats="0" applyAlignmentFormats="0" applyWidthHeightFormats="1" dataCaption="" missingCaption="" pivotTableStyle="PivotStyleCustom51" updatedVersion="7" useAutoFormatting="1" createdVersion="7" indent="0" showEmptyCol="1" showEmptyRow="1" compact="0" compactData="0" multipleFieldFilters="0">
  <location ref="P1251:Q1326" firstHeaderRow="1" firstDataRow="1" firstDataCol="1"/>
  <pivotFields count="3">
    <pivotField name="Line Item Name" axis="axisRow" compact="0" numFmtId="49" outline="0" showAll="0" sortType="ascending">
      <items count="75">
        <item x="18"/>
        <item x="17"/>
        <item x="65"/>
        <item x="66"/>
        <item x="67"/>
        <item x="25"/>
        <item x="57"/>
        <item x="21"/>
        <item x="58"/>
        <item x="6"/>
        <item x="38"/>
        <item x="12"/>
        <item x="43"/>
        <item x="41"/>
        <item x="4"/>
        <item x="51"/>
        <item x="48"/>
        <item x="23"/>
        <item x="10"/>
        <item x="49"/>
        <item x="37"/>
        <item x="73"/>
        <item x="16"/>
        <item x="64"/>
        <item x="26"/>
        <item x="29"/>
        <item x="52"/>
        <item x="34"/>
        <item x="70"/>
        <item x="24"/>
        <item x="72"/>
        <item x="27"/>
        <item x="47"/>
        <item x="35"/>
        <item x="5"/>
        <item x="15"/>
        <item x="54"/>
        <item x="22"/>
        <item x="71"/>
        <item x="11"/>
        <item x="32"/>
        <item x="3"/>
        <item x="45"/>
        <item x="61"/>
        <item x="53"/>
        <item x="30"/>
        <item x="42"/>
        <item x="69"/>
        <item x="14"/>
        <item x="13"/>
        <item x="20"/>
        <item x="9"/>
        <item x="46"/>
        <item x="33"/>
        <item x="2"/>
        <item x="1"/>
        <item x="50"/>
        <item x="59"/>
        <item x="7"/>
        <item x="0"/>
        <item x="36"/>
        <item x="8"/>
        <item x="44"/>
        <item x="40"/>
        <item x="19"/>
        <item x="55"/>
        <item x="60"/>
        <item x="31"/>
        <item x="28"/>
        <item x="39"/>
        <item x="63"/>
        <item x="68"/>
        <item x="62"/>
        <item x="56"/>
        <item t="default" sd="0"/>
      </items>
    </pivotField>
    <pivotField name="Line Item Description" compact="0" outline="0" showAll="0">
      <items count="84">
        <item x="41"/>
        <item x="45"/>
        <item x="71"/>
        <item x="82"/>
        <item x="25"/>
        <item x="38"/>
        <item x="24"/>
        <item x="72"/>
        <item x="32"/>
        <item x="73"/>
        <item x="21"/>
        <item x="53"/>
        <item x="19"/>
        <item x="22"/>
        <item x="15"/>
        <item x="67"/>
        <item x="16"/>
        <item x="60"/>
        <item x="42"/>
        <item x="56"/>
        <item x="69"/>
        <item x="70"/>
        <item x="57"/>
        <item x="11"/>
        <item x="30"/>
        <item x="39"/>
        <item x="20"/>
        <item x="4"/>
        <item x="8"/>
        <item x="74"/>
        <item x="44"/>
        <item x="12"/>
        <item x="50"/>
        <item x="76"/>
        <item x="35"/>
        <item x="79"/>
        <item x="43"/>
        <item x="81"/>
        <item x="77"/>
        <item x="80"/>
        <item x="52"/>
        <item x="66"/>
        <item x="17"/>
        <item x="51"/>
        <item x="36"/>
        <item x="14"/>
        <item x="9"/>
        <item x="13"/>
        <item x="75"/>
        <item x="49"/>
        <item x="3"/>
        <item x="58"/>
        <item x="63"/>
        <item x="48"/>
        <item x="64"/>
        <item x="18"/>
        <item x="31"/>
        <item x="2"/>
        <item x="59"/>
        <item x="1"/>
        <item x="54"/>
        <item x="5"/>
        <item x="47"/>
        <item x="37"/>
        <item x="34"/>
        <item x="10"/>
        <item x="46"/>
        <item x="23"/>
        <item x="55"/>
        <item x="61"/>
        <item x="62"/>
        <item x="7"/>
        <item x="0"/>
        <item x="6"/>
        <item x="26"/>
        <item x="27"/>
        <item x="28"/>
        <item x="29"/>
        <item x="33"/>
        <item x="78"/>
        <item x="65"/>
        <item x="40"/>
        <item x="68"/>
        <item t="default" sd="0"/>
      </items>
    </pivotField>
    <pivotField name="Order Quantity" axis="axisValues" dataField="1" compact="0" outline="0" showAll="0"/>
  </pivotFields>
  <rowFields count="1">
    <field x="0"/>
  </rowFields>
  <rowItems count="75">
    <i>
      <x v="18"/>
    </i>
    <i>
      <x v="61"/>
    </i>
    <i>
      <x v="60"/>
    </i>
    <i>
      <x v="7"/>
    </i>
    <i>
      <x v="54"/>
    </i>
    <i>
      <x v="34"/>
    </i>
    <i>
      <x v="10"/>
    </i>
    <i>
      <x v="12"/>
    </i>
    <i>
      <x v="39"/>
    </i>
    <i>
      <x v="55"/>
    </i>
    <i>
      <x v="9"/>
    </i>
    <i>
      <x v="11"/>
    </i>
    <i>
      <x v="17"/>
    </i>
    <i>
      <x v="37"/>
    </i>
    <i>
      <x v="32"/>
    </i>
    <i>
      <x v="44"/>
    </i>
    <i>
      <x/>
    </i>
    <i>
      <x v="27"/>
    </i>
    <i>
      <x v="41"/>
    </i>
    <i>
      <x v="48"/>
    </i>
    <i>
      <x v="14"/>
    </i>
    <i>
      <x v="59"/>
    </i>
    <i>
      <x v="42"/>
    </i>
    <i>
      <x v="52"/>
    </i>
    <i>
      <x v="5"/>
    </i>
    <i>
      <x v="22"/>
    </i>
    <i>
      <x v="8"/>
    </i>
    <i>
      <x v="40"/>
    </i>
    <i>
      <x v="53"/>
    </i>
    <i>
      <x v="68"/>
    </i>
    <i>
      <x v="51"/>
    </i>
    <i>
      <x v="45"/>
    </i>
    <i>
      <x v="46"/>
    </i>
    <i>
      <x v="29"/>
    </i>
    <i>
      <x v="49"/>
    </i>
    <i>
      <x v="58"/>
    </i>
    <i>
      <x v="16"/>
    </i>
    <i>
      <x v="25"/>
    </i>
    <i>
      <x v="4"/>
    </i>
    <i>
      <x v="20"/>
    </i>
    <i>
      <x v="26"/>
    </i>
    <i>
      <x v="33"/>
    </i>
    <i>
      <x v="35"/>
    </i>
    <i>
      <x v="47"/>
    </i>
    <i>
      <x v="50"/>
    </i>
    <i>
      <x v="43"/>
    </i>
    <i>
      <x v="3"/>
    </i>
    <i>
      <x v="6"/>
    </i>
    <i>
      <x v="13"/>
    </i>
    <i>
      <x v="15"/>
    </i>
    <i>
      <x v="19"/>
    </i>
    <i>
      <x v="23"/>
    </i>
    <i>
      <x v="28"/>
    </i>
    <i>
      <x v="57"/>
    </i>
    <i>
      <x v="62"/>
    </i>
    <i>
      <x v="1"/>
    </i>
    <i>
      <x v="2"/>
    </i>
    <i>
      <x v="21"/>
    </i>
    <i>
      <x v="31"/>
    </i>
    <i>
      <x v="36"/>
    </i>
    <i>
      <x v="38"/>
    </i>
    <i>
      <x v="63"/>
    </i>
    <i>
      <x v="69"/>
    </i>
    <i>
      <x v="24"/>
    </i>
    <i>
      <x v="30"/>
    </i>
    <i>
      <x v="56"/>
    </i>
    <i>
      <x v="64"/>
    </i>
    <i>
      <x v="65"/>
    </i>
    <i>
      <x v="66"/>
    </i>
    <i>
      <x v="67"/>
    </i>
    <i>
      <x v="70"/>
    </i>
    <i>
      <x v="71"/>
    </i>
    <i>
      <x v="72"/>
    </i>
    <i>
      <x v="73"/>
    </i>
    <i t="grand">
      <x/>
    </i>
  </rowItems>
  <colItems count="1">
    <i/>
  </colItems>
  <dataFields count="1">
    <dataField name="Sum of Order Quantity" fld="2"/>
  </dataFields>
  <pivotTableStyleInfo name="PivotStyleCustom51" showRowHeaders="1" showColHeaders="1" showRowStripes="1" showColStripes="0" showLastColumn="1"/>
</pivotTableDefinition>
</file>

<file path=xl/pivotTables/pivotTable52.xml><?xml version="1.0" encoding="utf-8"?>
<pivotTableDefinition xmlns="http://schemas.openxmlformats.org/spreadsheetml/2006/main" name="March 2023 Sales by SKU$" cacheId="51" dataPosition="0" autoFormatId="0" applyNumberFormats="0" applyBorderFormats="0" applyFontFormats="0" applyPatternFormats="0" applyAlignmentFormats="0" applyWidthHeightFormats="1" dataCaption="" missingCaption="" pivotTableStyle="PivotStyleCustom52" updatedVersion="7" useAutoFormatting="1" createdVersion="7" indent="0" showEmptyCol="1" showEmptyRow="1" compact="0" compactData="0" multipleFieldFilters="0">
  <location ref="R1329:S1404" firstHeaderRow="1" firstDataRow="1" firstDataCol="1"/>
  <pivotFields count="5">
    <pivotField name="Line Item Name" axis="axisRow" compact="0" numFmtId="49" outline="0" showAll="0" sortType="ascending">
      <items count="75">
        <item x="18"/>
        <item x="17"/>
        <item x="65"/>
        <item x="66"/>
        <item x="67"/>
        <item x="25"/>
        <item x="57"/>
        <item x="21"/>
        <item x="58"/>
        <item x="6"/>
        <item x="38"/>
        <item x="12"/>
        <item x="43"/>
        <item x="41"/>
        <item x="4"/>
        <item x="51"/>
        <item x="48"/>
        <item x="23"/>
        <item x="10"/>
        <item x="49"/>
        <item x="37"/>
        <item x="73"/>
        <item x="16"/>
        <item x="64"/>
        <item x="26"/>
        <item x="29"/>
        <item x="52"/>
        <item x="34"/>
        <item x="70"/>
        <item x="24"/>
        <item x="72"/>
        <item x="27"/>
        <item x="47"/>
        <item x="35"/>
        <item x="5"/>
        <item x="15"/>
        <item x="54"/>
        <item x="22"/>
        <item x="71"/>
        <item x="11"/>
        <item x="32"/>
        <item x="3"/>
        <item x="45"/>
        <item x="61"/>
        <item x="53"/>
        <item x="30"/>
        <item x="42"/>
        <item x="69"/>
        <item x="14"/>
        <item x="13"/>
        <item x="20"/>
        <item x="9"/>
        <item x="46"/>
        <item x="33"/>
        <item x="2"/>
        <item x="1"/>
        <item x="50"/>
        <item x="59"/>
        <item x="7"/>
        <item x="0"/>
        <item x="36"/>
        <item x="8"/>
        <item x="44"/>
        <item x="40"/>
        <item x="19"/>
        <item x="55"/>
        <item x="60"/>
        <item x="31"/>
        <item x="28"/>
        <item x="39"/>
        <item x="63"/>
        <item x="68"/>
        <item x="62"/>
        <item x="56"/>
        <item t="default" sd="0"/>
      </items>
    </pivotField>
    <pivotField name="Line Item Description" compact="0" outline="0" showAll="0">
      <items count="84">
        <item x="41"/>
        <item x="45"/>
        <item x="71"/>
        <item x="82"/>
        <item x="25"/>
        <item x="38"/>
        <item x="24"/>
        <item x="72"/>
        <item x="32"/>
        <item x="73"/>
        <item x="21"/>
        <item x="53"/>
        <item x="19"/>
        <item x="22"/>
        <item x="15"/>
        <item x="67"/>
        <item x="16"/>
        <item x="60"/>
        <item x="42"/>
        <item x="56"/>
        <item x="69"/>
        <item x="70"/>
        <item x="57"/>
        <item x="11"/>
        <item x="30"/>
        <item x="39"/>
        <item x="20"/>
        <item x="4"/>
        <item x="8"/>
        <item x="74"/>
        <item x="44"/>
        <item x="12"/>
        <item x="50"/>
        <item x="76"/>
        <item x="35"/>
        <item x="79"/>
        <item x="43"/>
        <item x="81"/>
        <item x="77"/>
        <item x="80"/>
        <item x="52"/>
        <item x="66"/>
        <item x="17"/>
        <item x="51"/>
        <item x="36"/>
        <item x="14"/>
        <item x="9"/>
        <item x="13"/>
        <item x="75"/>
        <item x="49"/>
        <item x="3"/>
        <item x="58"/>
        <item x="63"/>
        <item x="48"/>
        <item x="64"/>
        <item x="18"/>
        <item x="31"/>
        <item x="2"/>
        <item x="59"/>
        <item x="1"/>
        <item x="54"/>
        <item x="5"/>
        <item x="47"/>
        <item x="37"/>
        <item x="34"/>
        <item x="10"/>
        <item x="46"/>
        <item x="23"/>
        <item x="55"/>
        <item x="61"/>
        <item x="62"/>
        <item x="7"/>
        <item x="0"/>
        <item x="6"/>
        <item x="26"/>
        <item x="27"/>
        <item x="28"/>
        <item x="29"/>
        <item x="33"/>
        <item x="78"/>
        <item x="65"/>
        <item x="40"/>
        <item x="68"/>
        <item t="default" sd="0"/>
      </items>
    </pivotField>
    <pivotField name="Order Quantity" compact="0" outline="0" showAll="0">
      <items count="17">
        <item x="0"/>
        <item x="4"/>
        <item x="3"/>
        <item x="1"/>
        <item x="6"/>
        <item x="5"/>
        <item x="14"/>
        <item x="10"/>
        <item x="2"/>
        <item x="7"/>
        <item x="11"/>
        <item x="9"/>
        <item x="15"/>
        <item x="13"/>
        <item x="8"/>
        <item x="12"/>
        <item t="default" sd="0"/>
      </items>
    </pivotField>
    <pivotField name="Unit Price" compact="0" outline="0" showAll="0">
      <items count="86">
        <item x="2"/>
        <item x="69"/>
        <item x="8"/>
        <item x="38"/>
        <item x="75"/>
        <item x="48"/>
        <item x="39"/>
        <item x="47"/>
        <item x="19"/>
        <item x="6"/>
        <item x="82"/>
        <item x="58"/>
        <item x="67"/>
        <item x="26"/>
        <item x="30"/>
        <item x="23"/>
        <item x="56"/>
        <item x="64"/>
        <item x="42"/>
        <item x="24"/>
        <item x="4"/>
        <item x="68"/>
        <item x="45"/>
        <item x="73"/>
        <item x="9"/>
        <item x="3"/>
        <item x="35"/>
        <item x="77"/>
        <item x="31"/>
        <item x="22"/>
        <item x="46"/>
        <item x="29"/>
        <item x="25"/>
        <item x="43"/>
        <item x="78"/>
        <item x="28"/>
        <item x="80"/>
        <item x="14"/>
        <item x="57"/>
        <item x="63"/>
        <item x="17"/>
        <item x="52"/>
        <item x="71"/>
        <item x="34"/>
        <item x="51"/>
        <item x="20"/>
        <item x="37"/>
        <item x="79"/>
        <item x="81"/>
        <item x="61"/>
        <item x="21"/>
        <item x="76"/>
        <item x="55"/>
        <item x="40"/>
        <item x="36"/>
        <item x="12"/>
        <item x="18"/>
        <item x="33"/>
        <item x="60"/>
        <item x="15"/>
        <item x="84"/>
        <item x="11"/>
        <item x="44"/>
        <item x="59"/>
        <item x="0"/>
        <item x="72"/>
        <item x="83"/>
        <item x="70"/>
        <item x="13"/>
        <item x="10"/>
        <item x="27"/>
        <item x="49"/>
        <item x="7"/>
        <item x="66"/>
        <item x="32"/>
        <item x="50"/>
        <item x="41"/>
        <item x="53"/>
        <item x="74"/>
        <item x="5"/>
        <item x="16"/>
        <item x="1"/>
        <item x="54"/>
        <item x="65"/>
        <item x="62"/>
        <item t="default" sd="0"/>
      </items>
    </pivotField>
    <pivotField name="Total Line Item $" axis="axisValues" dataField="1" compact="0" outline="0" showAll="0"/>
  </pivotFields>
  <rowFields count="1">
    <field x="0"/>
  </rowFields>
  <rowItems count="75">
    <i>
      <x v="55"/>
    </i>
    <i>
      <x v="52"/>
    </i>
    <i>
      <x v="58"/>
    </i>
    <i>
      <x v="57"/>
    </i>
    <i>
      <x v="53"/>
    </i>
    <i>
      <x v="7"/>
    </i>
    <i>
      <x v="34"/>
    </i>
    <i>
      <x v="59"/>
    </i>
    <i>
      <x v="48"/>
    </i>
    <i>
      <x v="22"/>
    </i>
    <i>
      <x v="51"/>
    </i>
    <i>
      <x v="37"/>
    </i>
    <i>
      <x v="49"/>
    </i>
    <i>
      <x v="5"/>
    </i>
    <i>
      <x v="50"/>
    </i>
    <i>
      <x v="23"/>
    </i>
    <i>
      <x v="56"/>
    </i>
    <i>
      <x v="63"/>
    </i>
    <i>
      <x v="12"/>
    </i>
    <i>
      <x v="39"/>
    </i>
    <i>
      <x v="27"/>
    </i>
    <i>
      <x v="3"/>
    </i>
    <i>
      <x v="17"/>
    </i>
    <i>
      <x v="61"/>
    </i>
    <i>
      <x v="68"/>
    </i>
    <i>
      <x v="33"/>
    </i>
    <i>
      <x v="38"/>
    </i>
    <i>
      <x v="35"/>
    </i>
    <i>
      <x v="40"/>
    </i>
    <i>
      <x v="4"/>
    </i>
    <i>
      <x v="21"/>
    </i>
    <i>
      <x v="36"/>
    </i>
    <i>
      <x v="18"/>
    </i>
    <i>
      <x v="25"/>
    </i>
    <i>
      <x v="26"/>
    </i>
    <i>
      <x v="44"/>
    </i>
    <i>
      <x v="42"/>
    </i>
    <i>
      <x v="28"/>
    </i>
    <i>
      <x v="69"/>
    </i>
    <i>
      <x v="9"/>
    </i>
    <i>
      <x v="29"/>
    </i>
    <i>
      <x v="54"/>
    </i>
    <i>
      <x/>
    </i>
    <i>
      <x v="31"/>
    </i>
    <i>
      <x v="32"/>
    </i>
    <i>
      <x v="11"/>
    </i>
    <i>
      <x v="8"/>
    </i>
    <i>
      <x v="1"/>
    </i>
    <i>
      <x v="45"/>
    </i>
    <i>
      <x v="71"/>
    </i>
    <i>
      <x v="43"/>
    </i>
    <i>
      <x v="2"/>
    </i>
    <i>
      <x v="30"/>
    </i>
    <i>
      <x v="10"/>
    </i>
    <i>
      <x v="47"/>
    </i>
    <i>
      <x v="24"/>
    </i>
    <i>
      <x v="20"/>
    </i>
    <i>
      <x v="14"/>
    </i>
    <i>
      <x v="15"/>
    </i>
    <i>
      <x v="6"/>
    </i>
    <i>
      <x v="13"/>
    </i>
    <i>
      <x v="16"/>
    </i>
    <i>
      <x v="19"/>
    </i>
    <i>
      <x v="41"/>
    </i>
    <i>
      <x v="46"/>
    </i>
    <i>
      <x v="60"/>
    </i>
    <i>
      <x v="62"/>
    </i>
    <i>
      <x v="64"/>
    </i>
    <i>
      <x v="65"/>
    </i>
    <i>
      <x v="66"/>
    </i>
    <i>
      <x v="67"/>
    </i>
    <i>
      <x v="70"/>
    </i>
    <i>
      <x v="72"/>
    </i>
    <i>
      <x v="73"/>
    </i>
    <i t="grand">
      <x/>
    </i>
  </rowItems>
  <colItems count="1">
    <i/>
  </colItems>
  <dataFields count="1">
    <dataField name="Sum of Total Line Item $" fld="4" numFmtId="60"/>
  </dataFields>
  <pivotTableStyleInfo name="PivotStyleCustom52" showRowHeaders="1" showColHeaders="1" showRowStripes="1" showColStripes="0" showLastColumn="1"/>
</pivotTableDefinition>
</file>

<file path=xl/pivotTables/pivotTable53.xml><?xml version="1.0" encoding="utf-8"?>
<pivotTableDefinition xmlns="http://schemas.openxmlformats.org/spreadsheetml/2006/main" name="February 2023 Sales by Customer" cacheId="52" dataPosition="0" autoFormatId="0" applyNumberFormats="0" applyBorderFormats="0" applyFontFormats="0" applyPatternFormats="0" applyAlignmentFormats="0" applyWidthHeightFormats="1" dataCaption="" missingCaption="" pivotTableStyle="PivotStyleCustom53" updatedVersion="7" useAutoFormatting="1" createdVersion="7" indent="0" showEmptyCol="1" showEmptyRow="1" compact="0" compactData="0" multipleFieldFilters="0">
  <location ref="I391:O520" firstHeaderRow="1" firstDataRow="2" firstDataCol="4"/>
  <pivotFields count="8">
    <pivotField name="Sales Order" axis="axisRow" compact="0" numFmtId="49" outline="0" showAll="0" sortType="ascending">
      <items count="155">
        <item sd="0" x="153"/>
        <item sd="0" x="151"/>
        <item sd="0" x="150"/>
        <item sd="0" x="149"/>
        <item sd="0" x="152"/>
        <item sd="0" x="144"/>
        <item sd="0" x="148"/>
        <item sd="0" x="147"/>
        <item sd="0" x="146"/>
        <item sd="0" x="142"/>
        <item sd="0" x="143"/>
        <item sd="0" x="140"/>
        <item sd="0" x="139"/>
        <item sd="0" x="145"/>
        <item sd="0" x="138"/>
        <item sd="0" x="137"/>
        <item sd="0" x="136"/>
        <item sd="0" x="141"/>
        <item sd="0" x="134"/>
        <item sd="0" x="133"/>
        <item sd="0" x="132"/>
        <item sd="0" x="131"/>
        <item sd="0" x="130"/>
        <item sd="0" x="129"/>
        <item sd="0" x="135"/>
        <item sd="0" x="128"/>
        <item sd="0" x="127"/>
        <item sd="0" x="126"/>
        <item sd="0" x="125"/>
        <item sd="0" x="124"/>
        <item sd="0" x="123"/>
        <item sd="0" x="122"/>
        <item sd="0" x="121"/>
        <item sd="0" x="120"/>
        <item sd="0" x="119"/>
        <item sd="0" x="118"/>
        <item sd="0" x="111"/>
        <item sd="0" x="110"/>
        <item sd="0" x="109"/>
        <item sd="0" x="108"/>
        <item sd="0" x="112"/>
        <item sd="0" x="113"/>
        <item sd="0" x="117"/>
        <item sd="0" x="116"/>
        <item sd="0" x="114"/>
        <item sd="0" x="115"/>
        <item sd="0" x="107"/>
        <item sd="0" x="106"/>
        <item sd="0" x="105"/>
        <item sd="0" x="104"/>
        <item sd="0" x="103"/>
        <item sd="0" x="99"/>
        <item sd="0" x="98"/>
        <item sd="0" x="97"/>
        <item sd="0" x="102"/>
        <item sd="0" x="96"/>
        <item sd="0" x="95"/>
        <item sd="0" x="101"/>
        <item sd="0" x="94"/>
        <item x="93"/>
        <item sd="0" x="92"/>
        <item sd="0" x="100"/>
        <item sd="0" x="90"/>
        <item sd="0" x="89"/>
        <item sd="0" x="88"/>
        <item sd="0" x="87"/>
        <item sd="0" x="91"/>
        <item sd="0" x="82"/>
        <item sd="0" x="83"/>
        <item sd="0" x="84"/>
        <item sd="0" x="86"/>
        <item sd="0" x="81"/>
        <item sd="0" x="85"/>
        <item sd="0" x="80"/>
        <item sd="0" x="79"/>
        <item sd="0" x="78"/>
        <item sd="0" x="77"/>
        <item sd="0" x="76"/>
        <item sd="0" x="75"/>
        <item sd="0" x="74"/>
        <item sd="0" x="73"/>
        <item sd="0" x="71"/>
        <item sd="0" x="70"/>
        <item sd="0" x="72"/>
        <item sd="0" x="68"/>
        <item sd="0" x="67"/>
        <item sd="0" x="66"/>
        <item sd="0" x="65"/>
        <item sd="0" x="69"/>
        <item sd="0" x="64"/>
        <item sd="0" x="63"/>
        <item sd="0" x="62"/>
        <item sd="0" x="61"/>
        <item sd="0" x="60"/>
        <item sd="0" x="59"/>
        <item sd="0" x="58"/>
        <item sd="0" x="57"/>
        <item sd="0" x="56"/>
        <item sd="0" x="55"/>
        <item sd="0" x="54"/>
        <item sd="0" x="53"/>
        <item sd="0" x="52"/>
        <item sd="0" x="51"/>
        <item sd="0" x="50"/>
        <item sd="0" x="48"/>
        <item sd="0" x="47"/>
        <item sd="0" x="46"/>
        <item sd="0" x="45"/>
        <item sd="0" x="49"/>
        <item sd="0" x="44"/>
        <item sd="0" x="43"/>
        <item sd="0" x="42"/>
        <item sd="0" x="41"/>
        <item sd="0" x="40"/>
        <item sd="0" x="39"/>
        <item sd="0" x="38"/>
        <item sd="0" x="37"/>
        <item sd="0" x="34"/>
        <item sd="0" x="33"/>
        <item sd="0" x="32"/>
        <item sd="0" x="36"/>
        <item sd="0" x="35"/>
        <item sd="0" x="28"/>
        <item sd="0" x="30"/>
        <item sd="0" x="27"/>
        <item sd="0" x="29"/>
        <item sd="0" x="26"/>
        <item sd="0" x="31"/>
        <item sd="0" x="25"/>
        <item sd="0" x="24"/>
        <item sd="0" x="23"/>
        <item sd="0" x="22"/>
        <item sd="0" x="21"/>
        <item sd="0" x="20"/>
        <item sd="0" x="19"/>
        <item sd="0" x="17"/>
        <item sd="0" x="18"/>
        <item sd="0" x="16"/>
        <item sd="0" x="15"/>
        <item sd="0" x="14"/>
        <item sd="0" x="13"/>
        <item sd="0" x="12"/>
        <item sd="0" x="11"/>
        <item sd="0" x="10"/>
        <item sd="0" x="9"/>
        <item sd="0" x="8"/>
        <item sd="0" x="7"/>
        <item sd="0" x="5"/>
        <item sd="0" x="4"/>
        <item sd="0" x="3"/>
        <item sd="0" x="2"/>
        <item sd="0" x="1"/>
        <item sd="0" x="0"/>
        <item sd="0" x="6"/>
        <item t="default" sd="0"/>
      </items>
    </pivotField>
    <pivotField name="Customer" axis="axisRow" compact="0" numFmtId="49" outline="0" showAll="0" sortType="ascending">
      <items count="128">
        <item sd="0" x="42"/>
        <item sd="0" x="61"/>
        <item sd="0" x="115"/>
        <item sd="0" x="51"/>
        <item sd="0" x="69"/>
        <item sd="0" x="79"/>
        <item sd="0" x="0"/>
        <item sd="0" x="60"/>
        <item sd="0" x="5"/>
        <item sd="0" x="11"/>
        <item sd="0" x="63"/>
        <item sd="0" x="38"/>
        <item sd="0" x="70"/>
        <item sd="0" x="31"/>
        <item sd="0" x="100"/>
        <item sd="0" x="80"/>
        <item sd="0" x="109"/>
        <item sd="0" x="105"/>
        <item sd="0" x="16"/>
        <item sd="0" x="66"/>
        <item sd="0" x="14"/>
        <item sd="0" x="114"/>
        <item sd="0" x="120"/>
        <item sd="0" x="22"/>
        <item sd="0" x="123"/>
        <item sd="0" x="17"/>
        <item sd="0" x="84"/>
        <item sd="0" x="107"/>
        <item sd="0" x="32"/>
        <item sd="0" x="87"/>
        <item sd="0" x="13"/>
        <item sd="0" x="101"/>
        <item sd="0" x="78"/>
        <item sd="0" x="108"/>
        <item sd="0" x="74"/>
        <item sd="0" x="54"/>
        <item sd="0" x="2"/>
        <item sd="0" x="1"/>
        <item sd="0" x="27"/>
        <item sd="0" x="91"/>
        <item sd="0" x="21"/>
        <item sd="0" x="73"/>
        <item sd="0" x="6"/>
        <item sd="0" x="28"/>
        <item sd="0" x="96"/>
        <item sd="0" x="41"/>
        <item sd="0" x="62"/>
        <item sd="0" x="8"/>
        <item sd="0" x="52"/>
        <item sd="0" x="92"/>
        <item sd="0" x="20"/>
        <item sd="0" x="33"/>
        <item sd="0" x="9"/>
        <item sd="0" x="72"/>
        <item sd="0" x="25"/>
        <item sd="0" x="125"/>
        <item sd="0" x="34"/>
        <item sd="0" x="75"/>
        <item sd="0" x="3"/>
        <item sd="0" x="126"/>
        <item sd="0" x="39"/>
        <item sd="0" x="67"/>
        <item sd="0" x="37"/>
        <item sd="0" x="117"/>
        <item sd="0" x="56"/>
        <item sd="0" x="104"/>
        <item sd="0" x="68"/>
        <item sd="0" x="95"/>
        <item sd="0" x="53"/>
        <item sd="0" x="116"/>
        <item sd="0" x="65"/>
        <item sd="0" x="47"/>
        <item sd="0" x="58"/>
        <item sd="0" x="106"/>
        <item sd="0" x="102"/>
        <item sd="0" x="77"/>
        <item sd="0" x="119"/>
        <item sd="0" x="45"/>
        <item sd="0" x="85"/>
        <item sd="0" x="50"/>
        <item sd="0" x="57"/>
        <item sd="0" x="12"/>
        <item sd="0" x="10"/>
        <item sd="0" x="82"/>
        <item sd="0" x="59"/>
        <item sd="0" x="55"/>
        <item sd="0" x="29"/>
        <item sd="0" x="7"/>
        <item sd="0" x="99"/>
        <item sd="0" x="98"/>
        <item sd="0" x="93"/>
        <item sd="0" x="46"/>
        <item sd="0" x="89"/>
        <item sd="0" x="112"/>
        <item sd="0" x="103"/>
        <item sd="0" x="24"/>
        <item sd="0" x="124"/>
        <item sd="0" x="30"/>
        <item sd="0" x="48"/>
        <item sd="0" x="83"/>
        <item sd="0" x="76"/>
        <item sd="0" x="36"/>
        <item sd="0" x="43"/>
        <item sd="0" x="49"/>
        <item sd="0" x="4"/>
        <item sd="0" x="97"/>
        <item sd="0" x="35"/>
        <item sd="0" x="121"/>
        <item sd="0" x="81"/>
        <item sd="0" x="88"/>
        <item sd="0" x="40"/>
        <item sd="0" x="110"/>
        <item sd="0" x="113"/>
        <item sd="0" x="86"/>
        <item sd="0" x="122"/>
        <item sd="0" x="94"/>
        <item sd="0" x="111"/>
        <item sd="0" x="118"/>
        <item sd="0" x="26"/>
        <item sd="0" x="15"/>
        <item sd="0" x="23"/>
        <item sd="0" x="44"/>
        <item sd="0" x="19"/>
        <item sd="0" x="71"/>
        <item sd="0" x="18"/>
        <item sd="0" x="90"/>
        <item sd="0" x="64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84">
        <item x="50"/>
        <item x="65"/>
        <item x="71"/>
        <item x="22"/>
        <item x="81"/>
        <item x="72"/>
        <item x="68"/>
        <item x="46"/>
        <item x="39"/>
        <item x="82"/>
        <item x="45"/>
        <item x="67"/>
        <item x="80"/>
        <item x="32"/>
        <item x="6"/>
        <item x="55"/>
        <item x="40"/>
        <item x="15"/>
        <item x="19"/>
        <item x="61"/>
        <item x="30"/>
        <item x="51"/>
        <item x="4"/>
        <item x="31"/>
        <item x="59"/>
        <item x="73"/>
        <item x="35"/>
        <item x="38"/>
        <item x="14"/>
        <item x="24"/>
        <item x="29"/>
        <item x="52"/>
        <item x="63"/>
        <item x="13"/>
        <item x="41"/>
        <item x="62"/>
        <item x="49"/>
        <item x="53"/>
        <item x="8"/>
        <item x="48"/>
        <item x="54"/>
        <item x="75"/>
        <item x="60"/>
        <item x="34"/>
        <item x="5"/>
        <item x="23"/>
        <item x="70"/>
        <item x="79"/>
        <item x="9"/>
        <item x="42"/>
        <item x="2"/>
        <item x="33"/>
        <item x="3"/>
        <item x="43"/>
        <item x="1"/>
        <item x="0"/>
        <item x="26"/>
        <item x="27"/>
        <item x="36"/>
        <item x="11"/>
        <item x="16"/>
        <item x="74"/>
        <item x="37"/>
        <item x="10"/>
        <item x="56"/>
        <item x="12"/>
        <item x="44"/>
        <item x="78"/>
        <item x="25"/>
        <item x="7"/>
        <item x="28"/>
        <item x="66"/>
        <item x="57"/>
        <item x="17"/>
        <item x="64"/>
        <item x="76"/>
        <item x="58"/>
        <item x="77"/>
        <item x="69"/>
        <item x="18"/>
        <item x="20"/>
        <item x="21"/>
        <item x="47"/>
        <item t="default" sd="0"/>
      </items>
    </pivotField>
    <pivotField name="Line Item Description" compact="0" outline="0" showAll="0">
      <items count="91">
        <item x="74"/>
        <item x="85"/>
        <item x="55"/>
        <item x="76"/>
        <item x="35"/>
        <item x="71"/>
        <item x="48"/>
        <item x="89"/>
        <item x="83"/>
        <item x="32"/>
        <item x="70"/>
        <item x="40"/>
        <item x="84"/>
        <item x="49"/>
        <item x="33"/>
        <item x="52"/>
        <item x="6"/>
        <item x="8"/>
        <item x="22"/>
        <item x="37"/>
        <item x="54"/>
        <item x="62"/>
        <item x="59"/>
        <item x="61"/>
        <item x="13"/>
        <item x="14"/>
        <item x="56"/>
        <item x="34"/>
        <item x="5"/>
        <item x="21"/>
        <item x="58"/>
        <item x="30"/>
        <item x="7"/>
        <item x="38"/>
        <item x="16"/>
        <item x="26"/>
        <item x="65"/>
        <item x="78"/>
        <item x="23"/>
        <item x="15"/>
        <item x="69"/>
        <item x="1"/>
        <item x="86"/>
        <item x="67"/>
        <item x="28"/>
        <item x="0"/>
        <item x="3"/>
        <item x="2"/>
        <item x="25"/>
        <item x="9"/>
        <item x="82"/>
        <item x="45"/>
        <item x="46"/>
        <item x="50"/>
        <item x="41"/>
        <item x="36"/>
        <item x="11"/>
        <item x="80"/>
        <item x="24"/>
        <item x="72"/>
        <item x="77"/>
        <item x="57"/>
        <item x="17"/>
        <item x="88"/>
        <item x="42"/>
        <item x="44"/>
        <item x="68"/>
        <item x="39"/>
        <item x="51"/>
        <item x="10"/>
        <item x="60"/>
        <item x="87"/>
        <item x="66"/>
        <item x="31"/>
        <item x="4"/>
        <item x="53"/>
        <item x="12"/>
        <item x="18"/>
        <item x="20"/>
        <item x="19"/>
        <item x="63"/>
        <item x="47"/>
        <item x="81"/>
        <item x="75"/>
        <item x="73"/>
        <item x="27"/>
        <item x="64"/>
        <item x="43"/>
        <item x="29"/>
        <item x="79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3"/>
    </i>
    <i>
      <x v="14"/>
    </i>
    <i>
      <x v="15"/>
    </i>
    <i>
      <x v="11"/>
    </i>
    <i>
      <x v="16"/>
    </i>
    <i>
      <x v="17"/>
    </i>
    <i>
      <x v="12"/>
    </i>
    <i>
      <x v="20"/>
    </i>
    <i>
      <x v="21"/>
    </i>
    <i>
      <x v="22"/>
    </i>
    <i>
      <x v="23"/>
    </i>
    <i>
      <x v="24"/>
    </i>
    <i>
      <x v="25"/>
    </i>
    <i>
      <x v="26"/>
    </i>
    <i>
      <x v="18"/>
    </i>
    <i>
      <x v="19"/>
    </i>
    <i>
      <x v="119"/>
    </i>
    <i>
      <x v="120"/>
    </i>
    <i>
      <x v="27"/>
    </i>
    <i>
      <x v="29"/>
    </i>
    <i>
      <x v="30"/>
    </i>
    <i>
      <x v="28"/>
    </i>
    <i>
      <x v="31"/>
    </i>
    <i>
      <x v="32"/>
    </i>
    <i>
      <x v="33"/>
    </i>
    <i>
      <x v="35"/>
    </i>
    <i>
      <x v="36"/>
    </i>
    <i>
      <x v="34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7"/>
    </i>
    <i>
      <x v="48"/>
    </i>
    <i>
      <x v="49"/>
    </i>
    <i>
      <x v="50"/>
    </i>
    <i>
      <x v="51"/>
    </i>
    <i>
      <x v="12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45"/>
    </i>
    <i>
      <x v="46"/>
    </i>
    <i>
      <x v="64"/>
    </i>
    <i>
      <x v="65"/>
    </i>
    <i>
      <x v="122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5"/>
    </i>
    <i>
      <x v="77"/>
    </i>
    <i>
      <x v="78"/>
    </i>
    <i>
      <x v="79"/>
    </i>
    <i>
      <x v="80"/>
    </i>
    <i>
      <x v="81"/>
    </i>
    <i>
      <x v="124"/>
    </i>
    <i>
      <x v="82"/>
    </i>
    <i>
      <x v="83"/>
    </i>
    <i>
      <x v="123"/>
    </i>
    <i>
      <x v="125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0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26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53" showRowHeaders="1" showColHeaders="1" showRowStripes="1" showColStripes="0" showLastColumn="1"/>
</pivotTableDefinition>
</file>

<file path=xl/pivotTables/pivotTable54.xml><?xml version="1.0" encoding="utf-8"?>
<pivotTableDefinition xmlns="http://schemas.openxmlformats.org/spreadsheetml/2006/main" name="February 2023 Sales by SKU (Quantity)" cacheId="53" dataPosition="0" autoFormatId="0" applyNumberFormats="0" applyBorderFormats="0" applyFontFormats="0" applyPatternFormats="0" applyAlignmentFormats="0" applyWidthHeightFormats="1" dataCaption="" missingCaption="" pivotTableStyle="PivotStyleCustom54" updatedVersion="7" useAutoFormatting="1" createdVersion="7" indent="0" showEmptyCol="1" showEmptyRow="1" compact="0" compactData="0" multipleFieldFilters="0">
  <location ref="P523:Q607" firstHeaderRow="1" firstDataRow="1" firstDataCol="1"/>
  <pivotFields count="3">
    <pivotField name="Line Item Name" axis="axisRow" compact="0" numFmtId="49" outline="0" showAll="0" sortType="ascending">
      <items count="84">
        <item x="50"/>
        <item x="65"/>
        <item x="71"/>
        <item x="22"/>
        <item x="81"/>
        <item x="72"/>
        <item x="68"/>
        <item x="46"/>
        <item x="39"/>
        <item x="82"/>
        <item x="45"/>
        <item x="67"/>
        <item x="80"/>
        <item x="32"/>
        <item x="6"/>
        <item x="55"/>
        <item x="40"/>
        <item x="15"/>
        <item x="19"/>
        <item x="61"/>
        <item x="30"/>
        <item x="51"/>
        <item x="4"/>
        <item x="31"/>
        <item x="59"/>
        <item x="73"/>
        <item x="35"/>
        <item x="38"/>
        <item x="14"/>
        <item x="24"/>
        <item x="29"/>
        <item x="52"/>
        <item x="63"/>
        <item x="13"/>
        <item x="41"/>
        <item x="62"/>
        <item x="49"/>
        <item x="53"/>
        <item x="8"/>
        <item x="48"/>
        <item x="54"/>
        <item x="75"/>
        <item x="60"/>
        <item x="34"/>
        <item x="5"/>
        <item x="23"/>
        <item x="70"/>
        <item x="79"/>
        <item x="9"/>
        <item x="42"/>
        <item x="2"/>
        <item x="33"/>
        <item x="3"/>
        <item x="43"/>
        <item x="1"/>
        <item x="0"/>
        <item x="26"/>
        <item x="27"/>
        <item x="36"/>
        <item x="11"/>
        <item x="16"/>
        <item x="74"/>
        <item x="37"/>
        <item x="10"/>
        <item x="56"/>
        <item x="12"/>
        <item x="44"/>
        <item x="78"/>
        <item x="25"/>
        <item x="7"/>
        <item x="28"/>
        <item x="66"/>
        <item x="57"/>
        <item x="17"/>
        <item x="64"/>
        <item x="76"/>
        <item x="58"/>
        <item x="77"/>
        <item x="69"/>
        <item x="18"/>
        <item x="20"/>
        <item x="21"/>
        <item x="47"/>
        <item t="default" sd="0"/>
      </items>
    </pivotField>
    <pivotField name="Line Item Description" compact="0" outline="0" showAll="0">
      <items count="91">
        <item x="74"/>
        <item x="85"/>
        <item x="55"/>
        <item x="76"/>
        <item x="35"/>
        <item x="71"/>
        <item x="48"/>
        <item x="89"/>
        <item x="83"/>
        <item x="32"/>
        <item x="70"/>
        <item x="40"/>
        <item x="84"/>
        <item x="49"/>
        <item x="33"/>
        <item x="52"/>
        <item x="6"/>
        <item x="8"/>
        <item x="22"/>
        <item x="37"/>
        <item x="54"/>
        <item x="62"/>
        <item x="59"/>
        <item x="61"/>
        <item x="13"/>
        <item x="14"/>
        <item x="56"/>
        <item x="34"/>
        <item x="5"/>
        <item x="21"/>
        <item x="58"/>
        <item x="30"/>
        <item x="7"/>
        <item x="38"/>
        <item x="16"/>
        <item x="26"/>
        <item x="65"/>
        <item x="78"/>
        <item x="23"/>
        <item x="15"/>
        <item x="69"/>
        <item x="1"/>
        <item x="86"/>
        <item x="67"/>
        <item x="28"/>
        <item x="0"/>
        <item x="3"/>
        <item x="2"/>
        <item x="25"/>
        <item x="9"/>
        <item x="82"/>
        <item x="45"/>
        <item x="46"/>
        <item x="50"/>
        <item x="41"/>
        <item x="36"/>
        <item x="11"/>
        <item x="80"/>
        <item x="24"/>
        <item x="72"/>
        <item x="77"/>
        <item x="57"/>
        <item x="17"/>
        <item x="88"/>
        <item x="42"/>
        <item x="44"/>
        <item x="68"/>
        <item x="39"/>
        <item x="51"/>
        <item x="10"/>
        <item x="60"/>
        <item x="87"/>
        <item x="66"/>
        <item x="31"/>
        <item x="4"/>
        <item x="53"/>
        <item x="12"/>
        <item x="18"/>
        <item x="20"/>
        <item x="19"/>
        <item x="63"/>
        <item x="47"/>
        <item x="81"/>
        <item x="75"/>
        <item x="73"/>
        <item x="27"/>
        <item x="64"/>
        <item x="43"/>
        <item x="29"/>
        <item x="79"/>
        <item t="default" sd="0"/>
      </items>
    </pivotField>
    <pivotField name="Order Quantity" axis="axisValues" dataField="1" compact="0" outline="0" showAll="0"/>
  </pivotFields>
  <rowFields count="1">
    <field x="0"/>
  </rowFields>
  <rowItems count="84">
    <i>
      <x v="53"/>
    </i>
    <i>
      <x v="49"/>
    </i>
    <i>
      <x v="69"/>
    </i>
    <i>
      <x v="60"/>
    </i>
    <i>
      <x v="33"/>
    </i>
    <i>
      <x v="17"/>
    </i>
    <i>
      <x v="22"/>
    </i>
    <i>
      <x v="5"/>
    </i>
    <i>
      <x v="2"/>
    </i>
    <i>
      <x v="58"/>
    </i>
    <i>
      <x v="14"/>
    </i>
    <i>
      <x v="43"/>
    </i>
    <i>
      <x v="21"/>
    </i>
    <i>
      <x v="36"/>
    </i>
    <i>
      <x v="68"/>
    </i>
    <i>
      <x v="45"/>
    </i>
    <i>
      <x v="20"/>
    </i>
    <i>
      <x v="13"/>
    </i>
    <i>
      <x v="18"/>
    </i>
    <i>
      <x v="62"/>
    </i>
    <i>
      <x v="25"/>
    </i>
    <i>
      <x v="9"/>
    </i>
    <i>
      <x v="44"/>
    </i>
    <i>
      <x v="10"/>
    </i>
    <i>
      <x v="26"/>
    </i>
    <i>
      <x v="50"/>
    </i>
    <i>
      <x v="79"/>
    </i>
    <i>
      <x v="7"/>
    </i>
    <i>
      <x v="66"/>
    </i>
    <i>
      <x v="16"/>
    </i>
    <i>
      <x v="56"/>
    </i>
    <i>
      <x v="57"/>
    </i>
    <i>
      <x v="63"/>
    </i>
    <i>
      <x v="28"/>
    </i>
    <i>
      <x v="1"/>
    </i>
    <i>
      <x v="32"/>
    </i>
    <i>
      <x v="38"/>
    </i>
    <i>
      <x v="42"/>
    </i>
    <i>
      <x v="59"/>
    </i>
    <i>
      <x v="64"/>
    </i>
    <i>
      <x v="65"/>
    </i>
    <i>
      <x/>
    </i>
    <i>
      <x v="48"/>
    </i>
    <i>
      <x v="54"/>
    </i>
    <i>
      <x v="52"/>
    </i>
    <i>
      <x v="55"/>
    </i>
    <i>
      <x v="71"/>
    </i>
    <i>
      <x v="78"/>
    </i>
    <i>
      <x v="80"/>
    </i>
    <i>
      <x v="6"/>
    </i>
    <i>
      <x v="19"/>
    </i>
    <i>
      <x v="27"/>
    </i>
    <i>
      <x v="29"/>
    </i>
    <i>
      <x v="39"/>
    </i>
    <i>
      <x v="40"/>
    </i>
    <i>
      <x v="41"/>
    </i>
    <i>
      <x v="61"/>
    </i>
    <i>
      <x v="74"/>
    </i>
    <i>
      <x v="70"/>
    </i>
    <i>
      <x v="3"/>
    </i>
    <i>
      <x v="8"/>
    </i>
    <i>
      <x v="15"/>
    </i>
    <i>
      <x v="23"/>
    </i>
    <i>
      <x v="30"/>
    </i>
    <i>
      <x v="31"/>
    </i>
    <i>
      <x v="34"/>
    </i>
    <i>
      <x v="47"/>
    </i>
    <i>
      <x v="51"/>
    </i>
    <i>
      <x v="75"/>
    </i>
    <i>
      <x v="76"/>
    </i>
    <i>
      <x v="4"/>
    </i>
    <i>
      <x v="11"/>
    </i>
    <i>
      <x v="12"/>
    </i>
    <i>
      <x v="24"/>
    </i>
    <i>
      <x v="35"/>
    </i>
    <i>
      <x v="37"/>
    </i>
    <i>
      <x v="46"/>
    </i>
    <i>
      <x v="67"/>
    </i>
    <i>
      <x v="72"/>
    </i>
    <i>
      <x v="73"/>
    </i>
    <i>
      <x v="77"/>
    </i>
    <i>
      <x v="81"/>
    </i>
    <i>
      <x v="82"/>
    </i>
    <i t="grand">
      <x/>
    </i>
  </rowItems>
  <colItems count="1">
    <i/>
  </colItems>
  <dataFields count="1">
    <dataField name="Sum of Order Quantity" fld="2"/>
  </dataFields>
  <pivotTableStyleInfo name="PivotStyleCustom54" showRowHeaders="1" showColHeaders="1" showRowStripes="1" showColStripes="0" showLastColumn="1"/>
</pivotTableDefinition>
</file>

<file path=xl/pivotTables/pivotTable55.xml><?xml version="1.0" encoding="utf-8"?>
<pivotTableDefinition xmlns="http://schemas.openxmlformats.org/spreadsheetml/2006/main" name="February 2023 Sales by SKU$" cacheId="54" dataPosition="0" autoFormatId="0" applyNumberFormats="0" applyBorderFormats="0" applyFontFormats="0" applyPatternFormats="0" applyAlignmentFormats="0" applyWidthHeightFormats="1" dataCaption="" missingCaption="" pivotTableStyle="PivotStyleCustom55" updatedVersion="7" useAutoFormatting="1" createdVersion="7" indent="0" showEmptyCol="1" showEmptyRow="1" compact="0" compactData="0" multipleFieldFilters="0">
  <location ref="R610:S694" firstHeaderRow="1" firstDataRow="1" firstDataCol="1"/>
  <pivotFields count="5">
    <pivotField name="Line Item Name" axis="axisRow" compact="0" numFmtId="49" outline="0" showAll="0" sortType="ascending">
      <items count="84">
        <item x="50"/>
        <item x="65"/>
        <item x="71"/>
        <item x="22"/>
        <item x="81"/>
        <item x="72"/>
        <item x="68"/>
        <item x="46"/>
        <item x="39"/>
        <item x="82"/>
        <item x="45"/>
        <item x="67"/>
        <item x="80"/>
        <item x="32"/>
        <item x="6"/>
        <item x="55"/>
        <item x="40"/>
        <item x="15"/>
        <item x="19"/>
        <item x="61"/>
        <item x="30"/>
        <item x="51"/>
        <item x="4"/>
        <item x="31"/>
        <item x="59"/>
        <item x="73"/>
        <item x="35"/>
        <item x="38"/>
        <item x="14"/>
        <item x="24"/>
        <item x="29"/>
        <item x="52"/>
        <item x="63"/>
        <item x="13"/>
        <item x="41"/>
        <item x="62"/>
        <item x="49"/>
        <item x="53"/>
        <item x="8"/>
        <item x="48"/>
        <item x="54"/>
        <item x="75"/>
        <item x="60"/>
        <item x="34"/>
        <item x="5"/>
        <item x="23"/>
        <item x="70"/>
        <item x="79"/>
        <item x="9"/>
        <item x="42"/>
        <item x="2"/>
        <item x="33"/>
        <item x="3"/>
        <item x="43"/>
        <item x="1"/>
        <item x="0"/>
        <item x="26"/>
        <item x="27"/>
        <item x="36"/>
        <item x="11"/>
        <item x="16"/>
        <item x="74"/>
        <item x="37"/>
        <item x="10"/>
        <item x="56"/>
        <item x="12"/>
        <item x="44"/>
        <item x="78"/>
        <item x="25"/>
        <item x="7"/>
        <item x="28"/>
        <item x="66"/>
        <item x="57"/>
        <item x="17"/>
        <item x="64"/>
        <item x="76"/>
        <item x="58"/>
        <item x="77"/>
        <item x="69"/>
        <item x="18"/>
        <item x="20"/>
        <item x="21"/>
        <item x="47"/>
        <item t="default" sd="0"/>
      </items>
    </pivotField>
    <pivotField name="Line Item Description" compact="0" outline="0" showAll="0">
      <items count="91">
        <item x="74"/>
        <item x="85"/>
        <item x="55"/>
        <item x="76"/>
        <item x="35"/>
        <item x="71"/>
        <item x="48"/>
        <item x="89"/>
        <item x="83"/>
        <item x="32"/>
        <item x="70"/>
        <item x="40"/>
        <item x="84"/>
        <item x="49"/>
        <item x="33"/>
        <item x="52"/>
        <item x="6"/>
        <item x="8"/>
        <item x="22"/>
        <item x="37"/>
        <item x="54"/>
        <item x="62"/>
        <item x="59"/>
        <item x="61"/>
        <item x="13"/>
        <item x="14"/>
        <item x="56"/>
        <item x="34"/>
        <item x="5"/>
        <item x="21"/>
        <item x="58"/>
        <item x="30"/>
        <item x="7"/>
        <item x="38"/>
        <item x="16"/>
        <item x="26"/>
        <item x="65"/>
        <item x="78"/>
        <item x="23"/>
        <item x="15"/>
        <item x="69"/>
        <item x="1"/>
        <item x="86"/>
        <item x="67"/>
        <item x="28"/>
        <item x="0"/>
        <item x="3"/>
        <item x="2"/>
        <item x="25"/>
        <item x="9"/>
        <item x="82"/>
        <item x="45"/>
        <item x="46"/>
        <item x="50"/>
        <item x="41"/>
        <item x="36"/>
        <item x="11"/>
        <item x="80"/>
        <item x="24"/>
        <item x="72"/>
        <item x="77"/>
        <item x="57"/>
        <item x="17"/>
        <item x="88"/>
        <item x="42"/>
        <item x="44"/>
        <item x="68"/>
        <item x="39"/>
        <item x="51"/>
        <item x="10"/>
        <item x="60"/>
        <item x="87"/>
        <item x="66"/>
        <item x="31"/>
        <item x="4"/>
        <item x="53"/>
        <item x="12"/>
        <item x="18"/>
        <item x="20"/>
        <item x="19"/>
        <item x="63"/>
        <item x="47"/>
        <item x="81"/>
        <item x="75"/>
        <item x="73"/>
        <item x="27"/>
        <item x="64"/>
        <item x="43"/>
        <item x="29"/>
        <item x="79"/>
        <item t="default" sd="0"/>
      </items>
    </pivotField>
    <pivotField name="Order Quantity" compact="0" outline="0" showAll="0">
      <items count="19">
        <item x="1"/>
        <item x="0"/>
        <item x="7"/>
        <item x="9"/>
        <item x="16"/>
        <item x="4"/>
        <item x="3"/>
        <item x="2"/>
        <item x="17"/>
        <item x="5"/>
        <item x="8"/>
        <item x="6"/>
        <item x="10"/>
        <item x="11"/>
        <item x="15"/>
        <item x="12"/>
        <item x="13"/>
        <item x="14"/>
        <item t="default" sd="0"/>
      </items>
    </pivotField>
    <pivotField name="Unit Price" compact="0" outline="0" showAll="0">
      <items count="92">
        <item x="13"/>
        <item x="51"/>
        <item x="50"/>
        <item x="4"/>
        <item x="33"/>
        <item x="67"/>
        <item x="7"/>
        <item x="79"/>
        <item x="22"/>
        <item x="71"/>
        <item x="3"/>
        <item x="42"/>
        <item x="30"/>
        <item x="2"/>
        <item x="85"/>
        <item x="15"/>
        <item x="57"/>
        <item x="9"/>
        <item x="65"/>
        <item x="41"/>
        <item x="47"/>
        <item x="53"/>
        <item x="19"/>
        <item x="59"/>
        <item x="14"/>
        <item x="75"/>
        <item x="23"/>
        <item x="83"/>
        <item x="37"/>
        <item x="5"/>
        <item x="44"/>
        <item x="77"/>
        <item x="84"/>
        <item x="38"/>
        <item x="88"/>
        <item x="64"/>
        <item x="81"/>
        <item x="82"/>
        <item x="24"/>
        <item x="60"/>
        <item x="6"/>
        <item x="36"/>
        <item x="87"/>
        <item x="76"/>
        <item x="32"/>
        <item x="73"/>
        <item x="74"/>
        <item x="20"/>
        <item x="28"/>
        <item x="34"/>
        <item x="62"/>
        <item x="49"/>
        <item x="90"/>
        <item x="70"/>
        <item x="72"/>
        <item x="66"/>
        <item x="8"/>
        <item x="17"/>
        <item x="61"/>
        <item x="56"/>
        <item x="26"/>
        <item x="16"/>
        <item x="80"/>
        <item x="1"/>
        <item x="29"/>
        <item x="52"/>
        <item x="40"/>
        <item x="25"/>
        <item x="63"/>
        <item x="27"/>
        <item x="69"/>
        <item x="68"/>
        <item x="0"/>
        <item x="78"/>
        <item x="31"/>
        <item x="45"/>
        <item x="39"/>
        <item x="11"/>
        <item x="55"/>
        <item x="46"/>
        <item x="21"/>
        <item x="58"/>
        <item x="43"/>
        <item x="54"/>
        <item x="48"/>
        <item x="89"/>
        <item x="10"/>
        <item x="18"/>
        <item x="86"/>
        <item x="12"/>
        <item x="35"/>
        <item t="default" sd="0"/>
      </items>
    </pivotField>
    <pivotField name="Total Line Item $" axis="axisValues" dataField="1" compact="0" outline="0" showAll="0"/>
  </pivotFields>
  <rowFields count="1">
    <field x="0"/>
  </rowFields>
  <rowItems count="84">
    <i>
      <x v="58"/>
    </i>
    <i>
      <x v="62"/>
    </i>
    <i>
      <x v="65"/>
    </i>
    <i>
      <x v="63"/>
    </i>
    <i>
      <x v="66"/>
    </i>
    <i>
      <x v="64"/>
    </i>
    <i>
      <x v="68"/>
    </i>
    <i>
      <x v="57"/>
    </i>
    <i>
      <x v="59"/>
    </i>
    <i>
      <x v="56"/>
    </i>
    <i>
      <x v="14"/>
    </i>
    <i>
      <x v="42"/>
    </i>
    <i>
      <x v="13"/>
    </i>
    <i>
      <x v="55"/>
    </i>
    <i>
      <x v="54"/>
    </i>
    <i>
      <x v="36"/>
    </i>
    <i>
      <x v="79"/>
    </i>
    <i>
      <x v="43"/>
    </i>
    <i>
      <x v="38"/>
    </i>
    <i>
      <x v="25"/>
    </i>
    <i>
      <x v="21"/>
    </i>
    <i>
      <x v="39"/>
    </i>
    <i>
      <x v="18"/>
    </i>
    <i>
      <x v="32"/>
    </i>
    <i>
      <x v="26"/>
    </i>
    <i>
      <x v="44"/>
    </i>
    <i>
      <x v="80"/>
    </i>
    <i>
      <x v="40"/>
    </i>
    <i>
      <x v="67"/>
    </i>
    <i>
      <x v="81"/>
    </i>
    <i>
      <x v="49"/>
    </i>
    <i>
      <x v="74"/>
    </i>
    <i>
      <x v="69"/>
    </i>
    <i>
      <x v="60"/>
    </i>
    <i>
      <x v="33"/>
    </i>
    <i>
      <x v="29"/>
    </i>
    <i>
      <x v="41"/>
    </i>
    <i>
      <x v="16"/>
    </i>
    <i>
      <x v="34"/>
    </i>
    <i>
      <x v="53"/>
    </i>
    <i>
      <x v="50"/>
    </i>
    <i>
      <x v="73"/>
    </i>
    <i>
      <x v="28"/>
    </i>
    <i>
      <x v="45"/>
    </i>
    <i>
      <x v="61"/>
    </i>
    <i>
      <x v="31"/>
    </i>
    <i>
      <x v="24"/>
    </i>
    <i>
      <x v="30"/>
    </i>
    <i>
      <x v="17"/>
    </i>
    <i>
      <x v="35"/>
    </i>
    <i>
      <x v="37"/>
    </i>
    <i>
      <x v="48"/>
    </i>
    <i>
      <x/>
    </i>
    <i>
      <x v="76"/>
    </i>
    <i>
      <x v="52"/>
    </i>
    <i>
      <x v="22"/>
    </i>
    <i>
      <x v="15"/>
    </i>
    <i>
      <x v="19"/>
    </i>
    <i>
      <x v="75"/>
    </i>
    <i>
      <x v="51"/>
    </i>
    <i>
      <x v="20"/>
    </i>
    <i>
      <x v="46"/>
    </i>
    <i>
      <x v="23"/>
    </i>
    <i>
      <x v="1"/>
    </i>
    <i>
      <x v="2"/>
    </i>
    <i>
      <x v="4"/>
    </i>
    <i>
      <x v="3"/>
    </i>
    <i>
      <x v="5"/>
    </i>
    <i>
      <x v="6"/>
    </i>
    <i>
      <x v="7"/>
    </i>
    <i>
      <x v="8"/>
    </i>
    <i>
      <x v="10"/>
    </i>
    <i>
      <x v="9"/>
    </i>
    <i>
      <x v="11"/>
    </i>
    <i>
      <x v="12"/>
    </i>
    <i>
      <x v="27"/>
    </i>
    <i>
      <x v="47"/>
    </i>
    <i>
      <x v="70"/>
    </i>
    <i>
      <x v="71"/>
    </i>
    <i>
      <x v="72"/>
    </i>
    <i>
      <x v="77"/>
    </i>
    <i>
      <x v="78"/>
    </i>
    <i>
      <x v="82"/>
    </i>
    <i t="grand">
      <x/>
    </i>
  </rowItems>
  <colItems count="1">
    <i/>
  </colItems>
  <dataFields count="1">
    <dataField name="Sum of Total Line Item $" fld="4" numFmtId="60"/>
  </dataFields>
  <pivotTableStyleInfo name="PivotStyleCustom55" showRowHeaders="1" showColHeaders="1" showRowStripes="1" showColStripes="0" showLastColumn="1"/>
</pivotTableDefinition>
</file>

<file path=xl/pivotTables/pivotTable56.xml><?xml version="1.0" encoding="utf-8"?>
<pivotTableDefinition xmlns="http://schemas.openxmlformats.org/spreadsheetml/2006/main" name="January 2023 Sales by Customer" cacheId="55" dataPosition="0" autoFormatId="0" applyNumberFormats="0" applyBorderFormats="0" applyFontFormats="0" applyPatternFormats="0" applyAlignmentFormats="0" applyWidthHeightFormats="1" dataCaption="" missingCaption="" pivotTableStyle="PivotStyleCustom56" updatedVersion="7" useAutoFormatting="1" createdVersion="7" indent="0" showEmptyCol="1" showEmptyRow="1" compact="0" compactData="0" multipleFieldFilters="0">
  <location ref="I285:O909" firstHeaderRow="1" firstDataRow="2" firstDataCol="4"/>
  <pivotFields count="8">
    <pivotField name="Sales Order" axis="axisRow" compact="0" numFmtId="49" outline="0" showAll="0" sortType="ascending">
      <items count="124">
        <item x="122"/>
        <item x="121"/>
        <item x="120"/>
        <item x="119"/>
        <item x="116"/>
        <item x="115"/>
        <item x="114"/>
        <item x="117"/>
        <item x="118"/>
        <item x="113"/>
        <item x="111"/>
        <item x="112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1"/>
        <item x="92"/>
        <item x="89"/>
        <item x="88"/>
        <item x="86"/>
        <item x="85"/>
        <item x="87"/>
        <item x="84"/>
        <item x="80"/>
        <item x="83"/>
        <item x="82"/>
        <item x="81"/>
        <item x="77"/>
        <item x="76"/>
        <item x="79"/>
        <item x="78"/>
        <item x="75"/>
        <item x="74"/>
        <item x="73"/>
        <item x="72"/>
        <item x="71"/>
        <item x="70"/>
        <item x="69"/>
        <item x="68"/>
        <item x="67"/>
        <item x="66"/>
        <item x="61"/>
        <item x="60"/>
        <item x="62"/>
        <item x="58"/>
        <item x="57"/>
        <item x="63"/>
        <item x="65"/>
        <item x="64"/>
        <item x="59"/>
        <item x="56"/>
        <item x="55"/>
        <item x="53"/>
        <item x="54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37"/>
        <item x="40"/>
        <item x="36"/>
        <item x="35"/>
        <item x="34"/>
        <item x="33"/>
        <item x="32"/>
        <item x="31"/>
        <item x="38"/>
        <item x="39"/>
        <item x="30"/>
        <item x="29"/>
        <item x="28"/>
        <item x="27"/>
        <item x="26"/>
        <item x="25"/>
        <item x="24"/>
        <item x="23"/>
        <item x="22"/>
        <item x="21"/>
        <item x="19"/>
        <item x="18"/>
        <item x="20"/>
        <item x="17"/>
        <item x="16"/>
        <item x="15"/>
        <item x="14"/>
        <item x="13"/>
        <item x="12"/>
        <item x="11"/>
        <item x="10"/>
        <item x="9"/>
        <item x="8"/>
        <item x="7"/>
        <item x="5"/>
        <item x="4"/>
        <item x="3"/>
        <item x="6"/>
        <item x="2"/>
        <item x="1"/>
        <item x="0"/>
        <item x="90"/>
        <item t="default" sd="0"/>
      </items>
    </pivotField>
    <pivotField name="Customer" axis="axisRow" compact="0" numFmtId="49" outline="0" showAll="0" sortType="ascending">
      <items count="101">
        <item x="91"/>
        <item x="24"/>
        <item x="77"/>
        <item x="80"/>
        <item x="85"/>
        <item x="62"/>
        <item x="36"/>
        <item x="53"/>
        <item x="13"/>
        <item x="37"/>
        <item x="29"/>
        <item x="17"/>
        <item x="45"/>
        <item x="19"/>
        <item x="10"/>
        <item x="64"/>
        <item x="57"/>
        <item x="31"/>
        <item x="4"/>
        <item x="6"/>
        <item x="74"/>
        <item x="86"/>
        <item x="21"/>
        <item x="16"/>
        <item x="56"/>
        <item x="28"/>
        <item x="50"/>
        <item x="18"/>
        <item x="68"/>
        <item x="78"/>
        <item x="54"/>
        <item x="23"/>
        <item x="0"/>
        <item x="49"/>
        <item x="69"/>
        <item x="82"/>
        <item x="95"/>
        <item x="40"/>
        <item x="30"/>
        <item x="32"/>
        <item x="88"/>
        <item x="25"/>
        <item x="39"/>
        <item x="20"/>
        <item x="9"/>
        <item x="44"/>
        <item x="15"/>
        <item x="92"/>
        <item x="27"/>
        <item x="42"/>
        <item x="72"/>
        <item x="90"/>
        <item x="79"/>
        <item x="84"/>
        <item x="97"/>
        <item x="47"/>
        <item x="8"/>
        <item x="83"/>
        <item x="66"/>
        <item x="3"/>
        <item x="76"/>
        <item x="81"/>
        <item x="34"/>
        <item x="71"/>
        <item x="58"/>
        <item x="14"/>
        <item x="33"/>
        <item x="1"/>
        <item x="87"/>
        <item x="70"/>
        <item x="59"/>
        <item x="2"/>
        <item x="61"/>
        <item x="65"/>
        <item x="7"/>
        <item x="43"/>
        <item x="46"/>
        <item x="5"/>
        <item x="67"/>
        <item x="41"/>
        <item x="94"/>
        <item x="89"/>
        <item x="98"/>
        <item x="22"/>
        <item x="48"/>
        <item x="26"/>
        <item x="96"/>
        <item x="99"/>
        <item x="55"/>
        <item x="52"/>
        <item x="35"/>
        <item x="12"/>
        <item x="73"/>
        <item x="60"/>
        <item x="38"/>
        <item x="93"/>
        <item x="11"/>
        <item x="51"/>
        <item x="75"/>
        <item x="63"/>
        <item t="default" sd="0"/>
      </items>
    </pivotField>
    <pivotField name="Ordered Date" axis="axisRow" compact="0" numFmtId="59" outline="0" showAll="0" sortType="ascending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 sd="0"/>
      </items>
    </pivotField>
    <pivotField name="Line Item Name" axis="axisRow" compact="0" numFmtId="49" outline="0" showAll="0" sortType="ascending">
      <items count="68">
        <item x="56"/>
        <item x="54"/>
        <item x="59"/>
        <item x="57"/>
        <item x="53"/>
        <item x="60"/>
        <item x="8"/>
        <item x="55"/>
        <item x="48"/>
        <item x="21"/>
        <item x="5"/>
        <item x="35"/>
        <item x="62"/>
        <item x="10"/>
        <item x="2"/>
        <item x="15"/>
        <item x="1"/>
        <item x="36"/>
        <item x="3"/>
        <item x="30"/>
        <item x="28"/>
        <item x="40"/>
        <item x="22"/>
        <item x="37"/>
        <item x="44"/>
        <item x="23"/>
        <item x="33"/>
        <item x="17"/>
        <item x="38"/>
        <item x="18"/>
        <item x="4"/>
        <item x="32"/>
        <item x="39"/>
        <item x="12"/>
        <item x="13"/>
        <item x="26"/>
        <item x="63"/>
        <item x="42"/>
        <item x="41"/>
        <item x="16"/>
        <item x="29"/>
        <item x="34"/>
        <item x="0"/>
        <item x="27"/>
        <item x="45"/>
        <item x="51"/>
        <item x="24"/>
        <item x="20"/>
        <item x="19"/>
        <item x="7"/>
        <item x="43"/>
        <item x="14"/>
        <item x="25"/>
        <item x="6"/>
        <item x="64"/>
        <item x="47"/>
        <item x="52"/>
        <item x="61"/>
        <item x="49"/>
        <item x="46"/>
        <item x="50"/>
        <item x="31"/>
        <item x="11"/>
        <item x="9"/>
        <item x="58"/>
        <item x="66"/>
        <item x="65"/>
        <item t="default" sd="0"/>
      </items>
    </pivotField>
    <pivotField name="Line Item Description" compact="0" outline="0" showAll="0">
      <items count="82">
        <item x="70"/>
        <item x="60"/>
        <item x="65"/>
        <item x="63"/>
        <item x="59"/>
        <item x="66"/>
        <item x="29"/>
        <item x="75"/>
        <item x="41"/>
        <item x="21"/>
        <item x="61"/>
        <item x="20"/>
        <item x="42"/>
        <item x="32"/>
        <item x="5"/>
        <item x="37"/>
        <item x="38"/>
        <item x="72"/>
        <item x="55"/>
        <item x="53"/>
        <item x="78"/>
        <item x="40"/>
        <item x="35"/>
        <item x="23"/>
        <item x="6"/>
        <item x="39"/>
        <item x="54"/>
        <item x="49"/>
        <item x="30"/>
        <item x="69"/>
        <item x="2"/>
        <item x="24"/>
        <item x="50"/>
        <item x="48"/>
        <item x="58"/>
        <item x="0"/>
        <item x="26"/>
        <item x="31"/>
        <item x="43"/>
        <item x="25"/>
        <item x="8"/>
        <item x="76"/>
        <item x="47"/>
        <item x="57"/>
        <item x="34"/>
        <item x="22"/>
        <item x="33"/>
        <item x="67"/>
        <item x="52"/>
        <item x="62"/>
        <item x="36"/>
        <item x="71"/>
        <item x="68"/>
        <item x="4"/>
        <item x="79"/>
        <item x="56"/>
        <item x="45"/>
        <item x="74"/>
        <item x="1"/>
        <item x="28"/>
        <item x="3"/>
        <item x="46"/>
        <item x="7"/>
        <item x="9"/>
        <item x="16"/>
        <item x="11"/>
        <item x="12"/>
        <item x="14"/>
        <item x="15"/>
        <item x="18"/>
        <item x="19"/>
        <item x="17"/>
        <item x="44"/>
        <item x="77"/>
        <item x="64"/>
        <item x="80"/>
        <item x="73"/>
        <item x="13"/>
        <item x="27"/>
        <item x="10"/>
        <item x="51"/>
        <item t="default" sd="0"/>
      </items>
    </pivotField>
    <pivotField name="Order Quantity" axis="axisValues" dataField="1" compact="0" outline="0" showAll="0"/>
    <pivotField name="Unit Price" axis="axisValues" dataField="1" compact="0" outline="0" showAll="0"/>
    <pivotField name="Total Line Item $" axis="axisValues" dataField="1" compact="0" outline="0" showAll="0"/>
  </pivotFields>
  <rowFields count="4">
    <field x="1"/>
    <field x="0"/>
    <field x="2"/>
    <field x="3"/>
  </rowFields>
  <rowItems count="623">
    <i>
      <x/>
      <x v="10"/>
      <x v="100"/>
      <x v="17"/>
    </i>
    <i>
      <x v="30"/>
    </i>
    <i>
      <x v="34"/>
    </i>
    <i>
      <x v="44"/>
    </i>
    <i>
      <x v="46"/>
    </i>
    <i>
      <x v="51"/>
    </i>
    <i t="default">
      <x v="100"/>
    </i>
    <i t="default">
      <x v="10"/>
    </i>
    <i t="default">
      <x/>
    </i>
    <i>
      <x v="1"/>
      <x v="96"/>
      <x v="25"/>
      <x v="41"/>
    </i>
    <i t="default">
      <x v="25"/>
    </i>
    <i t="default">
      <x v="96"/>
    </i>
    <i t="default">
      <x v="1"/>
    </i>
    <i>
      <x v="2"/>
      <x v="28"/>
      <x v="84"/>
      <x v="43"/>
    </i>
    <i t="default">
      <x v="84"/>
    </i>
    <i t="default">
      <x v="28"/>
    </i>
    <i t="default">
      <x v="2"/>
    </i>
    <i>
      <x v="3"/>
      <x v="25"/>
      <x v="87"/>
      <x v="43"/>
    </i>
    <i t="default">
      <x v="87"/>
    </i>
    <i t="default">
      <x v="25"/>
    </i>
    <i t="default">
      <x v="3"/>
    </i>
    <i>
      <x v="96"/>
      <x v="110"/>
      <x v="11"/>
      <x v="29"/>
    </i>
    <i t="default">
      <x v="11"/>
    </i>
    <i t="default">
      <x v="110"/>
    </i>
    <i t="default">
      <x v="96"/>
    </i>
    <i>
      <x v="4"/>
      <x v="18"/>
      <x v="92"/>
      <x v="14"/>
    </i>
    <i>
      <x v="15"/>
    </i>
    <i>
      <x v="30"/>
    </i>
    <i>
      <x v="46"/>
    </i>
    <i>
      <x v="48"/>
    </i>
    <i>
      <x v="53"/>
    </i>
    <i t="default">
      <x v="92"/>
    </i>
    <i t="default">
      <x v="18"/>
    </i>
    <i t="default">
      <x v="4"/>
    </i>
    <i>
      <x v="5"/>
      <x v="49"/>
      <x v="51"/>
    </i>
    <i t="default"/>
    <i t="default">
      <x v="49"/>
    </i>
    <i t="default">
      <x v="5"/>
    </i>
    <i>
      <x v="6"/>
      <x v="89"/>
      <x v="37"/>
      <x v="14"/>
    </i>
    <i>
      <x v="28"/>
    </i>
    <i>
      <x v="32"/>
    </i>
    <i>
      <x v="35"/>
    </i>
    <i>
      <x v="47"/>
    </i>
    <i>
      <x v="53"/>
    </i>
    <i>
      <x v="63"/>
    </i>
    <i t="default">
      <x v="37"/>
    </i>
    <i t="default">
      <x v="89"/>
    </i>
    <i>
      <x v="90"/>
      <x v="37"/>
      <x v="14"/>
    </i>
    <i>
      <x v="35"/>
    </i>
    <i>
      <x v="47"/>
    </i>
    <i>
      <x v="53"/>
    </i>
    <i>
      <x v="63"/>
    </i>
    <i t="default">
      <x v="37"/>
    </i>
    <i t="default">
      <x v="90"/>
    </i>
    <i t="default">
      <x v="6"/>
    </i>
    <i>
      <x v="7"/>
      <x v="20"/>
      <x v="43"/>
    </i>
    <i t="default"/>
    <i t="default">
      <x v="20"/>
    </i>
    <i>
      <x v="57"/>
      <x v="58"/>
      <x v="34"/>
    </i>
    <i t="default">
      <x v="58"/>
    </i>
    <i t="default">
      <x v="57"/>
    </i>
    <i t="default">
      <x v="7"/>
    </i>
    <i>
      <x v="8"/>
      <x v="107"/>
      <x v="43"/>
    </i>
    <i t="default"/>
    <i t="default">
      <x v="107"/>
    </i>
    <i>
      <x v="108"/>
      <x v="33"/>
    </i>
    <i t="default"/>
    <i t="default">
      <x v="108"/>
    </i>
    <i t="default">
      <x v="8"/>
    </i>
    <i>
      <x v="9"/>
      <x v="80"/>
      <x v="17"/>
    </i>
    <i>
      <x v="23"/>
    </i>
    <i>
      <x v="29"/>
    </i>
    <i>
      <x v="35"/>
    </i>
    <i>
      <x v="46"/>
    </i>
    <i>
      <x v="47"/>
    </i>
    <i t="default"/>
    <i t="default">
      <x v="80"/>
    </i>
    <i t="default">
      <x v="9"/>
    </i>
    <i>
      <x v="10"/>
      <x v="88"/>
      <x v="37"/>
      <x v="42"/>
    </i>
    <i t="default">
      <x v="37"/>
    </i>
    <i t="default">
      <x v="88"/>
    </i>
    <i t="default">
      <x v="10"/>
    </i>
    <i>
      <x v="11"/>
      <x v="102"/>
      <x v="19"/>
      <x v="33"/>
    </i>
    <i t="default">
      <x v="19"/>
    </i>
    <i t="default">
      <x v="102"/>
    </i>
    <i t="default">
      <x v="11"/>
    </i>
    <i>
      <x v="12"/>
      <x v="70"/>
      <x v="51"/>
      <x v="14"/>
    </i>
    <i>
      <x v="17"/>
    </i>
    <i>
      <x v="18"/>
    </i>
    <i>
      <x v="29"/>
    </i>
    <i t="default">
      <x v="51"/>
    </i>
    <i t="default">
      <x v="70"/>
    </i>
    <i t="default">
      <x v="12"/>
    </i>
    <i>
      <x v="14"/>
      <x v="111"/>
      <x v="11"/>
      <x v="10"/>
    </i>
    <i>
      <x v="15"/>
    </i>
    <i>
      <x v="27"/>
    </i>
    <i>
      <x v="39"/>
    </i>
    <i>
      <x v="51"/>
    </i>
    <i>
      <x v="53"/>
    </i>
    <i t="default">
      <x v="11"/>
    </i>
    <i t="default">
      <x v="111"/>
    </i>
    <i t="default">
      <x v="14"/>
    </i>
    <i>
      <x v="15"/>
      <x v="47"/>
      <x v="69"/>
      <x v="43"/>
    </i>
    <i t="default">
      <x v="69"/>
    </i>
    <i t="default">
      <x v="47"/>
    </i>
    <i t="default">
      <x v="15"/>
    </i>
    <i>
      <x v="16"/>
      <x v="62"/>
      <x v="58"/>
      <x v="50"/>
    </i>
    <i t="default">
      <x v="58"/>
    </i>
    <i t="default">
      <x v="62"/>
    </i>
    <i t="default">
      <x v="16"/>
    </i>
    <i>
      <x v="17"/>
      <x v="86"/>
      <x v="37"/>
      <x v="17"/>
    </i>
    <i>
      <x v="23"/>
    </i>
    <i>
      <x v="30"/>
    </i>
    <i>
      <x v="35"/>
    </i>
    <i>
      <x v="46"/>
    </i>
    <i>
      <x v="47"/>
    </i>
    <i>
      <x v="51"/>
    </i>
    <i t="default">
      <x v="37"/>
    </i>
    <i t="default">
      <x v="86"/>
    </i>
    <i t="default">
      <x v="17"/>
    </i>
    <i>
      <x v="18"/>
      <x v="116"/>
      <x v="5"/>
      <x v="10"/>
    </i>
    <i>
      <x v="30"/>
    </i>
    <i>
      <x v="53"/>
    </i>
    <i t="default">
      <x v="5"/>
    </i>
    <i t="default">
      <x v="116"/>
    </i>
    <i t="default">
      <x v="18"/>
    </i>
    <i>
      <x v="19"/>
      <x v="11"/>
      <x v="100"/>
      <x v="54"/>
    </i>
    <i>
      <x v="62"/>
    </i>
    <i t="default">
      <x v="100"/>
    </i>
    <i t="default">
      <x v="11"/>
    </i>
    <i>
      <x v="30"/>
      <x v="81"/>
      <x v="12"/>
    </i>
    <i>
      <x v="46"/>
    </i>
    <i>
      <x v="47"/>
    </i>
    <i>
      <x v="63"/>
    </i>
    <i t="default">
      <x v="81"/>
    </i>
    <i t="default">
      <x v="30"/>
    </i>
    <i>
      <x v="118"/>
      <x v="5"/>
      <x v="13"/>
    </i>
    <i>
      <x v="62"/>
    </i>
    <i t="default">
      <x v="5"/>
    </i>
    <i t="default">
      <x v="118"/>
    </i>
    <i t="default">
      <x v="19"/>
    </i>
    <i>
      <x v="20"/>
      <x v="36"/>
      <x v="78"/>
      <x/>
    </i>
    <i>
      <x v="1"/>
    </i>
    <i>
      <x v="3"/>
    </i>
    <i>
      <x v="4"/>
    </i>
    <i>
      <x v="2"/>
    </i>
    <i>
      <x v="7"/>
    </i>
    <i>
      <x v="8"/>
    </i>
    <i>
      <x v="56"/>
    </i>
    <i>
      <x v="64"/>
    </i>
    <i t="default">
      <x v="78"/>
    </i>
    <i t="default">
      <x v="36"/>
    </i>
    <i t="default">
      <x v="20"/>
    </i>
    <i>
      <x v="13"/>
      <x v="51"/>
      <x v="63"/>
      <x v="42"/>
    </i>
    <i t="default">
      <x v="63"/>
    </i>
    <i t="default">
      <x v="51"/>
    </i>
    <i>
      <x v="68"/>
      <x v="51"/>
      <x v="42"/>
    </i>
    <i t="default">
      <x v="51"/>
    </i>
    <i t="default">
      <x v="68"/>
    </i>
    <i>
      <x v="82"/>
      <x v="37"/>
      <x v="40"/>
    </i>
    <i t="default">
      <x v="37"/>
    </i>
    <i t="default">
      <x v="82"/>
    </i>
    <i>
      <x v="95"/>
      <x v="25"/>
      <x v="40"/>
    </i>
    <i t="default">
      <x v="25"/>
    </i>
    <i t="default">
      <x v="95"/>
    </i>
    <i>
      <x v="103"/>
      <x v="19"/>
      <x v="42"/>
    </i>
    <i t="default">
      <x v="19"/>
    </i>
    <i t="default">
      <x v="103"/>
    </i>
    <i t="default">
      <x v="13"/>
    </i>
    <i>
      <x v="21"/>
      <x v="17"/>
      <x v="100"/>
      <x v="40"/>
    </i>
    <i t="default">
      <x v="100"/>
    </i>
    <i t="default">
      <x v="17"/>
    </i>
    <i t="default">
      <x v="21"/>
    </i>
    <i>
      <x v="23"/>
      <x v="104"/>
      <x v="19"/>
      <x v="34"/>
    </i>
    <i t="default">
      <x v="19"/>
    </i>
    <i t="default">
      <x v="104"/>
    </i>
    <i t="default">
      <x v="23"/>
    </i>
    <i>
      <x v="24"/>
      <x v="3"/>
      <x v="105"/>
      <x v="50"/>
    </i>
    <i>
      <x v="62"/>
    </i>
    <i t="default">
      <x v="105"/>
    </i>
    <i t="default">
      <x v="3"/>
    </i>
    <i>
      <x v="63"/>
      <x v="58"/>
      <x v="50"/>
    </i>
    <i t="default">
      <x v="58"/>
    </i>
    <i t="default">
      <x v="63"/>
    </i>
    <i t="default">
      <x v="24"/>
    </i>
    <i>
      <x v="22"/>
      <x v="99"/>
      <x v="21"/>
      <x v="61"/>
    </i>
    <i t="default">
      <x v="21"/>
    </i>
    <i t="default">
      <x v="99"/>
    </i>
    <i t="default">
      <x v="22"/>
    </i>
    <i>
      <x v="25"/>
      <x v="56"/>
      <x v="58"/>
      <x v="9"/>
    </i>
    <i>
      <x v="21"/>
    </i>
    <i>
      <x v="38"/>
    </i>
    <i t="default">
      <x v="58"/>
    </i>
    <i t="default">
      <x v="56"/>
    </i>
    <i>
      <x v="72"/>
      <x v="46"/>
      <x v="21"/>
    </i>
    <i>
      <x v="38"/>
    </i>
    <i t="default">
      <x v="46"/>
    </i>
    <i t="default">
      <x v="72"/>
    </i>
    <i>
      <x v="91"/>
      <x v="37"/>
      <x v="53"/>
    </i>
    <i t="default">
      <x v="37"/>
    </i>
    <i t="default">
      <x v="91"/>
    </i>
    <i t="default">
      <x v="25"/>
    </i>
    <i>
      <x v="26"/>
      <x v="60"/>
      <x v="58"/>
      <x v="24"/>
    </i>
    <i t="default">
      <x v="58"/>
    </i>
    <i t="default">
      <x v="60"/>
    </i>
    <i t="default">
      <x v="26"/>
    </i>
    <i>
      <x v="27"/>
      <x v="32"/>
      <x v="81"/>
      <x v="28"/>
    </i>
    <i t="default">
      <x v="81"/>
    </i>
    <i t="default">
      <x v="32"/>
    </i>
    <i>
      <x v="101"/>
      <x v="19"/>
      <x v="51"/>
    </i>
    <i t="default">
      <x v="19"/>
    </i>
    <i t="default">
      <x v="101"/>
    </i>
    <i t="default">
      <x v="27"/>
    </i>
    <i>
      <x v="28"/>
      <x v="38"/>
      <x v="72"/>
      <x v="10"/>
    </i>
    <i>
      <x v="14"/>
    </i>
    <i>
      <x v="32"/>
    </i>
    <i>
      <x v="45"/>
    </i>
    <i>
      <x v="46"/>
    </i>
    <i>
      <x v="53"/>
    </i>
    <i t="default">
      <x v="72"/>
    </i>
    <i t="default">
      <x v="38"/>
    </i>
    <i t="default">
      <x v="28"/>
    </i>
    <i>
      <x v="29"/>
      <x v="27"/>
      <x v="84"/>
      <x v="15"/>
    </i>
    <i>
      <x v="53"/>
    </i>
    <i t="default">
      <x v="84"/>
    </i>
    <i t="default">
      <x v="27"/>
    </i>
    <i t="default">
      <x v="29"/>
    </i>
    <i>
      <x v="30"/>
      <x v="58"/>
      <x v="58"/>
      <x v="14"/>
    </i>
    <i>
      <x v="18"/>
    </i>
    <i>
      <x v="49"/>
    </i>
    <i>
      <x v="63"/>
    </i>
    <i t="default">
      <x v="58"/>
    </i>
    <i t="default">
      <x v="58"/>
    </i>
    <i t="default">
      <x v="30"/>
    </i>
    <i>
      <x v="31"/>
      <x v="97"/>
      <x v="25"/>
      <x v="20"/>
    </i>
    <i>
      <x v="33"/>
    </i>
    <i>
      <x v="53"/>
    </i>
    <i t="default">
      <x v="25"/>
    </i>
    <i t="default">
      <x v="97"/>
    </i>
    <i t="default">
      <x v="31"/>
    </i>
    <i>
      <x v="32"/>
      <x v="45"/>
      <x v="72"/>
      <x v="17"/>
    </i>
    <i>
      <x v="29"/>
    </i>
    <i>
      <x v="44"/>
    </i>
    <i>
      <x v="46"/>
    </i>
    <i t="default">
      <x v="72"/>
    </i>
    <i t="default">
      <x v="45"/>
    </i>
    <i>
      <x v="71"/>
      <x v="51"/>
      <x v="51"/>
    </i>
    <i t="default">
      <x v="51"/>
    </i>
    <i t="default">
      <x v="71"/>
    </i>
    <i>
      <x v="121"/>
      <x v="5"/>
      <x v="42"/>
    </i>
    <i t="default">
      <x v="5"/>
    </i>
    <i t="default">
      <x v="121"/>
    </i>
    <i t="default">
      <x v="32"/>
    </i>
    <i>
      <x v="33"/>
      <x v="65"/>
      <x v="58"/>
      <x v="41"/>
    </i>
    <i t="default">
      <x v="58"/>
    </i>
    <i t="default">
      <x v="65"/>
    </i>
    <i t="default">
      <x v="33"/>
    </i>
    <i>
      <x v="34"/>
      <x v="41"/>
      <x v="72"/>
      <x v="46"/>
    </i>
    <i>
      <x v="48"/>
    </i>
    <i>
      <x v="63"/>
    </i>
    <i t="default">
      <x v="72"/>
    </i>
    <i t="default">
      <x v="41"/>
    </i>
    <i t="default">
      <x v="34"/>
    </i>
    <i>
      <x v="35"/>
      <x v="22"/>
      <x v="40"/>
    </i>
    <i t="default"/>
    <i t="default">
      <x v="22"/>
    </i>
    <i t="default">
      <x v="35"/>
    </i>
    <i>
      <x v="36"/>
      <x v="4"/>
      <x v="105"/>
      <x v="40"/>
    </i>
    <i t="default">
      <x v="105"/>
    </i>
    <i t="default">
      <x v="4"/>
    </i>
    <i t="default">
      <x v="36"/>
    </i>
    <i>
      <x v="37"/>
      <x v="52"/>
      <x v="63"/>
      <x v="39"/>
    </i>
    <i t="default">
      <x v="63"/>
    </i>
    <i t="default">
      <x v="52"/>
    </i>
    <i>
      <x v="77"/>
      <x v="18"/>
    </i>
    <i t="default"/>
    <i t="default">
      <x v="77"/>
    </i>
    <i t="default">
      <x v="37"/>
    </i>
    <i>
      <x v="38"/>
      <x v="87"/>
      <x v="37"/>
      <x v="40"/>
    </i>
    <i t="default">
      <x v="37"/>
    </i>
    <i t="default">
      <x v="87"/>
    </i>
    <i t="default">
      <x v="38"/>
    </i>
    <i>
      <x v="39"/>
      <x v="85"/>
      <x v="37"/>
      <x v="19"/>
    </i>
    <i>
      <x v="51"/>
    </i>
    <i>
      <x v="53"/>
    </i>
    <i t="default">
      <x v="37"/>
    </i>
    <i t="default">
      <x v="85"/>
    </i>
    <i t="default">
      <x v="39"/>
    </i>
    <i>
      <x v="40"/>
      <x v="15"/>
      <x v="100"/>
      <x v="33"/>
    </i>
    <i t="default">
      <x v="100"/>
    </i>
    <i t="default">
      <x v="15"/>
    </i>
    <i t="default">
      <x v="40"/>
    </i>
    <i>
      <x v="41"/>
      <x v="94"/>
      <x v="11"/>
    </i>
    <i>
      <x v="39"/>
    </i>
    <i t="default"/>
    <i t="default">
      <x v="94"/>
    </i>
    <i t="default">
      <x v="41"/>
    </i>
    <i>
      <x v="42"/>
      <x v="78"/>
      <x v="41"/>
    </i>
    <i t="default"/>
    <i t="default">
      <x v="78"/>
    </i>
    <i t="default">
      <x v="42"/>
    </i>
    <i>
      <x v="43"/>
      <x v="100"/>
      <x v="21"/>
      <x v="19"/>
    </i>
    <i t="default">
      <x v="21"/>
    </i>
    <i t="default">
      <x v="100"/>
    </i>
    <i t="default">
      <x v="43"/>
    </i>
    <i>
      <x v="44"/>
      <x v="112"/>
      <x v="11"/>
      <x v="51"/>
    </i>
    <i t="default">
      <x v="11"/>
    </i>
    <i t="default">
      <x v="112"/>
    </i>
    <i t="default">
      <x v="44"/>
    </i>
    <i>
      <x v="45"/>
      <x v="73"/>
      <x v="46"/>
      <x v="11"/>
    </i>
    <i t="default">
      <x v="46"/>
    </i>
    <i t="default">
      <x v="73"/>
    </i>
    <i t="default">
      <x v="45"/>
    </i>
    <i>
      <x v="46"/>
      <x v="105"/>
      <x v="40"/>
    </i>
    <i t="default"/>
    <i t="default">
      <x v="105"/>
    </i>
    <i t="default">
      <x v="46"/>
    </i>
    <i>
      <x v="47"/>
      <x v="9"/>
      <x v="105"/>
      <x v="40"/>
    </i>
    <i t="default">
      <x v="105"/>
    </i>
    <i t="default">
      <x v="9"/>
    </i>
    <i t="default">
      <x v="47"/>
    </i>
    <i>
      <x v="48"/>
      <x v="92"/>
      <x v="37"/>
      <x v="51"/>
    </i>
    <i t="default">
      <x v="37"/>
    </i>
    <i t="default">
      <x v="92"/>
    </i>
    <i t="default">
      <x v="48"/>
    </i>
    <i>
      <x v="49"/>
      <x v="75"/>
      <x v="46"/>
      <x v="33"/>
    </i>
    <i>
      <x v="40"/>
    </i>
    <i>
      <x v="41"/>
    </i>
    <i t="default">
      <x v="46"/>
    </i>
    <i t="default">
      <x v="75"/>
    </i>
    <i t="default">
      <x v="49"/>
    </i>
    <i>
      <x v="50"/>
      <x v="35"/>
      <x v="78"/>
      <x v="43"/>
    </i>
    <i t="default">
      <x v="78"/>
    </i>
    <i t="default">
      <x v="35"/>
    </i>
    <i t="default">
      <x v="50"/>
    </i>
    <i>
      <x v="51"/>
      <x v="12"/>
      <x v="100"/>
      <x v="51"/>
    </i>
    <i t="default">
      <x v="100"/>
    </i>
    <i t="default">
      <x v="12"/>
    </i>
    <i t="default">
      <x v="51"/>
    </i>
    <i>
      <x v="52"/>
      <x v="26"/>
      <x v="84"/>
      <x v="9"/>
    </i>
    <i>
      <x v="34"/>
    </i>
    <i>
      <x v="36"/>
    </i>
    <i>
      <x v="37"/>
    </i>
    <i>
      <x v="49"/>
    </i>
    <i>
      <x v="63"/>
    </i>
    <i t="default">
      <x v="84"/>
    </i>
    <i t="default">
      <x v="26"/>
    </i>
    <i t="default">
      <x v="52"/>
    </i>
    <i>
      <x v="53"/>
      <x v="19"/>
      <x v="33"/>
    </i>
    <i t="default"/>
    <i t="default">
      <x v="19"/>
    </i>
    <i t="default">
      <x v="53"/>
    </i>
    <i>
      <x v="54"/>
      <x v="2"/>
      <x v="107"/>
      <x v="29"/>
    </i>
    <i t="default">
      <x v="107"/>
    </i>
    <i t="default">
      <x v="2"/>
    </i>
    <i t="default">
      <x v="54"/>
    </i>
    <i>
      <x v="56"/>
      <x v="113"/>
      <x v="11"/>
      <x v="33"/>
    </i>
    <i>
      <x v="34"/>
    </i>
    <i t="default">
      <x v="11"/>
    </i>
    <i t="default">
      <x v="113"/>
    </i>
    <i t="default">
      <x v="56"/>
    </i>
    <i>
      <x v="57"/>
      <x v="21"/>
      <x v="33"/>
    </i>
    <i>
      <x v="41"/>
    </i>
    <i t="default"/>
    <i t="default">
      <x v="21"/>
    </i>
    <i t="default">
      <x v="57"/>
    </i>
    <i>
      <x v="58"/>
      <x v="43"/>
      <x v="69"/>
      <x v="8"/>
    </i>
    <i>
      <x v="55"/>
    </i>
    <i>
      <x v="58"/>
    </i>
    <i>
      <x v="59"/>
    </i>
    <i t="default">
      <x v="69"/>
    </i>
    <i t="default">
      <x v="43"/>
    </i>
    <i t="default">
      <x v="58"/>
    </i>
    <i>
      <x v="97"/>
      <x v="59"/>
      <x v="58"/>
      <x v="14"/>
    </i>
    <i t="default">
      <x v="58"/>
    </i>
    <i t="default">
      <x v="59"/>
    </i>
    <i t="default">
      <x v="97"/>
    </i>
    <i>
      <x v="55"/>
      <x v="67"/>
      <x v="51"/>
      <x v="33"/>
    </i>
    <i>
      <x v="37"/>
    </i>
    <i t="default">
      <x v="51"/>
    </i>
    <i t="default">
      <x v="67"/>
    </i>
    <i t="default">
      <x v="55"/>
    </i>
    <i>
      <x v="61"/>
      <x v="24"/>
      <x v="87"/>
      <x v="40"/>
    </i>
    <i t="default">
      <x v="87"/>
    </i>
    <i t="default">
      <x v="24"/>
    </i>
    <i t="default">
      <x v="61"/>
    </i>
    <i>
      <x v="62"/>
      <x v="83"/>
      <x v="37"/>
      <x v="34"/>
    </i>
    <i t="default">
      <x v="37"/>
    </i>
    <i t="default">
      <x v="83"/>
    </i>
    <i t="default">
      <x v="62"/>
    </i>
    <i>
      <x v="63"/>
      <x v="37"/>
      <x v="78"/>
      <x v="40"/>
    </i>
    <i t="default">
      <x v="78"/>
    </i>
    <i t="default">
      <x v="37"/>
    </i>
    <i t="default">
      <x v="63"/>
    </i>
    <i>
      <x v="64"/>
      <x v="55"/>
      <x v="63"/>
      <x v="17"/>
    </i>
    <i>
      <x v="29"/>
    </i>
    <i>
      <x v="44"/>
    </i>
    <i>
      <x v="46"/>
    </i>
    <i t="default">
      <x v="63"/>
    </i>
    <i t="default">
      <x v="55"/>
    </i>
    <i t="default">
      <x v="64"/>
    </i>
    <i>
      <x v="65"/>
      <x v="106"/>
      <x v="20"/>
    </i>
    <i>
      <x v="53"/>
    </i>
    <i t="default"/>
    <i t="default">
      <x v="106"/>
    </i>
    <i t="default">
      <x v="65"/>
    </i>
    <i>
      <x v="66"/>
      <x v="84"/>
      <x v="37"/>
      <x v="40"/>
    </i>
    <i t="default">
      <x v="37"/>
    </i>
    <i t="default">
      <x v="84"/>
    </i>
    <i t="default">
      <x v="66"/>
    </i>
    <i>
      <x v="67"/>
      <x v="120"/>
      <x v="5"/>
      <x v="16"/>
    </i>
    <i t="default">
      <x v="5"/>
    </i>
    <i t="default">
      <x v="120"/>
    </i>
    <i t="default">
      <x v="67"/>
    </i>
    <i>
      <x v="68"/>
      <x v="16"/>
      <x v="100"/>
      <x v="33"/>
    </i>
    <i>
      <x v="43"/>
    </i>
    <i t="default">
      <x v="100"/>
    </i>
    <i t="default">
      <x v="16"/>
    </i>
    <i t="default">
      <x v="68"/>
    </i>
    <i>
      <x v="59"/>
      <x v="117"/>
      <x v="5"/>
      <x v="18"/>
    </i>
    <i t="default">
      <x v="5"/>
    </i>
    <i t="default">
      <x v="117"/>
    </i>
    <i t="default">
      <x v="59"/>
    </i>
    <i>
      <x v="69"/>
      <x v="39"/>
      <x v="78"/>
      <x v="17"/>
    </i>
    <i>
      <x v="30"/>
    </i>
    <i t="default">
      <x v="78"/>
    </i>
    <i t="default">
      <x v="39"/>
    </i>
    <i>
      <x v="40"/>
      <x v="78"/>
      <x v="53"/>
    </i>
    <i t="default">
      <x v="78"/>
    </i>
    <i t="default">
      <x v="40"/>
    </i>
    <i t="default">
      <x v="69"/>
    </i>
    <i>
      <x v="70"/>
      <x v="54"/>
      <x v="63"/>
      <x v="43"/>
    </i>
    <i t="default">
      <x v="63"/>
    </i>
    <i t="default">
      <x v="54"/>
    </i>
    <i t="default">
      <x v="70"/>
    </i>
    <i>
      <x v="60"/>
      <x v="23"/>
      <x v="87"/>
      <x v="10"/>
    </i>
    <i>
      <x v="14"/>
    </i>
    <i>
      <x v="29"/>
    </i>
    <i>
      <x v="35"/>
    </i>
    <i>
      <x v="46"/>
    </i>
    <i>
      <x v="47"/>
    </i>
    <i>
      <x v="52"/>
    </i>
    <i>
      <x v="63"/>
    </i>
    <i t="default">
      <x v="87"/>
    </i>
    <i t="default">
      <x v="23"/>
    </i>
    <i>
      <x v="29"/>
      <x v="81"/>
      <x v="36"/>
    </i>
    <i t="default">
      <x v="81"/>
    </i>
    <i t="default">
      <x v="29"/>
    </i>
    <i t="default">
      <x v="60"/>
    </i>
    <i>
      <x v="71"/>
      <x v="14"/>
      <x v="100"/>
      <x v="14"/>
    </i>
    <i>
      <x v="20"/>
    </i>
    <i>
      <x v="53"/>
    </i>
    <i t="default">
      <x v="100"/>
    </i>
    <i t="default">
      <x v="14"/>
    </i>
    <i>
      <x v="119"/>
      <x v="5"/>
      <x v="14"/>
    </i>
    <i t="default">
      <x v="5"/>
    </i>
    <i t="default">
      <x v="119"/>
    </i>
    <i t="default">
      <x v="71"/>
    </i>
    <i>
      <x v="72"/>
      <x v="50"/>
      <x v="40"/>
    </i>
    <i t="default"/>
    <i t="default">
      <x v="50"/>
    </i>
    <i t="default">
      <x v="72"/>
    </i>
    <i>
      <x v="73"/>
      <x v="46"/>
      <x v="69"/>
      <x v="13"/>
    </i>
    <i>
      <x v="17"/>
    </i>
    <i>
      <x v="29"/>
    </i>
    <i>
      <x v="44"/>
    </i>
    <i>
      <x v="46"/>
    </i>
    <i t="default">
      <x v="69"/>
    </i>
    <i t="default">
      <x v="46"/>
    </i>
    <i t="default">
      <x v="73"/>
    </i>
    <i>
      <x v="74"/>
      <x v="114"/>
      <x v="11"/>
      <x v="33"/>
    </i>
    <i t="default">
      <x v="11"/>
    </i>
    <i t="default">
      <x v="114"/>
    </i>
    <i t="default">
      <x v="74"/>
    </i>
    <i>
      <x v="75"/>
      <x v="74"/>
      <x v="46"/>
      <x v="42"/>
    </i>
    <i t="default">
      <x v="46"/>
    </i>
    <i t="default">
      <x v="74"/>
    </i>
    <i t="default">
      <x v="75"/>
    </i>
    <i>
      <x v="76"/>
      <x v="69"/>
      <x v="51"/>
      <x v="43"/>
    </i>
    <i t="default">
      <x v="51"/>
    </i>
    <i t="default">
      <x v="69"/>
    </i>
    <i t="default">
      <x v="76"/>
    </i>
    <i>
      <x v="77"/>
      <x v="115"/>
      <x v="5"/>
      <x v="6"/>
    </i>
    <i>
      <x v="49"/>
    </i>
    <i>
      <x v="63"/>
    </i>
    <i t="default">
      <x v="5"/>
    </i>
    <i t="default">
      <x v="115"/>
    </i>
    <i t="default">
      <x v="77"/>
    </i>
    <i>
      <x v="78"/>
      <x v="31"/>
      <x v="81"/>
      <x v="5"/>
    </i>
    <i>
      <x v="57"/>
    </i>
    <i t="default">
      <x v="81"/>
    </i>
    <i t="default">
      <x v="31"/>
    </i>
    <i>
      <x v="42"/>
      <x v="69"/>
      <x v="60"/>
    </i>
    <i t="default">
      <x v="69"/>
    </i>
    <i t="default">
      <x v="42"/>
    </i>
    <i>
      <x v="122"/>
      <x v="81"/>
      <x v="5"/>
    </i>
    <i>
      <x v="57"/>
    </i>
    <i t="default">
      <x v="81"/>
    </i>
    <i t="default">
      <x v="122"/>
    </i>
    <i t="default">
      <x v="78"/>
    </i>
    <i>
      <x v="79"/>
      <x v="44"/>
      <x v="72"/>
      <x v="34"/>
    </i>
    <i t="default">
      <x v="72"/>
    </i>
    <i t="default">
      <x v="44"/>
    </i>
    <i>
      <x v="76"/>
      <x v="33"/>
    </i>
    <i t="default"/>
    <i t="default">
      <x v="76"/>
    </i>
    <i t="default">
      <x v="79"/>
    </i>
    <i>
      <x v="80"/>
      <x v="5"/>
      <x v="105"/>
      <x v="51"/>
    </i>
    <i t="default">
      <x v="105"/>
    </i>
    <i t="default">
      <x v="5"/>
    </i>
    <i t="default">
      <x v="80"/>
    </i>
    <i>
      <x v="81"/>
      <x v="13"/>
      <x v="100"/>
      <x v="41"/>
    </i>
    <i t="default">
      <x v="100"/>
    </i>
    <i t="default">
      <x v="13"/>
    </i>
    <i t="default">
      <x v="81"/>
    </i>
    <i>
      <x v="82"/>
      <x v="1"/>
      <x v="107"/>
      <x v="10"/>
    </i>
    <i>
      <x v="14"/>
    </i>
    <i>
      <x v="30"/>
    </i>
    <i>
      <x v="32"/>
    </i>
    <i>
      <x v="35"/>
    </i>
    <i>
      <x v="46"/>
    </i>
    <i>
      <x v="47"/>
    </i>
    <i>
      <x v="51"/>
    </i>
    <i>
      <x v="52"/>
    </i>
    <i t="default">
      <x v="107"/>
    </i>
    <i t="default">
      <x v="1"/>
    </i>
    <i t="default">
      <x v="82"/>
    </i>
    <i>
      <x v="83"/>
      <x v="98"/>
      <x v="25"/>
      <x v="26"/>
    </i>
    <i>
      <x v="31"/>
    </i>
    <i t="default">
      <x v="25"/>
    </i>
    <i t="default">
      <x v="98"/>
    </i>
    <i t="default">
      <x v="83"/>
    </i>
    <i>
      <x v="85"/>
      <x v="93"/>
      <x v="42"/>
    </i>
    <i t="default"/>
    <i t="default">
      <x v="93"/>
    </i>
    <i t="default">
      <x v="85"/>
    </i>
    <i>
      <x v="86"/>
      <x v="7"/>
      <x v="105"/>
      <x v="62"/>
    </i>
    <i>
      <x v="66"/>
    </i>
    <i t="default">
      <x v="105"/>
    </i>
    <i t="default">
      <x v="7"/>
    </i>
    <i t="default">
      <x v="86"/>
    </i>
    <i>
      <x v="87"/>
      <x/>
      <x v="17"/>
    </i>
    <i>
      <x v="29"/>
    </i>
    <i>
      <x v="43"/>
    </i>
    <i t="default"/>
    <i t="default">
      <x/>
    </i>
    <i t="default">
      <x v="87"/>
    </i>
    <i>
      <x v="84"/>
      <x v="8"/>
      <x v="105"/>
      <x v="65"/>
    </i>
    <i t="default">
      <x v="105"/>
    </i>
    <i t="default">
      <x v="8"/>
    </i>
    <i>
      <x v="66"/>
      <x v="51"/>
      <x v="48"/>
    </i>
    <i>
      <x v="50"/>
    </i>
    <i>
      <x v="62"/>
    </i>
    <i t="default">
      <x v="51"/>
    </i>
    <i t="default">
      <x v="66"/>
    </i>
    <i t="default">
      <x v="84"/>
    </i>
    <i>
      <x v="98"/>
      <x v="33"/>
      <x v="81"/>
      <x v="33"/>
    </i>
    <i t="default">
      <x v="81"/>
    </i>
    <i t="default">
      <x v="33"/>
    </i>
    <i t="default">
      <x v="98"/>
    </i>
    <i>
      <x v="88"/>
      <x v="61"/>
      <x v="58"/>
      <x v="9"/>
    </i>
    <i>
      <x v="50"/>
    </i>
    <i>
      <x v="62"/>
    </i>
    <i t="default">
      <x v="58"/>
    </i>
    <i t="default">
      <x v="61"/>
    </i>
    <i t="default">
      <x v="88"/>
    </i>
    <i>
      <x v="89"/>
      <x v="64"/>
      <x v="58"/>
      <x v="17"/>
    </i>
    <i>
      <x v="25"/>
    </i>
    <i>
      <x v="29"/>
    </i>
    <i>
      <x v="46"/>
    </i>
    <i>
      <x v="47"/>
    </i>
    <i t="default">
      <x v="58"/>
    </i>
    <i t="default">
      <x v="64"/>
    </i>
    <i t="default">
      <x v="89"/>
    </i>
    <i>
      <x v="90"/>
      <x v="81"/>
      <x v="37"/>
      <x v="10"/>
    </i>
    <i>
      <x v="53"/>
    </i>
    <i t="default">
      <x v="37"/>
    </i>
    <i t="default">
      <x v="81"/>
    </i>
    <i t="default">
      <x v="90"/>
    </i>
    <i>
      <x v="91"/>
      <x v="109"/>
      <x v="11"/>
      <x v="9"/>
    </i>
    <i>
      <x v="13"/>
    </i>
    <i>
      <x v="14"/>
    </i>
    <i>
      <x v="15"/>
    </i>
    <i>
      <x v="18"/>
    </i>
    <i>
      <x v="22"/>
    </i>
    <i>
      <x v="25"/>
    </i>
    <i>
      <x v="30"/>
    </i>
    <i>
      <x v="35"/>
    </i>
    <i>
      <x v="46"/>
    </i>
    <i>
      <x v="47"/>
    </i>
    <i>
      <x v="48"/>
    </i>
    <i>
      <x v="51"/>
    </i>
    <i>
      <x v="52"/>
    </i>
    <i>
      <x v="63"/>
    </i>
    <i t="default">
      <x v="11"/>
    </i>
    <i t="default">
      <x v="109"/>
    </i>
    <i t="default">
      <x v="91"/>
    </i>
    <i>
      <x v="92"/>
      <x v="34"/>
      <x v="78"/>
      <x v="15"/>
    </i>
    <i>
      <x v="53"/>
    </i>
    <i t="default">
      <x v="78"/>
    </i>
    <i t="default">
      <x v="34"/>
    </i>
    <i t="default">
      <x v="92"/>
    </i>
    <i>
      <x v="93"/>
      <x v="53"/>
      <x v="63"/>
      <x v="40"/>
    </i>
    <i t="default">
      <x v="63"/>
    </i>
    <i t="default">
      <x v="53"/>
    </i>
    <i t="default">
      <x v="93"/>
    </i>
    <i>
      <x v="94"/>
      <x v="79"/>
      <x v="32"/>
    </i>
    <i t="default"/>
    <i t="default">
      <x v="79"/>
    </i>
    <i t="default">
      <x v="94"/>
    </i>
    <i>
      <x v="95"/>
      <x v="6"/>
      <x v="105"/>
      <x v="37"/>
    </i>
    <i t="default">
      <x v="105"/>
    </i>
    <i t="default">
      <x v="6"/>
    </i>
    <i t="default">
      <x v="95"/>
    </i>
    <i>
      <x v="99"/>
      <x v="48"/>
      <x v="69"/>
      <x v="13"/>
    </i>
    <i>
      <x v="17"/>
    </i>
    <i>
      <x v="32"/>
    </i>
    <i>
      <x v="44"/>
    </i>
    <i>
      <x v="46"/>
    </i>
    <i t="default">
      <x v="69"/>
    </i>
    <i t="default">
      <x v="48"/>
    </i>
    <i t="default"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Order Quantity" fld="5"/>
    <dataField name="Sum of Unit Price" fld="6" numFmtId="60"/>
    <dataField name="Sum of Total Line Item $" fld="7" numFmtId="60"/>
  </dataFields>
  <pivotTableStyleInfo name="PivotStyleCustom56" showRowHeaders="1" showColHeaders="1" showRowStripes="1" showColStripes="0" showLastColumn="1"/>
</pivotTableDefinition>
</file>

<file path=xl/pivotTables/pivotTable57.xml><?xml version="1.0" encoding="utf-8"?>
<pivotTableDefinition xmlns="http://schemas.openxmlformats.org/spreadsheetml/2006/main" name="January 2023 Sales by SKU (Quantity)" cacheId="56" dataPosition="0" autoFormatId="0" applyNumberFormats="0" applyBorderFormats="0" applyFontFormats="0" applyPatternFormats="0" applyAlignmentFormats="0" applyWidthHeightFormats="1" dataCaption="" missingCaption="" pivotTableStyle="PivotStyleCustom57" updatedVersion="7" useAutoFormatting="1" createdVersion="7" indent="0" showEmptyCol="1" showEmptyRow="1" compact="0" compactData="0" multipleFieldFilters="0">
  <location ref="P912:Q980" firstHeaderRow="1" firstDataRow="1" firstDataCol="1"/>
  <pivotFields count="3">
    <pivotField name="Line Item Name" axis="axisRow" compact="0" numFmtId="49" outline="0" showAll="0" sortType="ascending">
      <items count="68">
        <item x="56"/>
        <item x="54"/>
        <item x="59"/>
        <item x="57"/>
        <item x="53"/>
        <item x="60"/>
        <item x="8"/>
        <item x="55"/>
        <item x="48"/>
        <item x="21"/>
        <item x="5"/>
        <item x="35"/>
        <item x="62"/>
        <item x="10"/>
        <item x="2"/>
        <item x="15"/>
        <item x="1"/>
        <item x="36"/>
        <item x="3"/>
        <item x="30"/>
        <item x="28"/>
        <item x="40"/>
        <item x="22"/>
        <item x="37"/>
        <item x="44"/>
        <item x="23"/>
        <item x="33"/>
        <item x="17"/>
        <item x="38"/>
        <item x="18"/>
        <item x="4"/>
        <item x="32"/>
        <item x="39"/>
        <item x="12"/>
        <item x="13"/>
        <item x="26"/>
        <item x="63"/>
        <item x="42"/>
        <item x="41"/>
        <item x="16"/>
        <item x="29"/>
        <item x="34"/>
        <item x="0"/>
        <item x="27"/>
        <item x="45"/>
        <item x="51"/>
        <item x="24"/>
        <item x="20"/>
        <item x="19"/>
        <item x="7"/>
        <item x="43"/>
        <item x="14"/>
        <item x="25"/>
        <item x="6"/>
        <item x="64"/>
        <item x="47"/>
        <item x="52"/>
        <item x="61"/>
        <item x="49"/>
        <item x="46"/>
        <item x="50"/>
        <item x="31"/>
        <item x="11"/>
        <item x="9"/>
        <item x="58"/>
        <item x="66"/>
        <item x="65"/>
        <item t="default" sd="0"/>
      </items>
    </pivotField>
    <pivotField name="Line Item Description" compact="0" outline="0" showAll="0">
      <items count="82">
        <item x="70"/>
        <item x="60"/>
        <item x="65"/>
        <item x="63"/>
        <item x="59"/>
        <item x="66"/>
        <item x="29"/>
        <item x="75"/>
        <item x="41"/>
        <item x="21"/>
        <item x="61"/>
        <item x="20"/>
        <item x="42"/>
        <item x="32"/>
        <item x="5"/>
        <item x="37"/>
        <item x="38"/>
        <item x="72"/>
        <item x="55"/>
        <item x="53"/>
        <item x="78"/>
        <item x="40"/>
        <item x="35"/>
        <item x="23"/>
        <item x="6"/>
        <item x="39"/>
        <item x="54"/>
        <item x="49"/>
        <item x="30"/>
        <item x="69"/>
        <item x="2"/>
        <item x="24"/>
        <item x="50"/>
        <item x="48"/>
        <item x="58"/>
        <item x="0"/>
        <item x="26"/>
        <item x="31"/>
        <item x="43"/>
        <item x="25"/>
        <item x="8"/>
        <item x="76"/>
        <item x="47"/>
        <item x="57"/>
        <item x="34"/>
        <item x="22"/>
        <item x="33"/>
        <item x="67"/>
        <item x="52"/>
        <item x="62"/>
        <item x="36"/>
        <item x="71"/>
        <item x="68"/>
        <item x="4"/>
        <item x="79"/>
        <item x="56"/>
        <item x="45"/>
        <item x="74"/>
        <item x="1"/>
        <item x="28"/>
        <item x="3"/>
        <item x="46"/>
        <item x="7"/>
        <item x="9"/>
        <item x="16"/>
        <item x="11"/>
        <item x="12"/>
        <item x="14"/>
        <item x="15"/>
        <item x="18"/>
        <item x="19"/>
        <item x="17"/>
        <item x="44"/>
        <item x="77"/>
        <item x="64"/>
        <item x="80"/>
        <item x="73"/>
        <item x="13"/>
        <item x="27"/>
        <item x="10"/>
        <item x="51"/>
        <item t="default" sd="0"/>
      </items>
    </pivotField>
    <pivotField name="Order Quantity" axis="axisValues" dataField="1" compact="0" outline="0" showAll="0"/>
  </pivotFields>
  <rowFields count="1">
    <field x="0"/>
  </rowFields>
  <rowItems count="68">
    <i>
      <x v="52"/>
    </i>
    <i>
      <x v="18"/>
    </i>
    <i>
      <x v="14"/>
    </i>
    <i>
      <x v="46"/>
    </i>
    <i>
      <x v="47"/>
    </i>
    <i>
      <x v="53"/>
    </i>
    <i>
      <x v="35"/>
    </i>
    <i>
      <x v="13"/>
    </i>
    <i>
      <x v="30"/>
    </i>
    <i>
      <x v="10"/>
    </i>
    <i>
      <x v="32"/>
    </i>
    <i>
      <x v="29"/>
    </i>
    <i>
      <x v="34"/>
    </i>
    <i>
      <x v="17"/>
    </i>
    <i>
      <x v="51"/>
    </i>
    <i>
      <x v="8"/>
    </i>
    <i>
      <x v="33"/>
    </i>
    <i>
      <x v="60"/>
    </i>
    <i>
      <x v="40"/>
    </i>
    <i>
      <x v="44"/>
    </i>
    <i>
      <x v="50"/>
    </i>
    <i>
      <x v="9"/>
    </i>
    <i>
      <x v="28"/>
    </i>
    <i>
      <x v="48"/>
    </i>
    <i>
      <x v="15"/>
    </i>
    <i>
      <x v="36"/>
    </i>
    <i>
      <x v="37"/>
    </i>
    <i>
      <x v="12"/>
    </i>
    <i>
      <x v="43"/>
    </i>
    <i>
      <x v="63"/>
    </i>
    <i>
      <x v="22"/>
    </i>
    <i>
      <x v="42"/>
    </i>
    <i>
      <x v="25"/>
    </i>
    <i>
      <x v="41"/>
    </i>
    <i>
      <x/>
    </i>
    <i>
      <x v="3"/>
    </i>
    <i>
      <x v="7"/>
    </i>
    <i>
      <x v="11"/>
    </i>
    <i>
      <x v="62"/>
    </i>
    <i>
      <x v="64"/>
    </i>
    <i>
      <x v="39"/>
    </i>
    <i>
      <x v="49"/>
    </i>
    <i>
      <x v="20"/>
    </i>
    <i>
      <x v="21"/>
    </i>
    <i>
      <x v="38"/>
    </i>
    <i>
      <x v="45"/>
    </i>
    <i>
      <x v="54"/>
    </i>
    <i>
      <x v="66"/>
    </i>
    <i>
      <x v="1"/>
    </i>
    <i>
      <x v="4"/>
    </i>
    <i>
      <x v="5"/>
    </i>
    <i>
      <x v="56"/>
    </i>
    <i>
      <x v="57"/>
    </i>
    <i>
      <x v="19"/>
    </i>
    <i>
      <x v="23"/>
    </i>
    <i>
      <x v="26"/>
    </i>
    <i>
      <x v="27"/>
    </i>
    <i>
      <x v="31"/>
    </i>
    <i>
      <x v="61"/>
    </i>
    <i>
      <x v="2"/>
    </i>
    <i>
      <x v="6"/>
    </i>
    <i>
      <x v="16"/>
    </i>
    <i>
      <x v="24"/>
    </i>
    <i>
      <x v="55"/>
    </i>
    <i>
      <x v="58"/>
    </i>
    <i>
      <x v="59"/>
    </i>
    <i>
      <x v="65"/>
    </i>
    <i t="grand">
      <x/>
    </i>
  </rowItems>
  <colItems count="1">
    <i/>
  </colItems>
  <dataFields count="1">
    <dataField name="Sum of Order Quantity" fld="2"/>
  </dataFields>
  <pivotTableStyleInfo name="PivotStyleCustom57" showRowHeaders="1" showColHeaders="1" showRowStripes="1" showColStripes="0" showLastColumn="1"/>
</pivotTableDefinition>
</file>

<file path=xl/pivotTables/pivotTable58.xml><?xml version="1.0" encoding="utf-8"?>
<pivotTableDefinition xmlns="http://schemas.openxmlformats.org/spreadsheetml/2006/main" name="January 2023 Sales by SKU$" cacheId="57" dataPosition="0" autoFormatId="0" applyNumberFormats="0" applyBorderFormats="0" applyFontFormats="0" applyPatternFormats="0" applyAlignmentFormats="0" applyWidthHeightFormats="1" dataCaption="" missingCaption="" pivotTableStyle="PivotStyleCustom58" updatedVersion="7" useAutoFormatting="1" createdVersion="7" indent="0" showEmptyCol="1" showEmptyRow="1" compact="0" compactData="0" multipleFieldFilters="0">
  <location ref="R983:S1051" firstHeaderRow="1" firstDataRow="1" firstDataCol="1"/>
  <pivotFields count="5">
    <pivotField name="Line Item Name" axis="axisRow" compact="0" numFmtId="49" outline="0" showAll="0" sortType="ascending">
      <items count="68">
        <item x="56"/>
        <item x="54"/>
        <item x="59"/>
        <item x="57"/>
        <item x="53"/>
        <item x="60"/>
        <item x="8"/>
        <item x="55"/>
        <item x="48"/>
        <item x="21"/>
        <item x="5"/>
        <item x="35"/>
        <item x="62"/>
        <item x="10"/>
        <item x="2"/>
        <item x="15"/>
        <item x="1"/>
        <item x="36"/>
        <item x="3"/>
        <item x="30"/>
        <item x="28"/>
        <item x="40"/>
        <item x="22"/>
        <item x="37"/>
        <item x="44"/>
        <item x="23"/>
        <item x="33"/>
        <item x="17"/>
        <item x="38"/>
        <item x="18"/>
        <item x="4"/>
        <item x="32"/>
        <item x="39"/>
        <item x="12"/>
        <item x="13"/>
        <item x="26"/>
        <item x="63"/>
        <item x="42"/>
        <item x="41"/>
        <item x="16"/>
        <item x="29"/>
        <item x="34"/>
        <item x="0"/>
        <item x="27"/>
        <item x="45"/>
        <item x="51"/>
        <item x="24"/>
        <item x="20"/>
        <item x="19"/>
        <item x="7"/>
        <item x="43"/>
        <item x="14"/>
        <item x="25"/>
        <item x="6"/>
        <item x="64"/>
        <item x="47"/>
        <item x="52"/>
        <item x="61"/>
        <item x="49"/>
        <item x="46"/>
        <item x="50"/>
        <item x="31"/>
        <item x="11"/>
        <item x="9"/>
        <item x="58"/>
        <item x="66"/>
        <item x="65"/>
        <item t="default" sd="0"/>
      </items>
    </pivotField>
    <pivotField name="Line Item Description" compact="0" outline="0" showAll="0">
      <items count="82">
        <item x="70"/>
        <item x="60"/>
        <item x="65"/>
        <item x="63"/>
        <item x="59"/>
        <item x="66"/>
        <item x="29"/>
        <item x="75"/>
        <item x="41"/>
        <item x="21"/>
        <item x="61"/>
        <item x="20"/>
        <item x="42"/>
        <item x="32"/>
        <item x="5"/>
        <item x="37"/>
        <item x="38"/>
        <item x="72"/>
        <item x="55"/>
        <item x="53"/>
        <item x="78"/>
        <item x="40"/>
        <item x="35"/>
        <item x="23"/>
        <item x="6"/>
        <item x="39"/>
        <item x="54"/>
        <item x="49"/>
        <item x="30"/>
        <item x="69"/>
        <item x="2"/>
        <item x="24"/>
        <item x="50"/>
        <item x="48"/>
        <item x="58"/>
        <item x="0"/>
        <item x="26"/>
        <item x="31"/>
        <item x="43"/>
        <item x="25"/>
        <item x="8"/>
        <item x="76"/>
        <item x="47"/>
        <item x="57"/>
        <item x="34"/>
        <item x="22"/>
        <item x="33"/>
        <item x="67"/>
        <item x="52"/>
        <item x="62"/>
        <item x="36"/>
        <item x="71"/>
        <item x="68"/>
        <item x="4"/>
        <item x="79"/>
        <item x="56"/>
        <item x="45"/>
        <item x="74"/>
        <item x="1"/>
        <item x="28"/>
        <item x="3"/>
        <item x="46"/>
        <item x="7"/>
        <item x="9"/>
        <item x="16"/>
        <item x="11"/>
        <item x="12"/>
        <item x="14"/>
        <item x="15"/>
        <item x="18"/>
        <item x="19"/>
        <item x="17"/>
        <item x="44"/>
        <item x="77"/>
        <item x="64"/>
        <item x="80"/>
        <item x="73"/>
        <item x="13"/>
        <item x="27"/>
        <item x="10"/>
        <item x="51"/>
        <item t="default" sd="0"/>
      </items>
    </pivotField>
    <pivotField name="Order Quantity" compact="0" outline="0" showAll="0">
      <items count="18">
        <item x="0"/>
        <item x="3"/>
        <item x="1"/>
        <item x="8"/>
        <item x="7"/>
        <item x="4"/>
        <item x="6"/>
        <item x="2"/>
        <item x="9"/>
        <item x="16"/>
        <item x="5"/>
        <item x="15"/>
        <item x="13"/>
        <item x="14"/>
        <item x="12"/>
        <item x="10"/>
        <item x="11"/>
        <item t="default" sd="0"/>
      </items>
    </pivotField>
    <pivotField name="Unit Price" compact="0" outline="0" showAll="0">
      <items count="87">
        <item x="6"/>
        <item x="66"/>
        <item x="64"/>
        <item x="65"/>
        <item x="62"/>
        <item x="51"/>
        <item x="79"/>
        <item x="3"/>
        <item x="63"/>
        <item x="30"/>
        <item x="52"/>
        <item x="41"/>
        <item x="2"/>
        <item x="1"/>
        <item x="14"/>
        <item x="71"/>
        <item x="10"/>
        <item x="81"/>
        <item x="45"/>
        <item x="9"/>
        <item x="80"/>
        <item x="34"/>
        <item x="56"/>
        <item x="77"/>
        <item x="24"/>
        <item x="19"/>
        <item x="54"/>
        <item x="70"/>
        <item x="11"/>
        <item x="36"/>
        <item x="22"/>
        <item x="49"/>
        <item x="12"/>
        <item x="44"/>
        <item x="23"/>
        <item x="73"/>
        <item x="37"/>
        <item x="72"/>
        <item x="85"/>
        <item x="15"/>
        <item x="39"/>
        <item x="5"/>
        <item x="84"/>
        <item x="21"/>
        <item x="53"/>
        <item x="16"/>
        <item x="48"/>
        <item x="8"/>
        <item x="42"/>
        <item x="50"/>
        <item x="4"/>
        <item x="78"/>
        <item x="27"/>
        <item x="40"/>
        <item x="25"/>
        <item x="31"/>
        <item x="74"/>
        <item x="43"/>
        <item x="20"/>
        <item x="68"/>
        <item x="82"/>
        <item x="33"/>
        <item x="60"/>
        <item x="75"/>
        <item x="28"/>
        <item x="67"/>
        <item x="29"/>
        <item x="0"/>
        <item x="13"/>
        <item x="32"/>
        <item x="61"/>
        <item x="76"/>
        <item x="26"/>
        <item x="57"/>
        <item x="55"/>
        <item x="58"/>
        <item x="46"/>
        <item x="38"/>
        <item x="18"/>
        <item x="83"/>
        <item x="35"/>
        <item x="47"/>
        <item x="59"/>
        <item x="17"/>
        <item x="69"/>
        <item x="7"/>
        <item t="default" sd="0"/>
      </items>
    </pivotField>
    <pivotField name="Total Line Item $" axis="axisValues" dataField="1" compact="0" outline="0" showAll="0"/>
  </pivotFields>
  <rowFields count="1">
    <field x="0"/>
  </rowFields>
  <rowItems count="68">
    <i>
      <x v="47"/>
    </i>
    <i>
      <x v="48"/>
    </i>
    <i>
      <x v="49"/>
    </i>
    <i>
      <x v="50"/>
    </i>
    <i>
      <x v="44"/>
    </i>
    <i>
      <x v="51"/>
    </i>
    <i>
      <x v="32"/>
    </i>
    <i>
      <x v="43"/>
    </i>
    <i>
      <x v="40"/>
    </i>
    <i>
      <x v="41"/>
    </i>
    <i>
      <x v="12"/>
    </i>
    <i>
      <x v="45"/>
    </i>
    <i>
      <x v="10"/>
    </i>
    <i>
      <x v="42"/>
    </i>
    <i>
      <x v="9"/>
    </i>
    <i>
      <x v="63"/>
    </i>
    <i>
      <x v="30"/>
    </i>
    <i>
      <x v="28"/>
    </i>
    <i>
      <x v="34"/>
    </i>
    <i>
      <x v="33"/>
    </i>
    <i>
      <x v="20"/>
    </i>
    <i>
      <x v="13"/>
    </i>
    <i>
      <x v="56"/>
    </i>
    <i>
      <x v="29"/>
    </i>
    <i>
      <x v="15"/>
    </i>
    <i>
      <x v="62"/>
    </i>
    <i>
      <x v="25"/>
    </i>
    <i>
      <x v="31"/>
    </i>
    <i>
      <x v="22"/>
    </i>
    <i>
      <x v="18"/>
    </i>
    <i>
      <x v="36"/>
    </i>
    <i>
      <x v="21"/>
    </i>
    <i>
      <x v="14"/>
    </i>
    <i>
      <x v="26"/>
    </i>
    <i>
      <x v="27"/>
    </i>
    <i>
      <x v="23"/>
    </i>
    <i>
      <x v="37"/>
    </i>
    <i>
      <x v="2"/>
    </i>
    <i>
      <x v="53"/>
    </i>
    <i>
      <x v="11"/>
    </i>
    <i>
      <x v="24"/>
    </i>
    <i>
      <x v="54"/>
    </i>
    <i>
      <x v="38"/>
    </i>
    <i>
      <x v="39"/>
    </i>
    <i>
      <x v="66"/>
    </i>
    <i>
      <x v="17"/>
    </i>
    <i>
      <x v="19"/>
    </i>
    <i>
      <x v="16"/>
    </i>
    <i>
      <x v="1"/>
    </i>
    <i>
      <x v="7"/>
    </i>
    <i>
      <x v="8"/>
    </i>
    <i>
      <x v="4"/>
    </i>
    <i>
      <x/>
    </i>
    <i>
      <x v="3"/>
    </i>
    <i>
      <x v="64"/>
    </i>
    <i>
      <x v="5"/>
    </i>
    <i>
      <x v="6"/>
    </i>
    <i>
      <x v="35"/>
    </i>
    <i>
      <x v="46"/>
    </i>
    <i>
      <x v="52"/>
    </i>
    <i>
      <x v="55"/>
    </i>
    <i>
      <x v="57"/>
    </i>
    <i>
      <x v="58"/>
    </i>
    <i>
      <x v="59"/>
    </i>
    <i>
      <x v="60"/>
    </i>
    <i>
      <x v="61"/>
    </i>
    <i>
      <x v="65"/>
    </i>
    <i t="grand">
      <x/>
    </i>
  </rowItems>
  <colItems count="1">
    <i/>
  </colItems>
  <dataFields count="1">
    <dataField name="Sum of Total Line Item $" fld="4" numFmtId="60"/>
  </dataFields>
  <pivotTableStyleInfo name="PivotStyleCustom58" showRowHeaders="1" showColHeaders="1" showRowStripes="1" showColStripes="0" showLastColumn="1"/>
</pivotTableDefinition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/Relationships>
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pivotTable" Target="../pivotTables/pivotTable6.xml"/></Relationships>

</file>

<file path=xl/worksheets/_rels/sheet3.xml.rels><?xml version="1.0" encoding="UTF-8"?>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
</file>

<file path=xl/worksheets/_rels/sheet4.xml.rels><?xml version="1.0" encoding="UTF-8"?>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Relationship Id="rId3" Type="http://schemas.openxmlformats.org/officeDocument/2006/relationships/pivotTable" Target="../pivotTables/pivotTable11.xml"/></Relationships>

</file>

<file path=xl/worksheets/_rels/sheet5.xml.rels><?xml version="1.0" encoding="UTF-8"?>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pivotTable" Target="../pivotTables/pivotTable15.xml"/><Relationship Id="rId3" Type="http://schemas.openxmlformats.org/officeDocument/2006/relationships/pivotTable" Target="../pivotTables/pivotTable16.xml"/></Relationships>

</file>

<file path=xl/worksheets/_rels/sheet7.xml.rels><?xml version="1.0" encoding="UTF-8"?>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pivotTable" Target="../pivotTables/pivotTable19.xml"/></Relationships>

</file>

<file path=xl/worksheets/_rels/sheet8.xml.rels><?xml version="1.0" encoding="UTF-8"?>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pivotTable" Target="../pivotTables/pivotTable21.xml"/><Relationship Id="rId3" Type="http://schemas.openxmlformats.org/officeDocument/2006/relationships/pivotTable" Target="../pivotTables/pivotTable22.xml"/></Relationships>

</file>

<file path=xl/worksheets/_rels/sheet9.xml.rels><?xml version="1.0" encoding="UTF-8"?>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pivotTable" Target="../pivotTables/pivotTable24.xml"/><Relationship Id="rId3" Type="http://schemas.openxmlformats.org/officeDocument/2006/relationships/pivotTable" Target="../pivotTables/pivotTable25.xml"/></Relationships>
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15.xml.rels><?xml version="1.0" encoding="UTF-8"?>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pivotTable" Target="../pivotTables/pivotTable28.xml"/></Relationships>

</file>

<file path=xl/worksheets/_rels/sheet16.xml.rels><?xml version="1.0" encoding="UTF-8"?>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pivotTable" Target="../pivotTables/pivotTable30.xml"/><Relationship Id="rId3" Type="http://schemas.openxmlformats.org/officeDocument/2006/relationships/pivotTable" Target="../pivotTables/pivotTable31.xml"/></Relationships>

</file>

<file path=xl/worksheets/_rels/sheet17.xml.rels><?xml version="1.0" encoding="UTF-8"?>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pivotTable" Target="../pivotTables/pivotTable34.xml"/></Relationships>

</file>

<file path=xl/worksheets/_rels/sheet18.xml.rels><?xml version="1.0" encoding="UTF-8"?>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pivotTable" Target="../pivotTables/pivotTable36.xml"/><Relationship Id="rId3" Type="http://schemas.openxmlformats.org/officeDocument/2006/relationships/pivotTable" Target="../pivotTables/pivotTable37.xml"/></Relationships>

</file>

<file path=xl/worksheets/_rels/sheet19.xml.rels><?xml version="1.0" encoding="UTF-8"?>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pivotTable" Target="../pivotTables/pivotTable40.xml"/></Relationships>

</file>

<file path=xl/worksheets/_rels/sheet20.xml.rels><?xml version="1.0" encoding="UTF-8"?>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pivotTable" Target="../pivotTables/pivotTable42.xml"/></Relationships>

</file>

<file path=xl/worksheets/_rels/sheet21.xml.rels><?xml version="1.0" encoding="UTF-8"?>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pivotTable" Target="../pivotTables/pivotTable44.xml"/><Relationship Id="rId3" Type="http://schemas.openxmlformats.org/officeDocument/2006/relationships/pivotTable" Target="../pivotTables/pivotTable45.xml"/></Relationships>

</file>

<file path=xl/worksheets/_rels/sheet22.xml.rels><?xml version="1.0" encoding="UTF-8"?>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pivotTable" Target="../pivotTables/pivotTable47.xml"/></Relationships>

</file>

<file path=xl/worksheets/_rels/sheet23.xml.rels><?xml version="1.0" encoding="UTF-8"?>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Relationship Id="rId3" Type="http://schemas.openxmlformats.org/officeDocument/2006/relationships/pivotTable" Target="../pivotTables/pivotTable50.xml"/></Relationships>

</file>

<file path=xl/worksheets/_rels/sheet24.xml.rels><?xml version="1.0" encoding="UTF-8"?>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pivotTable" Target="../pivotTables/pivotTable52.xml"/></Relationships>

</file>

<file path=xl/worksheets/_rels/sheet25.xml.rels><?xml version="1.0" encoding="UTF-8"?>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pivotTable" Target="../pivotTables/pivotTable54.xml"/><Relationship Id="rId3" Type="http://schemas.openxmlformats.org/officeDocument/2006/relationships/pivotTable" Target="../pivotTables/pivotTable55.xml"/></Relationships>

</file>

<file path=xl/worksheets/_rels/sheet26.xml.rels><?xml version="1.0" encoding="UTF-8"?>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pivotTable" Target="../pivotTables/pivotTable57.xml"/><Relationship Id="rId3" Type="http://schemas.openxmlformats.org/officeDocument/2006/relationships/pivotTable" Target="../pivotTables/pivotTable58.xml"/></Relationships>

</file>

<file path=xl/worksheets/_rels/sheet29.xml.rels><?xml version="1.0" encoding="UTF-8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30.xml.rels><?xml version="1.0" encoding="UTF-8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31.xml.rels><?xml version="1.0" encoding="UTF-8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B2:T1499"/>
  <sheetViews>
    <sheetView workbookViewId="0" showGridLines="0" defaultGridColor="1">
      <pane topLeftCell="C3" xSplit="2" ySplit="2" activePane="bottomRight" state="frozen"/>
    </sheetView>
  </sheetViews>
  <sheetFormatPr defaultColWidth="16.3333" defaultRowHeight="15.4" customHeight="1" outlineLevelRow="0" outlineLevelCol="0"/>
  <cols>
    <col min="1" max="1" width="33.3516" style="1" customWidth="1"/>
    <col min="2" max="2" width="16.3516" style="1" customWidth="1"/>
    <col min="3" max="3" width="24.7656" style="1" customWidth="1"/>
    <col min="4" max="4" width="16.3516" style="1" customWidth="1"/>
    <col min="5" max="5" width="30.7578" style="1" customWidth="1"/>
    <col min="6" max="6" width="58.1797" style="1" customWidth="1"/>
    <col min="7" max="9" width="16.3516" style="1" customWidth="1"/>
    <col min="10" max="10" width="32.8906" style="19" customWidth="1"/>
    <col min="11" max="16" width="13.3516" style="19" customWidth="1"/>
    <col min="17" max="17" width="55.5" style="36" customWidth="1"/>
    <col min="18" max="18" width="13.3516" style="36" customWidth="1"/>
    <col min="19" max="19" width="55.5" style="45" customWidth="1"/>
    <col min="20" max="20" width="13.3516" style="45" customWidth="1"/>
    <col min="21" max="16384" width="16.3516" style="45" customWidth="1"/>
  </cols>
  <sheetData>
    <row r="1" ht="15.55" customHeight="1">
      <c r="B1" t="s" s="2">
        <v>0</v>
      </c>
      <c r="C1" s="2"/>
      <c r="D1" s="2"/>
      <c r="E1" s="2"/>
      <c r="F1" s="2"/>
      <c r="G1" s="2"/>
      <c r="H1" s="2"/>
      <c r="I1" s="2"/>
    </row>
    <row r="2" ht="13.1" customHeight="1">
      <c r="B2" t="s" s="3">
        <v>1</v>
      </c>
      <c r="C2" t="s" s="3">
        <v>2</v>
      </c>
      <c r="D2" t="s" s="3">
        <v>3</v>
      </c>
      <c r="E2" t="s" s="3">
        <v>4</v>
      </c>
      <c r="F2" t="s" s="3">
        <v>5</v>
      </c>
      <c r="G2" t="s" s="3">
        <v>6</v>
      </c>
      <c r="H2" t="s" s="3">
        <v>7</v>
      </c>
      <c r="I2" t="s" s="3">
        <v>8</v>
      </c>
    </row>
    <row r="3" ht="13.1" customHeight="1">
      <c r="B3" t="s" s="4">
        <v>9</v>
      </c>
      <c r="C3" t="s" s="5">
        <v>10</v>
      </c>
      <c r="D3" s="6">
        <v>45565.976961701388</v>
      </c>
      <c r="E3" t="s" s="7">
        <v>11</v>
      </c>
      <c r="F3" t="s" s="7">
        <v>12</v>
      </c>
      <c r="G3" s="8">
        <v>1</v>
      </c>
      <c r="H3" s="9">
        <v>399.99</v>
      </c>
      <c r="I3" s="9">
        <v>399.99</v>
      </c>
    </row>
    <row r="4" ht="12.9" customHeight="1">
      <c r="B4" t="s" s="10">
        <v>13</v>
      </c>
      <c r="C4" t="s" s="11">
        <v>14</v>
      </c>
      <c r="D4" s="12">
        <v>45565.884814641206</v>
      </c>
      <c r="E4" t="s" s="13">
        <v>15</v>
      </c>
      <c r="F4" t="s" s="13">
        <v>16</v>
      </c>
      <c r="G4" s="14">
        <v>2</v>
      </c>
      <c r="H4" s="15">
        <v>9.99</v>
      </c>
      <c r="I4" s="15">
        <v>19.98</v>
      </c>
    </row>
    <row r="5" ht="12.9" customHeight="1">
      <c r="B5" t="s" s="10">
        <v>17</v>
      </c>
      <c r="C5" t="s" s="11">
        <v>18</v>
      </c>
      <c r="D5" s="12">
        <v>45565.847873946761</v>
      </c>
      <c r="E5" t="s" s="13">
        <v>19</v>
      </c>
      <c r="F5" t="s" s="13">
        <v>20</v>
      </c>
      <c r="G5" s="14">
        <v>12</v>
      </c>
      <c r="H5" s="15">
        <v>119.99</v>
      </c>
      <c r="I5" s="15">
        <v>1439.88</v>
      </c>
    </row>
    <row r="6" ht="12.9" customHeight="1">
      <c r="B6" t="s" s="10">
        <v>17</v>
      </c>
      <c r="C6" t="s" s="11">
        <v>18</v>
      </c>
      <c r="D6" s="12">
        <v>45565.847873946761</v>
      </c>
      <c r="E6" t="s" s="13">
        <v>15</v>
      </c>
      <c r="F6" t="s" s="13">
        <v>16</v>
      </c>
      <c r="G6" s="14">
        <v>6</v>
      </c>
      <c r="H6" s="15">
        <v>9.99</v>
      </c>
      <c r="I6" s="15">
        <v>59.94</v>
      </c>
    </row>
    <row r="7" ht="12.9" customHeight="1">
      <c r="B7" t="s" s="10">
        <v>21</v>
      </c>
      <c r="C7" t="s" s="11">
        <v>22</v>
      </c>
      <c r="D7" s="12">
        <v>45565.828150011577</v>
      </c>
      <c r="E7" t="s" s="13">
        <v>23</v>
      </c>
      <c r="F7" t="s" s="13">
        <v>24</v>
      </c>
      <c r="G7" s="14">
        <v>1</v>
      </c>
      <c r="H7" s="15">
        <v>149.99</v>
      </c>
      <c r="I7" s="15">
        <v>149.99</v>
      </c>
    </row>
    <row r="8" ht="12.9" customHeight="1">
      <c r="B8" t="s" s="10">
        <v>25</v>
      </c>
      <c r="C8" t="s" s="11">
        <v>26</v>
      </c>
      <c r="D8" s="12">
        <v>45565.812386932870</v>
      </c>
      <c r="E8" t="s" s="13">
        <v>27</v>
      </c>
      <c r="F8" t="s" s="13">
        <v>28</v>
      </c>
      <c r="G8" s="14">
        <v>1</v>
      </c>
      <c r="H8" s="15">
        <v>79.98999999999999</v>
      </c>
      <c r="I8" s="15">
        <v>79.98999999999999</v>
      </c>
    </row>
    <row r="9" ht="12.9" customHeight="1">
      <c r="B9" t="s" s="10">
        <v>29</v>
      </c>
      <c r="C9" t="s" s="11">
        <v>30</v>
      </c>
      <c r="D9" s="12">
        <v>45565.797916064817</v>
      </c>
      <c r="E9" t="s" s="13">
        <v>31</v>
      </c>
      <c r="F9" t="s" s="13">
        <v>32</v>
      </c>
      <c r="G9" s="14">
        <v>2</v>
      </c>
      <c r="H9" s="15">
        <v>599.99</v>
      </c>
      <c r="I9" s="15">
        <v>1199.98</v>
      </c>
    </row>
    <row r="10" ht="12.9" customHeight="1">
      <c r="B10" t="s" s="10">
        <v>33</v>
      </c>
      <c r="C10" t="s" s="11">
        <v>34</v>
      </c>
      <c r="D10" s="12">
        <v>45565.482508518522</v>
      </c>
      <c r="E10" t="s" s="13">
        <v>35</v>
      </c>
      <c r="F10" t="s" s="13">
        <v>36</v>
      </c>
      <c r="G10" s="14">
        <v>4</v>
      </c>
      <c r="H10" s="15">
        <v>49.99</v>
      </c>
      <c r="I10" s="15">
        <v>199.96</v>
      </c>
    </row>
    <row r="11" ht="12.9" customHeight="1">
      <c r="B11" t="s" s="10">
        <v>37</v>
      </c>
      <c r="C11" t="s" s="11">
        <v>38</v>
      </c>
      <c r="D11" s="12">
        <v>45565.059950092589</v>
      </c>
      <c r="E11" t="s" s="13">
        <v>39</v>
      </c>
      <c r="F11" t="s" s="13">
        <v>40</v>
      </c>
      <c r="G11" s="14">
        <v>1</v>
      </c>
      <c r="H11" s="15">
        <v>109.99</v>
      </c>
      <c r="I11" s="15">
        <v>109.99</v>
      </c>
    </row>
    <row r="12" ht="12.9" customHeight="1">
      <c r="B12" t="s" s="10">
        <v>41</v>
      </c>
      <c r="C12" t="s" s="11">
        <v>42</v>
      </c>
      <c r="D12" s="12">
        <v>45565</v>
      </c>
      <c r="E12" t="s" s="13">
        <v>43</v>
      </c>
      <c r="F12" t="s" s="13">
        <v>44</v>
      </c>
      <c r="G12" s="14">
        <v>1</v>
      </c>
      <c r="H12" s="15">
        <v>0</v>
      </c>
      <c r="I12" s="15">
        <v>0</v>
      </c>
    </row>
    <row r="13" ht="12.9" customHeight="1">
      <c r="B13" t="s" s="10">
        <v>45</v>
      </c>
      <c r="C13" t="s" s="11">
        <v>46</v>
      </c>
      <c r="D13" s="12">
        <v>45565</v>
      </c>
      <c r="E13" t="s" s="13">
        <v>47</v>
      </c>
      <c r="F13" s="16"/>
      <c r="G13" s="14">
        <v>1</v>
      </c>
      <c r="H13" s="15">
        <v>135.5</v>
      </c>
      <c r="I13" s="15">
        <v>135.5</v>
      </c>
    </row>
    <row r="14" ht="12.9" customHeight="1">
      <c r="B14" t="s" s="10">
        <v>45</v>
      </c>
      <c r="C14" t="s" s="11">
        <v>46</v>
      </c>
      <c r="D14" s="12">
        <v>45565</v>
      </c>
      <c r="E14" t="s" s="13">
        <v>48</v>
      </c>
      <c r="F14" t="s" s="13">
        <v>49</v>
      </c>
      <c r="G14" s="14">
        <v>6</v>
      </c>
      <c r="H14" s="15">
        <v>974.9924999999999</v>
      </c>
      <c r="I14" s="15">
        <v>5849.955</v>
      </c>
    </row>
    <row r="15" ht="12.9" customHeight="1">
      <c r="B15" t="s" s="10">
        <v>45</v>
      </c>
      <c r="C15" t="s" s="11">
        <v>46</v>
      </c>
      <c r="D15" s="12">
        <v>45565</v>
      </c>
      <c r="E15" t="s" s="13">
        <v>50</v>
      </c>
      <c r="F15" t="s" s="13">
        <v>51</v>
      </c>
      <c r="G15" s="14">
        <v>6</v>
      </c>
      <c r="H15" s="15">
        <v>0</v>
      </c>
      <c r="I15" s="15">
        <v>0</v>
      </c>
    </row>
    <row r="16" ht="12.9" customHeight="1">
      <c r="B16" t="s" s="10">
        <v>45</v>
      </c>
      <c r="C16" t="s" s="11">
        <v>46</v>
      </c>
      <c r="D16" s="12">
        <v>45565</v>
      </c>
      <c r="E16" t="s" s="13">
        <v>52</v>
      </c>
      <c r="F16" t="s" s="13">
        <v>53</v>
      </c>
      <c r="G16" s="14">
        <v>6</v>
      </c>
      <c r="H16" s="15">
        <v>0</v>
      </c>
      <c r="I16" s="15">
        <v>0</v>
      </c>
    </row>
    <row r="17" ht="12.9" customHeight="1">
      <c r="B17" t="s" s="10">
        <v>45</v>
      </c>
      <c r="C17" t="s" s="11">
        <v>46</v>
      </c>
      <c r="D17" s="12">
        <v>45565</v>
      </c>
      <c r="E17" t="s" s="13">
        <v>54</v>
      </c>
      <c r="F17" t="s" s="13">
        <v>55</v>
      </c>
      <c r="G17" s="14">
        <v>6</v>
      </c>
      <c r="H17" s="15">
        <v>0</v>
      </c>
      <c r="I17" s="15">
        <v>0</v>
      </c>
    </row>
    <row r="18" ht="12.9" customHeight="1">
      <c r="B18" t="s" s="10">
        <v>45</v>
      </c>
      <c r="C18" t="s" s="11">
        <v>46</v>
      </c>
      <c r="D18" s="12">
        <v>45565</v>
      </c>
      <c r="E18" t="s" s="13">
        <v>23</v>
      </c>
      <c r="F18" t="s" s="13">
        <v>56</v>
      </c>
      <c r="G18" s="14">
        <v>6</v>
      </c>
      <c r="H18" s="15">
        <v>0</v>
      </c>
      <c r="I18" s="15">
        <v>0</v>
      </c>
    </row>
    <row r="19" ht="12.9" customHeight="1">
      <c r="B19" t="s" s="10">
        <v>45</v>
      </c>
      <c r="C19" t="s" s="11">
        <v>46</v>
      </c>
      <c r="D19" s="12">
        <v>45565</v>
      </c>
      <c r="E19" t="s" s="13">
        <v>57</v>
      </c>
      <c r="F19" t="s" s="13">
        <v>58</v>
      </c>
      <c r="G19" s="14">
        <v>6</v>
      </c>
      <c r="H19" s="15">
        <v>599.9924999999999</v>
      </c>
      <c r="I19" s="15">
        <v>3599.955</v>
      </c>
    </row>
    <row r="20" ht="12.9" customHeight="1">
      <c r="B20" t="s" s="10">
        <v>45</v>
      </c>
      <c r="C20" t="s" s="11">
        <v>46</v>
      </c>
      <c r="D20" s="12">
        <v>45565</v>
      </c>
      <c r="E20" t="s" s="13">
        <v>59</v>
      </c>
      <c r="F20" t="s" s="13">
        <v>60</v>
      </c>
      <c r="G20" s="14">
        <v>1</v>
      </c>
      <c r="H20" s="15">
        <v>899.9924999999999</v>
      </c>
      <c r="I20" s="15">
        <v>899.9924999999999</v>
      </c>
    </row>
    <row r="21" ht="12.9" customHeight="1">
      <c r="B21" t="s" s="10">
        <v>61</v>
      </c>
      <c r="C21" t="s" s="11">
        <v>62</v>
      </c>
      <c r="D21" s="12">
        <v>45565</v>
      </c>
      <c r="E21" t="s" s="13">
        <v>63</v>
      </c>
      <c r="F21" s="16"/>
      <c r="G21" s="14">
        <v>1</v>
      </c>
      <c r="H21" s="15">
        <v>142.66</v>
      </c>
      <c r="I21" s="15">
        <v>142.66</v>
      </c>
    </row>
    <row r="22" ht="12.9" customHeight="1">
      <c r="B22" t="s" s="10">
        <v>61</v>
      </c>
      <c r="C22" t="s" s="11">
        <v>62</v>
      </c>
      <c r="D22" s="12">
        <v>45565</v>
      </c>
      <c r="E22" t="s" s="13">
        <v>64</v>
      </c>
      <c r="F22" t="s" s="13">
        <v>65</v>
      </c>
      <c r="G22" s="14">
        <v>2</v>
      </c>
      <c r="H22" s="15">
        <v>472.4925</v>
      </c>
      <c r="I22" s="15">
        <v>944.985</v>
      </c>
    </row>
    <row r="23" ht="12.9" customHeight="1">
      <c r="B23" t="s" s="10">
        <v>66</v>
      </c>
      <c r="C23" t="s" s="11">
        <v>67</v>
      </c>
      <c r="D23" s="12">
        <v>45565</v>
      </c>
      <c r="E23" t="s" s="13">
        <v>39</v>
      </c>
      <c r="F23" t="s" s="13">
        <v>40</v>
      </c>
      <c r="G23" s="14">
        <v>1</v>
      </c>
      <c r="H23" s="15">
        <v>82.49250000000001</v>
      </c>
      <c r="I23" s="15">
        <v>82.49250000000001</v>
      </c>
    </row>
    <row r="24" ht="12.9" customHeight="1">
      <c r="B24" t="s" s="10">
        <v>68</v>
      </c>
      <c r="C24" t="s" s="11">
        <v>69</v>
      </c>
      <c r="D24" s="12">
        <v>45565</v>
      </c>
      <c r="E24" t="s" s="13">
        <v>59</v>
      </c>
      <c r="F24" t="s" s="13">
        <v>70</v>
      </c>
      <c r="G24" s="14">
        <v>1</v>
      </c>
      <c r="H24" s="15">
        <v>0</v>
      </c>
      <c r="I24" s="15">
        <v>0</v>
      </c>
    </row>
    <row r="25" ht="12.9" customHeight="1">
      <c r="B25" t="s" s="10">
        <v>71</v>
      </c>
      <c r="C25" t="s" s="11">
        <v>72</v>
      </c>
      <c r="D25" s="12">
        <v>45564.758887118056</v>
      </c>
      <c r="E25" t="s" s="13">
        <v>73</v>
      </c>
      <c r="F25" t="s" s="13">
        <v>74</v>
      </c>
      <c r="G25" s="14">
        <v>1</v>
      </c>
      <c r="H25" s="15">
        <v>399.99</v>
      </c>
      <c r="I25" s="15">
        <v>399.99</v>
      </c>
    </row>
    <row r="26" ht="12.9" customHeight="1">
      <c r="B26" t="s" s="10">
        <v>75</v>
      </c>
      <c r="C26" t="s" s="11">
        <v>76</v>
      </c>
      <c r="D26" s="12">
        <v>45564.296378865743</v>
      </c>
      <c r="E26" t="s" s="13">
        <v>77</v>
      </c>
      <c r="F26" t="s" s="13">
        <v>78</v>
      </c>
      <c r="G26" s="14">
        <v>1</v>
      </c>
      <c r="H26" s="15">
        <v>19.99</v>
      </c>
      <c r="I26" s="15">
        <v>19.99</v>
      </c>
    </row>
    <row r="27" ht="12.9" customHeight="1">
      <c r="B27" t="s" s="10">
        <v>79</v>
      </c>
      <c r="C27" t="s" s="11">
        <v>80</v>
      </c>
      <c r="D27" s="12">
        <v>45564.271004513888</v>
      </c>
      <c r="E27" t="s" s="13">
        <v>81</v>
      </c>
      <c r="F27" t="s" s="13">
        <v>82</v>
      </c>
      <c r="G27" s="14">
        <v>1</v>
      </c>
      <c r="H27" s="15">
        <v>849.99</v>
      </c>
      <c r="I27" s="15">
        <v>849.99</v>
      </c>
    </row>
    <row r="28" ht="12.9" customHeight="1">
      <c r="B28" t="s" s="10">
        <v>79</v>
      </c>
      <c r="C28" t="s" s="11">
        <v>80</v>
      </c>
      <c r="D28" s="12">
        <v>45564.271004513888</v>
      </c>
      <c r="E28" t="s" s="13">
        <v>23</v>
      </c>
      <c r="F28" t="s" s="13">
        <v>24</v>
      </c>
      <c r="G28" s="14">
        <v>1</v>
      </c>
      <c r="H28" s="15">
        <v>0</v>
      </c>
      <c r="I28" s="15">
        <v>0</v>
      </c>
    </row>
    <row r="29" ht="12.9" customHeight="1">
      <c r="B29" t="s" s="10">
        <v>79</v>
      </c>
      <c r="C29" t="s" s="11">
        <v>80</v>
      </c>
      <c r="D29" s="12">
        <v>45564.271004513888</v>
      </c>
      <c r="E29" t="s" s="13">
        <v>50</v>
      </c>
      <c r="F29" t="s" s="13">
        <v>83</v>
      </c>
      <c r="G29" s="14">
        <v>1</v>
      </c>
      <c r="H29" s="15">
        <v>0</v>
      </c>
      <c r="I29" s="15">
        <v>0</v>
      </c>
    </row>
    <row r="30" ht="12.9" customHeight="1">
      <c r="B30" t="s" s="10">
        <v>79</v>
      </c>
      <c r="C30" t="s" s="11">
        <v>80</v>
      </c>
      <c r="D30" s="12">
        <v>45564.271004513888</v>
      </c>
      <c r="E30" t="s" s="13">
        <v>84</v>
      </c>
      <c r="F30" t="s" s="13">
        <v>85</v>
      </c>
      <c r="G30" s="14">
        <v>1</v>
      </c>
      <c r="H30" s="15">
        <v>0</v>
      </c>
      <c r="I30" s="15">
        <v>0</v>
      </c>
    </row>
    <row r="31" ht="12.9" customHeight="1">
      <c r="B31" t="s" s="10">
        <v>86</v>
      </c>
      <c r="C31" t="s" s="11">
        <v>80</v>
      </c>
      <c r="D31" s="12">
        <v>45564.269522210649</v>
      </c>
      <c r="E31" t="s" s="13">
        <v>81</v>
      </c>
      <c r="F31" t="s" s="13">
        <v>82</v>
      </c>
      <c r="G31" s="14">
        <v>1</v>
      </c>
      <c r="H31" s="15">
        <v>849.99</v>
      </c>
      <c r="I31" s="15">
        <v>849.99</v>
      </c>
    </row>
    <row r="32" ht="12.9" customHeight="1">
      <c r="B32" t="s" s="10">
        <v>86</v>
      </c>
      <c r="C32" t="s" s="11">
        <v>80</v>
      </c>
      <c r="D32" s="12">
        <v>45564.269522210649</v>
      </c>
      <c r="E32" t="s" s="13">
        <v>23</v>
      </c>
      <c r="F32" t="s" s="13">
        <v>24</v>
      </c>
      <c r="G32" s="14">
        <v>1</v>
      </c>
      <c r="H32" s="15">
        <v>0</v>
      </c>
      <c r="I32" s="15">
        <v>0</v>
      </c>
    </row>
    <row r="33" ht="12.9" customHeight="1">
      <c r="B33" t="s" s="10">
        <v>86</v>
      </c>
      <c r="C33" t="s" s="11">
        <v>80</v>
      </c>
      <c r="D33" s="12">
        <v>45564.269522210649</v>
      </c>
      <c r="E33" t="s" s="13">
        <v>50</v>
      </c>
      <c r="F33" t="s" s="13">
        <v>83</v>
      </c>
      <c r="G33" s="14">
        <v>1</v>
      </c>
      <c r="H33" s="15">
        <v>0</v>
      </c>
      <c r="I33" s="15">
        <v>0</v>
      </c>
    </row>
    <row r="34" ht="12.9" customHeight="1">
      <c r="B34" t="s" s="10">
        <v>86</v>
      </c>
      <c r="C34" t="s" s="11">
        <v>80</v>
      </c>
      <c r="D34" s="12">
        <v>45564.269522210649</v>
      </c>
      <c r="E34" t="s" s="13">
        <v>84</v>
      </c>
      <c r="F34" t="s" s="13">
        <v>85</v>
      </c>
      <c r="G34" s="14">
        <v>1</v>
      </c>
      <c r="H34" s="15">
        <v>0</v>
      </c>
      <c r="I34" s="15">
        <v>0</v>
      </c>
    </row>
    <row r="35" ht="12.9" customHeight="1">
      <c r="B35" t="s" s="10">
        <v>87</v>
      </c>
      <c r="C35" t="s" s="11">
        <v>88</v>
      </c>
      <c r="D35" s="12">
        <v>45563.9774899537</v>
      </c>
      <c r="E35" t="s" s="13">
        <v>89</v>
      </c>
      <c r="F35" t="s" s="13">
        <v>90</v>
      </c>
      <c r="G35" s="14">
        <v>1</v>
      </c>
      <c r="H35" s="15">
        <v>59.99</v>
      </c>
      <c r="I35" s="15">
        <v>59.99</v>
      </c>
    </row>
    <row r="36" ht="12.9" customHeight="1">
      <c r="B36" t="s" s="10">
        <v>91</v>
      </c>
      <c r="C36" t="s" s="11">
        <v>92</v>
      </c>
      <c r="D36" s="12">
        <v>45563.594443217589</v>
      </c>
      <c r="E36" t="s" s="13">
        <v>54</v>
      </c>
      <c r="F36" t="s" s="13">
        <v>93</v>
      </c>
      <c r="G36" s="14">
        <v>1</v>
      </c>
      <c r="H36" s="15">
        <v>7.99</v>
      </c>
      <c r="I36" s="15">
        <v>7.99</v>
      </c>
    </row>
    <row r="37" ht="12.9" customHeight="1">
      <c r="B37" t="s" s="10">
        <v>94</v>
      </c>
      <c r="C37" t="s" s="11">
        <v>92</v>
      </c>
      <c r="D37" s="12">
        <v>45563.5874500463</v>
      </c>
      <c r="E37" t="s" s="13">
        <v>95</v>
      </c>
      <c r="F37" t="s" s="13">
        <v>12</v>
      </c>
      <c r="G37" s="14">
        <v>1</v>
      </c>
      <c r="H37" s="15">
        <v>349.99</v>
      </c>
      <c r="I37" s="15">
        <v>349.99</v>
      </c>
    </row>
    <row r="38" ht="12.9" customHeight="1">
      <c r="B38" t="s" s="10">
        <v>96</v>
      </c>
      <c r="C38" t="s" s="11">
        <v>97</v>
      </c>
      <c r="D38" s="12">
        <v>45562.931365520832</v>
      </c>
      <c r="E38" t="s" s="13">
        <v>73</v>
      </c>
      <c r="F38" t="s" s="13">
        <v>74</v>
      </c>
      <c r="G38" s="14">
        <v>1</v>
      </c>
      <c r="H38" s="15">
        <v>399.99</v>
      </c>
      <c r="I38" s="15">
        <v>399.99</v>
      </c>
    </row>
    <row r="39" ht="12.9" customHeight="1">
      <c r="B39" t="s" s="10">
        <v>98</v>
      </c>
      <c r="C39" t="s" s="11">
        <v>99</v>
      </c>
      <c r="D39" s="12">
        <v>45562.807145740742</v>
      </c>
      <c r="E39" t="s" s="13">
        <v>19</v>
      </c>
      <c r="F39" t="s" s="13">
        <v>20</v>
      </c>
      <c r="G39" s="14">
        <v>2</v>
      </c>
      <c r="H39" s="15">
        <v>119.99</v>
      </c>
      <c r="I39" s="15">
        <v>239.98</v>
      </c>
    </row>
    <row r="40" ht="12.9" customHeight="1">
      <c r="B40" t="s" s="10">
        <v>100</v>
      </c>
      <c r="C40" t="s" s="11">
        <v>101</v>
      </c>
      <c r="D40" s="12">
        <v>45562.663340671294</v>
      </c>
      <c r="E40" t="s" s="13">
        <v>102</v>
      </c>
      <c r="F40" t="s" s="13">
        <v>103</v>
      </c>
      <c r="G40" s="14">
        <v>2</v>
      </c>
      <c r="H40" s="15">
        <v>374.99</v>
      </c>
      <c r="I40" s="15">
        <v>749.98</v>
      </c>
    </row>
    <row r="41" ht="12.9" customHeight="1">
      <c r="B41" t="s" s="10">
        <v>100</v>
      </c>
      <c r="C41" t="s" s="11">
        <v>101</v>
      </c>
      <c r="D41" s="12">
        <v>45562.663340671294</v>
      </c>
      <c r="E41" t="s" s="13">
        <v>104</v>
      </c>
      <c r="F41" t="s" s="13">
        <v>105</v>
      </c>
      <c r="G41" s="14">
        <v>2</v>
      </c>
      <c r="H41" s="15">
        <v>59.99</v>
      </c>
      <c r="I41" s="15">
        <v>119.98</v>
      </c>
    </row>
    <row r="42" ht="12.9" customHeight="1">
      <c r="B42" t="s" s="10">
        <v>100</v>
      </c>
      <c r="C42" t="s" s="11">
        <v>101</v>
      </c>
      <c r="D42" s="12">
        <v>45562.663340671294</v>
      </c>
      <c r="E42" t="s" s="13">
        <v>106</v>
      </c>
      <c r="F42" t="s" s="13">
        <v>107</v>
      </c>
      <c r="G42" s="14">
        <v>2</v>
      </c>
      <c r="H42" s="15">
        <v>289.99</v>
      </c>
      <c r="I42" s="15">
        <v>579.98</v>
      </c>
    </row>
    <row r="43" ht="12.9" customHeight="1">
      <c r="B43" t="s" s="10">
        <v>100</v>
      </c>
      <c r="C43" t="s" s="11">
        <v>101</v>
      </c>
      <c r="D43" s="12">
        <v>45562.663340671294</v>
      </c>
      <c r="E43" t="s" s="13">
        <v>77</v>
      </c>
      <c r="F43" t="s" s="13">
        <v>108</v>
      </c>
      <c r="G43" s="14">
        <v>2</v>
      </c>
      <c r="H43" s="15">
        <v>140.49</v>
      </c>
      <c r="I43" s="15">
        <v>280.98</v>
      </c>
    </row>
    <row r="44" ht="12.9" customHeight="1">
      <c r="B44" t="s" s="10">
        <v>100</v>
      </c>
      <c r="C44" t="s" s="11">
        <v>101</v>
      </c>
      <c r="D44" s="12">
        <v>45562.663340671294</v>
      </c>
      <c r="E44" t="s" s="13">
        <v>109</v>
      </c>
      <c r="F44" t="s" s="13">
        <v>109</v>
      </c>
      <c r="G44" s="14">
        <v>2</v>
      </c>
      <c r="H44" s="15">
        <v>249.99</v>
      </c>
      <c r="I44" s="15">
        <v>499.98</v>
      </c>
    </row>
    <row r="45" ht="12.9" customHeight="1">
      <c r="B45" t="s" s="10">
        <v>100</v>
      </c>
      <c r="C45" t="s" s="11">
        <v>101</v>
      </c>
      <c r="D45" s="12">
        <v>45562.663340671294</v>
      </c>
      <c r="E45" t="s" s="13">
        <v>110</v>
      </c>
      <c r="F45" t="s" s="13">
        <v>110</v>
      </c>
      <c r="G45" s="14">
        <v>2</v>
      </c>
      <c r="H45" s="15">
        <v>0</v>
      </c>
      <c r="I45" s="15">
        <v>0</v>
      </c>
    </row>
    <row r="46" ht="12.9" customHeight="1">
      <c r="B46" t="s" s="10">
        <v>100</v>
      </c>
      <c r="C46" t="s" s="11">
        <v>101</v>
      </c>
      <c r="D46" s="12">
        <v>45562.663340671294</v>
      </c>
      <c r="E46" t="s" s="13">
        <v>111</v>
      </c>
      <c r="F46" t="s" s="13">
        <v>112</v>
      </c>
      <c r="G46" s="14">
        <v>2</v>
      </c>
      <c r="H46" s="15">
        <v>49.5</v>
      </c>
      <c r="I46" s="15">
        <v>99</v>
      </c>
    </row>
    <row r="47" ht="12.9" customHeight="1">
      <c r="B47" t="s" s="10">
        <v>113</v>
      </c>
      <c r="C47" t="s" s="11">
        <v>114</v>
      </c>
      <c r="D47" s="12">
        <v>45562.597966388887</v>
      </c>
      <c r="E47" t="s" s="13">
        <v>115</v>
      </c>
      <c r="F47" t="s" s="13">
        <v>116</v>
      </c>
      <c r="G47" s="14">
        <v>2</v>
      </c>
      <c r="H47" s="15">
        <v>22.99</v>
      </c>
      <c r="I47" s="15">
        <v>45.98</v>
      </c>
    </row>
    <row r="48" ht="12.9" customHeight="1">
      <c r="B48" t="s" s="10">
        <v>117</v>
      </c>
      <c r="C48" t="s" s="11">
        <v>118</v>
      </c>
      <c r="D48" s="12">
        <v>45562.149025833336</v>
      </c>
      <c r="E48" t="s" s="13">
        <v>11</v>
      </c>
      <c r="F48" t="s" s="13">
        <v>12</v>
      </c>
      <c r="G48" s="14">
        <v>1</v>
      </c>
      <c r="H48" s="15">
        <v>399.99</v>
      </c>
      <c r="I48" s="15">
        <v>399.99</v>
      </c>
    </row>
    <row r="49" ht="12.9" customHeight="1">
      <c r="B49" t="s" s="10">
        <v>117</v>
      </c>
      <c r="C49" t="s" s="11">
        <v>118</v>
      </c>
      <c r="D49" s="12">
        <v>45562.149025833336</v>
      </c>
      <c r="E49" t="s" s="13">
        <v>119</v>
      </c>
      <c r="F49" t="s" s="13">
        <v>120</v>
      </c>
      <c r="G49" s="14">
        <v>4</v>
      </c>
      <c r="H49" s="15">
        <v>1.99</v>
      </c>
      <c r="I49" s="15">
        <v>7.96</v>
      </c>
    </row>
    <row r="50" ht="12.9" customHeight="1">
      <c r="B50" t="s" s="10">
        <v>117</v>
      </c>
      <c r="C50" t="s" s="11">
        <v>118</v>
      </c>
      <c r="D50" s="12">
        <v>45562.149025833336</v>
      </c>
      <c r="E50" t="s" s="13">
        <v>15</v>
      </c>
      <c r="F50" t="s" s="13">
        <v>16</v>
      </c>
      <c r="G50" s="14">
        <v>2</v>
      </c>
      <c r="H50" s="15">
        <v>9.99</v>
      </c>
      <c r="I50" s="15">
        <v>19.98</v>
      </c>
    </row>
    <row r="51" ht="12.9" customHeight="1">
      <c r="B51" t="s" s="10">
        <v>121</v>
      </c>
      <c r="C51" t="s" s="11">
        <v>122</v>
      </c>
      <c r="D51" s="12">
        <v>45562</v>
      </c>
      <c r="E51" t="s" s="13">
        <v>47</v>
      </c>
      <c r="F51" s="16"/>
      <c r="G51" s="14">
        <v>1</v>
      </c>
      <c r="H51" s="15">
        <v>52.4</v>
      </c>
      <c r="I51" s="15">
        <v>52.4</v>
      </c>
    </row>
    <row r="52" ht="12.9" customHeight="1">
      <c r="B52" t="s" s="10">
        <v>121</v>
      </c>
      <c r="C52" t="s" s="11">
        <v>122</v>
      </c>
      <c r="D52" s="12">
        <v>45562</v>
      </c>
      <c r="E52" t="s" s="13">
        <v>123</v>
      </c>
      <c r="F52" t="s" s="13">
        <v>124</v>
      </c>
      <c r="G52" s="14">
        <v>2</v>
      </c>
      <c r="H52" s="15">
        <v>134.9925</v>
      </c>
      <c r="I52" s="15">
        <v>269.985</v>
      </c>
    </row>
    <row r="53" ht="12.9" customHeight="1">
      <c r="B53" t="s" s="10">
        <v>121</v>
      </c>
      <c r="C53" t="s" s="11">
        <v>122</v>
      </c>
      <c r="D53" s="12">
        <v>45562</v>
      </c>
      <c r="E53" t="s" s="13">
        <v>125</v>
      </c>
      <c r="F53" t="s" s="13">
        <v>126</v>
      </c>
      <c r="G53" s="14">
        <v>2</v>
      </c>
      <c r="H53" s="15">
        <v>48.7425</v>
      </c>
      <c r="I53" s="15">
        <v>97.485</v>
      </c>
    </row>
    <row r="54" ht="12.9" customHeight="1">
      <c r="B54" t="s" s="10">
        <v>127</v>
      </c>
      <c r="C54" t="s" s="11">
        <v>128</v>
      </c>
      <c r="D54" s="12">
        <v>45561.999054247688</v>
      </c>
      <c r="E54" t="s" s="13">
        <v>73</v>
      </c>
      <c r="F54" t="s" s="13">
        <v>74</v>
      </c>
      <c r="G54" s="14">
        <v>1</v>
      </c>
      <c r="H54" s="15">
        <v>399.99</v>
      </c>
      <c r="I54" s="15">
        <v>399.99</v>
      </c>
    </row>
    <row r="55" ht="12.9" customHeight="1">
      <c r="B55" t="s" s="10">
        <v>127</v>
      </c>
      <c r="C55" t="s" s="11">
        <v>128</v>
      </c>
      <c r="D55" s="12">
        <v>45561.999054247688</v>
      </c>
      <c r="E55" t="s" s="13">
        <v>59</v>
      </c>
      <c r="F55" t="s" s="13">
        <v>60</v>
      </c>
      <c r="G55" s="14">
        <v>1</v>
      </c>
      <c r="H55" s="15">
        <v>1199.99</v>
      </c>
      <c r="I55" s="15">
        <v>1199.99</v>
      </c>
    </row>
    <row r="56" ht="12.9" customHeight="1">
      <c r="B56" t="s" s="10">
        <v>129</v>
      </c>
      <c r="C56" t="s" s="11">
        <v>130</v>
      </c>
      <c r="D56" s="12">
        <v>45561.83467125</v>
      </c>
      <c r="E56" t="s" s="13">
        <v>27</v>
      </c>
      <c r="F56" t="s" s="13">
        <v>28</v>
      </c>
      <c r="G56" s="14">
        <v>1</v>
      </c>
      <c r="H56" s="15">
        <v>79.98999999999999</v>
      </c>
      <c r="I56" s="15">
        <v>79.98999999999999</v>
      </c>
    </row>
    <row r="57" ht="12.9" customHeight="1">
      <c r="B57" t="s" s="10">
        <v>131</v>
      </c>
      <c r="C57" t="s" s="11">
        <v>132</v>
      </c>
      <c r="D57" s="12">
        <v>45561.798572569445</v>
      </c>
      <c r="E57" t="s" s="13">
        <v>81</v>
      </c>
      <c r="F57" t="s" s="13">
        <v>82</v>
      </c>
      <c r="G57" s="14">
        <v>4</v>
      </c>
      <c r="H57" s="15">
        <v>849.99</v>
      </c>
      <c r="I57" s="15">
        <v>3399.96</v>
      </c>
    </row>
    <row r="58" ht="12.9" customHeight="1">
      <c r="B58" t="s" s="10">
        <v>131</v>
      </c>
      <c r="C58" t="s" s="11">
        <v>132</v>
      </c>
      <c r="D58" s="12">
        <v>45561.798572569445</v>
      </c>
      <c r="E58" t="s" s="13">
        <v>133</v>
      </c>
      <c r="F58" t="s" s="13">
        <v>134</v>
      </c>
      <c r="G58" s="14">
        <v>4</v>
      </c>
      <c r="H58" s="15">
        <v>50</v>
      </c>
      <c r="I58" s="15">
        <v>200</v>
      </c>
    </row>
    <row r="59" ht="12.9" customHeight="1">
      <c r="B59" t="s" s="10">
        <v>131</v>
      </c>
      <c r="C59" t="s" s="11">
        <v>132</v>
      </c>
      <c r="D59" s="12">
        <v>45561.798572569445</v>
      </c>
      <c r="E59" t="s" s="13">
        <v>50</v>
      </c>
      <c r="F59" t="s" s="13">
        <v>83</v>
      </c>
      <c r="G59" s="14">
        <v>4</v>
      </c>
      <c r="H59" s="15">
        <v>0</v>
      </c>
      <c r="I59" s="15">
        <v>0</v>
      </c>
    </row>
    <row r="60" ht="12.9" customHeight="1">
      <c r="B60" t="s" s="10">
        <v>131</v>
      </c>
      <c r="C60" t="s" s="11">
        <v>132</v>
      </c>
      <c r="D60" s="12">
        <v>45561.798572569445</v>
      </c>
      <c r="E60" t="s" s="13">
        <v>84</v>
      </c>
      <c r="F60" t="s" s="13">
        <v>85</v>
      </c>
      <c r="G60" s="14">
        <v>4</v>
      </c>
      <c r="H60" s="15">
        <v>0</v>
      </c>
      <c r="I60" s="15">
        <v>0</v>
      </c>
    </row>
    <row r="61" ht="12.9" customHeight="1">
      <c r="B61" t="s" s="10">
        <v>135</v>
      </c>
      <c r="C61" t="s" s="11">
        <v>136</v>
      </c>
      <c r="D61" s="12">
        <v>45561.741682164349</v>
      </c>
      <c r="E61" t="s" s="13">
        <v>95</v>
      </c>
      <c r="F61" t="s" s="13">
        <v>12</v>
      </c>
      <c r="G61" s="14">
        <v>1</v>
      </c>
      <c r="H61" s="15">
        <v>349.99</v>
      </c>
      <c r="I61" s="15">
        <v>349.99</v>
      </c>
    </row>
    <row r="62" ht="12.9" customHeight="1">
      <c r="B62" t="s" s="10">
        <v>137</v>
      </c>
      <c r="C62" t="s" s="11">
        <v>138</v>
      </c>
      <c r="D62" s="12">
        <v>45561.584306932869</v>
      </c>
      <c r="E62" t="s" s="13">
        <v>139</v>
      </c>
      <c r="F62" t="s" s="13">
        <v>140</v>
      </c>
      <c r="G62" s="14">
        <v>2</v>
      </c>
      <c r="H62" s="15">
        <v>49.99</v>
      </c>
      <c r="I62" s="15">
        <v>99.98</v>
      </c>
    </row>
    <row r="63" ht="12.9" customHeight="1">
      <c r="B63" t="s" s="10">
        <v>141</v>
      </c>
      <c r="C63" t="s" s="11">
        <v>142</v>
      </c>
      <c r="D63" s="12">
        <v>45560.950141388887</v>
      </c>
      <c r="E63" t="s" s="13">
        <v>143</v>
      </c>
      <c r="F63" t="s" s="13">
        <v>144</v>
      </c>
      <c r="G63" s="14">
        <v>3</v>
      </c>
      <c r="H63" s="15">
        <v>3199.99</v>
      </c>
      <c r="I63" s="15">
        <v>9599.969999999999</v>
      </c>
    </row>
    <row r="64" ht="12.9" customHeight="1">
      <c r="B64" t="s" s="10">
        <v>145</v>
      </c>
      <c r="C64" t="s" s="11">
        <v>76</v>
      </c>
      <c r="D64" s="12">
        <v>45560.870787314816</v>
      </c>
      <c r="E64" t="s" s="13">
        <v>15</v>
      </c>
      <c r="F64" t="s" s="13">
        <v>16</v>
      </c>
      <c r="G64" s="14">
        <v>1</v>
      </c>
      <c r="H64" s="15">
        <v>9.99</v>
      </c>
      <c r="I64" s="15">
        <v>9.99</v>
      </c>
    </row>
    <row r="65" ht="12.9" customHeight="1">
      <c r="B65" t="s" s="10">
        <v>145</v>
      </c>
      <c r="C65" t="s" s="11">
        <v>76</v>
      </c>
      <c r="D65" s="12">
        <v>45560.870787314816</v>
      </c>
      <c r="E65" t="s" s="13">
        <v>146</v>
      </c>
      <c r="F65" t="s" s="13">
        <v>147</v>
      </c>
      <c r="G65" s="14">
        <v>1</v>
      </c>
      <c r="H65" s="15">
        <v>19.99</v>
      </c>
      <c r="I65" s="15">
        <v>19.99</v>
      </c>
    </row>
    <row r="66" ht="12.9" customHeight="1">
      <c r="B66" t="s" s="10">
        <v>145</v>
      </c>
      <c r="C66" t="s" s="11">
        <v>76</v>
      </c>
      <c r="D66" s="12">
        <v>45560.870787314816</v>
      </c>
      <c r="E66" t="s" s="13">
        <v>115</v>
      </c>
      <c r="F66" t="s" s="13">
        <v>116</v>
      </c>
      <c r="G66" s="14">
        <v>1</v>
      </c>
      <c r="H66" s="15">
        <v>22.99</v>
      </c>
      <c r="I66" s="15">
        <v>22.99</v>
      </c>
    </row>
    <row r="67" ht="12.9" customHeight="1">
      <c r="B67" t="s" s="10">
        <v>145</v>
      </c>
      <c r="C67" t="s" s="11">
        <v>76</v>
      </c>
      <c r="D67" s="12">
        <v>45560.870787314816</v>
      </c>
      <c r="E67" t="s" s="13">
        <v>54</v>
      </c>
      <c r="F67" t="s" s="13">
        <v>93</v>
      </c>
      <c r="G67" s="14">
        <v>2</v>
      </c>
      <c r="H67" s="15">
        <v>9.99</v>
      </c>
      <c r="I67" s="15">
        <v>19.98</v>
      </c>
    </row>
    <row r="68" ht="12.9" customHeight="1">
      <c r="B68" t="s" s="10">
        <v>148</v>
      </c>
      <c r="C68" t="s" s="11">
        <v>149</v>
      </c>
      <c r="D68" s="12">
        <v>45560.867533680554</v>
      </c>
      <c r="E68" t="s" s="13">
        <v>35</v>
      </c>
      <c r="F68" t="s" s="13">
        <v>36</v>
      </c>
      <c r="G68" s="14">
        <v>1</v>
      </c>
      <c r="H68" s="15">
        <v>49.99</v>
      </c>
      <c r="I68" s="15">
        <v>49.99</v>
      </c>
    </row>
    <row r="69" ht="12.9" customHeight="1">
      <c r="B69" t="s" s="10">
        <v>150</v>
      </c>
      <c r="C69" t="s" s="11">
        <v>151</v>
      </c>
      <c r="D69" s="12">
        <v>45560.860422777776</v>
      </c>
      <c r="E69" t="s" s="13">
        <v>95</v>
      </c>
      <c r="F69" t="s" s="13">
        <v>12</v>
      </c>
      <c r="G69" s="14">
        <v>2</v>
      </c>
      <c r="H69" s="15">
        <v>349.99</v>
      </c>
      <c r="I69" s="15">
        <v>699.98</v>
      </c>
    </row>
    <row r="70" ht="12.9" customHeight="1">
      <c r="B70" t="s" s="10">
        <v>152</v>
      </c>
      <c r="C70" t="s" s="11">
        <v>153</v>
      </c>
      <c r="D70" s="12">
        <v>45560.856598090279</v>
      </c>
      <c r="E70" t="s" s="13">
        <v>19</v>
      </c>
      <c r="F70" t="s" s="13">
        <v>20</v>
      </c>
      <c r="G70" s="14">
        <v>1</v>
      </c>
      <c r="H70" s="15">
        <v>119.99</v>
      </c>
      <c r="I70" s="15">
        <v>119.99</v>
      </c>
    </row>
    <row r="71" ht="12.9" customHeight="1">
      <c r="B71" t="s" s="10">
        <v>154</v>
      </c>
      <c r="C71" t="s" s="11">
        <v>155</v>
      </c>
      <c r="D71" s="12">
        <v>45560.752606782407</v>
      </c>
      <c r="E71" t="s" s="13">
        <v>95</v>
      </c>
      <c r="F71" t="s" s="13">
        <v>12</v>
      </c>
      <c r="G71" s="14">
        <v>1</v>
      </c>
      <c r="H71" s="15">
        <v>349.99</v>
      </c>
      <c r="I71" s="15">
        <v>349.99</v>
      </c>
    </row>
    <row r="72" ht="12.9" customHeight="1">
      <c r="B72" t="s" s="10">
        <v>154</v>
      </c>
      <c r="C72" t="s" s="11">
        <v>155</v>
      </c>
      <c r="D72" s="12">
        <v>45560.752606782407</v>
      </c>
      <c r="E72" t="s" s="13">
        <v>54</v>
      </c>
      <c r="F72" t="s" s="13">
        <v>93</v>
      </c>
      <c r="G72" s="14">
        <v>1</v>
      </c>
      <c r="H72" s="15">
        <v>9.99</v>
      </c>
      <c r="I72" s="15">
        <v>9.99</v>
      </c>
    </row>
    <row r="73" ht="12.9" customHeight="1">
      <c r="B73" t="s" s="10">
        <v>154</v>
      </c>
      <c r="C73" t="s" s="11">
        <v>155</v>
      </c>
      <c r="D73" s="12">
        <v>45560.752606782407</v>
      </c>
      <c r="E73" t="s" s="13">
        <v>15</v>
      </c>
      <c r="F73" t="s" s="13">
        <v>16</v>
      </c>
      <c r="G73" s="14">
        <v>1</v>
      </c>
      <c r="H73" s="15">
        <v>9.99</v>
      </c>
      <c r="I73" s="15">
        <v>9.99</v>
      </c>
    </row>
    <row r="74" ht="12.9" customHeight="1">
      <c r="B74" t="s" s="10">
        <v>156</v>
      </c>
      <c r="C74" t="s" s="11">
        <v>157</v>
      </c>
      <c r="D74" s="12">
        <v>45560.6851541088</v>
      </c>
      <c r="E74" t="s" s="13">
        <v>27</v>
      </c>
      <c r="F74" t="s" s="13">
        <v>28</v>
      </c>
      <c r="G74" s="14">
        <v>1</v>
      </c>
      <c r="H74" s="15">
        <v>79.98999999999999</v>
      </c>
      <c r="I74" s="15">
        <v>79.98999999999999</v>
      </c>
    </row>
    <row r="75" ht="12.9" customHeight="1">
      <c r="B75" t="s" s="10">
        <v>158</v>
      </c>
      <c r="C75" t="s" s="11">
        <v>159</v>
      </c>
      <c r="D75" s="12">
        <v>45560.6305822338</v>
      </c>
      <c r="E75" t="s" s="13">
        <v>89</v>
      </c>
      <c r="F75" t="s" s="13">
        <v>90</v>
      </c>
      <c r="G75" s="14">
        <v>1</v>
      </c>
      <c r="H75" s="15">
        <v>59.99</v>
      </c>
      <c r="I75" s="15">
        <v>59.99</v>
      </c>
    </row>
    <row r="76" ht="12.9" customHeight="1">
      <c r="B76" t="s" s="10">
        <v>160</v>
      </c>
      <c r="C76" t="s" s="11">
        <v>161</v>
      </c>
      <c r="D76" s="12">
        <v>45560</v>
      </c>
      <c r="E76" t="s" s="13">
        <v>43</v>
      </c>
      <c r="F76" t="s" s="13">
        <v>162</v>
      </c>
      <c r="G76" s="14">
        <v>1</v>
      </c>
      <c r="H76" s="15">
        <v>0</v>
      </c>
      <c r="I76" s="15">
        <v>0</v>
      </c>
    </row>
    <row r="77" ht="12.9" customHeight="1">
      <c r="B77" t="s" s="10">
        <v>163</v>
      </c>
      <c r="C77" t="s" s="11">
        <v>164</v>
      </c>
      <c r="D77" s="12">
        <v>45559.9328428588</v>
      </c>
      <c r="E77" t="s" s="13">
        <v>165</v>
      </c>
      <c r="F77" t="s" s="13">
        <v>166</v>
      </c>
      <c r="G77" s="14">
        <v>2</v>
      </c>
      <c r="H77" s="15">
        <v>0</v>
      </c>
      <c r="I77" s="15">
        <v>0</v>
      </c>
    </row>
    <row r="78" ht="12.9" customHeight="1">
      <c r="B78" t="s" s="10">
        <v>163</v>
      </c>
      <c r="C78" t="s" s="11">
        <v>164</v>
      </c>
      <c r="D78" s="12">
        <v>45559.9328428588</v>
      </c>
      <c r="E78" t="s" s="13">
        <v>167</v>
      </c>
      <c r="F78" t="s" s="13">
        <v>168</v>
      </c>
      <c r="G78" s="14">
        <v>2</v>
      </c>
      <c r="H78" s="15">
        <v>0</v>
      </c>
      <c r="I78" s="15">
        <v>0</v>
      </c>
    </row>
    <row r="79" ht="12.9" customHeight="1">
      <c r="B79" t="s" s="10">
        <v>169</v>
      </c>
      <c r="C79" t="s" s="11">
        <v>170</v>
      </c>
      <c r="D79" s="12">
        <v>45559.903158425928</v>
      </c>
      <c r="E79" t="s" s="13">
        <v>171</v>
      </c>
      <c r="F79" t="s" s="13">
        <v>172</v>
      </c>
      <c r="G79" s="14">
        <v>1</v>
      </c>
      <c r="H79" s="15">
        <v>524.99</v>
      </c>
      <c r="I79" s="15">
        <v>524.99</v>
      </c>
    </row>
    <row r="80" ht="12.9" customHeight="1">
      <c r="B80" t="s" s="10">
        <v>173</v>
      </c>
      <c r="C80" t="s" s="11">
        <v>174</v>
      </c>
      <c r="D80" s="12">
        <v>45559.828741585647</v>
      </c>
      <c r="E80" t="s" s="13">
        <v>139</v>
      </c>
      <c r="F80" t="s" s="13">
        <v>140</v>
      </c>
      <c r="G80" s="14">
        <v>2</v>
      </c>
      <c r="H80" s="15">
        <v>49.99</v>
      </c>
      <c r="I80" s="15">
        <v>99.98</v>
      </c>
    </row>
    <row r="81" ht="12.9" customHeight="1">
      <c r="B81" t="s" s="10">
        <v>175</v>
      </c>
      <c r="C81" t="s" s="11">
        <v>176</v>
      </c>
      <c r="D81" s="12">
        <v>45559.8246149074</v>
      </c>
      <c r="E81" t="s" s="13">
        <v>139</v>
      </c>
      <c r="F81" t="s" s="13">
        <v>140</v>
      </c>
      <c r="G81" s="14">
        <v>1</v>
      </c>
      <c r="H81" s="15">
        <v>49.99</v>
      </c>
      <c r="I81" s="15">
        <v>49.99</v>
      </c>
    </row>
    <row r="82" ht="12.9" customHeight="1">
      <c r="B82" t="s" s="10">
        <v>177</v>
      </c>
      <c r="C82" t="s" s="11">
        <v>178</v>
      </c>
      <c r="D82" s="12">
        <v>45559.79440625</v>
      </c>
      <c r="E82" t="s" s="13">
        <v>179</v>
      </c>
      <c r="F82" t="s" s="13">
        <v>180</v>
      </c>
      <c r="G82" s="14">
        <v>2</v>
      </c>
      <c r="H82" s="15">
        <v>49.99</v>
      </c>
      <c r="I82" s="15">
        <v>99.98</v>
      </c>
    </row>
    <row r="83" ht="12.9" customHeight="1">
      <c r="B83" t="s" s="10">
        <v>181</v>
      </c>
      <c r="C83" t="s" s="11">
        <v>182</v>
      </c>
      <c r="D83" s="12">
        <v>45559.760511585650</v>
      </c>
      <c r="E83" t="s" s="13">
        <v>35</v>
      </c>
      <c r="F83" t="s" s="13">
        <v>36</v>
      </c>
      <c r="G83" s="14">
        <v>2</v>
      </c>
      <c r="H83" s="15">
        <v>49.99</v>
      </c>
      <c r="I83" s="15">
        <v>99.98</v>
      </c>
    </row>
    <row r="84" ht="12.9" customHeight="1">
      <c r="B84" t="s" s="10">
        <v>183</v>
      </c>
      <c r="C84" t="s" s="11">
        <v>184</v>
      </c>
      <c r="D84" s="12">
        <v>45559.640951643516</v>
      </c>
      <c r="E84" t="s" s="13">
        <v>89</v>
      </c>
      <c r="F84" t="s" s="13">
        <v>90</v>
      </c>
      <c r="G84" s="14">
        <v>1</v>
      </c>
      <c r="H84" s="15">
        <v>59.99</v>
      </c>
      <c r="I84" s="15">
        <v>59.99</v>
      </c>
    </row>
    <row r="85" ht="12.9" customHeight="1">
      <c r="B85" t="s" s="10">
        <v>183</v>
      </c>
      <c r="C85" t="s" s="11">
        <v>184</v>
      </c>
      <c r="D85" s="12">
        <v>45559.640951643516</v>
      </c>
      <c r="E85" t="s" s="13">
        <v>35</v>
      </c>
      <c r="F85" t="s" s="13">
        <v>36</v>
      </c>
      <c r="G85" s="14">
        <v>1</v>
      </c>
      <c r="H85" s="15">
        <v>49.99</v>
      </c>
      <c r="I85" s="15">
        <v>49.99</v>
      </c>
    </row>
    <row r="86" ht="12.9" customHeight="1">
      <c r="B86" t="s" s="10">
        <v>185</v>
      </c>
      <c r="C86" t="s" s="11">
        <v>186</v>
      </c>
      <c r="D86" s="12">
        <v>45559.138682303237</v>
      </c>
      <c r="E86" t="s" s="13">
        <v>35</v>
      </c>
      <c r="F86" t="s" s="13">
        <v>36</v>
      </c>
      <c r="G86" s="14">
        <v>2</v>
      </c>
      <c r="H86" s="15">
        <v>49.99</v>
      </c>
      <c r="I86" s="15">
        <v>99.98</v>
      </c>
    </row>
    <row r="87" ht="12.9" customHeight="1">
      <c r="B87" t="s" s="10">
        <v>187</v>
      </c>
      <c r="C87" t="s" s="11">
        <v>188</v>
      </c>
      <c r="D87" s="12">
        <v>45558.930039432867</v>
      </c>
      <c r="E87" t="s" s="13">
        <v>59</v>
      </c>
      <c r="F87" t="s" s="13">
        <v>60</v>
      </c>
      <c r="G87" s="14">
        <v>1</v>
      </c>
      <c r="H87" s="15">
        <v>1199.99</v>
      </c>
      <c r="I87" s="15">
        <v>1199.99</v>
      </c>
    </row>
    <row r="88" ht="12.9" customHeight="1">
      <c r="B88" t="s" s="10">
        <v>189</v>
      </c>
      <c r="C88" t="s" s="11">
        <v>190</v>
      </c>
      <c r="D88" s="12">
        <v>45558.924348738423</v>
      </c>
      <c r="E88" t="s" s="13">
        <v>11</v>
      </c>
      <c r="F88" t="s" s="13">
        <v>12</v>
      </c>
      <c r="G88" s="14">
        <v>1</v>
      </c>
      <c r="H88" s="15">
        <v>399.99</v>
      </c>
      <c r="I88" s="15">
        <v>399.99</v>
      </c>
    </row>
    <row r="89" ht="12.9" customHeight="1">
      <c r="B89" t="s" s="10">
        <v>191</v>
      </c>
      <c r="C89" t="s" s="11">
        <v>192</v>
      </c>
      <c r="D89" s="12">
        <v>45558.909052384261</v>
      </c>
      <c r="E89" t="s" s="13">
        <v>73</v>
      </c>
      <c r="F89" t="s" s="13">
        <v>74</v>
      </c>
      <c r="G89" s="14">
        <v>1</v>
      </c>
      <c r="H89" s="15">
        <v>399.99</v>
      </c>
      <c r="I89" s="15">
        <v>399.99</v>
      </c>
    </row>
    <row r="90" ht="12.9" customHeight="1">
      <c r="B90" t="s" s="10">
        <v>193</v>
      </c>
      <c r="C90" t="s" s="11">
        <v>194</v>
      </c>
      <c r="D90" s="12">
        <v>45558.848762303242</v>
      </c>
      <c r="E90" t="s" s="13">
        <v>11</v>
      </c>
      <c r="F90" t="s" s="13">
        <v>12</v>
      </c>
      <c r="G90" s="14">
        <v>2</v>
      </c>
      <c r="H90" s="15">
        <v>399.99</v>
      </c>
      <c r="I90" s="15">
        <v>799.98</v>
      </c>
    </row>
    <row r="91" ht="12.9" customHeight="1">
      <c r="B91" t="s" s="10">
        <v>195</v>
      </c>
      <c r="C91" t="s" s="11">
        <v>196</v>
      </c>
      <c r="D91" s="12">
        <v>45558.684642939814</v>
      </c>
      <c r="E91" t="s" s="13">
        <v>95</v>
      </c>
      <c r="F91" t="s" s="13">
        <v>12</v>
      </c>
      <c r="G91" s="14">
        <v>1</v>
      </c>
      <c r="H91" s="15">
        <v>349.99</v>
      </c>
      <c r="I91" s="15">
        <v>349.99</v>
      </c>
    </row>
    <row r="92" ht="12.9" customHeight="1">
      <c r="B92" t="s" s="10">
        <v>197</v>
      </c>
      <c r="C92" t="s" s="11">
        <v>198</v>
      </c>
      <c r="D92" s="12">
        <v>45558.682526666664</v>
      </c>
      <c r="E92" t="s" s="13">
        <v>89</v>
      </c>
      <c r="F92" t="s" s="13">
        <v>90</v>
      </c>
      <c r="G92" s="14">
        <v>1</v>
      </c>
      <c r="H92" s="15">
        <v>59.99</v>
      </c>
      <c r="I92" s="15">
        <v>59.99</v>
      </c>
    </row>
    <row r="93" ht="12.9" customHeight="1">
      <c r="B93" t="s" s="10">
        <v>199</v>
      </c>
      <c r="C93" t="s" s="11">
        <v>200</v>
      </c>
      <c r="D93" s="12">
        <v>45558.163989398148</v>
      </c>
      <c r="E93" t="s" s="13">
        <v>35</v>
      </c>
      <c r="F93" t="s" s="13">
        <v>36</v>
      </c>
      <c r="G93" s="14">
        <v>1</v>
      </c>
      <c r="H93" s="15">
        <v>49.99</v>
      </c>
      <c r="I93" s="15">
        <v>49.99</v>
      </c>
    </row>
    <row r="94" ht="12.9" customHeight="1">
      <c r="B94" t="s" s="10">
        <v>201</v>
      </c>
      <c r="C94" t="s" s="11">
        <v>202</v>
      </c>
      <c r="D94" s="12">
        <v>45558.163867037038</v>
      </c>
      <c r="E94" t="s" s="13">
        <v>89</v>
      </c>
      <c r="F94" t="s" s="13">
        <v>90</v>
      </c>
      <c r="G94" s="14">
        <v>1</v>
      </c>
      <c r="H94" s="15">
        <v>59.99</v>
      </c>
      <c r="I94" s="15">
        <v>59.99</v>
      </c>
    </row>
    <row r="95" ht="12.9" customHeight="1">
      <c r="B95" t="s" s="10">
        <v>203</v>
      </c>
      <c r="C95" t="s" s="11">
        <v>194</v>
      </c>
      <c r="D95" s="12">
        <v>45558</v>
      </c>
      <c r="E95" t="s" s="13">
        <v>63</v>
      </c>
      <c r="F95" s="16"/>
      <c r="G95" s="14">
        <v>1</v>
      </c>
      <c r="H95" s="15">
        <v>46.32</v>
      </c>
      <c r="I95" s="15">
        <v>46.32</v>
      </c>
    </row>
    <row r="96" ht="12.9" customHeight="1">
      <c r="B96" t="s" s="10">
        <v>203</v>
      </c>
      <c r="C96" t="s" s="11">
        <v>194</v>
      </c>
      <c r="D96" s="12">
        <v>45558</v>
      </c>
      <c r="E96" t="s" s="13">
        <v>43</v>
      </c>
      <c r="F96" t="s" s="13">
        <v>204</v>
      </c>
      <c r="G96" s="14">
        <v>1</v>
      </c>
      <c r="H96" s="15">
        <v>0</v>
      </c>
      <c r="I96" s="15">
        <v>0</v>
      </c>
    </row>
    <row r="97" ht="12.9" customHeight="1">
      <c r="B97" t="s" s="10">
        <v>205</v>
      </c>
      <c r="C97" t="s" s="11">
        <v>206</v>
      </c>
      <c r="D97" s="12">
        <v>45558</v>
      </c>
      <c r="E97" t="s" s="13">
        <v>207</v>
      </c>
      <c r="F97" t="s" s="13">
        <v>208</v>
      </c>
      <c r="G97" s="14">
        <v>4</v>
      </c>
      <c r="H97" s="15">
        <v>0</v>
      </c>
      <c r="I97" s="15">
        <v>0</v>
      </c>
    </row>
    <row r="98" ht="12.9" customHeight="1">
      <c r="B98" t="s" s="10">
        <v>209</v>
      </c>
      <c r="C98" t="s" s="11">
        <v>210</v>
      </c>
      <c r="D98" s="12">
        <v>45558</v>
      </c>
      <c r="E98" t="s" s="13">
        <v>57</v>
      </c>
      <c r="F98" t="s" s="13">
        <v>58</v>
      </c>
      <c r="G98" s="14">
        <v>9</v>
      </c>
      <c r="H98" s="15">
        <v>599.9924999999999</v>
      </c>
      <c r="I98" s="15">
        <v>5399.9325</v>
      </c>
    </row>
    <row r="99" ht="12.9" customHeight="1">
      <c r="B99" t="s" s="10">
        <v>209</v>
      </c>
      <c r="C99" t="s" s="11">
        <v>210</v>
      </c>
      <c r="D99" s="12">
        <v>45558</v>
      </c>
      <c r="E99" t="s" s="13">
        <v>139</v>
      </c>
      <c r="F99" t="s" s="13">
        <v>140</v>
      </c>
      <c r="G99" s="14">
        <v>10</v>
      </c>
      <c r="H99" s="15">
        <v>37.4925</v>
      </c>
      <c r="I99" s="15">
        <v>374.925</v>
      </c>
    </row>
    <row r="100" ht="12.9" customHeight="1">
      <c r="B100" t="s" s="10">
        <v>211</v>
      </c>
      <c r="C100" t="s" s="11">
        <v>212</v>
      </c>
      <c r="D100" s="12">
        <v>45558</v>
      </c>
      <c r="E100" t="s" s="13">
        <v>213</v>
      </c>
      <c r="F100" t="s" s="13">
        <v>214</v>
      </c>
      <c r="G100" s="14">
        <v>2</v>
      </c>
      <c r="H100" s="15">
        <v>549.99</v>
      </c>
      <c r="I100" s="15">
        <v>1099.98</v>
      </c>
    </row>
    <row r="101" ht="12.9" customHeight="1">
      <c r="B101" t="s" s="10">
        <v>215</v>
      </c>
      <c r="C101" t="s" s="11">
        <v>216</v>
      </c>
      <c r="D101" s="12">
        <v>45558</v>
      </c>
      <c r="E101" t="s" s="13">
        <v>119</v>
      </c>
      <c r="F101" t="s" s="13">
        <v>120</v>
      </c>
      <c r="G101" s="14">
        <v>1</v>
      </c>
      <c r="H101" s="15">
        <v>0</v>
      </c>
      <c r="I101" s="15">
        <v>0</v>
      </c>
    </row>
    <row r="102" ht="12.9" customHeight="1">
      <c r="B102" t="s" s="10">
        <v>217</v>
      </c>
      <c r="C102" t="s" s="11">
        <v>218</v>
      </c>
      <c r="D102" s="12">
        <v>45557.9899574537</v>
      </c>
      <c r="E102" t="s" s="13">
        <v>19</v>
      </c>
      <c r="F102" t="s" s="13">
        <v>20</v>
      </c>
      <c r="G102" s="14">
        <v>1</v>
      </c>
      <c r="H102" s="15">
        <v>99.98999999999999</v>
      </c>
      <c r="I102" s="15">
        <v>99.98999999999999</v>
      </c>
    </row>
    <row r="103" ht="12.9" customHeight="1">
      <c r="B103" t="s" s="10">
        <v>217</v>
      </c>
      <c r="C103" t="s" s="11">
        <v>218</v>
      </c>
      <c r="D103" s="12">
        <v>45557.9899574537</v>
      </c>
      <c r="E103" t="s" s="13">
        <v>15</v>
      </c>
      <c r="F103" t="s" s="13">
        <v>16</v>
      </c>
      <c r="G103" s="14">
        <v>1</v>
      </c>
      <c r="H103" s="15">
        <v>7.99</v>
      </c>
      <c r="I103" s="15">
        <v>7.99</v>
      </c>
    </row>
    <row r="104" ht="12.9" customHeight="1">
      <c r="B104" t="s" s="10">
        <v>219</v>
      </c>
      <c r="C104" t="s" s="11">
        <v>218</v>
      </c>
      <c r="D104" s="12">
        <v>45557.989842847222</v>
      </c>
      <c r="E104" t="s" s="13">
        <v>15</v>
      </c>
      <c r="F104" t="s" s="13">
        <v>16</v>
      </c>
      <c r="G104" s="14">
        <v>5</v>
      </c>
      <c r="H104" s="15">
        <v>7.191</v>
      </c>
      <c r="I104" s="15">
        <v>35.955</v>
      </c>
    </row>
    <row r="105" ht="12.9" customHeight="1">
      <c r="B105" t="s" s="10">
        <v>220</v>
      </c>
      <c r="C105" t="s" s="11">
        <v>218</v>
      </c>
      <c r="D105" s="12">
        <v>45557.984025208330</v>
      </c>
      <c r="E105" t="s" s="13">
        <v>54</v>
      </c>
      <c r="F105" t="s" s="13">
        <v>93</v>
      </c>
      <c r="G105" s="14">
        <v>11</v>
      </c>
      <c r="H105" s="15">
        <v>9.99</v>
      </c>
      <c r="I105" s="15">
        <v>109.89</v>
      </c>
    </row>
    <row r="106" ht="12.9" customHeight="1">
      <c r="B106" t="s" s="10">
        <v>221</v>
      </c>
      <c r="C106" t="s" s="11">
        <v>222</v>
      </c>
      <c r="D106" s="12">
        <v>45557.9122965162</v>
      </c>
      <c r="E106" t="s" s="13">
        <v>11</v>
      </c>
      <c r="F106" t="s" s="13">
        <v>12</v>
      </c>
      <c r="G106" s="14">
        <v>1</v>
      </c>
      <c r="H106" s="15">
        <v>387.49</v>
      </c>
      <c r="I106" s="15">
        <v>387.49</v>
      </c>
    </row>
    <row r="107" ht="12.9" customHeight="1">
      <c r="B107" t="s" s="10">
        <v>221</v>
      </c>
      <c r="C107" t="s" s="11">
        <v>222</v>
      </c>
      <c r="D107" s="12">
        <v>45557.9122965162</v>
      </c>
      <c r="E107" t="s" s="13">
        <v>35</v>
      </c>
      <c r="F107" t="s" s="13">
        <v>36</v>
      </c>
      <c r="G107" s="14">
        <v>1</v>
      </c>
      <c r="H107" s="15">
        <v>37.49</v>
      </c>
      <c r="I107" s="15">
        <v>37.49</v>
      </c>
    </row>
    <row r="108" ht="12.9" customHeight="1">
      <c r="B108" t="s" s="10">
        <v>223</v>
      </c>
      <c r="C108" t="s" s="11">
        <v>224</v>
      </c>
      <c r="D108" s="12">
        <v>45556.8020244213</v>
      </c>
      <c r="E108" t="s" s="13">
        <v>225</v>
      </c>
      <c r="F108" t="s" s="13">
        <v>226</v>
      </c>
      <c r="G108" s="14">
        <v>2</v>
      </c>
      <c r="H108" s="15">
        <v>499.99</v>
      </c>
      <c r="I108" s="15">
        <v>999.98</v>
      </c>
    </row>
    <row r="109" ht="12.9" customHeight="1">
      <c r="B109" t="s" s="10">
        <v>223</v>
      </c>
      <c r="C109" t="s" s="11">
        <v>224</v>
      </c>
      <c r="D109" s="12">
        <v>45556.8020244213</v>
      </c>
      <c r="E109" t="s" s="13">
        <v>227</v>
      </c>
      <c r="F109" t="s" s="13">
        <v>228</v>
      </c>
      <c r="G109" s="14">
        <v>2</v>
      </c>
      <c r="H109" s="15">
        <v>0</v>
      </c>
      <c r="I109" s="15">
        <v>0</v>
      </c>
    </row>
    <row r="110" ht="12.9" customHeight="1">
      <c r="B110" t="s" s="10">
        <v>223</v>
      </c>
      <c r="C110" t="s" s="11">
        <v>224</v>
      </c>
      <c r="D110" s="12">
        <v>45556.8020244213</v>
      </c>
      <c r="E110" t="s" s="13">
        <v>19</v>
      </c>
      <c r="F110" t="s" s="13">
        <v>20</v>
      </c>
      <c r="G110" s="14">
        <v>2</v>
      </c>
      <c r="H110" s="15">
        <v>119.99</v>
      </c>
      <c r="I110" s="15">
        <v>239.98</v>
      </c>
    </row>
    <row r="111" ht="12.9" customHeight="1">
      <c r="B111" t="s" s="10">
        <v>223</v>
      </c>
      <c r="C111" t="s" s="11">
        <v>224</v>
      </c>
      <c r="D111" s="12">
        <v>45556.8020244213</v>
      </c>
      <c r="E111" t="s" s="13">
        <v>23</v>
      </c>
      <c r="F111" t="s" s="13">
        <v>24</v>
      </c>
      <c r="G111" s="14">
        <v>2</v>
      </c>
      <c r="H111" s="15">
        <v>149.99</v>
      </c>
      <c r="I111" s="15">
        <v>299.98</v>
      </c>
    </row>
    <row r="112" ht="12.9" customHeight="1">
      <c r="B112" t="s" s="10">
        <v>229</v>
      </c>
      <c r="C112" t="s" s="11">
        <v>230</v>
      </c>
      <c r="D112" s="12">
        <v>45556.774419756941</v>
      </c>
      <c r="E112" t="s" s="13">
        <v>81</v>
      </c>
      <c r="F112" t="s" s="13">
        <v>82</v>
      </c>
      <c r="G112" s="14">
        <v>2</v>
      </c>
      <c r="H112" s="15">
        <v>849.99</v>
      </c>
      <c r="I112" s="15">
        <v>1699.98</v>
      </c>
    </row>
    <row r="113" ht="12.9" customHeight="1">
      <c r="B113" t="s" s="10">
        <v>229</v>
      </c>
      <c r="C113" t="s" s="11">
        <v>230</v>
      </c>
      <c r="D113" s="12">
        <v>45556.774419756941</v>
      </c>
      <c r="E113" t="s" s="13">
        <v>23</v>
      </c>
      <c r="F113" t="s" s="13">
        <v>24</v>
      </c>
      <c r="G113" s="14">
        <v>2</v>
      </c>
      <c r="H113" s="15">
        <v>0</v>
      </c>
      <c r="I113" s="15">
        <v>0</v>
      </c>
    </row>
    <row r="114" ht="12.9" customHeight="1">
      <c r="B114" t="s" s="10">
        <v>229</v>
      </c>
      <c r="C114" t="s" s="11">
        <v>230</v>
      </c>
      <c r="D114" s="12">
        <v>45556.774419756941</v>
      </c>
      <c r="E114" t="s" s="13">
        <v>50</v>
      </c>
      <c r="F114" t="s" s="13">
        <v>83</v>
      </c>
      <c r="G114" s="14">
        <v>2</v>
      </c>
      <c r="H114" s="15">
        <v>0</v>
      </c>
      <c r="I114" s="15">
        <v>0</v>
      </c>
    </row>
    <row r="115" ht="12.9" customHeight="1">
      <c r="B115" t="s" s="10">
        <v>229</v>
      </c>
      <c r="C115" t="s" s="11">
        <v>230</v>
      </c>
      <c r="D115" s="12">
        <v>45556.774419756941</v>
      </c>
      <c r="E115" t="s" s="13">
        <v>84</v>
      </c>
      <c r="F115" t="s" s="13">
        <v>85</v>
      </c>
      <c r="G115" s="14">
        <v>2</v>
      </c>
      <c r="H115" s="15">
        <v>0</v>
      </c>
      <c r="I115" s="15">
        <v>0</v>
      </c>
    </row>
    <row r="116" ht="12.9" customHeight="1">
      <c r="B116" t="s" s="10">
        <v>231</v>
      </c>
      <c r="C116" t="s" s="11">
        <v>232</v>
      </c>
      <c r="D116" s="12">
        <v>45556.753359583330</v>
      </c>
      <c r="E116" t="s" s="13">
        <v>35</v>
      </c>
      <c r="F116" t="s" s="13">
        <v>36</v>
      </c>
      <c r="G116" s="14">
        <v>1</v>
      </c>
      <c r="H116" s="15">
        <v>49.99</v>
      </c>
      <c r="I116" s="15">
        <v>49.99</v>
      </c>
    </row>
    <row r="117" ht="12.9" customHeight="1">
      <c r="B117" t="s" s="10">
        <v>233</v>
      </c>
      <c r="C117" t="s" s="11">
        <v>234</v>
      </c>
      <c r="D117" s="12">
        <v>45556.118651365738</v>
      </c>
      <c r="E117" t="s" s="13">
        <v>171</v>
      </c>
      <c r="F117" t="s" s="13">
        <v>172</v>
      </c>
      <c r="G117" s="14">
        <v>1</v>
      </c>
      <c r="H117" s="15">
        <v>549.99</v>
      </c>
      <c r="I117" s="15">
        <v>549.99</v>
      </c>
    </row>
    <row r="118" ht="12.9" customHeight="1">
      <c r="B118" t="s" s="10">
        <v>235</v>
      </c>
      <c r="C118" t="s" s="11">
        <v>236</v>
      </c>
      <c r="D118" s="12">
        <v>45555.922409317129</v>
      </c>
      <c r="E118" t="s" s="13">
        <v>19</v>
      </c>
      <c r="F118" t="s" s="13">
        <v>20</v>
      </c>
      <c r="G118" s="14">
        <v>2</v>
      </c>
      <c r="H118" s="15">
        <v>119.99</v>
      </c>
      <c r="I118" s="15">
        <v>239.98</v>
      </c>
    </row>
    <row r="119" ht="12.9" customHeight="1">
      <c r="B119" t="s" s="10">
        <v>237</v>
      </c>
      <c r="C119" t="s" s="11">
        <v>238</v>
      </c>
      <c r="D119" s="12">
        <v>45555.7631670949</v>
      </c>
      <c r="E119" t="s" s="13">
        <v>239</v>
      </c>
      <c r="F119" t="s" s="13">
        <v>240</v>
      </c>
      <c r="G119" s="14">
        <v>2</v>
      </c>
      <c r="H119" s="15">
        <v>99.98999999999999</v>
      </c>
      <c r="I119" s="15">
        <v>199.98</v>
      </c>
    </row>
    <row r="120" ht="12.9" customHeight="1">
      <c r="B120" t="s" s="10">
        <v>241</v>
      </c>
      <c r="C120" t="s" s="11">
        <v>242</v>
      </c>
      <c r="D120" s="12">
        <v>45555.760966215275</v>
      </c>
      <c r="E120" t="s" s="13">
        <v>27</v>
      </c>
      <c r="F120" t="s" s="13">
        <v>28</v>
      </c>
      <c r="G120" s="14">
        <v>1</v>
      </c>
      <c r="H120" s="15">
        <v>79.98999999999999</v>
      </c>
      <c r="I120" s="15">
        <v>79.98999999999999</v>
      </c>
    </row>
    <row r="121" ht="12.9" customHeight="1">
      <c r="B121" t="s" s="10">
        <v>243</v>
      </c>
      <c r="C121" t="s" s="11">
        <v>244</v>
      </c>
      <c r="D121" s="12">
        <v>45555.5384578125</v>
      </c>
      <c r="E121" t="s" s="13">
        <v>11</v>
      </c>
      <c r="F121" t="s" s="13">
        <v>12</v>
      </c>
      <c r="G121" s="14">
        <v>1</v>
      </c>
      <c r="H121" s="15">
        <v>399.99</v>
      </c>
      <c r="I121" s="15">
        <v>399.99</v>
      </c>
    </row>
    <row r="122" ht="12.9" customHeight="1">
      <c r="B122" t="s" s="10">
        <v>245</v>
      </c>
      <c r="C122" t="s" s="11">
        <v>246</v>
      </c>
      <c r="D122" s="12">
        <v>45555.142555717590</v>
      </c>
      <c r="E122" t="s" s="13">
        <v>39</v>
      </c>
      <c r="F122" t="s" s="13">
        <v>40</v>
      </c>
      <c r="G122" s="14">
        <v>1</v>
      </c>
      <c r="H122" s="15">
        <v>109.99</v>
      </c>
      <c r="I122" s="15">
        <v>109.99</v>
      </c>
    </row>
    <row r="123" ht="12.9" customHeight="1">
      <c r="B123" t="s" s="10">
        <v>247</v>
      </c>
      <c r="C123" t="s" s="11">
        <v>122</v>
      </c>
      <c r="D123" s="12">
        <v>45555</v>
      </c>
      <c r="E123" t="s" s="13">
        <v>248</v>
      </c>
      <c r="F123" t="s" s="13">
        <v>249</v>
      </c>
      <c r="G123" s="14">
        <v>6</v>
      </c>
      <c r="H123" s="15">
        <v>3999.99</v>
      </c>
      <c r="I123" s="15">
        <v>23999.94</v>
      </c>
    </row>
    <row r="124" ht="12.9" customHeight="1">
      <c r="B124" t="s" s="10">
        <v>247</v>
      </c>
      <c r="C124" t="s" s="11">
        <v>122</v>
      </c>
      <c r="D124" s="12">
        <v>45555</v>
      </c>
      <c r="E124" t="s" s="13">
        <v>250</v>
      </c>
      <c r="F124" t="s" s="13">
        <v>251</v>
      </c>
      <c r="G124" s="14">
        <v>2</v>
      </c>
      <c r="H124" s="15">
        <v>799.99</v>
      </c>
      <c r="I124" s="15">
        <v>1599.98</v>
      </c>
    </row>
    <row r="125" ht="12.9" customHeight="1">
      <c r="B125" t="s" s="10">
        <v>252</v>
      </c>
      <c r="C125" t="s" s="11">
        <v>253</v>
      </c>
      <c r="D125" s="12">
        <v>45555</v>
      </c>
      <c r="E125" t="s" s="13">
        <v>254</v>
      </c>
      <c r="F125" t="s" s="13">
        <v>255</v>
      </c>
      <c r="G125" s="14">
        <v>1</v>
      </c>
      <c r="H125" s="15">
        <v>90</v>
      </c>
      <c r="I125" s="15">
        <v>90</v>
      </c>
    </row>
    <row r="126" ht="12.9" customHeight="1">
      <c r="B126" t="s" s="10">
        <v>252</v>
      </c>
      <c r="C126" t="s" s="11">
        <v>253</v>
      </c>
      <c r="D126" s="12">
        <v>45555</v>
      </c>
      <c r="E126" t="s" s="13">
        <v>256</v>
      </c>
      <c r="F126" t="s" s="13">
        <v>257</v>
      </c>
      <c r="G126" s="14">
        <v>2</v>
      </c>
      <c r="H126" s="15">
        <v>28.5</v>
      </c>
      <c r="I126" s="15">
        <v>57</v>
      </c>
    </row>
    <row r="127" ht="12.9" customHeight="1">
      <c r="B127" t="s" s="10">
        <v>252</v>
      </c>
      <c r="C127" t="s" s="11">
        <v>253</v>
      </c>
      <c r="D127" s="12">
        <v>45555</v>
      </c>
      <c r="E127" t="s" s="13">
        <v>258</v>
      </c>
      <c r="F127" t="s" s="13">
        <v>259</v>
      </c>
      <c r="G127" s="14">
        <v>2</v>
      </c>
      <c r="H127" s="15">
        <v>0</v>
      </c>
      <c r="I127" s="15">
        <v>0</v>
      </c>
    </row>
    <row r="128" ht="12.9" customHeight="1">
      <c r="B128" t="s" s="10">
        <v>252</v>
      </c>
      <c r="C128" t="s" s="11">
        <v>253</v>
      </c>
      <c r="D128" s="12">
        <v>45555</v>
      </c>
      <c r="E128" t="s" s="13">
        <v>260</v>
      </c>
      <c r="F128" t="s" s="13">
        <v>261</v>
      </c>
      <c r="G128" s="14">
        <v>1</v>
      </c>
      <c r="H128" s="15">
        <v>0</v>
      </c>
      <c r="I128" s="15">
        <v>0</v>
      </c>
    </row>
    <row r="129" ht="12.9" customHeight="1">
      <c r="B129" t="s" s="10">
        <v>252</v>
      </c>
      <c r="C129" t="s" s="11">
        <v>253</v>
      </c>
      <c r="D129" s="12">
        <v>45555</v>
      </c>
      <c r="E129" t="s" s="13">
        <v>262</v>
      </c>
      <c r="F129" t="s" s="13">
        <v>263</v>
      </c>
      <c r="G129" s="14">
        <v>2</v>
      </c>
      <c r="H129" s="15">
        <v>0</v>
      </c>
      <c r="I129" s="15">
        <v>0</v>
      </c>
    </row>
    <row r="130" ht="12.9" customHeight="1">
      <c r="B130" t="s" s="10">
        <v>252</v>
      </c>
      <c r="C130" t="s" s="11">
        <v>253</v>
      </c>
      <c r="D130" s="12">
        <v>45555</v>
      </c>
      <c r="E130" t="s" s="13">
        <v>264</v>
      </c>
      <c r="F130" t="s" s="13">
        <v>265</v>
      </c>
      <c r="G130" s="14">
        <v>2</v>
      </c>
      <c r="H130" s="15">
        <v>0</v>
      </c>
      <c r="I130" s="15">
        <v>0</v>
      </c>
    </row>
    <row r="131" ht="12.9" customHeight="1">
      <c r="B131" t="s" s="10">
        <v>252</v>
      </c>
      <c r="C131" t="s" s="11">
        <v>253</v>
      </c>
      <c r="D131" s="12">
        <v>45555</v>
      </c>
      <c r="E131" t="s" s="13">
        <v>266</v>
      </c>
      <c r="F131" t="s" s="13">
        <v>267</v>
      </c>
      <c r="G131" s="14">
        <v>10</v>
      </c>
      <c r="H131" s="15">
        <v>0</v>
      </c>
      <c r="I131" s="15">
        <v>0</v>
      </c>
    </row>
    <row r="132" ht="12.9" customHeight="1">
      <c r="B132" t="s" s="10">
        <v>268</v>
      </c>
      <c r="C132" t="s" s="11">
        <v>269</v>
      </c>
      <c r="D132" s="12">
        <v>45554.922034849536</v>
      </c>
      <c r="E132" t="s" s="13">
        <v>19</v>
      </c>
      <c r="F132" t="s" s="13">
        <v>20</v>
      </c>
      <c r="G132" s="14">
        <v>2</v>
      </c>
      <c r="H132" s="15">
        <v>119.99</v>
      </c>
      <c r="I132" s="15">
        <v>239.98</v>
      </c>
    </row>
    <row r="133" ht="12.9" customHeight="1">
      <c r="B133" t="s" s="10">
        <v>270</v>
      </c>
      <c r="C133" t="s" s="11">
        <v>271</v>
      </c>
      <c r="D133" s="12">
        <v>45554.864608472220</v>
      </c>
      <c r="E133" t="s" s="13">
        <v>27</v>
      </c>
      <c r="F133" t="s" s="13">
        <v>28</v>
      </c>
      <c r="G133" s="14">
        <v>2</v>
      </c>
      <c r="H133" s="15">
        <v>79.98999999999999</v>
      </c>
      <c r="I133" s="15">
        <v>159.98</v>
      </c>
    </row>
    <row r="134" ht="12.9" customHeight="1">
      <c r="B134" t="s" s="10">
        <v>272</v>
      </c>
      <c r="C134" t="s" s="11">
        <v>273</v>
      </c>
      <c r="D134" s="12">
        <v>45554.828374849538</v>
      </c>
      <c r="E134" t="s" s="13">
        <v>95</v>
      </c>
      <c r="F134" t="s" s="13">
        <v>12</v>
      </c>
      <c r="G134" s="14">
        <v>2</v>
      </c>
      <c r="H134" s="15">
        <v>349.99</v>
      </c>
      <c r="I134" s="15">
        <v>699.98</v>
      </c>
    </row>
    <row r="135" ht="12.9" customHeight="1">
      <c r="B135" t="s" s="10">
        <v>274</v>
      </c>
      <c r="C135" t="s" s="11">
        <v>275</v>
      </c>
      <c r="D135" s="12">
        <v>45554.7891822801</v>
      </c>
      <c r="E135" t="s" s="13">
        <v>11</v>
      </c>
      <c r="F135" t="s" s="13">
        <v>12</v>
      </c>
      <c r="G135" s="14">
        <v>1</v>
      </c>
      <c r="H135" s="15">
        <v>387.49</v>
      </c>
      <c r="I135" s="15">
        <v>387.49</v>
      </c>
    </row>
    <row r="136" ht="12.9" customHeight="1">
      <c r="B136" t="s" s="10">
        <v>274</v>
      </c>
      <c r="C136" t="s" s="11">
        <v>275</v>
      </c>
      <c r="D136" s="12">
        <v>45554.7891822801</v>
      </c>
      <c r="E136" t="s" s="13">
        <v>139</v>
      </c>
      <c r="F136" t="s" s="13">
        <v>140</v>
      </c>
      <c r="G136" s="14">
        <v>1</v>
      </c>
      <c r="H136" s="15">
        <v>37.49</v>
      </c>
      <c r="I136" s="15">
        <v>37.49</v>
      </c>
    </row>
    <row r="137" ht="12.9" customHeight="1">
      <c r="B137" t="s" s="10">
        <v>276</v>
      </c>
      <c r="C137" t="s" s="11">
        <v>277</v>
      </c>
      <c r="D137" s="12">
        <v>45554.169264699070</v>
      </c>
      <c r="E137" t="s" s="13">
        <v>27</v>
      </c>
      <c r="F137" t="s" s="13">
        <v>28</v>
      </c>
      <c r="G137" s="14">
        <v>1</v>
      </c>
      <c r="H137" s="15">
        <v>79.98999999999999</v>
      </c>
      <c r="I137" s="15">
        <v>79.98999999999999</v>
      </c>
    </row>
    <row r="138" ht="12.9" customHeight="1">
      <c r="B138" t="s" s="10">
        <v>278</v>
      </c>
      <c r="C138" t="s" s="11">
        <v>279</v>
      </c>
      <c r="D138" s="12">
        <v>45554.1353624537</v>
      </c>
      <c r="E138" t="s" s="13">
        <v>31</v>
      </c>
      <c r="F138" t="s" s="13">
        <v>32</v>
      </c>
      <c r="G138" s="14">
        <v>1</v>
      </c>
      <c r="H138" s="15">
        <v>599.99</v>
      </c>
      <c r="I138" s="15">
        <v>599.99</v>
      </c>
    </row>
    <row r="139" ht="12.9" customHeight="1">
      <c r="B139" t="s" s="10">
        <v>280</v>
      </c>
      <c r="C139" t="s" s="11">
        <v>281</v>
      </c>
      <c r="D139" s="12">
        <v>45554.071974270832</v>
      </c>
      <c r="E139" t="s" s="13">
        <v>35</v>
      </c>
      <c r="F139" t="s" s="13">
        <v>36</v>
      </c>
      <c r="G139" s="14">
        <v>1</v>
      </c>
      <c r="H139" s="15">
        <v>49.99</v>
      </c>
      <c r="I139" s="15">
        <v>49.99</v>
      </c>
    </row>
    <row r="140" ht="12.9" customHeight="1">
      <c r="B140" t="s" s="10">
        <v>282</v>
      </c>
      <c r="C140" t="s" s="11">
        <v>283</v>
      </c>
      <c r="D140" s="12">
        <v>45553.933966689816</v>
      </c>
      <c r="E140" t="s" s="13">
        <v>139</v>
      </c>
      <c r="F140" t="s" s="13">
        <v>140</v>
      </c>
      <c r="G140" s="14">
        <v>1</v>
      </c>
      <c r="H140" s="15">
        <v>49.99</v>
      </c>
      <c r="I140" s="15">
        <v>49.99</v>
      </c>
    </row>
    <row r="141" ht="12.9" customHeight="1">
      <c r="B141" t="s" s="10">
        <v>284</v>
      </c>
      <c r="C141" t="s" s="11">
        <v>285</v>
      </c>
      <c r="D141" s="12">
        <v>45553.919350289354</v>
      </c>
      <c r="E141" t="s" s="13">
        <v>11</v>
      </c>
      <c r="F141" t="s" s="13">
        <v>12</v>
      </c>
      <c r="G141" s="14">
        <v>2</v>
      </c>
      <c r="H141" s="15">
        <v>399.99</v>
      </c>
      <c r="I141" s="15">
        <v>799.98</v>
      </c>
    </row>
    <row r="142" ht="12.9" customHeight="1">
      <c r="B142" t="s" s="10">
        <v>286</v>
      </c>
      <c r="C142" t="s" s="11">
        <v>287</v>
      </c>
      <c r="D142" s="12">
        <v>45553.871276504629</v>
      </c>
      <c r="E142" t="s" s="13">
        <v>81</v>
      </c>
      <c r="F142" t="s" s="13">
        <v>82</v>
      </c>
      <c r="G142" s="14">
        <v>2</v>
      </c>
      <c r="H142" s="15">
        <v>849.99</v>
      </c>
      <c r="I142" s="15">
        <v>1699.98</v>
      </c>
    </row>
    <row r="143" ht="12.9" customHeight="1">
      <c r="B143" t="s" s="10">
        <v>286</v>
      </c>
      <c r="C143" t="s" s="11">
        <v>287</v>
      </c>
      <c r="D143" s="12">
        <v>45553.871276504629</v>
      </c>
      <c r="E143" t="s" s="13">
        <v>23</v>
      </c>
      <c r="F143" t="s" s="13">
        <v>24</v>
      </c>
      <c r="G143" s="14">
        <v>2</v>
      </c>
      <c r="H143" s="15">
        <v>0</v>
      </c>
      <c r="I143" s="15">
        <v>0</v>
      </c>
    </row>
    <row r="144" ht="12.9" customHeight="1">
      <c r="B144" t="s" s="10">
        <v>286</v>
      </c>
      <c r="C144" t="s" s="11">
        <v>287</v>
      </c>
      <c r="D144" s="12">
        <v>45553.871276504629</v>
      </c>
      <c r="E144" t="s" s="13">
        <v>50</v>
      </c>
      <c r="F144" t="s" s="13">
        <v>83</v>
      </c>
      <c r="G144" s="14">
        <v>2</v>
      </c>
      <c r="H144" s="15">
        <v>0</v>
      </c>
      <c r="I144" s="15">
        <v>0</v>
      </c>
    </row>
    <row r="145" ht="12.9" customHeight="1">
      <c r="B145" t="s" s="10">
        <v>286</v>
      </c>
      <c r="C145" t="s" s="11">
        <v>287</v>
      </c>
      <c r="D145" s="12">
        <v>45553.871276504629</v>
      </c>
      <c r="E145" t="s" s="13">
        <v>84</v>
      </c>
      <c r="F145" t="s" s="13">
        <v>85</v>
      </c>
      <c r="G145" s="14">
        <v>2</v>
      </c>
      <c r="H145" s="15">
        <v>0</v>
      </c>
      <c r="I145" s="15">
        <v>0</v>
      </c>
    </row>
    <row r="146" ht="12.9" customHeight="1">
      <c r="B146" t="s" s="10">
        <v>286</v>
      </c>
      <c r="C146" t="s" s="11">
        <v>287</v>
      </c>
      <c r="D146" s="12">
        <v>45553.871276504629</v>
      </c>
      <c r="E146" t="s" s="13">
        <v>73</v>
      </c>
      <c r="F146" t="s" s="13">
        <v>74</v>
      </c>
      <c r="G146" s="14">
        <v>1</v>
      </c>
      <c r="H146" s="15">
        <v>399.99</v>
      </c>
      <c r="I146" s="15">
        <v>399.99</v>
      </c>
    </row>
    <row r="147" ht="12.9" customHeight="1">
      <c r="B147" t="s" s="10">
        <v>286</v>
      </c>
      <c r="C147" t="s" s="11">
        <v>287</v>
      </c>
      <c r="D147" s="12">
        <v>45553.871276504629</v>
      </c>
      <c r="E147" t="s" s="13">
        <v>139</v>
      </c>
      <c r="F147" t="s" s="13">
        <v>140</v>
      </c>
      <c r="G147" s="14">
        <v>1</v>
      </c>
      <c r="H147" s="15">
        <v>49.99</v>
      </c>
      <c r="I147" s="15">
        <v>49.99</v>
      </c>
    </row>
    <row r="148" ht="12.9" customHeight="1">
      <c r="B148" t="s" s="10">
        <v>286</v>
      </c>
      <c r="C148" t="s" s="11">
        <v>287</v>
      </c>
      <c r="D148" s="12">
        <v>45553.871276504629</v>
      </c>
      <c r="E148" t="s" s="13">
        <v>146</v>
      </c>
      <c r="F148" t="s" s="13">
        <v>147</v>
      </c>
      <c r="G148" s="14">
        <v>2</v>
      </c>
      <c r="H148" s="15">
        <v>19.99</v>
      </c>
      <c r="I148" s="15">
        <v>39.98</v>
      </c>
    </row>
    <row r="149" ht="12.9" customHeight="1">
      <c r="B149" t="s" s="10">
        <v>286</v>
      </c>
      <c r="C149" t="s" s="11">
        <v>287</v>
      </c>
      <c r="D149" s="12">
        <v>45553.871276504629</v>
      </c>
      <c r="E149" t="s" s="13">
        <v>89</v>
      </c>
      <c r="F149" t="s" s="13">
        <v>90</v>
      </c>
      <c r="G149" s="14">
        <v>1</v>
      </c>
      <c r="H149" s="15">
        <v>59.99</v>
      </c>
      <c r="I149" s="15">
        <v>59.99</v>
      </c>
    </row>
    <row r="150" ht="12.9" customHeight="1">
      <c r="B150" t="s" s="10">
        <v>286</v>
      </c>
      <c r="C150" t="s" s="11">
        <v>287</v>
      </c>
      <c r="D150" s="12">
        <v>45553.871276504629</v>
      </c>
      <c r="E150" t="s" s="13">
        <v>27</v>
      </c>
      <c r="F150" t="s" s="13">
        <v>28</v>
      </c>
      <c r="G150" s="14">
        <v>1</v>
      </c>
      <c r="H150" s="15">
        <v>79.98999999999999</v>
      </c>
      <c r="I150" s="15">
        <v>79.98999999999999</v>
      </c>
    </row>
    <row r="151" ht="12.9" customHeight="1">
      <c r="B151" t="s" s="10">
        <v>288</v>
      </c>
      <c r="C151" t="s" s="11">
        <v>289</v>
      </c>
      <c r="D151" s="12">
        <v>45553.824816805558</v>
      </c>
      <c r="E151" t="s" s="13">
        <v>95</v>
      </c>
      <c r="F151" t="s" s="13">
        <v>12</v>
      </c>
      <c r="G151" s="14">
        <v>1</v>
      </c>
      <c r="H151" s="15">
        <v>349.99</v>
      </c>
      <c r="I151" s="15">
        <v>349.99</v>
      </c>
    </row>
    <row r="152" ht="12.9" customHeight="1">
      <c r="B152" t="s" s="10">
        <v>290</v>
      </c>
      <c r="C152" t="s" s="11">
        <v>291</v>
      </c>
      <c r="D152" s="12">
        <v>45553.786578402774</v>
      </c>
      <c r="E152" t="s" s="13">
        <v>19</v>
      </c>
      <c r="F152" t="s" s="13">
        <v>20</v>
      </c>
      <c r="G152" s="14">
        <v>2</v>
      </c>
      <c r="H152" s="15">
        <v>119.99</v>
      </c>
      <c r="I152" s="15">
        <v>239.98</v>
      </c>
    </row>
    <row r="153" ht="12.9" customHeight="1">
      <c r="B153" t="s" s="10">
        <v>290</v>
      </c>
      <c r="C153" t="s" s="11">
        <v>291</v>
      </c>
      <c r="D153" s="12">
        <v>45553.786578402774</v>
      </c>
      <c r="E153" t="s" s="13">
        <v>15</v>
      </c>
      <c r="F153" t="s" s="13">
        <v>16</v>
      </c>
      <c r="G153" s="14">
        <v>1</v>
      </c>
      <c r="H153" s="15">
        <v>9.99</v>
      </c>
      <c r="I153" s="15">
        <v>9.99</v>
      </c>
    </row>
    <row r="154" ht="12.9" customHeight="1">
      <c r="B154" t="s" s="10">
        <v>290</v>
      </c>
      <c r="C154" t="s" s="11">
        <v>291</v>
      </c>
      <c r="D154" s="12">
        <v>45553.786578402774</v>
      </c>
      <c r="E154" t="s" s="13">
        <v>115</v>
      </c>
      <c r="F154" t="s" s="13">
        <v>116</v>
      </c>
      <c r="G154" s="14">
        <v>1</v>
      </c>
      <c r="H154" s="15">
        <v>22.99</v>
      </c>
      <c r="I154" s="15">
        <v>22.99</v>
      </c>
    </row>
    <row r="155" ht="12.9" customHeight="1">
      <c r="B155" t="s" s="10">
        <v>292</v>
      </c>
      <c r="C155" t="s" s="11">
        <v>293</v>
      </c>
      <c r="D155" s="12">
        <v>45553.761667395833</v>
      </c>
      <c r="E155" t="s" s="13">
        <v>171</v>
      </c>
      <c r="F155" t="s" s="13">
        <v>172</v>
      </c>
      <c r="G155" s="14">
        <v>2</v>
      </c>
      <c r="H155" s="15">
        <v>549.99</v>
      </c>
      <c r="I155" s="15">
        <v>1099.98</v>
      </c>
    </row>
    <row r="156" ht="12.9" customHeight="1">
      <c r="B156" t="s" s="10">
        <v>292</v>
      </c>
      <c r="C156" t="s" s="11">
        <v>293</v>
      </c>
      <c r="D156" s="12">
        <v>45553.761667395833</v>
      </c>
      <c r="E156" t="s" s="13">
        <v>35</v>
      </c>
      <c r="F156" t="s" s="13">
        <v>36</v>
      </c>
      <c r="G156" s="14">
        <v>2</v>
      </c>
      <c r="H156" s="15">
        <v>39.99</v>
      </c>
      <c r="I156" s="15">
        <v>79.98</v>
      </c>
    </row>
    <row r="157" ht="12.9" customHeight="1">
      <c r="B157" t="s" s="10">
        <v>294</v>
      </c>
      <c r="C157" t="s" s="11">
        <v>295</v>
      </c>
      <c r="D157" s="12">
        <v>45553.741962546294</v>
      </c>
      <c r="E157" t="s" s="13">
        <v>31</v>
      </c>
      <c r="F157" t="s" s="13">
        <v>32</v>
      </c>
      <c r="G157" s="14">
        <v>1</v>
      </c>
      <c r="H157" s="15">
        <v>599.99</v>
      </c>
      <c r="I157" s="15">
        <v>599.99</v>
      </c>
    </row>
    <row r="158" ht="12.9" customHeight="1">
      <c r="B158" t="s" s="10">
        <v>294</v>
      </c>
      <c r="C158" t="s" s="11">
        <v>295</v>
      </c>
      <c r="D158" s="12">
        <v>45553.741962546294</v>
      </c>
      <c r="E158" t="s" s="13">
        <v>89</v>
      </c>
      <c r="F158" t="s" s="13">
        <v>90</v>
      </c>
      <c r="G158" s="14">
        <v>1</v>
      </c>
      <c r="H158" s="15">
        <v>59.99</v>
      </c>
      <c r="I158" s="15">
        <v>59.99</v>
      </c>
    </row>
    <row r="159" ht="12.9" customHeight="1">
      <c r="B159" t="s" s="10">
        <v>296</v>
      </c>
      <c r="C159" t="s" s="11">
        <v>216</v>
      </c>
      <c r="D159" s="12">
        <v>45553.715860486111</v>
      </c>
      <c r="E159" t="s" s="13">
        <v>239</v>
      </c>
      <c r="F159" t="s" s="13">
        <v>240</v>
      </c>
      <c r="G159" s="14">
        <v>1</v>
      </c>
      <c r="H159" s="15">
        <v>99.98999999999999</v>
      </c>
      <c r="I159" s="15">
        <v>99.98999999999999</v>
      </c>
    </row>
    <row r="160" ht="12.9" customHeight="1">
      <c r="B160" t="s" s="10">
        <v>296</v>
      </c>
      <c r="C160" t="s" s="11">
        <v>216</v>
      </c>
      <c r="D160" s="12">
        <v>45553.715860486111</v>
      </c>
      <c r="E160" t="s" s="13">
        <v>77</v>
      </c>
      <c r="F160" t="s" s="13">
        <v>78</v>
      </c>
      <c r="G160" s="14">
        <v>1</v>
      </c>
      <c r="H160" s="15">
        <v>19.99</v>
      </c>
      <c r="I160" s="15">
        <v>19.99</v>
      </c>
    </row>
    <row r="161" ht="12.9" customHeight="1">
      <c r="B161" t="s" s="10">
        <v>297</v>
      </c>
      <c r="C161" t="s" s="11">
        <v>298</v>
      </c>
      <c r="D161" s="12">
        <v>45553</v>
      </c>
      <c r="E161" t="s" s="13">
        <v>123</v>
      </c>
      <c r="F161" t="s" s="13">
        <v>124</v>
      </c>
      <c r="G161" s="14">
        <v>6</v>
      </c>
      <c r="H161" s="15">
        <v>179.99</v>
      </c>
      <c r="I161" s="15">
        <v>1079.94</v>
      </c>
    </row>
    <row r="162" ht="12.9" customHeight="1">
      <c r="B162" t="s" s="10">
        <v>297</v>
      </c>
      <c r="C162" t="s" s="11">
        <v>298</v>
      </c>
      <c r="D162" s="12">
        <v>45553</v>
      </c>
      <c r="E162" t="s" s="13">
        <v>299</v>
      </c>
      <c r="F162" t="s" s="13">
        <v>300</v>
      </c>
      <c r="G162" s="14">
        <v>36</v>
      </c>
      <c r="H162" s="15">
        <v>69.98999999999999</v>
      </c>
      <c r="I162" s="15">
        <v>2519.64</v>
      </c>
    </row>
    <row r="163" ht="12.9" customHeight="1">
      <c r="B163" t="s" s="10">
        <v>297</v>
      </c>
      <c r="C163" t="s" s="11">
        <v>298</v>
      </c>
      <c r="D163" s="12">
        <v>45553</v>
      </c>
      <c r="E163" t="s" s="13">
        <v>301</v>
      </c>
      <c r="F163" t="s" s="13">
        <v>302</v>
      </c>
      <c r="G163" s="14">
        <v>12</v>
      </c>
      <c r="H163" s="15">
        <v>14.99</v>
      </c>
      <c r="I163" s="15">
        <v>179.88</v>
      </c>
    </row>
    <row r="164" ht="12.9" customHeight="1">
      <c r="B164" t="s" s="10">
        <v>303</v>
      </c>
      <c r="C164" t="s" s="11">
        <v>216</v>
      </c>
      <c r="D164" s="12">
        <v>45553</v>
      </c>
      <c r="E164" t="s" s="13">
        <v>54</v>
      </c>
      <c r="F164" t="s" s="13">
        <v>93</v>
      </c>
      <c r="G164" s="14">
        <v>3</v>
      </c>
      <c r="H164" s="15">
        <v>9.99</v>
      </c>
      <c r="I164" s="15">
        <v>29.97</v>
      </c>
    </row>
    <row r="165" ht="12.9" customHeight="1">
      <c r="B165" t="s" s="10">
        <v>304</v>
      </c>
      <c r="C165" t="s" s="11">
        <v>305</v>
      </c>
      <c r="D165" s="12">
        <v>45552.986667754631</v>
      </c>
      <c r="E165" t="s" s="13">
        <v>11</v>
      </c>
      <c r="F165" t="s" s="13">
        <v>12</v>
      </c>
      <c r="G165" s="14">
        <v>1</v>
      </c>
      <c r="H165" s="15">
        <v>399.99</v>
      </c>
      <c r="I165" s="15">
        <v>399.99</v>
      </c>
    </row>
    <row r="166" ht="12.9" customHeight="1">
      <c r="B166" t="s" s="10">
        <v>306</v>
      </c>
      <c r="C166" t="s" s="11">
        <v>307</v>
      </c>
      <c r="D166" s="12">
        <v>45552.894393912036</v>
      </c>
      <c r="E166" t="s" s="13">
        <v>59</v>
      </c>
      <c r="F166" t="s" s="13">
        <v>60</v>
      </c>
      <c r="G166" s="14">
        <v>1</v>
      </c>
      <c r="H166" s="15">
        <v>1199.99</v>
      </c>
      <c r="I166" s="15">
        <v>1199.99</v>
      </c>
    </row>
    <row r="167" ht="12.9" customHeight="1">
      <c r="B167" t="s" s="10">
        <v>308</v>
      </c>
      <c r="C167" t="s" s="11">
        <v>309</v>
      </c>
      <c r="D167" s="12">
        <v>45552.844057824077</v>
      </c>
      <c r="E167" t="s" s="13">
        <v>23</v>
      </c>
      <c r="F167" t="s" s="13">
        <v>24</v>
      </c>
      <c r="G167" s="14">
        <v>2</v>
      </c>
      <c r="H167" s="15">
        <v>149.99</v>
      </c>
      <c r="I167" s="15">
        <v>299.98</v>
      </c>
    </row>
    <row r="168" ht="12.9" customHeight="1">
      <c r="B168" t="s" s="10">
        <v>310</v>
      </c>
      <c r="C168" t="s" s="11">
        <v>311</v>
      </c>
      <c r="D168" s="12">
        <v>45552.716724120372</v>
      </c>
      <c r="E168" t="s" s="13">
        <v>27</v>
      </c>
      <c r="F168" t="s" s="13">
        <v>28</v>
      </c>
      <c r="G168" s="14">
        <v>1</v>
      </c>
      <c r="H168" s="15">
        <v>79.98999999999999</v>
      </c>
      <c r="I168" s="15">
        <v>79.98999999999999</v>
      </c>
    </row>
    <row r="169" ht="12.9" customHeight="1">
      <c r="B169" t="s" s="10">
        <v>312</v>
      </c>
      <c r="C169" t="s" s="11">
        <v>313</v>
      </c>
      <c r="D169" s="12">
        <v>45552.714781134258</v>
      </c>
      <c r="E169" t="s" s="13">
        <v>19</v>
      </c>
      <c r="F169" t="s" s="13">
        <v>20</v>
      </c>
      <c r="G169" s="14">
        <v>5</v>
      </c>
      <c r="H169" s="15">
        <v>119.99</v>
      </c>
      <c r="I169" s="15">
        <v>599.95</v>
      </c>
    </row>
    <row r="170" ht="12.9" customHeight="1">
      <c r="B170" t="s" s="10">
        <v>314</v>
      </c>
      <c r="C170" t="s" s="11">
        <v>42</v>
      </c>
      <c r="D170" s="12">
        <v>45552.671964930552</v>
      </c>
      <c r="E170" t="s" s="13">
        <v>63</v>
      </c>
      <c r="F170" s="16"/>
      <c r="G170" s="14">
        <v>1</v>
      </c>
      <c r="H170" s="15">
        <v>15</v>
      </c>
      <c r="I170" s="15">
        <v>15</v>
      </c>
    </row>
    <row r="171" ht="12.9" customHeight="1">
      <c r="B171" t="s" s="10">
        <v>314</v>
      </c>
      <c r="C171" t="s" s="11">
        <v>42</v>
      </c>
      <c r="D171" s="12">
        <v>45552.671964930552</v>
      </c>
      <c r="E171" t="s" s="13">
        <v>315</v>
      </c>
      <c r="F171" t="s" s="13">
        <v>316</v>
      </c>
      <c r="G171" s="14">
        <v>6</v>
      </c>
      <c r="H171" s="15">
        <v>0.375</v>
      </c>
      <c r="I171" s="15">
        <v>2.25</v>
      </c>
    </row>
    <row r="172" ht="12.9" customHeight="1">
      <c r="B172" t="s" s="10">
        <v>314</v>
      </c>
      <c r="C172" t="s" s="11">
        <v>42</v>
      </c>
      <c r="D172" s="12">
        <v>45552.671964930552</v>
      </c>
      <c r="E172" t="s" s="13">
        <v>317</v>
      </c>
      <c r="F172" t="s" s="13">
        <v>318</v>
      </c>
      <c r="G172" s="14">
        <v>6</v>
      </c>
      <c r="H172" s="15">
        <v>37.4925</v>
      </c>
      <c r="I172" s="15">
        <v>224.955</v>
      </c>
    </row>
    <row r="173" ht="12.9" customHeight="1">
      <c r="B173" t="s" s="10">
        <v>319</v>
      </c>
      <c r="C173" t="s" s="11">
        <v>320</v>
      </c>
      <c r="D173" s="12">
        <v>45552.595472222223</v>
      </c>
      <c r="E173" t="s" s="13">
        <v>52</v>
      </c>
      <c r="F173" t="s" s="13">
        <v>321</v>
      </c>
      <c r="G173" s="14">
        <v>4</v>
      </c>
      <c r="H173" s="15">
        <v>19.99</v>
      </c>
      <c r="I173" s="15">
        <v>79.95999999999999</v>
      </c>
    </row>
    <row r="174" ht="12.9" customHeight="1">
      <c r="B174" t="s" s="10">
        <v>322</v>
      </c>
      <c r="C174" t="s" s="11">
        <v>323</v>
      </c>
      <c r="D174" s="12">
        <v>45552.109456284721</v>
      </c>
      <c r="E174" t="s" s="13">
        <v>73</v>
      </c>
      <c r="F174" t="s" s="13">
        <v>74</v>
      </c>
      <c r="G174" s="14">
        <v>1</v>
      </c>
      <c r="H174" s="15">
        <v>399.99</v>
      </c>
      <c r="I174" s="15">
        <v>399.99</v>
      </c>
    </row>
    <row r="175" ht="12.9" customHeight="1">
      <c r="B175" t="s" s="10">
        <v>322</v>
      </c>
      <c r="C175" t="s" s="11">
        <v>323</v>
      </c>
      <c r="D175" s="12">
        <v>45552.109456284721</v>
      </c>
      <c r="E175" t="s" s="13">
        <v>89</v>
      </c>
      <c r="F175" t="s" s="13">
        <v>90</v>
      </c>
      <c r="G175" s="14">
        <v>2</v>
      </c>
      <c r="H175" s="15">
        <v>59.99</v>
      </c>
      <c r="I175" s="15">
        <v>119.98</v>
      </c>
    </row>
    <row r="176" ht="12.9" customHeight="1">
      <c r="B176" t="s" s="10">
        <v>324</v>
      </c>
      <c r="C176" t="s" s="11">
        <v>325</v>
      </c>
      <c r="D176" s="12">
        <v>45552.044723009261</v>
      </c>
      <c r="E176" t="s" s="13">
        <v>89</v>
      </c>
      <c r="F176" t="s" s="13">
        <v>90</v>
      </c>
      <c r="G176" s="14">
        <v>1</v>
      </c>
      <c r="H176" s="15">
        <v>47.49</v>
      </c>
      <c r="I176" s="15">
        <v>47.49</v>
      </c>
    </row>
    <row r="177" ht="12.9" customHeight="1">
      <c r="B177" t="s" s="10">
        <v>324</v>
      </c>
      <c r="C177" t="s" s="11">
        <v>325</v>
      </c>
      <c r="D177" s="12">
        <v>45552.044723009261</v>
      </c>
      <c r="E177" t="s" s="13">
        <v>133</v>
      </c>
      <c r="F177" t="s" s="13">
        <v>134</v>
      </c>
      <c r="G177" s="14">
        <v>1</v>
      </c>
      <c r="H177" s="15">
        <v>187.49</v>
      </c>
      <c r="I177" s="15">
        <v>187.49</v>
      </c>
    </row>
    <row r="178" ht="12.9" customHeight="1">
      <c r="B178" t="s" s="10">
        <v>326</v>
      </c>
      <c r="C178" t="s" s="11">
        <v>69</v>
      </c>
      <c r="D178" s="12">
        <v>45552</v>
      </c>
      <c r="E178" t="s" s="13">
        <v>43</v>
      </c>
      <c r="F178" t="s" s="13">
        <v>327</v>
      </c>
      <c r="G178" s="14">
        <v>1</v>
      </c>
      <c r="H178" s="15">
        <v>0</v>
      </c>
      <c r="I178" s="15">
        <v>0</v>
      </c>
    </row>
    <row r="179" ht="12.9" customHeight="1">
      <c r="B179" t="s" s="10">
        <v>328</v>
      </c>
      <c r="C179" t="s" s="11">
        <v>329</v>
      </c>
      <c r="D179" s="12">
        <v>45552</v>
      </c>
      <c r="E179" t="s" s="13">
        <v>47</v>
      </c>
      <c r="F179" s="16"/>
      <c r="G179" s="14">
        <v>1</v>
      </c>
      <c r="H179" s="15">
        <v>164.5</v>
      </c>
      <c r="I179" s="15">
        <v>164.5</v>
      </c>
    </row>
    <row r="180" ht="12.9" customHeight="1">
      <c r="B180" t="s" s="10">
        <v>328</v>
      </c>
      <c r="C180" t="s" s="11">
        <v>329</v>
      </c>
      <c r="D180" s="12">
        <v>45552</v>
      </c>
      <c r="E180" t="s" s="13">
        <v>81</v>
      </c>
      <c r="F180" t="s" s="13">
        <v>82</v>
      </c>
      <c r="G180" s="14">
        <v>4</v>
      </c>
      <c r="H180" s="15">
        <v>637.4924999999999</v>
      </c>
      <c r="I180" s="15">
        <v>2549.97</v>
      </c>
    </row>
    <row r="181" ht="12.9" customHeight="1">
      <c r="B181" t="s" s="10">
        <v>328</v>
      </c>
      <c r="C181" t="s" s="11">
        <v>329</v>
      </c>
      <c r="D181" s="12">
        <v>45552</v>
      </c>
      <c r="E181" t="s" s="13">
        <v>50</v>
      </c>
      <c r="F181" t="s" s="13">
        <v>51</v>
      </c>
      <c r="G181" s="14">
        <v>4</v>
      </c>
      <c r="H181" s="15">
        <v>0</v>
      </c>
      <c r="I181" s="15">
        <v>0</v>
      </c>
    </row>
    <row r="182" ht="12.9" customHeight="1">
      <c r="B182" t="s" s="10">
        <v>328</v>
      </c>
      <c r="C182" t="s" s="11">
        <v>329</v>
      </c>
      <c r="D182" s="12">
        <v>45552</v>
      </c>
      <c r="E182" t="s" s="13">
        <v>23</v>
      </c>
      <c r="F182" t="s" s="13">
        <v>56</v>
      </c>
      <c r="G182" s="14">
        <v>4</v>
      </c>
      <c r="H182" s="15">
        <v>0</v>
      </c>
      <c r="I182" s="15">
        <v>0</v>
      </c>
    </row>
    <row r="183" ht="12.9" customHeight="1">
      <c r="B183" t="s" s="10">
        <v>328</v>
      </c>
      <c r="C183" t="s" s="11">
        <v>329</v>
      </c>
      <c r="D183" s="12">
        <v>45552</v>
      </c>
      <c r="E183" t="s" s="13">
        <v>84</v>
      </c>
      <c r="F183" t="s" s="13">
        <v>330</v>
      </c>
      <c r="G183" s="14">
        <v>4</v>
      </c>
      <c r="H183" s="15">
        <v>0</v>
      </c>
      <c r="I183" s="15">
        <v>0</v>
      </c>
    </row>
    <row r="184" ht="12.9" customHeight="1">
      <c r="B184" t="s" s="10">
        <v>331</v>
      </c>
      <c r="C184" t="s" s="11">
        <v>332</v>
      </c>
      <c r="D184" s="12">
        <v>45552</v>
      </c>
      <c r="E184" t="s" s="13">
        <v>207</v>
      </c>
      <c r="F184" t="s" s="13">
        <v>208</v>
      </c>
      <c r="G184" s="14">
        <v>1</v>
      </c>
      <c r="H184" s="15">
        <v>0</v>
      </c>
      <c r="I184" s="15">
        <v>0</v>
      </c>
    </row>
    <row r="185" ht="12.9" customHeight="1">
      <c r="B185" t="s" s="10">
        <v>333</v>
      </c>
      <c r="C185" t="s" s="11">
        <v>334</v>
      </c>
      <c r="D185" s="12">
        <v>45551.933189930554</v>
      </c>
      <c r="E185" t="s" s="13">
        <v>35</v>
      </c>
      <c r="F185" t="s" s="13">
        <v>36</v>
      </c>
      <c r="G185" s="14">
        <v>10</v>
      </c>
      <c r="H185" s="15">
        <v>49.99</v>
      </c>
      <c r="I185" s="15">
        <v>499.9</v>
      </c>
    </row>
    <row r="186" ht="12.9" customHeight="1">
      <c r="B186" t="s" s="10">
        <v>335</v>
      </c>
      <c r="C186" t="s" s="11">
        <v>336</v>
      </c>
      <c r="D186" s="12">
        <v>45551.778309942129</v>
      </c>
      <c r="E186" t="s" s="13">
        <v>95</v>
      </c>
      <c r="F186" t="s" s="13">
        <v>12</v>
      </c>
      <c r="G186" s="14">
        <v>1</v>
      </c>
      <c r="H186" s="15">
        <v>349.99</v>
      </c>
      <c r="I186" s="15">
        <v>349.99</v>
      </c>
    </row>
    <row r="187" ht="12.9" customHeight="1">
      <c r="B187" t="s" s="10">
        <v>337</v>
      </c>
      <c r="C187" t="s" s="11">
        <v>338</v>
      </c>
      <c r="D187" s="12">
        <v>45551.692760428239</v>
      </c>
      <c r="E187" t="s" s="13">
        <v>225</v>
      </c>
      <c r="F187" t="s" s="13">
        <v>226</v>
      </c>
      <c r="G187" s="14">
        <v>2</v>
      </c>
      <c r="H187" s="15">
        <v>499.99</v>
      </c>
      <c r="I187" s="15">
        <v>999.98</v>
      </c>
    </row>
    <row r="188" ht="12.9" customHeight="1">
      <c r="B188" t="s" s="10">
        <v>337</v>
      </c>
      <c r="C188" t="s" s="11">
        <v>338</v>
      </c>
      <c r="D188" s="12">
        <v>45551.692760428239</v>
      </c>
      <c r="E188" t="s" s="13">
        <v>227</v>
      </c>
      <c r="F188" t="s" s="13">
        <v>228</v>
      </c>
      <c r="G188" s="14">
        <v>2</v>
      </c>
      <c r="H188" s="15">
        <v>0</v>
      </c>
      <c r="I188" s="15">
        <v>0</v>
      </c>
    </row>
    <row r="189" ht="12.9" customHeight="1">
      <c r="B189" t="s" s="10">
        <v>337</v>
      </c>
      <c r="C189" t="s" s="11">
        <v>338</v>
      </c>
      <c r="D189" s="12">
        <v>45551.692760428239</v>
      </c>
      <c r="E189" t="s" s="13">
        <v>23</v>
      </c>
      <c r="F189" t="s" s="13">
        <v>24</v>
      </c>
      <c r="G189" s="14">
        <v>2</v>
      </c>
      <c r="H189" s="15">
        <v>149.99</v>
      </c>
      <c r="I189" s="15">
        <v>299.98</v>
      </c>
    </row>
    <row r="190" ht="12.9" customHeight="1">
      <c r="B190" t="s" s="10">
        <v>337</v>
      </c>
      <c r="C190" t="s" s="11">
        <v>338</v>
      </c>
      <c r="D190" s="12">
        <v>45551.692760428239</v>
      </c>
      <c r="E190" t="s" s="13">
        <v>19</v>
      </c>
      <c r="F190" t="s" s="13">
        <v>20</v>
      </c>
      <c r="G190" s="14">
        <v>2</v>
      </c>
      <c r="H190" s="15">
        <v>119.99</v>
      </c>
      <c r="I190" s="15">
        <v>239.98</v>
      </c>
    </row>
    <row r="191" ht="12.9" customHeight="1">
      <c r="B191" t="s" s="10">
        <v>339</v>
      </c>
      <c r="C191" t="s" s="11">
        <v>340</v>
      </c>
      <c r="D191" s="12">
        <v>45551.678427743056</v>
      </c>
      <c r="E191" t="s" s="13">
        <v>81</v>
      </c>
      <c r="F191" t="s" s="13">
        <v>82</v>
      </c>
      <c r="G191" s="14">
        <v>2</v>
      </c>
      <c r="H191" s="15">
        <v>849.99</v>
      </c>
      <c r="I191" s="15">
        <v>1699.98</v>
      </c>
    </row>
    <row r="192" ht="12.9" customHeight="1">
      <c r="B192" t="s" s="10">
        <v>339</v>
      </c>
      <c r="C192" t="s" s="11">
        <v>340</v>
      </c>
      <c r="D192" s="12">
        <v>45551.678427743056</v>
      </c>
      <c r="E192" t="s" s="13">
        <v>23</v>
      </c>
      <c r="F192" t="s" s="13">
        <v>24</v>
      </c>
      <c r="G192" s="14">
        <v>2</v>
      </c>
      <c r="H192" s="15">
        <v>0</v>
      </c>
      <c r="I192" s="15">
        <v>0</v>
      </c>
    </row>
    <row r="193" ht="12.9" customHeight="1">
      <c r="B193" t="s" s="10">
        <v>339</v>
      </c>
      <c r="C193" t="s" s="11">
        <v>340</v>
      </c>
      <c r="D193" s="12">
        <v>45551.678427743056</v>
      </c>
      <c r="E193" t="s" s="13">
        <v>50</v>
      </c>
      <c r="F193" t="s" s="13">
        <v>83</v>
      </c>
      <c r="G193" s="14">
        <v>2</v>
      </c>
      <c r="H193" s="15">
        <v>0</v>
      </c>
      <c r="I193" s="15">
        <v>0</v>
      </c>
    </row>
    <row r="194" ht="12.9" customHeight="1">
      <c r="B194" t="s" s="10">
        <v>339</v>
      </c>
      <c r="C194" t="s" s="11">
        <v>340</v>
      </c>
      <c r="D194" s="12">
        <v>45551.678427743056</v>
      </c>
      <c r="E194" t="s" s="13">
        <v>84</v>
      </c>
      <c r="F194" t="s" s="13">
        <v>85</v>
      </c>
      <c r="G194" s="14">
        <v>2</v>
      </c>
      <c r="H194" s="15">
        <v>0</v>
      </c>
      <c r="I194" s="15">
        <v>0</v>
      </c>
    </row>
    <row r="195" ht="12.9" customHeight="1">
      <c r="B195" t="s" s="10">
        <v>339</v>
      </c>
      <c r="C195" t="s" s="11">
        <v>340</v>
      </c>
      <c r="D195" s="12">
        <v>45551.678427743056</v>
      </c>
      <c r="E195" t="s" s="13">
        <v>341</v>
      </c>
      <c r="F195" t="s" s="13">
        <v>342</v>
      </c>
      <c r="G195" s="14">
        <v>2</v>
      </c>
      <c r="H195" s="15">
        <v>29.99</v>
      </c>
      <c r="I195" s="15">
        <v>59.98</v>
      </c>
    </row>
    <row r="196" ht="12.9" customHeight="1">
      <c r="B196" t="s" s="10">
        <v>339</v>
      </c>
      <c r="C196" t="s" s="11">
        <v>340</v>
      </c>
      <c r="D196" s="12">
        <v>45551.678427743056</v>
      </c>
      <c r="E196" t="s" s="13">
        <v>35</v>
      </c>
      <c r="F196" t="s" s="13">
        <v>36</v>
      </c>
      <c r="G196" s="14">
        <v>4</v>
      </c>
      <c r="H196" s="15">
        <v>49.99</v>
      </c>
      <c r="I196" s="15">
        <v>199.96</v>
      </c>
    </row>
    <row r="197" ht="12.9" customHeight="1">
      <c r="B197" t="s" s="10">
        <v>339</v>
      </c>
      <c r="C197" t="s" s="11">
        <v>340</v>
      </c>
      <c r="D197" s="12">
        <v>45551.678427743056</v>
      </c>
      <c r="E197" t="s" s="13">
        <v>73</v>
      </c>
      <c r="F197" t="s" s="13">
        <v>74</v>
      </c>
      <c r="G197" s="14">
        <v>1</v>
      </c>
      <c r="H197" s="15">
        <v>399.99</v>
      </c>
      <c r="I197" s="15">
        <v>399.99</v>
      </c>
    </row>
    <row r="198" ht="12.9" customHeight="1">
      <c r="B198" t="s" s="10">
        <v>343</v>
      </c>
      <c r="C198" t="s" s="11">
        <v>344</v>
      </c>
      <c r="D198" s="12">
        <v>45551.677381412039</v>
      </c>
      <c r="E198" t="s" s="13">
        <v>345</v>
      </c>
      <c r="F198" t="s" s="13">
        <v>346</v>
      </c>
      <c r="G198" s="14">
        <v>1</v>
      </c>
      <c r="H198" s="15">
        <v>169.99</v>
      </c>
      <c r="I198" s="15">
        <v>169.99</v>
      </c>
    </row>
    <row r="199" ht="12.9" customHeight="1">
      <c r="B199" t="s" s="10">
        <v>347</v>
      </c>
      <c r="C199" t="s" s="11">
        <v>344</v>
      </c>
      <c r="D199" s="12">
        <v>45551.674856307873</v>
      </c>
      <c r="E199" t="s" s="13">
        <v>31</v>
      </c>
      <c r="F199" t="s" s="13">
        <v>32</v>
      </c>
      <c r="G199" s="14">
        <v>1</v>
      </c>
      <c r="H199" s="15">
        <v>591.65</v>
      </c>
      <c r="I199" s="15">
        <v>591.65</v>
      </c>
    </row>
    <row r="200" ht="12.9" customHeight="1">
      <c r="B200" t="s" s="10">
        <v>347</v>
      </c>
      <c r="C200" t="s" s="11">
        <v>344</v>
      </c>
      <c r="D200" s="12">
        <v>45551.674856307873</v>
      </c>
      <c r="E200" t="s" s="13">
        <v>89</v>
      </c>
      <c r="F200" t="s" s="13">
        <v>90</v>
      </c>
      <c r="G200" s="14">
        <v>1</v>
      </c>
      <c r="H200" s="15">
        <v>51.66</v>
      </c>
      <c r="I200" s="15">
        <v>51.66</v>
      </c>
    </row>
    <row r="201" ht="12.9" customHeight="1">
      <c r="B201" t="s" s="10">
        <v>347</v>
      </c>
      <c r="C201" t="s" s="11">
        <v>344</v>
      </c>
      <c r="D201" s="12">
        <v>45551.674856307873</v>
      </c>
      <c r="E201" t="s" s="13">
        <v>35</v>
      </c>
      <c r="F201" t="s" s="13">
        <v>36</v>
      </c>
      <c r="G201" s="14">
        <v>1</v>
      </c>
      <c r="H201" s="15">
        <v>31.66</v>
      </c>
      <c r="I201" s="15">
        <v>31.66</v>
      </c>
    </row>
    <row r="202" ht="12.9" customHeight="1">
      <c r="B202" t="s" s="10">
        <v>348</v>
      </c>
      <c r="C202" t="s" s="11">
        <v>349</v>
      </c>
      <c r="D202" s="12">
        <v>45551.612088298614</v>
      </c>
      <c r="E202" t="s" s="13">
        <v>73</v>
      </c>
      <c r="F202" t="s" s="13">
        <v>74</v>
      </c>
      <c r="G202" s="14">
        <v>1</v>
      </c>
      <c r="H202" s="15">
        <v>399.99</v>
      </c>
      <c r="I202" s="15">
        <v>399.99</v>
      </c>
    </row>
    <row r="203" ht="12.9" customHeight="1">
      <c r="B203" t="s" s="10">
        <v>350</v>
      </c>
      <c r="C203" t="s" s="11">
        <v>351</v>
      </c>
      <c r="D203" s="12">
        <v>45551.216326550923</v>
      </c>
      <c r="E203" t="s" s="13">
        <v>139</v>
      </c>
      <c r="F203" t="s" s="13">
        <v>140</v>
      </c>
      <c r="G203" s="14">
        <v>1</v>
      </c>
      <c r="H203" s="15">
        <v>49.99</v>
      </c>
      <c r="I203" s="15">
        <v>49.99</v>
      </c>
    </row>
    <row r="204" ht="12.9" customHeight="1">
      <c r="B204" t="s" s="10">
        <v>352</v>
      </c>
      <c r="C204" t="s" s="11">
        <v>353</v>
      </c>
      <c r="D204" s="12">
        <v>45551</v>
      </c>
      <c r="E204" t="s" s="13">
        <v>47</v>
      </c>
      <c r="F204" s="16"/>
      <c r="G204" s="14">
        <v>1</v>
      </c>
      <c r="H204" s="15">
        <v>75.58</v>
      </c>
      <c r="I204" s="15">
        <v>75.58</v>
      </c>
    </row>
    <row r="205" ht="12.9" customHeight="1">
      <c r="B205" t="s" s="10">
        <v>352</v>
      </c>
      <c r="C205" t="s" s="11">
        <v>353</v>
      </c>
      <c r="D205" s="12">
        <v>45551</v>
      </c>
      <c r="E205" t="s" s="13">
        <v>354</v>
      </c>
      <c r="F205" t="s" s="13">
        <v>355</v>
      </c>
      <c r="G205" s="14">
        <v>4</v>
      </c>
      <c r="H205" s="15">
        <v>127.4915</v>
      </c>
      <c r="I205" s="15">
        <v>509.966</v>
      </c>
    </row>
    <row r="206" ht="12.9" customHeight="1">
      <c r="B206" t="s" s="10">
        <v>352</v>
      </c>
      <c r="C206" t="s" s="11">
        <v>353</v>
      </c>
      <c r="D206" s="12">
        <v>45551</v>
      </c>
      <c r="E206" t="s" s="13">
        <v>19</v>
      </c>
      <c r="F206" t="s" s="13">
        <v>20</v>
      </c>
      <c r="G206" s="14">
        <v>4</v>
      </c>
      <c r="H206" s="15">
        <v>101.9915</v>
      </c>
      <c r="I206" s="15">
        <v>407.966</v>
      </c>
    </row>
    <row r="207" ht="12.9" customHeight="1">
      <c r="B207" t="s" s="10">
        <v>352</v>
      </c>
      <c r="C207" t="s" s="11">
        <v>353</v>
      </c>
      <c r="D207" s="12">
        <v>45551</v>
      </c>
      <c r="E207" t="s" s="13">
        <v>356</v>
      </c>
      <c r="F207" t="s" s="13">
        <v>356</v>
      </c>
      <c r="G207" s="14">
        <v>5</v>
      </c>
      <c r="H207" s="15">
        <v>0</v>
      </c>
      <c r="I207" s="15">
        <v>0</v>
      </c>
    </row>
    <row r="208" ht="12.9" customHeight="1">
      <c r="B208" t="s" s="10">
        <v>352</v>
      </c>
      <c r="C208" t="s" s="11">
        <v>353</v>
      </c>
      <c r="D208" s="12">
        <v>45551</v>
      </c>
      <c r="E208" t="s" s="13">
        <v>266</v>
      </c>
      <c r="F208" t="s" s="13">
        <v>267</v>
      </c>
      <c r="G208" s="14">
        <v>20</v>
      </c>
      <c r="H208" s="15">
        <v>0</v>
      </c>
      <c r="I208" s="15">
        <v>0</v>
      </c>
    </row>
    <row r="209" ht="12.9" customHeight="1">
      <c r="B209" t="s" s="10">
        <v>357</v>
      </c>
      <c r="C209" t="s" s="11">
        <v>351</v>
      </c>
      <c r="D209" s="12">
        <v>45551</v>
      </c>
      <c r="E209" t="s" s="13">
        <v>139</v>
      </c>
      <c r="F209" t="s" s="13">
        <v>140</v>
      </c>
      <c r="G209" s="14">
        <v>1</v>
      </c>
      <c r="H209" s="15">
        <v>49.99</v>
      </c>
      <c r="I209" s="15">
        <v>49.99</v>
      </c>
    </row>
    <row r="210" ht="12.9" customHeight="1">
      <c r="B210" t="s" s="10">
        <v>357</v>
      </c>
      <c r="C210" t="s" s="11">
        <v>351</v>
      </c>
      <c r="D210" s="12">
        <v>45551</v>
      </c>
      <c r="E210" t="s" s="13">
        <v>15</v>
      </c>
      <c r="F210" t="s" s="13">
        <v>16</v>
      </c>
      <c r="G210" s="14">
        <v>1</v>
      </c>
      <c r="H210" s="15">
        <v>9.99</v>
      </c>
      <c r="I210" s="15">
        <v>9.99</v>
      </c>
    </row>
    <row r="211" ht="12.9" customHeight="1">
      <c r="B211" t="s" s="10">
        <v>358</v>
      </c>
      <c r="C211" t="s" s="11">
        <v>42</v>
      </c>
      <c r="D211" s="12">
        <v>45551</v>
      </c>
      <c r="E211" t="s" s="13">
        <v>47</v>
      </c>
      <c r="F211" s="16"/>
      <c r="G211" s="14">
        <v>1</v>
      </c>
      <c r="H211" s="15">
        <v>175.8</v>
      </c>
      <c r="I211" s="15">
        <v>175.8</v>
      </c>
    </row>
    <row r="212" ht="12.9" customHeight="1">
      <c r="B212" t="s" s="10">
        <v>358</v>
      </c>
      <c r="C212" t="s" s="11">
        <v>42</v>
      </c>
      <c r="D212" s="12">
        <v>45551</v>
      </c>
      <c r="E212" t="s" s="13">
        <v>48</v>
      </c>
      <c r="F212" t="s" s="13">
        <v>49</v>
      </c>
      <c r="G212" s="14">
        <v>10</v>
      </c>
      <c r="H212" s="15">
        <v>974.9924999999999</v>
      </c>
      <c r="I212" s="15">
        <v>9749.924999999999</v>
      </c>
    </row>
    <row r="213" ht="12.9" customHeight="1">
      <c r="B213" t="s" s="10">
        <v>358</v>
      </c>
      <c r="C213" t="s" s="11">
        <v>42</v>
      </c>
      <c r="D213" s="12">
        <v>45551</v>
      </c>
      <c r="E213" t="s" s="13">
        <v>50</v>
      </c>
      <c r="F213" t="s" s="13">
        <v>51</v>
      </c>
      <c r="G213" s="14">
        <v>10</v>
      </c>
      <c r="H213" s="15">
        <v>0</v>
      </c>
      <c r="I213" s="15">
        <v>0</v>
      </c>
    </row>
    <row r="214" ht="12.9" customHeight="1">
      <c r="B214" t="s" s="10">
        <v>358</v>
      </c>
      <c r="C214" t="s" s="11">
        <v>42</v>
      </c>
      <c r="D214" s="12">
        <v>45551</v>
      </c>
      <c r="E214" t="s" s="13">
        <v>52</v>
      </c>
      <c r="F214" t="s" s="13">
        <v>53</v>
      </c>
      <c r="G214" s="14">
        <v>10</v>
      </c>
      <c r="H214" s="15">
        <v>0</v>
      </c>
      <c r="I214" s="15">
        <v>0</v>
      </c>
    </row>
    <row r="215" ht="12.9" customHeight="1">
      <c r="B215" t="s" s="10">
        <v>358</v>
      </c>
      <c r="C215" t="s" s="11">
        <v>42</v>
      </c>
      <c r="D215" s="12">
        <v>45551</v>
      </c>
      <c r="E215" t="s" s="13">
        <v>57</v>
      </c>
      <c r="F215" t="s" s="13">
        <v>58</v>
      </c>
      <c r="G215" s="14">
        <v>10</v>
      </c>
      <c r="H215" s="15">
        <v>599.9924999999999</v>
      </c>
      <c r="I215" s="15">
        <v>5999.925</v>
      </c>
    </row>
    <row r="216" ht="12.9" customHeight="1">
      <c r="B216" t="s" s="10">
        <v>358</v>
      </c>
      <c r="C216" t="s" s="11">
        <v>42</v>
      </c>
      <c r="D216" s="12">
        <v>45551</v>
      </c>
      <c r="E216" t="s" s="13">
        <v>359</v>
      </c>
      <c r="F216" t="s" s="13">
        <v>360</v>
      </c>
      <c r="G216" s="14">
        <v>10</v>
      </c>
      <c r="H216" s="15">
        <v>22.4925</v>
      </c>
      <c r="I216" s="15">
        <v>224.925</v>
      </c>
    </row>
    <row r="217" ht="12.9" customHeight="1">
      <c r="B217" t="s" s="10">
        <v>361</v>
      </c>
      <c r="C217" t="s" s="11">
        <v>362</v>
      </c>
      <c r="D217" s="12">
        <v>45550.692976307873</v>
      </c>
      <c r="E217" t="s" s="13">
        <v>31</v>
      </c>
      <c r="F217" t="s" s="13">
        <v>32</v>
      </c>
      <c r="G217" s="14">
        <v>1</v>
      </c>
      <c r="H217" s="15">
        <v>599.99</v>
      </c>
      <c r="I217" s="15">
        <v>599.99</v>
      </c>
    </row>
    <row r="218" ht="12.9" customHeight="1">
      <c r="B218" t="s" s="10">
        <v>363</v>
      </c>
      <c r="C218" t="s" s="11">
        <v>364</v>
      </c>
      <c r="D218" s="12">
        <v>45550.210286377318</v>
      </c>
      <c r="E218" t="s" s="13">
        <v>35</v>
      </c>
      <c r="F218" t="s" s="13">
        <v>36</v>
      </c>
      <c r="G218" s="14">
        <v>2</v>
      </c>
      <c r="H218" s="15">
        <v>49.99</v>
      </c>
      <c r="I218" s="15">
        <v>99.98</v>
      </c>
    </row>
    <row r="219" ht="12.9" customHeight="1">
      <c r="B219" t="s" s="10">
        <v>365</v>
      </c>
      <c r="C219" t="s" s="11">
        <v>366</v>
      </c>
      <c r="D219" s="12">
        <v>45549.826423622682</v>
      </c>
      <c r="E219" t="s" s="13">
        <v>77</v>
      </c>
      <c r="F219" t="s" s="13">
        <v>78</v>
      </c>
      <c r="G219" s="14">
        <v>2</v>
      </c>
      <c r="H219" s="15">
        <v>19.99</v>
      </c>
      <c r="I219" s="15">
        <v>39.98</v>
      </c>
    </row>
    <row r="220" ht="12.9" customHeight="1">
      <c r="B220" t="s" s="10">
        <v>367</v>
      </c>
      <c r="C220" t="s" s="11">
        <v>368</v>
      </c>
      <c r="D220" s="12">
        <v>45549.7300378588</v>
      </c>
      <c r="E220" t="s" s="13">
        <v>77</v>
      </c>
      <c r="F220" t="s" s="13">
        <v>78</v>
      </c>
      <c r="G220" s="14">
        <v>2</v>
      </c>
      <c r="H220" s="15">
        <v>19.99</v>
      </c>
      <c r="I220" s="15">
        <v>39.98</v>
      </c>
    </row>
    <row r="221" ht="12.9" customHeight="1">
      <c r="B221" t="s" s="10">
        <v>367</v>
      </c>
      <c r="C221" t="s" s="11">
        <v>368</v>
      </c>
      <c r="D221" s="12">
        <v>45549.7300378588</v>
      </c>
      <c r="E221" t="s" s="13">
        <v>369</v>
      </c>
      <c r="F221" t="s" s="13">
        <v>370</v>
      </c>
      <c r="G221" s="14">
        <v>1</v>
      </c>
      <c r="H221" s="15">
        <v>12.99</v>
      </c>
      <c r="I221" s="15">
        <v>12.99</v>
      </c>
    </row>
    <row r="222" ht="12.9" customHeight="1">
      <c r="B222" t="s" s="10">
        <v>367</v>
      </c>
      <c r="C222" t="s" s="11">
        <v>368</v>
      </c>
      <c r="D222" s="12">
        <v>45549.7300378588</v>
      </c>
      <c r="E222" t="s" s="13">
        <v>359</v>
      </c>
      <c r="F222" t="s" s="13">
        <v>360</v>
      </c>
      <c r="G222" s="14">
        <v>2</v>
      </c>
      <c r="H222" s="15">
        <v>29.99</v>
      </c>
      <c r="I222" s="15">
        <v>59.98</v>
      </c>
    </row>
    <row r="223" ht="12.9" customHeight="1">
      <c r="B223" t="s" s="10">
        <v>371</v>
      </c>
      <c r="C223" t="s" s="11">
        <v>372</v>
      </c>
      <c r="D223" s="12">
        <v>45549.662152731478</v>
      </c>
      <c r="E223" t="s" s="13">
        <v>27</v>
      </c>
      <c r="F223" t="s" s="13">
        <v>28</v>
      </c>
      <c r="G223" s="14">
        <v>1</v>
      </c>
      <c r="H223" s="15">
        <v>79.98999999999999</v>
      </c>
      <c r="I223" s="15">
        <v>79.98999999999999</v>
      </c>
    </row>
    <row r="224" ht="12.9" customHeight="1">
      <c r="B224" t="s" s="10">
        <v>373</v>
      </c>
      <c r="C224" t="s" s="11">
        <v>374</v>
      </c>
      <c r="D224" s="12">
        <v>45549.223436712964</v>
      </c>
      <c r="E224" t="s" s="13">
        <v>31</v>
      </c>
      <c r="F224" t="s" s="13">
        <v>32</v>
      </c>
      <c r="G224" s="14">
        <v>1</v>
      </c>
      <c r="H224" s="15">
        <v>599.99</v>
      </c>
      <c r="I224" s="15">
        <v>599.99</v>
      </c>
    </row>
    <row r="225" ht="12.9" customHeight="1">
      <c r="B225" t="s" s="10">
        <v>375</v>
      </c>
      <c r="C225" t="s" s="11">
        <v>376</v>
      </c>
      <c r="D225" s="12">
        <v>45549.145547048611</v>
      </c>
      <c r="E225" t="s" s="13">
        <v>11</v>
      </c>
      <c r="F225" t="s" s="13">
        <v>12</v>
      </c>
      <c r="G225" s="14">
        <v>1</v>
      </c>
      <c r="H225" s="15">
        <v>399.99</v>
      </c>
      <c r="I225" s="15">
        <v>399.99</v>
      </c>
    </row>
    <row r="226" ht="12.9" customHeight="1">
      <c r="B226" t="s" s="10">
        <v>377</v>
      </c>
      <c r="C226" t="s" s="11">
        <v>378</v>
      </c>
      <c r="D226" s="12">
        <v>45549.058725567127</v>
      </c>
      <c r="E226" t="s" s="13">
        <v>11</v>
      </c>
      <c r="F226" t="s" s="13">
        <v>12</v>
      </c>
      <c r="G226" s="14">
        <v>2</v>
      </c>
      <c r="H226" s="15">
        <v>399.99</v>
      </c>
      <c r="I226" s="15">
        <v>799.98</v>
      </c>
    </row>
    <row r="227" ht="12.9" customHeight="1">
      <c r="B227" t="s" s="10">
        <v>379</v>
      </c>
      <c r="C227" t="s" s="11">
        <v>380</v>
      </c>
      <c r="D227" s="12">
        <v>45549.055511412036</v>
      </c>
      <c r="E227" t="s" s="13">
        <v>54</v>
      </c>
      <c r="F227" t="s" s="13">
        <v>93</v>
      </c>
      <c r="G227" s="14">
        <v>1</v>
      </c>
      <c r="H227" s="15">
        <v>9.99</v>
      </c>
      <c r="I227" s="15">
        <v>9.99</v>
      </c>
    </row>
    <row r="228" ht="12.9" customHeight="1">
      <c r="B228" t="s" s="10">
        <v>381</v>
      </c>
      <c r="C228" t="s" s="11">
        <v>382</v>
      </c>
      <c r="D228" s="12">
        <v>45548.7972009838</v>
      </c>
      <c r="E228" t="s" s="13">
        <v>11</v>
      </c>
      <c r="F228" t="s" s="13">
        <v>12</v>
      </c>
      <c r="G228" s="14">
        <v>1</v>
      </c>
      <c r="H228" s="15">
        <v>399.99</v>
      </c>
      <c r="I228" s="15">
        <v>399.99</v>
      </c>
    </row>
    <row r="229" ht="12.9" customHeight="1">
      <c r="B229" t="s" s="10">
        <v>383</v>
      </c>
      <c r="C229" t="s" s="11">
        <v>216</v>
      </c>
      <c r="D229" s="12">
        <v>45548.0722596412</v>
      </c>
      <c r="E229" t="s" s="13">
        <v>125</v>
      </c>
      <c r="F229" t="s" s="13">
        <v>126</v>
      </c>
      <c r="G229" s="14">
        <v>2</v>
      </c>
      <c r="H229" s="15">
        <v>64.98999999999999</v>
      </c>
      <c r="I229" s="15">
        <v>129.98</v>
      </c>
    </row>
    <row r="230" ht="12.9" customHeight="1">
      <c r="B230" t="s" s="10">
        <v>384</v>
      </c>
      <c r="C230" t="s" s="11">
        <v>385</v>
      </c>
      <c r="D230" s="12">
        <v>45548.0261381713</v>
      </c>
      <c r="E230" t="s" s="13">
        <v>35</v>
      </c>
      <c r="F230" t="s" s="13">
        <v>36</v>
      </c>
      <c r="G230" s="14">
        <v>1</v>
      </c>
      <c r="H230" s="15">
        <v>49.99</v>
      </c>
      <c r="I230" s="15">
        <v>49.99</v>
      </c>
    </row>
    <row r="231" ht="12.9" customHeight="1">
      <c r="B231" t="s" s="10">
        <v>386</v>
      </c>
      <c r="C231" t="s" s="11">
        <v>387</v>
      </c>
      <c r="D231" s="12">
        <v>45548</v>
      </c>
      <c r="E231" t="s" s="13">
        <v>388</v>
      </c>
      <c r="F231" t="s" s="13">
        <v>389</v>
      </c>
      <c r="G231" s="14">
        <v>1</v>
      </c>
      <c r="H231" s="15">
        <v>1000</v>
      </c>
      <c r="I231" s="15">
        <v>1000</v>
      </c>
    </row>
    <row r="232" ht="12.9" customHeight="1">
      <c r="B232" t="s" s="10">
        <v>386</v>
      </c>
      <c r="C232" t="s" s="11">
        <v>387</v>
      </c>
      <c r="D232" s="12">
        <v>45548</v>
      </c>
      <c r="E232" t="s" s="13">
        <v>47</v>
      </c>
      <c r="F232" s="16"/>
      <c r="G232" s="14">
        <v>1</v>
      </c>
      <c r="H232" s="15">
        <v>50</v>
      </c>
      <c r="I232" s="15">
        <v>50</v>
      </c>
    </row>
    <row r="233" ht="12.9" customHeight="1">
      <c r="B233" t="s" s="10">
        <v>386</v>
      </c>
      <c r="C233" t="s" s="11">
        <v>387</v>
      </c>
      <c r="D233" s="12">
        <v>45548</v>
      </c>
      <c r="E233" t="s" s="13">
        <v>73</v>
      </c>
      <c r="F233" t="s" s="13">
        <v>74</v>
      </c>
      <c r="G233" s="14">
        <v>1</v>
      </c>
      <c r="H233" s="15">
        <v>299.9925</v>
      </c>
      <c r="I233" s="15">
        <v>299.9925</v>
      </c>
    </row>
    <row r="234" ht="12.9" customHeight="1">
      <c r="B234" t="s" s="10">
        <v>386</v>
      </c>
      <c r="C234" t="s" s="11">
        <v>387</v>
      </c>
      <c r="D234" s="12">
        <v>45548</v>
      </c>
      <c r="E234" t="s" s="13">
        <v>57</v>
      </c>
      <c r="F234" t="s" s="13">
        <v>58</v>
      </c>
      <c r="G234" s="14">
        <v>1</v>
      </c>
      <c r="H234" s="15">
        <v>599.9924999999999</v>
      </c>
      <c r="I234" s="15">
        <v>599.9924999999999</v>
      </c>
    </row>
    <row r="235" ht="12.9" customHeight="1">
      <c r="B235" t="s" s="10">
        <v>390</v>
      </c>
      <c r="C235" t="s" s="11">
        <v>391</v>
      </c>
      <c r="D235" s="12">
        <v>45548</v>
      </c>
      <c r="E235" t="s" s="13">
        <v>63</v>
      </c>
      <c r="F235" s="16"/>
      <c r="G235" s="14">
        <v>1</v>
      </c>
      <c r="H235" s="15">
        <v>81.90000000000001</v>
      </c>
      <c r="I235" s="15">
        <v>81.90000000000001</v>
      </c>
    </row>
    <row r="236" ht="12.9" customHeight="1">
      <c r="B236" t="s" s="10">
        <v>390</v>
      </c>
      <c r="C236" t="s" s="11">
        <v>391</v>
      </c>
      <c r="D236" s="12">
        <v>45548</v>
      </c>
      <c r="E236" t="s" s="13">
        <v>165</v>
      </c>
      <c r="F236" t="s" s="13">
        <v>392</v>
      </c>
      <c r="G236" s="14">
        <v>4</v>
      </c>
      <c r="H236" s="15">
        <v>22.4925</v>
      </c>
      <c r="I236" s="15">
        <v>89.97</v>
      </c>
    </row>
    <row r="237" ht="12.9" customHeight="1">
      <c r="B237" t="s" s="10">
        <v>390</v>
      </c>
      <c r="C237" t="s" s="11">
        <v>391</v>
      </c>
      <c r="D237" s="12">
        <v>45548</v>
      </c>
      <c r="E237" t="s" s="13">
        <v>254</v>
      </c>
      <c r="F237" t="s" s="13">
        <v>393</v>
      </c>
      <c r="G237" s="14">
        <v>1</v>
      </c>
      <c r="H237" s="15">
        <v>0</v>
      </c>
      <c r="I237" s="15">
        <v>0</v>
      </c>
    </row>
    <row r="238" ht="12.9" customHeight="1">
      <c r="B238" t="s" s="10">
        <v>390</v>
      </c>
      <c r="C238" t="s" s="11">
        <v>391</v>
      </c>
      <c r="D238" s="12">
        <v>45548</v>
      </c>
      <c r="E238" t="s" s="13">
        <v>394</v>
      </c>
      <c r="F238" t="s" s="13">
        <v>395</v>
      </c>
      <c r="G238" s="14">
        <v>1</v>
      </c>
      <c r="H238" s="15">
        <v>19.875</v>
      </c>
      <c r="I238" s="15">
        <v>19.875</v>
      </c>
    </row>
    <row r="239" ht="12.9" customHeight="1">
      <c r="B239" t="s" s="10">
        <v>390</v>
      </c>
      <c r="C239" t="s" s="11">
        <v>391</v>
      </c>
      <c r="D239" s="12">
        <v>45548</v>
      </c>
      <c r="E239" t="s" s="13">
        <v>396</v>
      </c>
      <c r="F239" t="s" s="13">
        <v>397</v>
      </c>
      <c r="G239" s="14">
        <v>4</v>
      </c>
      <c r="H239" s="15">
        <v>0</v>
      </c>
      <c r="I239" s="15">
        <v>0</v>
      </c>
    </row>
    <row r="240" ht="12.9" customHeight="1">
      <c r="B240" t="s" s="10">
        <v>390</v>
      </c>
      <c r="C240" t="s" s="11">
        <v>391</v>
      </c>
      <c r="D240" s="12">
        <v>45548</v>
      </c>
      <c r="E240" t="s" s="13">
        <v>398</v>
      </c>
      <c r="F240" t="s" s="13">
        <v>399</v>
      </c>
      <c r="G240" s="14">
        <v>2</v>
      </c>
      <c r="H240" s="15">
        <v>0</v>
      </c>
      <c r="I240" s="15">
        <v>0</v>
      </c>
    </row>
    <row r="241" ht="12.9" customHeight="1">
      <c r="B241" t="s" s="10">
        <v>390</v>
      </c>
      <c r="C241" t="s" s="11">
        <v>391</v>
      </c>
      <c r="D241" s="12">
        <v>45548</v>
      </c>
      <c r="E241" t="s" s="13">
        <v>400</v>
      </c>
      <c r="F241" t="s" s="13">
        <v>401</v>
      </c>
      <c r="G241" s="14">
        <v>1</v>
      </c>
      <c r="H241" s="15">
        <v>0</v>
      </c>
      <c r="I241" s="15">
        <v>0</v>
      </c>
    </row>
    <row r="242" ht="12.9" customHeight="1">
      <c r="B242" t="s" s="10">
        <v>390</v>
      </c>
      <c r="C242" t="s" s="11">
        <v>391</v>
      </c>
      <c r="D242" s="12">
        <v>45548</v>
      </c>
      <c r="E242" t="s" s="13">
        <v>402</v>
      </c>
      <c r="F242" t="s" s="13">
        <v>403</v>
      </c>
      <c r="G242" s="14">
        <v>2</v>
      </c>
      <c r="H242" s="15">
        <v>0</v>
      </c>
      <c r="I242" s="15">
        <v>0</v>
      </c>
    </row>
    <row r="243" ht="12.9" customHeight="1">
      <c r="B243" t="s" s="10">
        <v>390</v>
      </c>
      <c r="C243" t="s" s="11">
        <v>391</v>
      </c>
      <c r="D243" s="12">
        <v>45548</v>
      </c>
      <c r="E243" t="s" s="13">
        <v>369</v>
      </c>
      <c r="F243" t="s" s="13">
        <v>370</v>
      </c>
      <c r="G243" s="14">
        <v>1</v>
      </c>
      <c r="H243" s="15">
        <v>9.7425</v>
      </c>
      <c r="I243" s="15">
        <v>9.7425</v>
      </c>
    </row>
    <row r="244" ht="12.9" customHeight="1">
      <c r="B244" t="s" s="10">
        <v>390</v>
      </c>
      <c r="C244" t="s" s="11">
        <v>391</v>
      </c>
      <c r="D244" s="12">
        <v>45548</v>
      </c>
      <c r="E244" t="s" s="13">
        <v>404</v>
      </c>
      <c r="F244" t="s" s="13">
        <v>405</v>
      </c>
      <c r="G244" s="14">
        <v>1</v>
      </c>
      <c r="H244" s="15">
        <v>18.375</v>
      </c>
      <c r="I244" s="15">
        <v>18.375</v>
      </c>
    </row>
    <row r="245" ht="12.9" customHeight="1">
      <c r="B245" t="s" s="10">
        <v>390</v>
      </c>
      <c r="C245" t="s" s="11">
        <v>391</v>
      </c>
      <c r="D245" s="12">
        <v>45548</v>
      </c>
      <c r="E245" t="s" s="13">
        <v>406</v>
      </c>
      <c r="F245" t="s" s="13">
        <v>407</v>
      </c>
      <c r="G245" s="14">
        <v>1</v>
      </c>
      <c r="H245" s="15">
        <v>25.92391275</v>
      </c>
      <c r="I245" s="15">
        <v>25.92391275</v>
      </c>
    </row>
    <row r="246" ht="12.9" customHeight="1">
      <c r="B246" t="s" s="10">
        <v>408</v>
      </c>
      <c r="C246" t="s" s="11">
        <v>188</v>
      </c>
      <c r="D246" s="12">
        <v>45548</v>
      </c>
      <c r="E246" t="s" s="13">
        <v>409</v>
      </c>
      <c r="F246" t="s" s="13">
        <v>409</v>
      </c>
      <c r="G246" s="14">
        <v>1</v>
      </c>
      <c r="H246" s="15">
        <v>0</v>
      </c>
      <c r="I246" s="15">
        <v>0</v>
      </c>
    </row>
    <row r="247" ht="12.9" customHeight="1">
      <c r="B247" t="s" s="10">
        <v>410</v>
      </c>
      <c r="C247" t="s" s="11">
        <v>411</v>
      </c>
      <c r="D247" s="12">
        <v>45547.804857349540</v>
      </c>
      <c r="E247" t="s" s="13">
        <v>412</v>
      </c>
      <c r="F247" t="s" s="13">
        <v>413</v>
      </c>
      <c r="G247" s="14">
        <v>1</v>
      </c>
      <c r="H247" s="15">
        <v>1.99</v>
      </c>
      <c r="I247" s="15">
        <v>1.99</v>
      </c>
    </row>
    <row r="248" ht="12.9" customHeight="1">
      <c r="B248" t="s" s="10">
        <v>410</v>
      </c>
      <c r="C248" t="s" s="11">
        <v>411</v>
      </c>
      <c r="D248" s="12">
        <v>45547.804857349540</v>
      </c>
      <c r="E248" t="s" s="13">
        <v>15</v>
      </c>
      <c r="F248" t="s" s="13">
        <v>16</v>
      </c>
      <c r="G248" s="14">
        <v>1</v>
      </c>
      <c r="H248" s="15">
        <v>9.99</v>
      </c>
      <c r="I248" s="15">
        <v>9.99</v>
      </c>
    </row>
    <row r="249" ht="12.9" customHeight="1">
      <c r="B249" t="s" s="10">
        <v>414</v>
      </c>
      <c r="C249" t="s" s="11">
        <v>415</v>
      </c>
      <c r="D249" s="12">
        <v>45547.782735717592</v>
      </c>
      <c r="E249" t="s" s="13">
        <v>81</v>
      </c>
      <c r="F249" t="s" s="13">
        <v>82</v>
      </c>
      <c r="G249" s="14">
        <v>2</v>
      </c>
      <c r="H249" s="15">
        <v>849.99</v>
      </c>
      <c r="I249" s="15">
        <v>1699.98</v>
      </c>
    </row>
    <row r="250" ht="12.9" customHeight="1">
      <c r="B250" t="s" s="10">
        <v>414</v>
      </c>
      <c r="C250" t="s" s="11">
        <v>415</v>
      </c>
      <c r="D250" s="12">
        <v>45547.782735717592</v>
      </c>
      <c r="E250" t="s" s="13">
        <v>133</v>
      </c>
      <c r="F250" t="s" s="13">
        <v>134</v>
      </c>
      <c r="G250" s="14">
        <v>2</v>
      </c>
      <c r="H250" s="15">
        <v>50</v>
      </c>
      <c r="I250" s="15">
        <v>100</v>
      </c>
    </row>
    <row r="251" ht="12.9" customHeight="1">
      <c r="B251" t="s" s="10">
        <v>414</v>
      </c>
      <c r="C251" t="s" s="11">
        <v>415</v>
      </c>
      <c r="D251" s="12">
        <v>45547.782735717592</v>
      </c>
      <c r="E251" t="s" s="13">
        <v>50</v>
      </c>
      <c r="F251" t="s" s="13">
        <v>83</v>
      </c>
      <c r="G251" s="14">
        <v>2</v>
      </c>
      <c r="H251" s="15">
        <v>0</v>
      </c>
      <c r="I251" s="15">
        <v>0</v>
      </c>
    </row>
    <row r="252" ht="12.9" customHeight="1">
      <c r="B252" t="s" s="10">
        <v>414</v>
      </c>
      <c r="C252" t="s" s="11">
        <v>415</v>
      </c>
      <c r="D252" s="12">
        <v>45547.782735717592</v>
      </c>
      <c r="E252" t="s" s="13">
        <v>84</v>
      </c>
      <c r="F252" t="s" s="13">
        <v>85</v>
      </c>
      <c r="G252" s="14">
        <v>2</v>
      </c>
      <c r="H252" s="15">
        <v>0</v>
      </c>
      <c r="I252" s="15">
        <v>0</v>
      </c>
    </row>
    <row r="253" ht="12.9" customHeight="1">
      <c r="B253" t="s" s="10">
        <v>414</v>
      </c>
      <c r="C253" t="s" s="11">
        <v>415</v>
      </c>
      <c r="D253" s="12">
        <v>45547.782735717592</v>
      </c>
      <c r="E253" t="s" s="13">
        <v>19</v>
      </c>
      <c r="F253" t="s" s="13">
        <v>20</v>
      </c>
      <c r="G253" s="14">
        <v>2</v>
      </c>
      <c r="H253" s="15">
        <v>119.99</v>
      </c>
      <c r="I253" s="15">
        <v>239.98</v>
      </c>
    </row>
    <row r="254" ht="12.9" customHeight="1">
      <c r="B254" t="s" s="10">
        <v>414</v>
      </c>
      <c r="C254" t="s" s="11">
        <v>415</v>
      </c>
      <c r="D254" s="12">
        <v>45547.782735717592</v>
      </c>
      <c r="E254" t="s" s="13">
        <v>54</v>
      </c>
      <c r="F254" t="s" s="13">
        <v>93</v>
      </c>
      <c r="G254" s="14">
        <v>8</v>
      </c>
      <c r="H254" s="15">
        <v>9.99</v>
      </c>
      <c r="I254" s="15">
        <v>79.92</v>
      </c>
    </row>
    <row r="255" ht="12.9" customHeight="1">
      <c r="B255" t="s" s="10">
        <v>416</v>
      </c>
      <c r="C255" t="s" s="11">
        <v>417</v>
      </c>
      <c r="D255" s="12">
        <v>45547.754396018521</v>
      </c>
      <c r="E255" t="s" s="13">
        <v>31</v>
      </c>
      <c r="F255" t="s" s="13">
        <v>32</v>
      </c>
      <c r="G255" s="14">
        <v>1</v>
      </c>
      <c r="H255" s="15">
        <v>599.99</v>
      </c>
      <c r="I255" s="15">
        <v>599.99</v>
      </c>
    </row>
    <row r="256" ht="12.9" customHeight="1">
      <c r="B256" t="s" s="10">
        <v>418</v>
      </c>
      <c r="C256" t="s" s="11">
        <v>419</v>
      </c>
      <c r="D256" s="12">
        <v>45547.575400914349</v>
      </c>
      <c r="E256" t="s" s="13">
        <v>89</v>
      </c>
      <c r="F256" t="s" s="13">
        <v>90</v>
      </c>
      <c r="G256" s="14">
        <v>2</v>
      </c>
      <c r="H256" s="15">
        <v>59.99</v>
      </c>
      <c r="I256" s="15">
        <v>119.98</v>
      </c>
    </row>
    <row r="257" ht="12.9" customHeight="1">
      <c r="B257" t="s" s="10">
        <v>420</v>
      </c>
      <c r="C257" t="s" s="11">
        <v>421</v>
      </c>
      <c r="D257" s="12">
        <v>45547.226536747687</v>
      </c>
      <c r="E257" t="s" s="13">
        <v>73</v>
      </c>
      <c r="F257" t="s" s="13">
        <v>74</v>
      </c>
      <c r="G257" s="14">
        <v>1</v>
      </c>
      <c r="H257" s="15">
        <v>399.99</v>
      </c>
      <c r="I257" s="15">
        <v>399.99</v>
      </c>
    </row>
    <row r="258" ht="12.9" customHeight="1">
      <c r="B258" t="s" s="10">
        <v>422</v>
      </c>
      <c r="C258" t="s" s="11">
        <v>423</v>
      </c>
      <c r="D258" s="12">
        <v>45547.1479912037</v>
      </c>
      <c r="E258" t="s" s="13">
        <v>11</v>
      </c>
      <c r="F258" t="s" s="13">
        <v>12</v>
      </c>
      <c r="G258" s="14">
        <v>1</v>
      </c>
      <c r="H258" s="15">
        <v>399.99</v>
      </c>
      <c r="I258" s="15">
        <v>399.99</v>
      </c>
    </row>
    <row r="259" ht="12.9" customHeight="1">
      <c r="B259" t="s" s="10">
        <v>424</v>
      </c>
      <c r="C259" t="s" s="11">
        <v>425</v>
      </c>
      <c r="D259" s="12">
        <v>45547.092025416663</v>
      </c>
      <c r="E259" t="s" s="13">
        <v>171</v>
      </c>
      <c r="F259" t="s" s="13">
        <v>172</v>
      </c>
      <c r="G259" s="14">
        <v>1</v>
      </c>
      <c r="H259" s="15">
        <v>549.99</v>
      </c>
      <c r="I259" s="15">
        <v>549.99</v>
      </c>
    </row>
    <row r="260" ht="12.9" customHeight="1">
      <c r="B260" t="s" s="10">
        <v>424</v>
      </c>
      <c r="C260" t="s" s="11">
        <v>425</v>
      </c>
      <c r="D260" s="12">
        <v>45547.092025416663</v>
      </c>
      <c r="E260" t="s" s="13">
        <v>35</v>
      </c>
      <c r="F260" t="s" s="13">
        <v>36</v>
      </c>
      <c r="G260" s="14">
        <v>2</v>
      </c>
      <c r="H260" s="15">
        <v>39.99</v>
      </c>
      <c r="I260" s="15">
        <v>79.98</v>
      </c>
    </row>
    <row r="261" ht="12.9" customHeight="1">
      <c r="B261" t="s" s="10">
        <v>426</v>
      </c>
      <c r="C261" t="s" s="11">
        <v>427</v>
      </c>
      <c r="D261" s="12">
        <v>45547.073905949073</v>
      </c>
      <c r="E261" t="s" s="13">
        <v>73</v>
      </c>
      <c r="F261" t="s" s="13">
        <v>74</v>
      </c>
      <c r="G261" s="14">
        <v>1</v>
      </c>
      <c r="H261" s="15">
        <v>399.99</v>
      </c>
      <c r="I261" s="15">
        <v>399.99</v>
      </c>
    </row>
    <row r="262" ht="12.9" customHeight="1">
      <c r="B262" t="s" s="10">
        <v>428</v>
      </c>
      <c r="C262" t="s" s="11">
        <v>188</v>
      </c>
      <c r="D262" s="12">
        <v>45547</v>
      </c>
      <c r="E262" t="s" s="13">
        <v>409</v>
      </c>
      <c r="F262" t="s" s="13">
        <v>409</v>
      </c>
      <c r="G262" s="14">
        <v>1</v>
      </c>
      <c r="H262" s="15">
        <v>0</v>
      </c>
      <c r="I262" s="15">
        <v>0</v>
      </c>
    </row>
    <row r="263" ht="12.9" customHeight="1">
      <c r="B263" t="s" s="10">
        <v>429</v>
      </c>
      <c r="C263" t="s" s="11">
        <v>430</v>
      </c>
      <c r="D263" s="12">
        <v>45547</v>
      </c>
      <c r="E263" t="s" s="13">
        <v>63</v>
      </c>
      <c r="F263" s="16"/>
      <c r="G263" s="14">
        <v>1</v>
      </c>
      <c r="H263" s="15">
        <v>17.85</v>
      </c>
      <c r="I263" s="15">
        <v>17.85</v>
      </c>
    </row>
    <row r="264" ht="12.9" customHeight="1">
      <c r="B264" t="s" s="10">
        <v>429</v>
      </c>
      <c r="C264" t="s" s="11">
        <v>430</v>
      </c>
      <c r="D264" s="12">
        <v>45547</v>
      </c>
      <c r="E264" t="s" s="13">
        <v>19</v>
      </c>
      <c r="F264" t="s" s="13">
        <v>20</v>
      </c>
      <c r="G264" s="14">
        <v>6</v>
      </c>
      <c r="H264" s="15">
        <v>89.99250000000001</v>
      </c>
      <c r="I264" s="15">
        <v>539.955</v>
      </c>
    </row>
    <row r="265" ht="12.9" customHeight="1">
      <c r="B265" t="s" s="10">
        <v>431</v>
      </c>
      <c r="C265" t="s" s="11">
        <v>432</v>
      </c>
      <c r="D265" s="12">
        <v>45547</v>
      </c>
      <c r="E265" t="s" s="13">
        <v>43</v>
      </c>
      <c r="F265" t="s" s="13">
        <v>433</v>
      </c>
      <c r="G265" s="14">
        <v>1</v>
      </c>
      <c r="H265" s="15">
        <v>0</v>
      </c>
      <c r="I265" s="15">
        <v>0</v>
      </c>
    </row>
    <row r="266" ht="12.9" customHeight="1">
      <c r="B266" t="s" s="10">
        <v>434</v>
      </c>
      <c r="C266" t="s" s="11">
        <v>435</v>
      </c>
      <c r="D266" s="12">
        <v>45546.8976762963</v>
      </c>
      <c r="E266" t="s" s="13">
        <v>27</v>
      </c>
      <c r="F266" t="s" s="13">
        <v>28</v>
      </c>
      <c r="G266" s="14">
        <v>1</v>
      </c>
      <c r="H266" s="15">
        <v>79.98999999999999</v>
      </c>
      <c r="I266" s="15">
        <v>79.98999999999999</v>
      </c>
    </row>
    <row r="267" ht="12.9" customHeight="1">
      <c r="B267" t="s" s="10">
        <v>436</v>
      </c>
      <c r="C267" t="s" s="11">
        <v>437</v>
      </c>
      <c r="D267" s="12">
        <v>45546.630031724540</v>
      </c>
      <c r="E267" t="s" s="13">
        <v>31</v>
      </c>
      <c r="F267" t="s" s="13">
        <v>32</v>
      </c>
      <c r="G267" s="14">
        <v>1</v>
      </c>
      <c r="H267" s="15">
        <v>599.99</v>
      </c>
      <c r="I267" s="15">
        <v>599.99</v>
      </c>
    </row>
    <row r="268" ht="12.9" customHeight="1">
      <c r="B268" t="s" s="10">
        <v>438</v>
      </c>
      <c r="C268" t="s" s="11">
        <v>439</v>
      </c>
      <c r="D268" s="12">
        <v>45546.024581793979</v>
      </c>
      <c r="E268" t="s" s="13">
        <v>19</v>
      </c>
      <c r="F268" t="s" s="13">
        <v>20</v>
      </c>
      <c r="G268" s="14">
        <v>3</v>
      </c>
      <c r="H268" s="15">
        <v>119.99</v>
      </c>
      <c r="I268" s="15">
        <v>359.97</v>
      </c>
    </row>
    <row r="269" ht="12.9" customHeight="1">
      <c r="B269" t="s" s="10">
        <v>440</v>
      </c>
      <c r="C269" t="s" s="11">
        <v>441</v>
      </c>
      <c r="D269" s="12">
        <v>45546</v>
      </c>
      <c r="E269" t="s" s="13">
        <v>442</v>
      </c>
      <c r="F269" s="16"/>
      <c r="G269" s="14">
        <v>1</v>
      </c>
      <c r="H269" s="15">
        <v>-446.99</v>
      </c>
      <c r="I269" s="15">
        <v>-446.99</v>
      </c>
    </row>
    <row r="270" ht="12.9" customHeight="1">
      <c r="B270" t="s" s="10">
        <v>440</v>
      </c>
      <c r="C270" t="s" s="11">
        <v>441</v>
      </c>
      <c r="D270" s="12">
        <v>45546</v>
      </c>
      <c r="E270" t="s" s="13">
        <v>125</v>
      </c>
      <c r="F270" t="s" s="13">
        <v>126</v>
      </c>
      <c r="G270" s="14">
        <v>4</v>
      </c>
      <c r="H270" s="15">
        <v>64.98999999999999</v>
      </c>
      <c r="I270" s="15">
        <v>259.96</v>
      </c>
    </row>
    <row r="271" ht="12.9" customHeight="1">
      <c r="B271" t="s" s="10">
        <v>440</v>
      </c>
      <c r="C271" t="s" s="11">
        <v>441</v>
      </c>
      <c r="D271" s="12">
        <v>45546</v>
      </c>
      <c r="E271" t="s" s="13">
        <v>443</v>
      </c>
      <c r="F271" t="s" s="13">
        <v>444</v>
      </c>
      <c r="G271" s="14">
        <v>4</v>
      </c>
      <c r="H271" s="15">
        <v>0</v>
      </c>
      <c r="I271" s="15">
        <v>0</v>
      </c>
    </row>
    <row r="272" ht="12.9" customHeight="1">
      <c r="B272" t="s" s="10">
        <v>440</v>
      </c>
      <c r="C272" t="s" s="11">
        <v>441</v>
      </c>
      <c r="D272" s="12">
        <v>45546</v>
      </c>
      <c r="E272" t="s" s="13">
        <v>445</v>
      </c>
      <c r="F272" t="s" s="13">
        <v>446</v>
      </c>
      <c r="G272" s="14">
        <v>1</v>
      </c>
      <c r="H272" s="15">
        <v>149.99</v>
      </c>
      <c r="I272" s="15">
        <v>149.99</v>
      </c>
    </row>
    <row r="273" ht="12.9" customHeight="1">
      <c r="B273" t="s" s="10">
        <v>440</v>
      </c>
      <c r="C273" t="s" s="11">
        <v>441</v>
      </c>
      <c r="D273" s="12">
        <v>45546</v>
      </c>
      <c r="E273" t="s" s="13">
        <v>447</v>
      </c>
      <c r="F273" t="s" s="13">
        <v>448</v>
      </c>
      <c r="G273" s="14">
        <v>4</v>
      </c>
      <c r="H273" s="15">
        <v>0</v>
      </c>
      <c r="I273" s="15">
        <v>0</v>
      </c>
    </row>
    <row r="274" ht="12.9" customHeight="1">
      <c r="B274" t="s" s="10">
        <v>440</v>
      </c>
      <c r="C274" t="s" s="11">
        <v>441</v>
      </c>
      <c r="D274" s="12">
        <v>45546</v>
      </c>
      <c r="E274" t="s" s="13">
        <v>449</v>
      </c>
      <c r="F274" t="s" s="13">
        <v>450</v>
      </c>
      <c r="G274" s="14">
        <v>4</v>
      </c>
      <c r="H274" s="15">
        <v>5.434783</v>
      </c>
      <c r="I274" s="15">
        <v>21.739132</v>
      </c>
    </row>
    <row r="275" ht="12.9" customHeight="1">
      <c r="B275" t="s" s="10">
        <v>440</v>
      </c>
      <c r="C275" t="s" s="11">
        <v>441</v>
      </c>
      <c r="D275" s="12">
        <v>45546</v>
      </c>
      <c r="E275" t="s" s="13">
        <v>451</v>
      </c>
      <c r="F275" t="s" s="13">
        <v>452</v>
      </c>
      <c r="G275" s="14">
        <v>4</v>
      </c>
      <c r="H275" s="15">
        <v>3.826087</v>
      </c>
      <c r="I275" s="15">
        <v>15.304348</v>
      </c>
    </row>
    <row r="276" ht="12.9" customHeight="1">
      <c r="B276" t="s" s="10">
        <v>453</v>
      </c>
      <c r="C276" t="s" s="11">
        <v>210</v>
      </c>
      <c r="D276" s="12">
        <v>45546</v>
      </c>
      <c r="E276" t="s" s="13">
        <v>454</v>
      </c>
      <c r="F276" t="s" s="13">
        <v>455</v>
      </c>
      <c r="G276" s="14">
        <v>1</v>
      </c>
      <c r="H276" s="15">
        <v>-800</v>
      </c>
      <c r="I276" s="15">
        <v>-800</v>
      </c>
    </row>
    <row r="277" ht="12.9" customHeight="1">
      <c r="B277" t="s" s="10">
        <v>453</v>
      </c>
      <c r="C277" t="s" s="11">
        <v>210</v>
      </c>
      <c r="D277" s="12">
        <v>45546</v>
      </c>
      <c r="E277" t="s" s="13">
        <v>47</v>
      </c>
      <c r="F277" s="16"/>
      <c r="G277" s="14">
        <v>1</v>
      </c>
      <c r="H277" s="15">
        <v>88.59999999999999</v>
      </c>
      <c r="I277" s="15">
        <v>88.59999999999999</v>
      </c>
    </row>
    <row r="278" ht="12.9" customHeight="1">
      <c r="B278" t="s" s="10">
        <v>453</v>
      </c>
      <c r="C278" t="s" s="11">
        <v>210</v>
      </c>
      <c r="D278" s="12">
        <v>45546</v>
      </c>
      <c r="E278" t="s" s="13">
        <v>48</v>
      </c>
      <c r="F278" t="s" s="13">
        <v>49</v>
      </c>
      <c r="G278" s="14">
        <v>4</v>
      </c>
      <c r="H278" s="15">
        <v>974.9924999999999</v>
      </c>
      <c r="I278" s="15">
        <v>3899.97</v>
      </c>
    </row>
    <row r="279" ht="12.9" customHeight="1">
      <c r="B279" t="s" s="10">
        <v>453</v>
      </c>
      <c r="C279" t="s" s="11">
        <v>210</v>
      </c>
      <c r="D279" s="12">
        <v>45546</v>
      </c>
      <c r="E279" t="s" s="13">
        <v>50</v>
      </c>
      <c r="F279" t="s" s="13">
        <v>51</v>
      </c>
      <c r="G279" s="14">
        <v>4</v>
      </c>
      <c r="H279" s="15">
        <v>0</v>
      </c>
      <c r="I279" s="15">
        <v>0</v>
      </c>
    </row>
    <row r="280" ht="12.9" customHeight="1">
      <c r="B280" t="s" s="10">
        <v>453</v>
      </c>
      <c r="C280" t="s" s="11">
        <v>210</v>
      </c>
      <c r="D280" s="12">
        <v>45546</v>
      </c>
      <c r="E280" t="s" s="13">
        <v>52</v>
      </c>
      <c r="F280" t="s" s="13">
        <v>53</v>
      </c>
      <c r="G280" s="14">
        <v>4</v>
      </c>
      <c r="H280" s="15">
        <v>0</v>
      </c>
      <c r="I280" s="15">
        <v>0</v>
      </c>
    </row>
    <row r="281" ht="12.9" customHeight="1">
      <c r="B281" t="s" s="10">
        <v>456</v>
      </c>
      <c r="C281" t="s" s="11">
        <v>457</v>
      </c>
      <c r="D281" s="12">
        <v>45545.644729293985</v>
      </c>
      <c r="E281" t="s" s="13">
        <v>19</v>
      </c>
      <c r="F281" t="s" s="13">
        <v>20</v>
      </c>
      <c r="G281" s="14">
        <v>4</v>
      </c>
      <c r="H281" s="15">
        <v>119.99</v>
      </c>
      <c r="I281" s="15">
        <v>479.96</v>
      </c>
    </row>
    <row r="282" ht="12.9" customHeight="1">
      <c r="B282" t="s" s="10">
        <v>458</v>
      </c>
      <c r="C282" t="s" s="11">
        <v>459</v>
      </c>
      <c r="D282" s="12">
        <v>45545.456031655092</v>
      </c>
      <c r="E282" t="s" s="13">
        <v>73</v>
      </c>
      <c r="F282" t="s" s="13">
        <v>74</v>
      </c>
      <c r="G282" s="14">
        <v>1</v>
      </c>
      <c r="H282" s="15">
        <v>399.99</v>
      </c>
      <c r="I282" s="15">
        <v>399.99</v>
      </c>
    </row>
    <row r="283" ht="12.9" customHeight="1">
      <c r="B283" t="s" s="10">
        <v>460</v>
      </c>
      <c r="C283" t="s" s="11">
        <v>461</v>
      </c>
      <c r="D283" s="12">
        <v>45545.044241840274</v>
      </c>
      <c r="E283" t="s" s="13">
        <v>89</v>
      </c>
      <c r="F283" t="s" s="13">
        <v>90</v>
      </c>
      <c r="G283" s="14">
        <v>2</v>
      </c>
      <c r="H283" s="15">
        <v>59.99</v>
      </c>
      <c r="I283" s="15">
        <v>119.98</v>
      </c>
    </row>
    <row r="284" ht="12.9" customHeight="1">
      <c r="B284" t="s" s="10">
        <v>460</v>
      </c>
      <c r="C284" t="s" s="11">
        <v>461</v>
      </c>
      <c r="D284" s="12">
        <v>45545.044241840274</v>
      </c>
      <c r="E284" t="s" s="13">
        <v>462</v>
      </c>
      <c r="F284" t="s" s="13">
        <v>463</v>
      </c>
      <c r="G284" s="14">
        <v>2</v>
      </c>
      <c r="H284" s="15">
        <v>199.99</v>
      </c>
      <c r="I284" s="15">
        <v>399.98</v>
      </c>
    </row>
    <row r="285" ht="12.9" customHeight="1">
      <c r="B285" t="s" s="10">
        <v>464</v>
      </c>
      <c r="C285" t="s" s="11">
        <v>465</v>
      </c>
      <c r="D285" s="12">
        <v>45545</v>
      </c>
      <c r="E285" t="s" s="13">
        <v>63</v>
      </c>
      <c r="F285" s="16"/>
      <c r="G285" s="14">
        <v>1</v>
      </c>
      <c r="H285" s="15">
        <v>14</v>
      </c>
      <c r="I285" s="15">
        <v>14</v>
      </c>
    </row>
    <row r="286" ht="12.9" customHeight="1">
      <c r="B286" t="s" s="10">
        <v>464</v>
      </c>
      <c r="C286" t="s" s="11">
        <v>465</v>
      </c>
      <c r="D286" s="12">
        <v>45545</v>
      </c>
      <c r="E286" t="s" s="13">
        <v>179</v>
      </c>
      <c r="F286" t="s" s="13">
        <v>180</v>
      </c>
      <c r="G286" s="14">
        <v>8</v>
      </c>
      <c r="H286" s="15">
        <v>37.4925</v>
      </c>
      <c r="I286" s="15">
        <v>299.94</v>
      </c>
    </row>
    <row r="287" ht="12.9" customHeight="1">
      <c r="B287" t="s" s="10">
        <v>464</v>
      </c>
      <c r="C287" t="s" s="11">
        <v>465</v>
      </c>
      <c r="D287" s="12">
        <v>45545</v>
      </c>
      <c r="E287" t="s" s="13">
        <v>301</v>
      </c>
      <c r="F287" t="s" s="13">
        <v>302</v>
      </c>
      <c r="G287" s="14">
        <v>8</v>
      </c>
      <c r="H287" s="15">
        <v>11.2425</v>
      </c>
      <c r="I287" s="15">
        <v>89.94</v>
      </c>
    </row>
    <row r="288" ht="12.9" customHeight="1">
      <c r="B288" t="s" s="10">
        <v>466</v>
      </c>
      <c r="C288" t="s" s="11">
        <v>467</v>
      </c>
      <c r="D288" s="12">
        <v>45545</v>
      </c>
      <c r="E288" t="s" s="13">
        <v>468</v>
      </c>
      <c r="F288" t="s" s="13">
        <v>469</v>
      </c>
      <c r="G288" s="14">
        <v>1</v>
      </c>
      <c r="H288" s="15">
        <v>2499.99</v>
      </c>
      <c r="I288" s="15">
        <v>2499.99</v>
      </c>
    </row>
    <row r="289" ht="12.9" customHeight="1">
      <c r="B289" t="s" s="10">
        <v>466</v>
      </c>
      <c r="C289" t="s" s="11">
        <v>467</v>
      </c>
      <c r="D289" s="12">
        <v>45545</v>
      </c>
      <c r="E289" t="s" s="13">
        <v>50</v>
      </c>
      <c r="F289" t="s" s="13">
        <v>51</v>
      </c>
      <c r="G289" s="14">
        <v>1</v>
      </c>
      <c r="H289" s="15">
        <v>0</v>
      </c>
      <c r="I289" s="15">
        <v>0</v>
      </c>
    </row>
    <row r="290" ht="12.9" customHeight="1">
      <c r="B290" t="s" s="10">
        <v>466</v>
      </c>
      <c r="C290" t="s" s="11">
        <v>467</v>
      </c>
      <c r="D290" s="12">
        <v>45545</v>
      </c>
      <c r="E290" t="s" s="13">
        <v>84</v>
      </c>
      <c r="F290" t="s" s="13">
        <v>330</v>
      </c>
      <c r="G290" s="14">
        <v>4</v>
      </c>
      <c r="H290" s="15">
        <v>0</v>
      </c>
      <c r="I290" s="15">
        <v>0</v>
      </c>
    </row>
    <row r="291" ht="12.9" customHeight="1">
      <c r="B291" t="s" s="10">
        <v>466</v>
      </c>
      <c r="C291" t="s" s="11">
        <v>467</v>
      </c>
      <c r="D291" s="12">
        <v>45545</v>
      </c>
      <c r="E291" t="s" s="13">
        <v>470</v>
      </c>
      <c r="F291" t="s" s="13">
        <v>471</v>
      </c>
      <c r="G291" s="14">
        <v>4</v>
      </c>
      <c r="H291" s="15">
        <v>100</v>
      </c>
      <c r="I291" s="15">
        <v>400</v>
      </c>
    </row>
    <row r="292" ht="12.9" customHeight="1">
      <c r="B292" t="s" s="10">
        <v>466</v>
      </c>
      <c r="C292" t="s" s="11">
        <v>467</v>
      </c>
      <c r="D292" s="12">
        <v>45545</v>
      </c>
      <c r="E292" t="s" s="13">
        <v>462</v>
      </c>
      <c r="F292" t="s" s="13">
        <v>463</v>
      </c>
      <c r="G292" s="14">
        <v>4</v>
      </c>
      <c r="H292" s="15">
        <v>199.99</v>
      </c>
      <c r="I292" s="15">
        <v>799.96</v>
      </c>
    </row>
    <row r="293" ht="12.9" customHeight="1">
      <c r="B293" t="s" s="10">
        <v>472</v>
      </c>
      <c r="C293" t="s" s="11">
        <v>473</v>
      </c>
      <c r="D293" s="12">
        <v>45545</v>
      </c>
      <c r="E293" t="s" s="13">
        <v>402</v>
      </c>
      <c r="F293" t="s" s="13">
        <v>403</v>
      </c>
      <c r="G293" s="14">
        <v>4</v>
      </c>
      <c r="H293" s="15">
        <v>0</v>
      </c>
      <c r="I293" s="15">
        <v>0</v>
      </c>
    </row>
    <row r="294" ht="12.9" customHeight="1">
      <c r="B294" t="s" s="10">
        <v>474</v>
      </c>
      <c r="C294" t="s" s="11">
        <v>164</v>
      </c>
      <c r="D294" s="12">
        <v>45545</v>
      </c>
      <c r="E294" t="s" s="13">
        <v>165</v>
      </c>
      <c r="F294" t="s" s="13">
        <v>166</v>
      </c>
      <c r="G294" s="14">
        <v>2</v>
      </c>
      <c r="H294" s="15">
        <v>0</v>
      </c>
      <c r="I294" s="15">
        <v>0</v>
      </c>
    </row>
    <row r="295" ht="12.9" customHeight="1">
      <c r="B295" t="s" s="10">
        <v>475</v>
      </c>
      <c r="C295" t="s" s="11">
        <v>476</v>
      </c>
      <c r="D295" s="12">
        <v>45545</v>
      </c>
      <c r="E295" t="s" s="13">
        <v>43</v>
      </c>
      <c r="F295" t="s" s="13">
        <v>477</v>
      </c>
      <c r="G295" s="14">
        <v>1</v>
      </c>
      <c r="H295" s="15">
        <v>0</v>
      </c>
      <c r="I295" s="15">
        <v>0</v>
      </c>
    </row>
    <row r="296" ht="12.9" customHeight="1">
      <c r="B296" t="s" s="10">
        <v>478</v>
      </c>
      <c r="C296" t="s" s="11">
        <v>479</v>
      </c>
      <c r="D296" s="12">
        <v>45544.983673125</v>
      </c>
      <c r="E296" t="s" s="13">
        <v>31</v>
      </c>
      <c r="F296" t="s" s="13">
        <v>32</v>
      </c>
      <c r="G296" s="14">
        <v>1</v>
      </c>
      <c r="H296" s="15">
        <v>599.99</v>
      </c>
      <c r="I296" s="15">
        <v>599.99</v>
      </c>
    </row>
    <row r="297" ht="12.9" customHeight="1">
      <c r="B297" t="s" s="10">
        <v>480</v>
      </c>
      <c r="C297" t="s" s="11">
        <v>332</v>
      </c>
      <c r="D297" s="12">
        <v>45544.924476898152</v>
      </c>
      <c r="E297" t="s" s="13">
        <v>81</v>
      </c>
      <c r="F297" t="s" s="13">
        <v>82</v>
      </c>
      <c r="G297" s="14">
        <v>1</v>
      </c>
      <c r="H297" s="15">
        <v>849.99</v>
      </c>
      <c r="I297" s="15">
        <v>849.99</v>
      </c>
    </row>
    <row r="298" ht="12.9" customHeight="1">
      <c r="B298" t="s" s="10">
        <v>480</v>
      </c>
      <c r="C298" t="s" s="11">
        <v>332</v>
      </c>
      <c r="D298" s="12">
        <v>45544.924476898152</v>
      </c>
      <c r="E298" t="s" s="13">
        <v>23</v>
      </c>
      <c r="F298" t="s" s="13">
        <v>24</v>
      </c>
      <c r="G298" s="14">
        <v>1</v>
      </c>
      <c r="H298" s="15">
        <v>0</v>
      </c>
      <c r="I298" s="15">
        <v>0</v>
      </c>
    </row>
    <row r="299" ht="12.9" customHeight="1">
      <c r="B299" t="s" s="10">
        <v>480</v>
      </c>
      <c r="C299" t="s" s="11">
        <v>332</v>
      </c>
      <c r="D299" s="12">
        <v>45544.924476898152</v>
      </c>
      <c r="E299" t="s" s="13">
        <v>50</v>
      </c>
      <c r="F299" t="s" s="13">
        <v>83</v>
      </c>
      <c r="G299" s="14">
        <v>1</v>
      </c>
      <c r="H299" s="15">
        <v>0</v>
      </c>
      <c r="I299" s="15">
        <v>0</v>
      </c>
    </row>
    <row r="300" ht="12.9" customHeight="1">
      <c r="B300" t="s" s="10">
        <v>480</v>
      </c>
      <c r="C300" t="s" s="11">
        <v>332</v>
      </c>
      <c r="D300" s="12">
        <v>45544.924476898152</v>
      </c>
      <c r="E300" t="s" s="13">
        <v>84</v>
      </c>
      <c r="F300" t="s" s="13">
        <v>85</v>
      </c>
      <c r="G300" s="14">
        <v>1</v>
      </c>
      <c r="H300" s="15">
        <v>0</v>
      </c>
      <c r="I300" s="15">
        <v>0</v>
      </c>
    </row>
    <row r="301" ht="12.9" customHeight="1">
      <c r="B301" t="s" s="10">
        <v>481</v>
      </c>
      <c r="C301" t="s" s="11">
        <v>482</v>
      </c>
      <c r="D301" s="12">
        <v>45544.909412002315</v>
      </c>
      <c r="E301" t="s" s="13">
        <v>19</v>
      </c>
      <c r="F301" t="s" s="13">
        <v>20</v>
      </c>
      <c r="G301" s="14">
        <v>10</v>
      </c>
      <c r="H301" s="15">
        <v>119.99</v>
      </c>
      <c r="I301" s="15">
        <v>1199.9</v>
      </c>
    </row>
    <row r="302" ht="12.9" customHeight="1">
      <c r="B302" t="s" s="10">
        <v>481</v>
      </c>
      <c r="C302" t="s" s="11">
        <v>482</v>
      </c>
      <c r="D302" s="12">
        <v>45544.909412002315</v>
      </c>
      <c r="E302" t="s" s="13">
        <v>139</v>
      </c>
      <c r="F302" t="s" s="13">
        <v>140</v>
      </c>
      <c r="G302" s="14">
        <v>10</v>
      </c>
      <c r="H302" s="15">
        <v>49.99</v>
      </c>
      <c r="I302" s="15">
        <v>499.9</v>
      </c>
    </row>
    <row r="303" ht="12.9" customHeight="1">
      <c r="B303" t="s" s="10">
        <v>483</v>
      </c>
      <c r="C303" t="s" s="11">
        <v>484</v>
      </c>
      <c r="D303" s="12">
        <v>45544.721441782407</v>
      </c>
      <c r="E303" t="s" s="13">
        <v>143</v>
      </c>
      <c r="F303" t="s" s="13">
        <v>144</v>
      </c>
      <c r="G303" s="14">
        <v>1</v>
      </c>
      <c r="H303" s="15">
        <v>3199.99</v>
      </c>
      <c r="I303" s="15">
        <v>3199.99</v>
      </c>
    </row>
    <row r="304" ht="12.9" customHeight="1">
      <c r="B304" t="s" s="10">
        <v>485</v>
      </c>
      <c r="C304" t="s" s="11">
        <v>486</v>
      </c>
      <c r="D304" s="12">
        <v>45544</v>
      </c>
      <c r="E304" t="s" s="13">
        <v>47</v>
      </c>
      <c r="F304" s="16"/>
      <c r="G304" s="14">
        <v>1</v>
      </c>
      <c r="H304" s="15">
        <v>411.8</v>
      </c>
      <c r="I304" s="15">
        <v>411.8</v>
      </c>
    </row>
    <row r="305" ht="12.9" customHeight="1">
      <c r="B305" t="s" s="10">
        <v>485</v>
      </c>
      <c r="C305" t="s" s="11">
        <v>486</v>
      </c>
      <c r="D305" s="12">
        <v>45544</v>
      </c>
      <c r="E305" t="s" s="13">
        <v>48</v>
      </c>
      <c r="F305" t="s" s="13">
        <v>49</v>
      </c>
      <c r="G305" s="14">
        <v>6</v>
      </c>
      <c r="H305" s="15">
        <v>974.9924999999999</v>
      </c>
      <c r="I305" s="15">
        <v>5849.955</v>
      </c>
    </row>
    <row r="306" ht="12.9" customHeight="1">
      <c r="B306" t="s" s="10">
        <v>485</v>
      </c>
      <c r="C306" t="s" s="11">
        <v>486</v>
      </c>
      <c r="D306" s="12">
        <v>45544</v>
      </c>
      <c r="E306" t="s" s="13">
        <v>50</v>
      </c>
      <c r="F306" t="s" s="13">
        <v>51</v>
      </c>
      <c r="G306" s="14">
        <v>6</v>
      </c>
      <c r="H306" s="15">
        <v>0</v>
      </c>
      <c r="I306" s="15">
        <v>0</v>
      </c>
    </row>
    <row r="307" ht="12.9" customHeight="1">
      <c r="B307" t="s" s="10">
        <v>485</v>
      </c>
      <c r="C307" t="s" s="11">
        <v>486</v>
      </c>
      <c r="D307" s="12">
        <v>45544</v>
      </c>
      <c r="E307" t="s" s="13">
        <v>52</v>
      </c>
      <c r="F307" t="s" s="13">
        <v>53</v>
      </c>
      <c r="G307" s="14">
        <v>6</v>
      </c>
      <c r="H307" s="15">
        <v>0</v>
      </c>
      <c r="I307" s="15">
        <v>0</v>
      </c>
    </row>
    <row r="308" ht="12.9" customHeight="1">
      <c r="B308" t="s" s="10">
        <v>485</v>
      </c>
      <c r="C308" t="s" s="11">
        <v>486</v>
      </c>
      <c r="D308" s="12">
        <v>45544</v>
      </c>
      <c r="E308" t="s" s="13">
        <v>84</v>
      </c>
      <c r="F308" t="s" s="13">
        <v>330</v>
      </c>
      <c r="G308" s="14">
        <v>6</v>
      </c>
      <c r="H308" s="15">
        <v>0</v>
      </c>
      <c r="I308" s="15">
        <v>0</v>
      </c>
    </row>
    <row r="309" ht="12.9" customHeight="1">
      <c r="B309" t="s" s="10">
        <v>485</v>
      </c>
      <c r="C309" t="s" s="11">
        <v>486</v>
      </c>
      <c r="D309" s="12">
        <v>45544</v>
      </c>
      <c r="E309" t="s" s="13">
        <v>23</v>
      </c>
      <c r="F309" t="s" s="13">
        <v>56</v>
      </c>
      <c r="G309" s="14">
        <v>6</v>
      </c>
      <c r="H309" s="15">
        <v>0</v>
      </c>
      <c r="I309" s="15">
        <v>0</v>
      </c>
    </row>
    <row r="310" ht="12.9" customHeight="1">
      <c r="B310" t="s" s="10">
        <v>485</v>
      </c>
      <c r="C310" t="s" s="11">
        <v>486</v>
      </c>
      <c r="D310" s="12">
        <v>45544</v>
      </c>
      <c r="E310" t="s" s="13">
        <v>487</v>
      </c>
      <c r="F310" t="s" s="13">
        <v>488</v>
      </c>
      <c r="G310" s="14">
        <v>5</v>
      </c>
      <c r="H310" s="15">
        <v>82.49250000000001</v>
      </c>
      <c r="I310" s="15">
        <v>412.4625</v>
      </c>
    </row>
    <row r="311" ht="12.9" customHeight="1">
      <c r="B311" t="s" s="10">
        <v>485</v>
      </c>
      <c r="C311" t="s" s="11">
        <v>486</v>
      </c>
      <c r="D311" s="12">
        <v>45544</v>
      </c>
      <c r="E311" t="s" s="13">
        <v>73</v>
      </c>
      <c r="F311" t="s" s="13">
        <v>74</v>
      </c>
      <c r="G311" s="14">
        <v>1</v>
      </c>
      <c r="H311" s="15">
        <v>299.9925</v>
      </c>
      <c r="I311" s="15">
        <v>299.9925</v>
      </c>
    </row>
    <row r="312" ht="12.9" customHeight="1">
      <c r="B312" t="s" s="10">
        <v>485</v>
      </c>
      <c r="C312" t="s" s="11">
        <v>486</v>
      </c>
      <c r="D312" s="12">
        <v>45544</v>
      </c>
      <c r="E312" t="s" s="13">
        <v>19</v>
      </c>
      <c r="F312" t="s" s="13">
        <v>20</v>
      </c>
      <c r="G312" s="14">
        <v>6</v>
      </c>
      <c r="H312" s="15">
        <v>89.99250000000001</v>
      </c>
      <c r="I312" s="15">
        <v>539.955</v>
      </c>
    </row>
    <row r="313" ht="12.9" customHeight="1">
      <c r="B313" t="s" s="10">
        <v>485</v>
      </c>
      <c r="C313" t="s" s="11">
        <v>486</v>
      </c>
      <c r="D313" s="12">
        <v>45544</v>
      </c>
      <c r="E313" t="s" s="13">
        <v>489</v>
      </c>
      <c r="F313" t="s" s="13">
        <v>490</v>
      </c>
      <c r="G313" s="14">
        <v>1</v>
      </c>
      <c r="H313" s="15">
        <v>1199.9925</v>
      </c>
      <c r="I313" s="15">
        <v>1199.9925</v>
      </c>
    </row>
    <row r="314" ht="12.9" customHeight="1">
      <c r="B314" t="s" s="10">
        <v>485</v>
      </c>
      <c r="C314" t="s" s="11">
        <v>486</v>
      </c>
      <c r="D314" s="12">
        <v>45544</v>
      </c>
      <c r="E314" t="s" s="13">
        <v>491</v>
      </c>
      <c r="F314" t="s" s="13">
        <v>492</v>
      </c>
      <c r="G314" s="14">
        <v>3</v>
      </c>
      <c r="H314" s="15">
        <v>0</v>
      </c>
      <c r="I314" s="15">
        <v>0</v>
      </c>
    </row>
    <row r="315" ht="12.9" customHeight="1">
      <c r="B315" t="s" s="10">
        <v>485</v>
      </c>
      <c r="C315" t="s" s="11">
        <v>486</v>
      </c>
      <c r="D315" s="12">
        <v>45544</v>
      </c>
      <c r="E315" t="s" s="13">
        <v>493</v>
      </c>
      <c r="F315" t="s" s="13">
        <v>494</v>
      </c>
      <c r="G315" s="14">
        <v>1</v>
      </c>
      <c r="H315" s="15">
        <v>0</v>
      </c>
      <c r="I315" s="15">
        <v>0</v>
      </c>
    </row>
    <row r="316" ht="12.9" customHeight="1">
      <c r="B316" t="s" s="10">
        <v>485</v>
      </c>
      <c r="C316" t="s" s="11">
        <v>486</v>
      </c>
      <c r="D316" s="12">
        <v>45544</v>
      </c>
      <c r="E316" t="s" s="13">
        <v>31</v>
      </c>
      <c r="F316" t="s" s="13">
        <v>32</v>
      </c>
      <c r="G316" s="14">
        <v>1</v>
      </c>
      <c r="H316" s="15">
        <v>449.9925</v>
      </c>
      <c r="I316" s="15">
        <v>449.9925</v>
      </c>
    </row>
    <row r="317" ht="12.9" customHeight="1">
      <c r="B317" t="s" s="10">
        <v>485</v>
      </c>
      <c r="C317" t="s" s="11">
        <v>486</v>
      </c>
      <c r="D317" s="12">
        <v>45544</v>
      </c>
      <c r="E317" t="s" s="13">
        <v>359</v>
      </c>
      <c r="F317" t="s" s="13">
        <v>360</v>
      </c>
      <c r="G317" s="14">
        <v>6</v>
      </c>
      <c r="H317" s="15">
        <v>22.4925</v>
      </c>
      <c r="I317" s="15">
        <v>134.955</v>
      </c>
    </row>
    <row r="318" ht="12.9" customHeight="1">
      <c r="B318" t="s" s="10">
        <v>485</v>
      </c>
      <c r="C318" t="s" s="11">
        <v>486</v>
      </c>
      <c r="D318" s="12">
        <v>45544</v>
      </c>
      <c r="E318" t="s" s="13">
        <v>77</v>
      </c>
      <c r="F318" t="s" s="13">
        <v>78</v>
      </c>
      <c r="G318" s="14">
        <v>6</v>
      </c>
      <c r="H318" s="15">
        <v>14.9925</v>
      </c>
      <c r="I318" s="15">
        <v>89.955</v>
      </c>
    </row>
    <row r="319" ht="12.9" customHeight="1">
      <c r="B319" t="s" s="10">
        <v>485</v>
      </c>
      <c r="C319" t="s" s="11">
        <v>486</v>
      </c>
      <c r="D319" s="12">
        <v>45544</v>
      </c>
      <c r="E319" t="s" s="13">
        <v>115</v>
      </c>
      <c r="F319" t="s" s="13">
        <v>116</v>
      </c>
      <c r="G319" s="14">
        <v>4</v>
      </c>
      <c r="H319" s="15">
        <v>17.2425</v>
      </c>
      <c r="I319" s="15">
        <v>68.97</v>
      </c>
    </row>
    <row r="320" ht="12.9" customHeight="1">
      <c r="B320" t="s" s="10">
        <v>485</v>
      </c>
      <c r="C320" t="s" s="11">
        <v>486</v>
      </c>
      <c r="D320" s="12">
        <v>45544</v>
      </c>
      <c r="E320" t="s" s="13">
        <v>225</v>
      </c>
      <c r="F320" t="s" s="13">
        <v>226</v>
      </c>
      <c r="G320" s="14">
        <v>4</v>
      </c>
      <c r="H320" s="15">
        <v>374.9925</v>
      </c>
      <c r="I320" s="15">
        <v>1499.97</v>
      </c>
    </row>
    <row r="321" ht="12.9" customHeight="1">
      <c r="B321" t="s" s="10">
        <v>485</v>
      </c>
      <c r="C321" t="s" s="11">
        <v>486</v>
      </c>
      <c r="D321" s="12">
        <v>45544</v>
      </c>
      <c r="E321" t="s" s="13">
        <v>167</v>
      </c>
      <c r="F321" t="s" s="13">
        <v>495</v>
      </c>
      <c r="G321" s="14">
        <v>4</v>
      </c>
      <c r="H321" s="15">
        <v>0</v>
      </c>
      <c r="I321" s="15">
        <v>0</v>
      </c>
    </row>
    <row r="322" ht="12.9" customHeight="1">
      <c r="B322" t="s" s="10">
        <v>485</v>
      </c>
      <c r="C322" t="s" s="11">
        <v>486</v>
      </c>
      <c r="D322" s="12">
        <v>45544</v>
      </c>
      <c r="E322" t="s" s="13">
        <v>165</v>
      </c>
      <c r="F322" t="s" s="13">
        <v>496</v>
      </c>
      <c r="G322" s="14">
        <v>4</v>
      </c>
      <c r="H322" s="15">
        <v>0</v>
      </c>
      <c r="I322" s="15">
        <v>0</v>
      </c>
    </row>
    <row r="323" ht="12.9" customHeight="1">
      <c r="B323" t="s" s="10">
        <v>485</v>
      </c>
      <c r="C323" t="s" s="11">
        <v>486</v>
      </c>
      <c r="D323" s="12">
        <v>45544</v>
      </c>
      <c r="E323" t="s" s="13">
        <v>497</v>
      </c>
      <c r="F323" t="s" s="13">
        <v>498</v>
      </c>
      <c r="G323" s="14">
        <v>6</v>
      </c>
      <c r="H323" s="15">
        <v>18.7425</v>
      </c>
      <c r="I323" s="15">
        <v>112.455</v>
      </c>
    </row>
    <row r="324" ht="12.9" customHeight="1">
      <c r="B324" t="s" s="10">
        <v>499</v>
      </c>
      <c r="C324" t="s" s="11">
        <v>69</v>
      </c>
      <c r="D324" s="12">
        <v>45544</v>
      </c>
      <c r="E324" t="s" s="13">
        <v>63</v>
      </c>
      <c r="F324" s="16"/>
      <c r="G324" s="14">
        <v>1</v>
      </c>
      <c r="H324" s="15">
        <v>128.4</v>
      </c>
      <c r="I324" s="15">
        <v>128.4</v>
      </c>
    </row>
    <row r="325" ht="12.9" customHeight="1">
      <c r="B325" t="s" s="10">
        <v>499</v>
      </c>
      <c r="C325" t="s" s="11">
        <v>69</v>
      </c>
      <c r="D325" s="12">
        <v>45544</v>
      </c>
      <c r="E325" t="s" s="13">
        <v>500</v>
      </c>
      <c r="F325" t="s" s="13">
        <v>501</v>
      </c>
      <c r="G325" s="14">
        <v>40</v>
      </c>
      <c r="H325" s="15">
        <v>63.7425</v>
      </c>
      <c r="I325" s="15">
        <v>2549.7</v>
      </c>
    </row>
    <row r="326" ht="12.9" customHeight="1">
      <c r="B326" t="s" s="10">
        <v>499</v>
      </c>
      <c r="C326" t="s" s="11">
        <v>69</v>
      </c>
      <c r="D326" s="12">
        <v>45544</v>
      </c>
      <c r="E326" t="s" s="13">
        <v>106</v>
      </c>
      <c r="F326" t="s" s="13">
        <v>502</v>
      </c>
      <c r="G326" s="14">
        <v>76</v>
      </c>
      <c r="H326" s="15">
        <v>48.7425</v>
      </c>
      <c r="I326" s="15">
        <v>3704.43</v>
      </c>
    </row>
    <row r="327" ht="12.9" customHeight="1">
      <c r="B327" t="s" s="10">
        <v>503</v>
      </c>
      <c r="C327" t="s" s="11">
        <v>504</v>
      </c>
      <c r="D327" s="12">
        <v>45543.974994120370</v>
      </c>
      <c r="E327" t="s" s="13">
        <v>95</v>
      </c>
      <c r="F327" t="s" s="13">
        <v>12</v>
      </c>
      <c r="G327" s="14">
        <v>1</v>
      </c>
      <c r="H327" s="15">
        <v>349.99</v>
      </c>
      <c r="I327" s="15">
        <v>349.99</v>
      </c>
    </row>
    <row r="328" ht="12.9" customHeight="1">
      <c r="B328" t="s" s="10">
        <v>505</v>
      </c>
      <c r="C328" t="s" s="11">
        <v>506</v>
      </c>
      <c r="D328" s="12">
        <v>45542.882993379630</v>
      </c>
      <c r="E328" t="s" s="13">
        <v>19</v>
      </c>
      <c r="F328" t="s" s="13">
        <v>20</v>
      </c>
      <c r="G328" s="14">
        <v>2</v>
      </c>
      <c r="H328" s="15">
        <v>119.99</v>
      </c>
      <c r="I328" s="15">
        <v>239.98</v>
      </c>
    </row>
    <row r="329" ht="12.9" customHeight="1">
      <c r="B329" t="s" s="10">
        <v>505</v>
      </c>
      <c r="C329" t="s" s="11">
        <v>506</v>
      </c>
      <c r="D329" s="12">
        <v>45542.882993379630</v>
      </c>
      <c r="E329" t="s" s="13">
        <v>345</v>
      </c>
      <c r="F329" t="s" s="13">
        <v>346</v>
      </c>
      <c r="G329" s="14">
        <v>1</v>
      </c>
      <c r="H329" s="15">
        <v>219.99</v>
      </c>
      <c r="I329" s="15">
        <v>219.99</v>
      </c>
    </row>
    <row r="330" ht="12.9" customHeight="1">
      <c r="B330" t="s" s="10">
        <v>507</v>
      </c>
      <c r="C330" t="s" s="11">
        <v>508</v>
      </c>
      <c r="D330" s="12">
        <v>45542.868045532407</v>
      </c>
      <c r="E330" t="s" s="13">
        <v>27</v>
      </c>
      <c r="F330" t="s" s="13">
        <v>28</v>
      </c>
      <c r="G330" s="14">
        <v>1</v>
      </c>
      <c r="H330" s="15">
        <v>79.98999999999999</v>
      </c>
      <c r="I330" s="15">
        <v>79.98999999999999</v>
      </c>
    </row>
    <row r="331" ht="12.9" customHeight="1">
      <c r="B331" t="s" s="10">
        <v>509</v>
      </c>
      <c r="C331" t="s" s="11">
        <v>510</v>
      </c>
      <c r="D331" s="12">
        <v>45542.611539236110</v>
      </c>
      <c r="E331" t="s" s="13">
        <v>19</v>
      </c>
      <c r="F331" t="s" s="13">
        <v>20</v>
      </c>
      <c r="G331" s="14">
        <v>2</v>
      </c>
      <c r="H331" s="15">
        <v>119.99</v>
      </c>
      <c r="I331" s="15">
        <v>239.98</v>
      </c>
    </row>
    <row r="332" ht="12.9" customHeight="1">
      <c r="B332" t="s" s="10">
        <v>511</v>
      </c>
      <c r="C332" t="s" s="11">
        <v>512</v>
      </c>
      <c r="D332" s="12">
        <v>45542</v>
      </c>
      <c r="E332" t="s" s="13">
        <v>119</v>
      </c>
      <c r="F332" t="s" s="13">
        <v>120</v>
      </c>
      <c r="G332" s="14">
        <v>20</v>
      </c>
      <c r="H332" s="15">
        <v>0</v>
      </c>
      <c r="I332" s="15">
        <v>0</v>
      </c>
    </row>
    <row r="333" ht="12.9" customHeight="1">
      <c r="B333" t="s" s="10">
        <v>513</v>
      </c>
      <c r="C333" t="s" s="11">
        <v>514</v>
      </c>
      <c r="D333" s="12">
        <v>45541.889760115744</v>
      </c>
      <c r="E333" t="s" s="13">
        <v>89</v>
      </c>
      <c r="F333" t="s" s="13">
        <v>90</v>
      </c>
      <c r="G333" s="14">
        <v>10</v>
      </c>
      <c r="H333" s="15">
        <v>59.99</v>
      </c>
      <c r="I333" s="15">
        <v>599.9</v>
      </c>
    </row>
    <row r="334" ht="12.9" customHeight="1">
      <c r="B334" t="s" s="10">
        <v>515</v>
      </c>
      <c r="C334" t="s" s="11">
        <v>516</v>
      </c>
      <c r="D334" s="12">
        <v>45541.859792233794</v>
      </c>
      <c r="E334" t="s" s="13">
        <v>225</v>
      </c>
      <c r="F334" t="s" s="13">
        <v>226</v>
      </c>
      <c r="G334" s="14">
        <v>2</v>
      </c>
      <c r="H334" s="15">
        <v>499.99</v>
      </c>
      <c r="I334" s="15">
        <v>999.98</v>
      </c>
    </row>
    <row r="335" ht="12.9" customHeight="1">
      <c r="B335" t="s" s="10">
        <v>515</v>
      </c>
      <c r="C335" t="s" s="11">
        <v>516</v>
      </c>
      <c r="D335" s="12">
        <v>45541.859792233794</v>
      </c>
      <c r="E335" t="s" s="13">
        <v>165</v>
      </c>
      <c r="F335" t="s" s="13">
        <v>392</v>
      </c>
      <c r="G335" s="14">
        <v>2</v>
      </c>
      <c r="H335" s="15">
        <v>0</v>
      </c>
      <c r="I335" s="15">
        <v>0</v>
      </c>
    </row>
    <row r="336" ht="12.9" customHeight="1">
      <c r="B336" t="s" s="10">
        <v>515</v>
      </c>
      <c r="C336" t="s" s="11">
        <v>516</v>
      </c>
      <c r="D336" s="12">
        <v>45541.859792233794</v>
      </c>
      <c r="E336" t="s" s="13">
        <v>345</v>
      </c>
      <c r="F336" t="s" s="13">
        <v>346</v>
      </c>
      <c r="G336" s="14">
        <v>1</v>
      </c>
      <c r="H336" s="15">
        <v>219.99</v>
      </c>
      <c r="I336" s="15">
        <v>219.99</v>
      </c>
    </row>
    <row r="337" ht="12.9" customHeight="1">
      <c r="B337" t="s" s="10">
        <v>515</v>
      </c>
      <c r="C337" t="s" s="11">
        <v>516</v>
      </c>
      <c r="D337" s="12">
        <v>45541.859792233794</v>
      </c>
      <c r="E337" t="s" s="13">
        <v>73</v>
      </c>
      <c r="F337" t="s" s="13">
        <v>74</v>
      </c>
      <c r="G337" s="14">
        <v>1</v>
      </c>
      <c r="H337" s="15">
        <v>399.99</v>
      </c>
      <c r="I337" s="15">
        <v>399.99</v>
      </c>
    </row>
    <row r="338" ht="12.9" customHeight="1">
      <c r="B338" t="s" s="10">
        <v>515</v>
      </c>
      <c r="C338" t="s" s="11">
        <v>516</v>
      </c>
      <c r="D338" s="12">
        <v>45541.859792233794</v>
      </c>
      <c r="E338" t="s" s="13">
        <v>470</v>
      </c>
      <c r="F338" t="s" s="13">
        <v>517</v>
      </c>
      <c r="G338" s="14">
        <v>1</v>
      </c>
      <c r="H338" s="15">
        <v>249.99</v>
      </c>
      <c r="I338" s="15">
        <v>249.99</v>
      </c>
    </row>
    <row r="339" ht="12.9" customHeight="1">
      <c r="B339" t="s" s="10">
        <v>518</v>
      </c>
      <c r="C339" t="s" s="11">
        <v>519</v>
      </c>
      <c r="D339" s="12">
        <v>45541.842449282405</v>
      </c>
      <c r="E339" t="s" s="13">
        <v>139</v>
      </c>
      <c r="F339" t="s" s="13">
        <v>140</v>
      </c>
      <c r="G339" s="14">
        <v>2</v>
      </c>
      <c r="H339" s="15">
        <v>49.99</v>
      </c>
      <c r="I339" s="15">
        <v>99.98</v>
      </c>
    </row>
    <row r="340" ht="12.9" customHeight="1">
      <c r="B340" t="s" s="10">
        <v>518</v>
      </c>
      <c r="C340" t="s" s="11">
        <v>519</v>
      </c>
      <c r="D340" s="12">
        <v>45541.842449282405</v>
      </c>
      <c r="E340" t="s" s="13">
        <v>119</v>
      </c>
      <c r="F340" t="s" s="13">
        <v>120</v>
      </c>
      <c r="G340" s="14">
        <v>1</v>
      </c>
      <c r="H340" s="15">
        <v>1.99</v>
      </c>
      <c r="I340" s="15">
        <v>1.99</v>
      </c>
    </row>
    <row r="341" ht="12.9" customHeight="1">
      <c r="B341" t="s" s="10">
        <v>520</v>
      </c>
      <c r="C341" t="s" s="11">
        <v>521</v>
      </c>
      <c r="D341" s="12">
        <v>45541.750558888889</v>
      </c>
      <c r="E341" t="s" s="13">
        <v>27</v>
      </c>
      <c r="F341" t="s" s="13">
        <v>28</v>
      </c>
      <c r="G341" s="14">
        <v>1</v>
      </c>
      <c r="H341" s="15">
        <v>79.98999999999999</v>
      </c>
      <c r="I341" s="15">
        <v>79.98999999999999</v>
      </c>
    </row>
    <row r="342" ht="12.9" customHeight="1">
      <c r="B342" t="s" s="10">
        <v>522</v>
      </c>
      <c r="C342" t="s" s="11">
        <v>523</v>
      </c>
      <c r="D342" s="12">
        <v>45541.728244351849</v>
      </c>
      <c r="E342" t="s" s="13">
        <v>35</v>
      </c>
      <c r="F342" t="s" s="13">
        <v>36</v>
      </c>
      <c r="G342" s="14">
        <v>2</v>
      </c>
      <c r="H342" s="15">
        <v>49.99</v>
      </c>
      <c r="I342" s="15">
        <v>99.98</v>
      </c>
    </row>
    <row r="343" ht="12.9" customHeight="1">
      <c r="B343" t="s" s="10">
        <v>522</v>
      </c>
      <c r="C343" t="s" s="11">
        <v>523</v>
      </c>
      <c r="D343" s="12">
        <v>45541.728244351849</v>
      </c>
      <c r="E343" t="s" s="13">
        <v>119</v>
      </c>
      <c r="F343" t="s" s="13">
        <v>120</v>
      </c>
      <c r="G343" s="14">
        <v>1</v>
      </c>
      <c r="H343" s="15">
        <v>1.99</v>
      </c>
      <c r="I343" s="15">
        <v>1.99</v>
      </c>
    </row>
    <row r="344" ht="12.9" customHeight="1">
      <c r="B344" t="s" s="10">
        <v>522</v>
      </c>
      <c r="C344" t="s" s="11">
        <v>523</v>
      </c>
      <c r="D344" s="12">
        <v>45541.728244351849</v>
      </c>
      <c r="E344" t="s" s="13">
        <v>412</v>
      </c>
      <c r="F344" t="s" s="13">
        <v>413</v>
      </c>
      <c r="G344" s="14">
        <v>1</v>
      </c>
      <c r="H344" s="15">
        <v>1.99</v>
      </c>
      <c r="I344" s="15">
        <v>1.99</v>
      </c>
    </row>
    <row r="345" ht="12.9" customHeight="1">
      <c r="B345" t="s" s="10">
        <v>524</v>
      </c>
      <c r="C345" t="s" s="11">
        <v>437</v>
      </c>
      <c r="D345" s="12">
        <v>45541.637058553242</v>
      </c>
      <c r="E345" t="s" s="13">
        <v>31</v>
      </c>
      <c r="F345" t="s" s="13">
        <v>32</v>
      </c>
      <c r="G345" s="14">
        <v>1</v>
      </c>
      <c r="H345" s="15">
        <v>599.99</v>
      </c>
      <c r="I345" s="15">
        <v>599.99</v>
      </c>
    </row>
    <row r="346" ht="12.9" customHeight="1">
      <c r="B346" t="s" s="10">
        <v>525</v>
      </c>
      <c r="C346" t="s" s="11">
        <v>476</v>
      </c>
      <c r="D346" s="12">
        <v>45541</v>
      </c>
      <c r="E346" t="s" s="13">
        <v>63</v>
      </c>
      <c r="F346" s="16"/>
      <c r="G346" s="14">
        <v>1</v>
      </c>
      <c r="H346" s="15">
        <v>146.49</v>
      </c>
      <c r="I346" s="15">
        <v>146.49</v>
      </c>
    </row>
    <row r="347" ht="12.9" customHeight="1">
      <c r="B347" t="s" s="10">
        <v>525</v>
      </c>
      <c r="C347" t="s" s="11">
        <v>476</v>
      </c>
      <c r="D347" s="12">
        <v>45541</v>
      </c>
      <c r="E347" t="s" s="13">
        <v>526</v>
      </c>
      <c r="F347" t="s" s="13">
        <v>527</v>
      </c>
      <c r="G347" s="14">
        <v>30</v>
      </c>
      <c r="H347" s="15">
        <v>950</v>
      </c>
      <c r="I347" s="15">
        <v>28500</v>
      </c>
    </row>
    <row r="348" ht="12.9" customHeight="1">
      <c r="B348" t="s" s="10">
        <v>525</v>
      </c>
      <c r="C348" t="s" s="11">
        <v>476</v>
      </c>
      <c r="D348" s="12">
        <v>45541</v>
      </c>
      <c r="E348" t="s" s="13">
        <v>528</v>
      </c>
      <c r="F348" t="s" s="13">
        <v>529</v>
      </c>
      <c r="G348" s="14">
        <v>60</v>
      </c>
      <c r="H348" s="15">
        <v>14</v>
      </c>
      <c r="I348" s="15">
        <v>840</v>
      </c>
    </row>
    <row r="349" ht="12.9" customHeight="1">
      <c r="B349" t="s" s="10">
        <v>525</v>
      </c>
      <c r="C349" t="s" s="11">
        <v>476</v>
      </c>
      <c r="D349" s="12">
        <v>45541</v>
      </c>
      <c r="E349" t="s" s="13">
        <v>530</v>
      </c>
      <c r="F349" t="s" s="13">
        <v>531</v>
      </c>
      <c r="G349" s="14">
        <v>60</v>
      </c>
      <c r="H349" s="15">
        <v>8</v>
      </c>
      <c r="I349" s="15">
        <v>480</v>
      </c>
    </row>
    <row r="350" ht="12.9" customHeight="1">
      <c r="B350" t="s" s="10">
        <v>525</v>
      </c>
      <c r="C350" t="s" s="11">
        <v>476</v>
      </c>
      <c r="D350" s="12">
        <v>45541</v>
      </c>
      <c r="E350" t="s" s="13">
        <v>532</v>
      </c>
      <c r="F350" t="s" s="13">
        <v>533</v>
      </c>
      <c r="G350" s="14">
        <v>30</v>
      </c>
      <c r="H350" s="15">
        <v>12</v>
      </c>
      <c r="I350" s="15">
        <v>360</v>
      </c>
    </row>
    <row r="351" ht="12.9" customHeight="1">
      <c r="B351" t="s" s="10">
        <v>525</v>
      </c>
      <c r="C351" t="s" s="11">
        <v>476</v>
      </c>
      <c r="D351" s="12">
        <v>45541</v>
      </c>
      <c r="E351" t="s" s="13">
        <v>534</v>
      </c>
      <c r="F351" t="s" s="13">
        <v>535</v>
      </c>
      <c r="G351" s="14">
        <v>180</v>
      </c>
      <c r="H351" s="15">
        <v>20</v>
      </c>
      <c r="I351" s="15">
        <v>3600</v>
      </c>
    </row>
    <row r="352" ht="12.9" customHeight="1">
      <c r="B352" t="s" s="10">
        <v>525</v>
      </c>
      <c r="C352" t="s" s="11">
        <v>476</v>
      </c>
      <c r="D352" s="12">
        <v>45541</v>
      </c>
      <c r="E352" t="s" s="13">
        <v>536</v>
      </c>
      <c r="F352" t="s" s="13">
        <v>537</v>
      </c>
      <c r="G352" s="14">
        <v>60</v>
      </c>
      <c r="H352" s="15">
        <v>14</v>
      </c>
      <c r="I352" s="15">
        <v>840</v>
      </c>
    </row>
    <row r="353" ht="12.9" customHeight="1">
      <c r="B353" t="s" s="10">
        <v>538</v>
      </c>
      <c r="C353" t="s" s="11">
        <v>415</v>
      </c>
      <c r="D353" s="12">
        <v>45540.8737053588</v>
      </c>
      <c r="E353" t="s" s="13">
        <v>19</v>
      </c>
      <c r="F353" t="s" s="13">
        <v>20</v>
      </c>
      <c r="G353" s="14">
        <v>4</v>
      </c>
      <c r="H353" s="15">
        <v>119.99</v>
      </c>
      <c r="I353" s="15">
        <v>479.96</v>
      </c>
    </row>
    <row r="354" ht="12.9" customHeight="1">
      <c r="B354" t="s" s="10">
        <v>538</v>
      </c>
      <c r="C354" t="s" s="11">
        <v>415</v>
      </c>
      <c r="D354" s="12">
        <v>45540.8737053588</v>
      </c>
      <c r="E354" t="s" s="13">
        <v>54</v>
      </c>
      <c r="F354" t="s" s="13">
        <v>93</v>
      </c>
      <c r="G354" s="14">
        <v>4</v>
      </c>
      <c r="H354" s="15">
        <v>9.99</v>
      </c>
      <c r="I354" s="15">
        <v>39.96</v>
      </c>
    </row>
    <row r="355" ht="12.9" customHeight="1">
      <c r="B355" t="s" s="10">
        <v>539</v>
      </c>
      <c r="C355" t="s" s="11">
        <v>540</v>
      </c>
      <c r="D355" s="12">
        <v>45540.720623043984</v>
      </c>
      <c r="E355" t="s" s="13">
        <v>139</v>
      </c>
      <c r="F355" t="s" s="13">
        <v>140</v>
      </c>
      <c r="G355" s="14">
        <v>1</v>
      </c>
      <c r="H355" s="15">
        <v>49.99</v>
      </c>
      <c r="I355" s="15">
        <v>49.99</v>
      </c>
    </row>
    <row r="356" ht="12.9" customHeight="1">
      <c r="B356" t="s" s="10">
        <v>541</v>
      </c>
      <c r="C356" t="s" s="11">
        <v>542</v>
      </c>
      <c r="D356" s="12">
        <v>45540.152659050924</v>
      </c>
      <c r="E356" t="s" s="13">
        <v>31</v>
      </c>
      <c r="F356" t="s" s="13">
        <v>32</v>
      </c>
      <c r="G356" s="14">
        <v>1</v>
      </c>
      <c r="H356" s="15">
        <v>599.99</v>
      </c>
      <c r="I356" s="15">
        <v>599.99</v>
      </c>
    </row>
    <row r="357" ht="12.9" customHeight="1">
      <c r="B357" t="s" s="10">
        <v>543</v>
      </c>
      <c r="C357" t="s" s="11">
        <v>476</v>
      </c>
      <c r="D357" s="12">
        <v>45540</v>
      </c>
      <c r="E357" t="s" s="13">
        <v>43</v>
      </c>
      <c r="F357" t="s" s="13">
        <v>44</v>
      </c>
      <c r="G357" s="14">
        <v>1</v>
      </c>
      <c r="H357" s="15">
        <v>0</v>
      </c>
      <c r="I357" s="15">
        <v>0</v>
      </c>
    </row>
    <row r="358" ht="12.9" customHeight="1">
      <c r="B358" t="s" s="10">
        <v>544</v>
      </c>
      <c r="C358" t="s" s="11">
        <v>545</v>
      </c>
      <c r="D358" s="12">
        <v>45540</v>
      </c>
      <c r="E358" t="s" s="13">
        <v>345</v>
      </c>
      <c r="F358" t="s" s="13">
        <v>346</v>
      </c>
      <c r="G358" s="14">
        <v>1</v>
      </c>
      <c r="H358" s="15">
        <v>219.99</v>
      </c>
      <c r="I358" s="15">
        <v>219.99</v>
      </c>
    </row>
    <row r="359" ht="12.9" customHeight="1">
      <c r="B359" t="s" s="10">
        <v>546</v>
      </c>
      <c r="C359" t="s" s="11">
        <v>547</v>
      </c>
      <c r="D359" s="12">
        <v>45539.712338310186</v>
      </c>
      <c r="E359" t="s" s="13">
        <v>48</v>
      </c>
      <c r="F359" t="s" s="13">
        <v>49</v>
      </c>
      <c r="G359" s="14">
        <v>2</v>
      </c>
      <c r="H359" s="15">
        <v>1299.99</v>
      </c>
      <c r="I359" s="15">
        <v>2599.98</v>
      </c>
    </row>
    <row r="360" ht="12.9" customHeight="1">
      <c r="B360" t="s" s="10">
        <v>546</v>
      </c>
      <c r="C360" t="s" s="11">
        <v>547</v>
      </c>
      <c r="D360" s="12">
        <v>45539.712338310186</v>
      </c>
      <c r="E360" t="s" s="13">
        <v>50</v>
      </c>
      <c r="F360" t="s" s="13">
        <v>83</v>
      </c>
      <c r="G360" s="14">
        <v>2</v>
      </c>
      <c r="H360" s="15">
        <v>0</v>
      </c>
      <c r="I360" s="15">
        <v>0</v>
      </c>
    </row>
    <row r="361" ht="12.9" customHeight="1">
      <c r="B361" t="s" s="10">
        <v>546</v>
      </c>
      <c r="C361" t="s" s="11">
        <v>547</v>
      </c>
      <c r="D361" s="12">
        <v>45539.712338310186</v>
      </c>
      <c r="E361" t="s" s="13">
        <v>52</v>
      </c>
      <c r="F361" t="s" s="13">
        <v>321</v>
      </c>
      <c r="G361" s="14">
        <v>2</v>
      </c>
      <c r="H361" s="15">
        <v>0</v>
      </c>
      <c r="I361" s="15">
        <v>0</v>
      </c>
    </row>
    <row r="362" ht="12.9" customHeight="1">
      <c r="B362" t="s" s="10">
        <v>546</v>
      </c>
      <c r="C362" t="s" s="11">
        <v>547</v>
      </c>
      <c r="D362" s="12">
        <v>45539.712338310186</v>
      </c>
      <c r="E362" t="s" s="13">
        <v>84</v>
      </c>
      <c r="F362" t="s" s="13">
        <v>85</v>
      </c>
      <c r="G362" s="14">
        <v>2</v>
      </c>
      <c r="H362" s="15">
        <v>0</v>
      </c>
      <c r="I362" s="15">
        <v>0</v>
      </c>
    </row>
    <row r="363" ht="12.9" customHeight="1">
      <c r="B363" t="s" s="10">
        <v>546</v>
      </c>
      <c r="C363" t="s" s="11">
        <v>547</v>
      </c>
      <c r="D363" s="12">
        <v>45539.712338310186</v>
      </c>
      <c r="E363" t="s" s="13">
        <v>23</v>
      </c>
      <c r="F363" t="s" s="13">
        <v>24</v>
      </c>
      <c r="G363" s="14">
        <v>2</v>
      </c>
      <c r="H363" s="15">
        <v>0</v>
      </c>
      <c r="I363" s="15">
        <v>0</v>
      </c>
    </row>
    <row r="364" ht="12.9" customHeight="1">
      <c r="B364" t="s" s="10">
        <v>548</v>
      </c>
      <c r="C364" t="s" s="11">
        <v>549</v>
      </c>
      <c r="D364" s="12">
        <v>45539.667807071761</v>
      </c>
      <c r="E364" t="s" s="13">
        <v>89</v>
      </c>
      <c r="F364" t="s" s="13">
        <v>90</v>
      </c>
      <c r="G364" s="14">
        <v>2</v>
      </c>
      <c r="H364" s="15">
        <v>59.99</v>
      </c>
      <c r="I364" s="15">
        <v>119.98</v>
      </c>
    </row>
    <row r="365" ht="12.9" customHeight="1">
      <c r="B365" t="s" s="10">
        <v>550</v>
      </c>
      <c r="C365" t="s" s="11">
        <v>551</v>
      </c>
      <c r="D365" s="12">
        <v>45539.661257893516</v>
      </c>
      <c r="E365" t="s" s="13">
        <v>345</v>
      </c>
      <c r="F365" t="s" s="13">
        <v>346</v>
      </c>
      <c r="G365" s="14">
        <v>1</v>
      </c>
      <c r="H365" s="15">
        <v>219.99</v>
      </c>
      <c r="I365" s="15">
        <v>219.99</v>
      </c>
    </row>
    <row r="366" ht="12.9" customHeight="1">
      <c r="B366" t="s" s="10">
        <v>552</v>
      </c>
      <c r="C366" t="s" s="11">
        <v>553</v>
      </c>
      <c r="D366" s="12">
        <v>45539.591079282407</v>
      </c>
      <c r="E366" t="s" s="13">
        <v>31</v>
      </c>
      <c r="F366" t="s" s="13">
        <v>32</v>
      </c>
      <c r="G366" s="14">
        <v>1</v>
      </c>
      <c r="H366" s="15">
        <v>599.99</v>
      </c>
      <c r="I366" s="15">
        <v>599.99</v>
      </c>
    </row>
    <row r="367" ht="12.9" customHeight="1">
      <c r="B367" t="s" s="10">
        <v>554</v>
      </c>
      <c r="C367" t="s" s="11">
        <v>555</v>
      </c>
      <c r="D367" s="12">
        <v>45539</v>
      </c>
      <c r="E367" t="s" s="13">
        <v>63</v>
      </c>
      <c r="F367" s="16"/>
      <c r="G367" s="14">
        <v>1</v>
      </c>
      <c r="H367" s="15">
        <v>235.4</v>
      </c>
      <c r="I367" s="15">
        <v>235.4</v>
      </c>
    </row>
    <row r="368" ht="12.9" customHeight="1">
      <c r="B368" t="s" s="10">
        <v>554</v>
      </c>
      <c r="C368" t="s" s="11">
        <v>555</v>
      </c>
      <c r="D368" s="12">
        <v>45539</v>
      </c>
      <c r="E368" t="s" s="13">
        <v>143</v>
      </c>
      <c r="F368" t="s" s="13">
        <v>144</v>
      </c>
      <c r="G368" s="14">
        <v>1</v>
      </c>
      <c r="H368" s="15">
        <v>2499.99</v>
      </c>
      <c r="I368" s="15">
        <v>2499.99</v>
      </c>
    </row>
    <row r="369" ht="12.9" customHeight="1">
      <c r="B369" t="s" s="10">
        <v>554</v>
      </c>
      <c r="C369" t="s" s="11">
        <v>555</v>
      </c>
      <c r="D369" s="12">
        <v>45539</v>
      </c>
      <c r="E369" t="s" s="13">
        <v>556</v>
      </c>
      <c r="F369" t="s" s="13">
        <v>557</v>
      </c>
      <c r="G369" s="14">
        <v>5</v>
      </c>
      <c r="H369" s="15">
        <v>299.9925</v>
      </c>
      <c r="I369" s="15">
        <v>1499.9625</v>
      </c>
    </row>
    <row r="370" ht="12.9" customHeight="1">
      <c r="B370" t="s" s="10">
        <v>558</v>
      </c>
      <c r="C370" t="s" s="11">
        <v>432</v>
      </c>
      <c r="D370" s="12">
        <v>45539</v>
      </c>
      <c r="E370" t="s" s="13">
        <v>559</v>
      </c>
      <c r="F370" t="s" s="13">
        <v>560</v>
      </c>
      <c r="G370" s="14">
        <v>5</v>
      </c>
      <c r="H370" s="15">
        <v>0</v>
      </c>
      <c r="I370" s="15">
        <v>0</v>
      </c>
    </row>
    <row r="371" ht="12.9" customHeight="1">
      <c r="B371" t="s" s="10">
        <v>561</v>
      </c>
      <c r="C371" t="s" s="11">
        <v>164</v>
      </c>
      <c r="D371" s="12">
        <v>45539</v>
      </c>
      <c r="E371" t="s" s="13">
        <v>225</v>
      </c>
      <c r="F371" t="s" s="13">
        <v>226</v>
      </c>
      <c r="G371" s="14">
        <v>2</v>
      </c>
      <c r="H371" s="15">
        <v>499.99</v>
      </c>
      <c r="I371" s="15">
        <v>999.98</v>
      </c>
    </row>
    <row r="372" ht="12.9" customHeight="1">
      <c r="B372" t="s" s="10">
        <v>561</v>
      </c>
      <c r="C372" t="s" s="11">
        <v>164</v>
      </c>
      <c r="D372" s="12">
        <v>45539</v>
      </c>
      <c r="E372" t="s" s="13">
        <v>167</v>
      </c>
      <c r="F372" t="s" s="13">
        <v>495</v>
      </c>
      <c r="G372" s="14">
        <v>2</v>
      </c>
      <c r="H372" s="15">
        <v>0</v>
      </c>
      <c r="I372" s="15">
        <v>0</v>
      </c>
    </row>
    <row r="373" ht="12.9" customHeight="1">
      <c r="B373" t="s" s="10">
        <v>561</v>
      </c>
      <c r="C373" t="s" s="11">
        <v>164</v>
      </c>
      <c r="D373" s="12">
        <v>45539</v>
      </c>
      <c r="E373" t="s" s="13">
        <v>165</v>
      </c>
      <c r="F373" t="s" s="13">
        <v>392</v>
      </c>
      <c r="G373" s="14">
        <v>2</v>
      </c>
      <c r="H373" s="15">
        <v>29.99</v>
      </c>
      <c r="I373" s="15">
        <v>59.98</v>
      </c>
    </row>
    <row r="374" ht="12.9" customHeight="1">
      <c r="B374" t="s" s="10">
        <v>561</v>
      </c>
      <c r="C374" t="s" s="11">
        <v>164</v>
      </c>
      <c r="D374" s="12">
        <v>45539</v>
      </c>
      <c r="E374" t="s" s="13">
        <v>23</v>
      </c>
      <c r="F374" t="s" s="13">
        <v>24</v>
      </c>
      <c r="G374" s="14">
        <v>2</v>
      </c>
      <c r="H374" s="15">
        <v>149.99</v>
      </c>
      <c r="I374" s="15">
        <v>299.98</v>
      </c>
    </row>
    <row r="375" ht="12.9" customHeight="1">
      <c r="B375" t="s" s="10">
        <v>561</v>
      </c>
      <c r="C375" t="s" s="11">
        <v>164</v>
      </c>
      <c r="D375" s="12">
        <v>45539</v>
      </c>
      <c r="E375" t="s" s="13">
        <v>84</v>
      </c>
      <c r="F375" t="s" s="13">
        <v>85</v>
      </c>
      <c r="G375" s="14">
        <v>2</v>
      </c>
      <c r="H375" s="15">
        <v>0</v>
      </c>
      <c r="I375" s="15">
        <v>0</v>
      </c>
    </row>
    <row r="376" ht="12.9" customHeight="1">
      <c r="B376" t="s" s="10">
        <v>561</v>
      </c>
      <c r="C376" t="s" s="11">
        <v>164</v>
      </c>
      <c r="D376" s="12">
        <v>45539</v>
      </c>
      <c r="E376" t="s" s="13">
        <v>73</v>
      </c>
      <c r="F376" t="s" s="13">
        <v>74</v>
      </c>
      <c r="G376" s="14">
        <v>2</v>
      </c>
      <c r="H376" s="15">
        <v>399.99</v>
      </c>
      <c r="I376" s="15">
        <v>799.98</v>
      </c>
    </row>
    <row r="377" ht="12.9" customHeight="1">
      <c r="B377" t="s" s="10">
        <v>562</v>
      </c>
      <c r="C377" t="s" s="11">
        <v>563</v>
      </c>
      <c r="D377" s="12">
        <v>45539</v>
      </c>
      <c r="E377" t="s" s="13">
        <v>63</v>
      </c>
      <c r="F377" s="16"/>
      <c r="G377" s="14">
        <v>1</v>
      </c>
      <c r="H377" s="15">
        <v>13.6</v>
      </c>
      <c r="I377" s="15">
        <v>13.6</v>
      </c>
    </row>
    <row r="378" ht="12.9" customHeight="1">
      <c r="B378" t="s" s="10">
        <v>562</v>
      </c>
      <c r="C378" t="s" s="11">
        <v>563</v>
      </c>
      <c r="D378" s="12">
        <v>45539</v>
      </c>
      <c r="E378" t="s" s="13">
        <v>139</v>
      </c>
      <c r="F378" t="s" s="13">
        <v>140</v>
      </c>
      <c r="G378" s="14">
        <v>1</v>
      </c>
      <c r="H378" s="15">
        <v>37.4925</v>
      </c>
      <c r="I378" s="15">
        <v>37.4925</v>
      </c>
    </row>
    <row r="379" ht="12.9" customHeight="1">
      <c r="B379" t="s" s="10">
        <v>564</v>
      </c>
      <c r="C379" t="s" s="11">
        <v>545</v>
      </c>
      <c r="D379" s="12">
        <v>45539</v>
      </c>
      <c r="E379" t="s" s="13">
        <v>179</v>
      </c>
      <c r="F379" t="s" s="13">
        <v>180</v>
      </c>
      <c r="G379" s="14">
        <v>4</v>
      </c>
      <c r="H379" s="15">
        <v>49.99</v>
      </c>
      <c r="I379" s="15">
        <v>199.96</v>
      </c>
    </row>
    <row r="380" ht="12.9" customHeight="1">
      <c r="B380" t="s" s="10">
        <v>564</v>
      </c>
      <c r="C380" t="s" s="11">
        <v>545</v>
      </c>
      <c r="D380" s="12">
        <v>45539</v>
      </c>
      <c r="E380" t="s" s="13">
        <v>50</v>
      </c>
      <c r="F380" t="s" s="13">
        <v>83</v>
      </c>
      <c r="G380" s="14">
        <v>1</v>
      </c>
      <c r="H380" s="15">
        <v>29.99</v>
      </c>
      <c r="I380" s="15">
        <v>29.99</v>
      </c>
    </row>
    <row r="381" ht="12.9" customHeight="1">
      <c r="B381" t="s" s="10">
        <v>564</v>
      </c>
      <c r="C381" t="s" s="11">
        <v>545</v>
      </c>
      <c r="D381" s="12">
        <v>45539</v>
      </c>
      <c r="E381" t="s" s="13">
        <v>54</v>
      </c>
      <c r="F381" t="s" s="13">
        <v>565</v>
      </c>
      <c r="G381" s="14">
        <v>4</v>
      </c>
      <c r="H381" s="15">
        <v>0</v>
      </c>
      <c r="I381" s="15">
        <v>0</v>
      </c>
    </row>
    <row r="382" ht="12.9" customHeight="1">
      <c r="B382" t="s" s="10">
        <v>566</v>
      </c>
      <c r="C382" t="s" s="11">
        <v>567</v>
      </c>
      <c r="D382" s="12">
        <v>45538.8740597338</v>
      </c>
      <c r="E382" t="s" s="13">
        <v>73</v>
      </c>
      <c r="F382" t="s" s="13">
        <v>74</v>
      </c>
      <c r="G382" s="14">
        <v>1</v>
      </c>
      <c r="H382" s="15">
        <v>399.99</v>
      </c>
      <c r="I382" s="15">
        <v>399.99</v>
      </c>
    </row>
    <row r="383" ht="12.9" customHeight="1">
      <c r="B383" t="s" s="10">
        <v>568</v>
      </c>
      <c r="C383" t="s" s="11">
        <v>569</v>
      </c>
      <c r="D383" s="12">
        <v>45538.843753460649</v>
      </c>
      <c r="E383" t="s" s="13">
        <v>52</v>
      </c>
      <c r="F383" t="s" s="13">
        <v>321</v>
      </c>
      <c r="G383" s="14">
        <v>3</v>
      </c>
      <c r="H383" s="15">
        <v>19.99</v>
      </c>
      <c r="I383" s="15">
        <v>59.97</v>
      </c>
    </row>
    <row r="384" ht="12.9" customHeight="1">
      <c r="B384" t="s" s="10">
        <v>570</v>
      </c>
      <c r="C384" t="s" s="11">
        <v>571</v>
      </c>
      <c r="D384" s="12">
        <v>45538.839907905094</v>
      </c>
      <c r="E384" t="s" s="13">
        <v>19</v>
      </c>
      <c r="F384" t="s" s="13">
        <v>20</v>
      </c>
      <c r="G384" s="14">
        <v>2</v>
      </c>
      <c r="H384" s="15">
        <v>119.99</v>
      </c>
      <c r="I384" s="15">
        <v>239.98</v>
      </c>
    </row>
    <row r="385" ht="12.9" customHeight="1">
      <c r="B385" t="s" s="10">
        <v>572</v>
      </c>
      <c r="C385" t="s" s="11">
        <v>573</v>
      </c>
      <c r="D385" s="12">
        <v>45538.772400370370</v>
      </c>
      <c r="E385" t="s" s="13">
        <v>139</v>
      </c>
      <c r="F385" t="s" s="13">
        <v>140</v>
      </c>
      <c r="G385" s="14">
        <v>1</v>
      </c>
      <c r="H385" s="15">
        <v>49.99</v>
      </c>
      <c r="I385" s="15">
        <v>49.99</v>
      </c>
    </row>
    <row r="386" ht="12.9" customHeight="1">
      <c r="B386" t="s" s="10">
        <v>574</v>
      </c>
      <c r="C386" t="s" s="11">
        <v>575</v>
      </c>
      <c r="D386" s="12">
        <v>45538.677262523146</v>
      </c>
      <c r="E386" t="s" s="13">
        <v>73</v>
      </c>
      <c r="F386" t="s" s="13">
        <v>74</v>
      </c>
      <c r="G386" s="14">
        <v>1</v>
      </c>
      <c r="H386" s="15">
        <v>399.99</v>
      </c>
      <c r="I386" s="15">
        <v>399.99</v>
      </c>
    </row>
    <row r="387" ht="12.9" customHeight="1">
      <c r="B387" t="s" s="10">
        <v>574</v>
      </c>
      <c r="C387" t="s" s="11">
        <v>575</v>
      </c>
      <c r="D387" s="12">
        <v>45538.677262523146</v>
      </c>
      <c r="E387" t="s" s="13">
        <v>19</v>
      </c>
      <c r="F387" t="s" s="13">
        <v>20</v>
      </c>
      <c r="G387" s="14">
        <v>6</v>
      </c>
      <c r="H387" s="15">
        <v>119.99</v>
      </c>
      <c r="I387" s="15">
        <v>719.9400000000001</v>
      </c>
    </row>
    <row r="388" ht="12.9" customHeight="1">
      <c r="B388" t="s" s="10">
        <v>576</v>
      </c>
      <c r="C388" t="s" s="11">
        <v>577</v>
      </c>
      <c r="D388" s="12">
        <v>45538.656905173608</v>
      </c>
      <c r="E388" t="s" s="13">
        <v>146</v>
      </c>
      <c r="F388" t="s" s="13">
        <v>147</v>
      </c>
      <c r="G388" s="14">
        <v>1</v>
      </c>
      <c r="H388" s="15">
        <v>19.99</v>
      </c>
      <c r="I388" s="15">
        <v>19.99</v>
      </c>
    </row>
    <row r="389" ht="12.9" customHeight="1">
      <c r="B389" t="s" s="10">
        <v>578</v>
      </c>
      <c r="C389" t="s" s="11">
        <v>579</v>
      </c>
      <c r="D389" s="12">
        <v>45538.578330520832</v>
      </c>
      <c r="E389" t="s" s="13">
        <v>171</v>
      </c>
      <c r="F389" t="s" s="13">
        <v>172</v>
      </c>
      <c r="G389" s="14">
        <v>1</v>
      </c>
      <c r="H389" s="15">
        <v>549.99</v>
      </c>
      <c r="I389" s="15">
        <v>549.99</v>
      </c>
    </row>
    <row r="390" ht="12.9" customHeight="1">
      <c r="B390" t="s" s="10">
        <v>580</v>
      </c>
      <c r="C390" t="s" s="11">
        <v>581</v>
      </c>
      <c r="D390" s="12">
        <v>45538.554024039353</v>
      </c>
      <c r="E390" t="s" s="13">
        <v>133</v>
      </c>
      <c r="F390" t="s" s="13">
        <v>134</v>
      </c>
      <c r="G390" s="14">
        <v>1</v>
      </c>
      <c r="H390" s="15">
        <v>199.99</v>
      </c>
      <c r="I390" s="15">
        <v>199.99</v>
      </c>
    </row>
    <row r="391" ht="12.9" customHeight="1">
      <c r="B391" t="s" s="10">
        <v>582</v>
      </c>
      <c r="C391" t="s" s="11">
        <v>583</v>
      </c>
      <c r="D391" s="12">
        <v>45538.111996215281</v>
      </c>
      <c r="E391" t="s" s="13">
        <v>31</v>
      </c>
      <c r="F391" t="s" s="13">
        <v>32</v>
      </c>
      <c r="G391" s="14">
        <v>1</v>
      </c>
      <c r="H391" s="15">
        <v>599.99</v>
      </c>
      <c r="I391" s="15">
        <v>599.99</v>
      </c>
    </row>
    <row r="392" ht="12.9" customHeight="1">
      <c r="B392" t="s" s="10">
        <v>582</v>
      </c>
      <c r="C392" t="s" s="11">
        <v>583</v>
      </c>
      <c r="D392" s="12">
        <v>45538.111996215281</v>
      </c>
      <c r="E392" t="s" s="13">
        <v>15</v>
      </c>
      <c r="F392" t="s" s="13">
        <v>16</v>
      </c>
      <c r="G392" s="14">
        <v>1</v>
      </c>
      <c r="H392" s="15">
        <v>9.99</v>
      </c>
      <c r="I392" s="15">
        <v>9.99</v>
      </c>
    </row>
    <row r="393" ht="12.9" customHeight="1">
      <c r="B393" t="s" s="10">
        <v>584</v>
      </c>
      <c r="C393" t="s" s="11">
        <v>391</v>
      </c>
      <c r="D393" s="12">
        <v>45538</v>
      </c>
      <c r="E393" t="s" s="13">
        <v>63</v>
      </c>
      <c r="F393" s="16"/>
      <c r="G393" s="14">
        <v>1</v>
      </c>
      <c r="H393" s="15">
        <v>35.5</v>
      </c>
      <c r="I393" s="15">
        <v>35.5</v>
      </c>
    </row>
    <row r="394" ht="12.9" customHeight="1">
      <c r="B394" t="s" s="10">
        <v>584</v>
      </c>
      <c r="C394" t="s" s="11">
        <v>391</v>
      </c>
      <c r="D394" s="12">
        <v>45538</v>
      </c>
      <c r="E394" t="s" s="13">
        <v>585</v>
      </c>
      <c r="F394" t="s" s="13">
        <v>586</v>
      </c>
      <c r="G394" s="14">
        <v>4</v>
      </c>
      <c r="H394" s="15">
        <v>374.9925</v>
      </c>
      <c r="I394" s="15">
        <v>1499.97</v>
      </c>
    </row>
    <row r="395" ht="12.9" customHeight="1">
      <c r="B395" t="s" s="10">
        <v>584</v>
      </c>
      <c r="C395" t="s" s="11">
        <v>391</v>
      </c>
      <c r="D395" s="12">
        <v>45538</v>
      </c>
      <c r="E395" t="s" s="13">
        <v>587</v>
      </c>
      <c r="F395" t="s" s="13">
        <v>588</v>
      </c>
      <c r="G395" s="14">
        <v>4</v>
      </c>
      <c r="H395" s="15">
        <v>0</v>
      </c>
      <c r="I395" s="15">
        <v>0</v>
      </c>
    </row>
    <row r="396" ht="12.9" customHeight="1">
      <c r="B396" t="s" s="10">
        <v>584</v>
      </c>
      <c r="C396" t="s" s="11">
        <v>391</v>
      </c>
      <c r="D396" s="12">
        <v>45538</v>
      </c>
      <c r="E396" t="s" s="13">
        <v>589</v>
      </c>
      <c r="F396" t="s" s="13">
        <v>590</v>
      </c>
      <c r="G396" s="14">
        <v>2</v>
      </c>
      <c r="H396" s="15">
        <v>0</v>
      </c>
      <c r="I396" s="15">
        <v>0</v>
      </c>
    </row>
    <row r="397" ht="12.9" customHeight="1">
      <c r="B397" t="s" s="10">
        <v>591</v>
      </c>
      <c r="C397" t="s" s="11">
        <v>592</v>
      </c>
      <c r="D397" s="12">
        <v>45538</v>
      </c>
      <c r="E397" t="s" s="13">
        <v>109</v>
      </c>
      <c r="F397" t="s" s="13">
        <v>109</v>
      </c>
      <c r="G397" s="14">
        <v>12</v>
      </c>
      <c r="H397" s="15">
        <v>135</v>
      </c>
      <c r="I397" s="15">
        <v>1620</v>
      </c>
    </row>
    <row r="398" ht="12.9" customHeight="1">
      <c r="B398" t="s" s="10">
        <v>591</v>
      </c>
      <c r="C398" t="s" s="11">
        <v>592</v>
      </c>
      <c r="D398" s="12">
        <v>45538</v>
      </c>
      <c r="E398" t="s" s="13">
        <v>593</v>
      </c>
      <c r="F398" t="s" s="13">
        <v>593</v>
      </c>
      <c r="G398" s="14">
        <v>12</v>
      </c>
      <c r="H398" s="15">
        <v>40</v>
      </c>
      <c r="I398" s="15">
        <v>480</v>
      </c>
    </row>
    <row r="399" ht="12.9" customHeight="1">
      <c r="B399" t="s" s="10">
        <v>591</v>
      </c>
      <c r="C399" t="s" s="11">
        <v>592</v>
      </c>
      <c r="D399" s="12">
        <v>45538</v>
      </c>
      <c r="E399" t="s" s="13">
        <v>594</v>
      </c>
      <c r="F399" t="s" s="13">
        <v>595</v>
      </c>
      <c r="G399" s="14">
        <v>12</v>
      </c>
      <c r="H399" s="15">
        <v>20</v>
      </c>
      <c r="I399" s="15">
        <v>240</v>
      </c>
    </row>
    <row r="400" ht="12.9" customHeight="1">
      <c r="B400" t="s" s="10">
        <v>596</v>
      </c>
      <c r="C400" t="s" s="11">
        <v>597</v>
      </c>
      <c r="D400" s="12">
        <v>45538</v>
      </c>
      <c r="E400" t="s" s="13">
        <v>598</v>
      </c>
      <c r="F400" t="s" s="13">
        <v>599</v>
      </c>
      <c r="G400" s="14">
        <v>1</v>
      </c>
      <c r="H400" s="15">
        <v>0</v>
      </c>
      <c r="I400" s="15">
        <v>0</v>
      </c>
    </row>
    <row r="401" ht="12.9" customHeight="1">
      <c r="B401" t="s" s="10">
        <v>600</v>
      </c>
      <c r="C401" t="s" s="11">
        <v>601</v>
      </c>
      <c r="D401" s="12">
        <v>45538</v>
      </c>
      <c r="E401" t="s" s="13">
        <v>81</v>
      </c>
      <c r="F401" t="s" s="13">
        <v>82</v>
      </c>
      <c r="G401" s="14">
        <v>4</v>
      </c>
      <c r="H401" s="15">
        <v>849.99</v>
      </c>
      <c r="I401" s="15">
        <v>3399.96</v>
      </c>
    </row>
    <row r="402" ht="12.9" customHeight="1">
      <c r="B402" t="s" s="10">
        <v>600</v>
      </c>
      <c r="C402" t="s" s="11">
        <v>601</v>
      </c>
      <c r="D402" s="12">
        <v>45538</v>
      </c>
      <c r="E402" t="s" s="13">
        <v>50</v>
      </c>
      <c r="F402" t="s" s="13">
        <v>83</v>
      </c>
      <c r="G402" s="14">
        <v>4</v>
      </c>
      <c r="H402" s="15">
        <v>0</v>
      </c>
      <c r="I402" s="15">
        <v>0</v>
      </c>
    </row>
    <row r="403" ht="12.9" customHeight="1">
      <c r="B403" t="s" s="10">
        <v>600</v>
      </c>
      <c r="C403" t="s" s="11">
        <v>601</v>
      </c>
      <c r="D403" s="12">
        <v>45538</v>
      </c>
      <c r="E403" t="s" s="13">
        <v>84</v>
      </c>
      <c r="F403" t="s" s="13">
        <v>330</v>
      </c>
      <c r="G403" s="14">
        <v>4</v>
      </c>
      <c r="H403" s="15">
        <v>0</v>
      </c>
      <c r="I403" s="15">
        <v>0</v>
      </c>
    </row>
    <row r="404" ht="12.9" customHeight="1">
      <c r="B404" t="s" s="10">
        <v>600</v>
      </c>
      <c r="C404" t="s" s="11">
        <v>601</v>
      </c>
      <c r="D404" s="12">
        <v>45538</v>
      </c>
      <c r="E404" t="s" s="13">
        <v>602</v>
      </c>
      <c r="F404" t="s" s="13">
        <v>603</v>
      </c>
      <c r="G404" s="14">
        <v>4</v>
      </c>
      <c r="H404" s="15">
        <v>150</v>
      </c>
      <c r="I404" s="15">
        <v>600</v>
      </c>
    </row>
    <row r="405" ht="12.9" customHeight="1">
      <c r="B405" t="s" s="10">
        <v>604</v>
      </c>
      <c r="C405" t="s" s="11">
        <v>605</v>
      </c>
      <c r="D405" s="12">
        <v>45538</v>
      </c>
      <c r="E405" t="s" s="13">
        <v>27</v>
      </c>
      <c r="F405" t="s" s="13">
        <v>28</v>
      </c>
      <c r="G405" s="14">
        <v>1</v>
      </c>
      <c r="H405" s="15">
        <v>0</v>
      </c>
      <c r="I405" s="15">
        <v>0</v>
      </c>
    </row>
    <row r="406" ht="12.9" customHeight="1">
      <c r="B406" t="s" s="10">
        <v>606</v>
      </c>
      <c r="C406" t="s" s="11">
        <v>42</v>
      </c>
      <c r="D406" s="12">
        <v>45538</v>
      </c>
      <c r="E406" t="s" s="13">
        <v>63</v>
      </c>
      <c r="F406" s="16"/>
      <c r="G406" s="14">
        <v>1</v>
      </c>
      <c r="H406" s="15">
        <v>16.5</v>
      </c>
      <c r="I406" s="15">
        <v>16.5</v>
      </c>
    </row>
    <row r="407" ht="12.9" customHeight="1">
      <c r="B407" t="s" s="10">
        <v>606</v>
      </c>
      <c r="C407" t="s" s="11">
        <v>42</v>
      </c>
      <c r="D407" s="12">
        <v>45538</v>
      </c>
      <c r="E407" t="s" s="13">
        <v>119</v>
      </c>
      <c r="F407" t="s" s="13">
        <v>120</v>
      </c>
      <c r="G407" s="14">
        <v>30</v>
      </c>
      <c r="H407" s="15">
        <v>0</v>
      </c>
      <c r="I407" s="15">
        <v>0</v>
      </c>
    </row>
    <row r="408" ht="12.9" customHeight="1">
      <c r="B408" t="s" s="10">
        <v>606</v>
      </c>
      <c r="C408" t="s" s="11">
        <v>42</v>
      </c>
      <c r="D408" s="12">
        <v>45538</v>
      </c>
      <c r="E408" t="s" s="13">
        <v>402</v>
      </c>
      <c r="F408" t="s" s="13">
        <v>403</v>
      </c>
      <c r="G408" s="14">
        <v>30</v>
      </c>
      <c r="H408" s="15">
        <v>0</v>
      </c>
      <c r="I408" s="15">
        <v>0</v>
      </c>
    </row>
    <row r="409" ht="12.9" customHeight="1">
      <c r="B409" t="s" s="10">
        <v>606</v>
      </c>
      <c r="C409" t="s" s="11">
        <v>42</v>
      </c>
      <c r="D409" s="12">
        <v>45538</v>
      </c>
      <c r="E409" t="s" s="13">
        <v>607</v>
      </c>
      <c r="F409" t="s" s="13">
        <v>608</v>
      </c>
      <c r="G409" s="14">
        <v>20</v>
      </c>
      <c r="H409" s="15">
        <v>22.4925</v>
      </c>
      <c r="I409" s="15">
        <v>449.85</v>
      </c>
    </row>
    <row r="410" ht="12.9" customHeight="1">
      <c r="B410" t="s" s="10">
        <v>609</v>
      </c>
      <c r="C410" t="s" s="11">
        <v>610</v>
      </c>
      <c r="D410" s="12">
        <v>45537.209959155094</v>
      </c>
      <c r="E410" t="s" s="13">
        <v>19</v>
      </c>
      <c r="F410" t="s" s="13">
        <v>20</v>
      </c>
      <c r="G410" s="14">
        <v>1</v>
      </c>
      <c r="H410" s="15">
        <v>119.99</v>
      </c>
      <c r="I410" s="15">
        <v>119.99</v>
      </c>
    </row>
    <row r="411" ht="12.9" customHeight="1">
      <c r="B411" t="s" s="10">
        <v>609</v>
      </c>
      <c r="C411" t="s" s="11">
        <v>610</v>
      </c>
      <c r="D411" s="12">
        <v>45537.209959155094</v>
      </c>
      <c r="E411" t="s" s="13">
        <v>77</v>
      </c>
      <c r="F411" t="s" s="13">
        <v>78</v>
      </c>
      <c r="G411" s="14">
        <v>1</v>
      </c>
      <c r="H411" s="15">
        <v>19.99</v>
      </c>
      <c r="I411" s="15">
        <v>19.99</v>
      </c>
    </row>
    <row r="412" ht="12.9" customHeight="1">
      <c r="B412" t="s" s="10">
        <v>609</v>
      </c>
      <c r="C412" t="s" s="11">
        <v>610</v>
      </c>
      <c r="D412" s="12">
        <v>45537.209959155094</v>
      </c>
      <c r="E412" t="s" s="13">
        <v>23</v>
      </c>
      <c r="F412" t="s" s="13">
        <v>24</v>
      </c>
      <c r="G412" s="14">
        <v>1</v>
      </c>
      <c r="H412" s="15">
        <v>149.99</v>
      </c>
      <c r="I412" s="15">
        <v>149.99</v>
      </c>
    </row>
    <row r="413" ht="12.9" customHeight="1">
      <c r="B413" t="s" s="10">
        <v>611</v>
      </c>
      <c r="C413" t="s" s="11">
        <v>612</v>
      </c>
      <c r="D413" s="12">
        <v>45536.984095115738</v>
      </c>
      <c r="E413" t="s" s="13">
        <v>589</v>
      </c>
      <c r="F413" t="s" s="13">
        <v>590</v>
      </c>
      <c r="G413" s="14">
        <v>2</v>
      </c>
      <c r="H413" s="15">
        <v>7.49</v>
      </c>
      <c r="I413" s="15">
        <v>14.98</v>
      </c>
    </row>
    <row r="414" ht="12.9" customHeight="1">
      <c r="B414" t="s" s="10">
        <v>613</v>
      </c>
      <c r="C414" t="s" s="11">
        <v>614</v>
      </c>
      <c r="D414" s="12">
        <v>45536.518014363428</v>
      </c>
      <c r="E414" t="s" s="13">
        <v>35</v>
      </c>
      <c r="F414" t="s" s="13">
        <v>36</v>
      </c>
      <c r="G414" s="14">
        <v>1</v>
      </c>
      <c r="H414" s="15">
        <v>49.99</v>
      </c>
      <c r="I414" s="15">
        <v>49.99</v>
      </c>
    </row>
    <row r="415" ht="12.9" customHeight="1">
      <c r="B415" s="17"/>
      <c r="C415" s="18"/>
      <c r="D415" s="12"/>
      <c r="E415" s="16"/>
      <c r="F415" s="16"/>
      <c r="G415" s="16"/>
      <c r="H415" s="15"/>
      <c r="I415" s="15"/>
    </row>
    <row r="416" ht="12.9" customHeight="1">
      <c r="B416" s="17"/>
      <c r="C416" s="18"/>
      <c r="D416" s="12"/>
      <c r="E416" s="16"/>
      <c r="F416" s="16"/>
      <c r="G416" s="16"/>
      <c r="H416" s="15"/>
      <c r="I416" s="15"/>
    </row>
    <row r="417" ht="12.9" customHeight="1">
      <c r="B417" s="17"/>
      <c r="C417" s="18"/>
      <c r="D417" s="12"/>
      <c r="E417" s="16"/>
      <c r="F417" s="16"/>
      <c r="G417" s="16"/>
      <c r="H417" s="15"/>
      <c r="I417" s="15"/>
    </row>
    <row r="418" ht="12.9" customHeight="1">
      <c r="B418" s="17"/>
      <c r="C418" s="18"/>
      <c r="D418" s="12"/>
      <c r="E418" s="16"/>
      <c r="F418" s="16"/>
      <c r="G418" s="16"/>
      <c r="H418" s="15"/>
      <c r="I418" s="15"/>
    </row>
    <row r="419" ht="12.9" customHeight="1">
      <c r="B419" s="17"/>
      <c r="C419" s="18"/>
      <c r="D419" s="12"/>
      <c r="E419" s="16"/>
      <c r="F419" s="16"/>
      <c r="G419" s="16"/>
      <c r="H419" s="15"/>
      <c r="I419" s="15"/>
    </row>
    <row r="420" ht="12.9" customHeight="1">
      <c r="B420" s="17"/>
      <c r="C420" s="18"/>
      <c r="D420" s="12"/>
      <c r="E420" s="16"/>
      <c r="F420" s="16"/>
      <c r="G420" s="16"/>
      <c r="H420" s="15"/>
      <c r="I420" s="15"/>
    </row>
    <row r="421" ht="12.9" customHeight="1">
      <c r="B421" s="17"/>
      <c r="C421" s="18"/>
      <c r="D421" s="12"/>
      <c r="E421" s="16"/>
      <c r="F421" s="16"/>
      <c r="G421" s="16"/>
      <c r="H421" s="15"/>
      <c r="I421" s="15"/>
    </row>
    <row r="422" ht="12.9" customHeight="1">
      <c r="B422" s="17"/>
      <c r="C422" s="18"/>
      <c r="D422" s="12"/>
      <c r="E422" s="16"/>
      <c r="F422" s="16"/>
      <c r="G422" s="16"/>
      <c r="H422" s="15"/>
      <c r="I422" s="15"/>
    </row>
    <row r="423" ht="12.9" customHeight="1">
      <c r="B423" s="17"/>
      <c r="C423" s="18"/>
      <c r="D423" s="12"/>
      <c r="E423" s="16"/>
      <c r="F423" s="16"/>
      <c r="G423" s="16"/>
      <c r="H423" s="15"/>
      <c r="I423" s="15"/>
    </row>
    <row r="424" ht="12.9" customHeight="1">
      <c r="B424" s="17"/>
      <c r="C424" s="18"/>
      <c r="D424" s="12"/>
      <c r="E424" s="16"/>
      <c r="F424" s="16"/>
      <c r="G424" s="16"/>
      <c r="H424" s="15"/>
      <c r="I424" s="15"/>
    </row>
    <row r="425" ht="12.9" customHeight="1">
      <c r="B425" s="17"/>
      <c r="C425" s="18"/>
      <c r="D425" s="12"/>
      <c r="E425" s="16"/>
      <c r="F425" s="16"/>
      <c r="G425" s="16"/>
      <c r="H425" s="15"/>
      <c r="I425" s="15"/>
    </row>
    <row r="426" ht="12.9" customHeight="1">
      <c r="B426" s="17"/>
      <c r="C426" s="18"/>
      <c r="D426" s="12"/>
      <c r="E426" s="16"/>
      <c r="F426" s="16"/>
      <c r="G426" s="16"/>
      <c r="H426" s="15"/>
      <c r="I426" s="15"/>
    </row>
    <row r="427" ht="12.9" customHeight="1">
      <c r="B427" s="17"/>
      <c r="C427" s="18"/>
      <c r="D427" s="12"/>
      <c r="E427" s="16"/>
      <c r="F427" s="16"/>
      <c r="G427" s="16"/>
      <c r="H427" s="15"/>
      <c r="I427" s="15"/>
    </row>
    <row r="428" ht="12.9" customHeight="1">
      <c r="B428" s="17"/>
      <c r="C428" s="18"/>
      <c r="D428" s="12"/>
      <c r="E428" s="16"/>
      <c r="F428" s="16"/>
      <c r="G428" s="16"/>
      <c r="H428" s="15"/>
      <c r="I428" s="15"/>
    </row>
    <row r="429" ht="12.9" customHeight="1">
      <c r="B429" s="17"/>
      <c r="C429" s="18"/>
      <c r="D429" s="12"/>
      <c r="E429" s="16"/>
      <c r="F429" s="16"/>
      <c r="G429" s="16"/>
      <c r="H429" s="15"/>
      <c r="I429" s="15"/>
    </row>
    <row r="430" ht="12.9" customHeight="1">
      <c r="B430" s="17"/>
      <c r="C430" s="18"/>
      <c r="D430" s="12"/>
      <c r="E430" s="16"/>
      <c r="F430" s="16"/>
      <c r="G430" s="16"/>
      <c r="H430" s="15"/>
      <c r="I430" s="15"/>
    </row>
    <row r="431" ht="12.9" customHeight="1">
      <c r="B431" s="17"/>
      <c r="C431" s="18"/>
      <c r="D431" s="12"/>
      <c r="E431" s="16"/>
      <c r="F431" s="16"/>
      <c r="G431" s="16"/>
      <c r="H431" s="15"/>
      <c r="I431" s="15"/>
    </row>
    <row r="432" ht="12.9" customHeight="1">
      <c r="B432" s="17"/>
      <c r="C432" s="18"/>
      <c r="D432" s="12"/>
      <c r="E432" s="16"/>
      <c r="F432" s="16"/>
      <c r="G432" s="16"/>
      <c r="H432" s="15"/>
      <c r="I432" s="15"/>
    </row>
    <row r="433" ht="12.9" customHeight="1">
      <c r="B433" s="17"/>
      <c r="C433" s="18"/>
      <c r="D433" s="12"/>
      <c r="E433" s="16"/>
      <c r="F433" s="16"/>
      <c r="G433" s="16"/>
      <c r="H433" s="15"/>
      <c r="I433" s="15"/>
    </row>
    <row r="434" ht="12.9" customHeight="1">
      <c r="B434" s="17"/>
      <c r="C434" s="18"/>
      <c r="D434" s="12"/>
      <c r="E434" s="16"/>
      <c r="F434" s="16"/>
      <c r="G434" s="16"/>
      <c r="H434" s="15"/>
      <c r="I434" s="15"/>
    </row>
    <row r="435" ht="12.9" customHeight="1">
      <c r="B435" s="17"/>
      <c r="C435" s="18"/>
      <c r="D435" s="12"/>
      <c r="E435" s="16"/>
      <c r="F435" s="16"/>
      <c r="G435" s="16"/>
      <c r="H435" s="15"/>
      <c r="I435" s="15"/>
    </row>
    <row r="436" ht="12.9" customHeight="1">
      <c r="B436" s="17"/>
      <c r="C436" s="18"/>
      <c r="D436" s="12"/>
      <c r="E436" s="16"/>
      <c r="F436" s="16"/>
      <c r="G436" s="16"/>
      <c r="H436" s="15"/>
      <c r="I436" s="15"/>
    </row>
    <row r="437" ht="12.9" customHeight="1">
      <c r="B437" s="17"/>
      <c r="C437" s="18"/>
      <c r="D437" s="12"/>
      <c r="E437" s="16"/>
      <c r="F437" s="16"/>
      <c r="G437" s="16"/>
      <c r="H437" s="15"/>
      <c r="I437" s="15"/>
    </row>
    <row r="438" ht="12.9" customHeight="1">
      <c r="B438" s="17"/>
      <c r="C438" s="18"/>
      <c r="D438" s="12"/>
      <c r="E438" s="16"/>
      <c r="F438" s="16"/>
      <c r="G438" s="16"/>
      <c r="H438" s="15"/>
      <c r="I438" s="15"/>
    </row>
    <row r="439" ht="12.9" customHeight="1">
      <c r="B439" s="17"/>
      <c r="C439" s="18"/>
      <c r="D439" s="12"/>
      <c r="E439" s="16"/>
      <c r="F439" s="16"/>
      <c r="G439" s="16"/>
      <c r="H439" s="15"/>
      <c r="I439" s="15"/>
    </row>
    <row r="440" ht="12.9" customHeight="1">
      <c r="B440" s="17"/>
      <c r="C440" s="18"/>
      <c r="D440" s="12"/>
      <c r="E440" s="16"/>
      <c r="F440" s="16"/>
      <c r="G440" s="16"/>
      <c r="H440" s="15"/>
      <c r="I440" s="15"/>
    </row>
    <row r="441" ht="12.9" customHeight="1">
      <c r="B441" s="17"/>
      <c r="C441" s="18"/>
      <c r="D441" s="12"/>
      <c r="E441" s="16"/>
      <c r="F441" s="16"/>
      <c r="G441" s="16"/>
      <c r="H441" s="15"/>
      <c r="I441" s="15"/>
    </row>
    <row r="442" ht="12.9" customHeight="1">
      <c r="B442" s="17"/>
      <c r="C442" s="18"/>
      <c r="D442" s="12"/>
      <c r="E442" s="16"/>
      <c r="F442" s="16"/>
      <c r="G442" s="16"/>
      <c r="H442" s="15"/>
      <c r="I442" s="15"/>
    </row>
    <row r="443" ht="12.9" customHeight="1">
      <c r="B443" s="17"/>
      <c r="C443" s="18"/>
      <c r="D443" s="12"/>
      <c r="E443" s="16"/>
      <c r="F443" s="16"/>
      <c r="G443" s="16"/>
      <c r="H443" s="15"/>
      <c r="I443" s="15"/>
    </row>
    <row r="444" ht="12.9" customHeight="1">
      <c r="B444" s="17"/>
      <c r="C444" s="18"/>
      <c r="D444" s="12"/>
      <c r="E444" s="16"/>
      <c r="F444" s="16"/>
      <c r="G444" s="16"/>
      <c r="H444" s="15"/>
      <c r="I444" s="15"/>
    </row>
    <row r="445" ht="12.9" customHeight="1">
      <c r="B445" s="17"/>
      <c r="C445" s="18"/>
      <c r="D445" s="12"/>
      <c r="E445" s="16"/>
      <c r="F445" s="16"/>
      <c r="G445" s="16"/>
      <c r="H445" s="15"/>
      <c r="I445" s="15"/>
    </row>
    <row r="446" ht="12.9" customHeight="1">
      <c r="B446" s="17"/>
      <c r="C446" s="18"/>
      <c r="D446" s="12"/>
      <c r="E446" s="16"/>
      <c r="F446" s="16"/>
      <c r="G446" s="16"/>
      <c r="H446" s="15"/>
      <c r="I446" s="15"/>
    </row>
    <row r="447" ht="12.9" customHeight="1">
      <c r="B447" s="17"/>
      <c r="C447" s="18"/>
      <c r="D447" s="12"/>
      <c r="E447" s="16"/>
      <c r="F447" s="16"/>
      <c r="G447" s="16"/>
      <c r="H447" s="15"/>
      <c r="I447" s="15"/>
    </row>
    <row r="448" ht="12.9" customHeight="1">
      <c r="B448" s="17"/>
      <c r="C448" s="18"/>
      <c r="D448" s="12"/>
      <c r="E448" s="16"/>
      <c r="F448" s="16"/>
      <c r="G448" s="16"/>
      <c r="H448" s="15"/>
      <c r="I448" s="15"/>
    </row>
    <row r="449" ht="12.9" customHeight="1">
      <c r="B449" s="17"/>
      <c r="C449" s="18"/>
      <c r="D449" s="12"/>
      <c r="E449" s="16"/>
      <c r="F449" s="16"/>
      <c r="G449" s="16"/>
      <c r="H449" s="15"/>
      <c r="I449" s="15"/>
    </row>
    <row r="450" ht="12.9" customHeight="1">
      <c r="B450" s="17"/>
      <c r="C450" s="18"/>
      <c r="D450" s="12"/>
      <c r="E450" s="16"/>
      <c r="F450" s="16"/>
      <c r="G450" s="16"/>
      <c r="H450" s="15"/>
      <c r="I450" s="15"/>
    </row>
    <row r="451" ht="12.9" customHeight="1">
      <c r="B451" s="17"/>
      <c r="C451" s="18"/>
      <c r="D451" s="12"/>
      <c r="E451" s="16"/>
      <c r="F451" s="16"/>
      <c r="G451" s="16"/>
      <c r="H451" s="15"/>
      <c r="I451" s="15"/>
    </row>
    <row r="452" ht="12.9" customHeight="1">
      <c r="B452" s="17"/>
      <c r="C452" s="18"/>
      <c r="D452" s="12"/>
      <c r="E452" s="16"/>
      <c r="F452" s="16"/>
      <c r="G452" s="16"/>
      <c r="H452" s="15"/>
      <c r="I452" s="15"/>
    </row>
    <row r="453" ht="12.9" customHeight="1">
      <c r="B453" s="17"/>
      <c r="C453" s="18"/>
      <c r="D453" s="12"/>
      <c r="E453" s="16"/>
      <c r="F453" s="16"/>
      <c r="G453" s="16"/>
      <c r="H453" s="15"/>
      <c r="I453" s="15"/>
    </row>
    <row r="454" ht="12.9" customHeight="1">
      <c r="B454" s="17"/>
      <c r="C454" s="18"/>
      <c r="D454" s="12"/>
      <c r="E454" s="16"/>
      <c r="F454" s="16"/>
      <c r="G454" s="16"/>
      <c r="H454" s="15"/>
      <c r="I454" s="15"/>
    </row>
    <row r="455" ht="12.9" customHeight="1">
      <c r="B455" s="17"/>
      <c r="C455" s="18"/>
      <c r="D455" s="12"/>
      <c r="E455" s="16"/>
      <c r="F455" s="16"/>
      <c r="G455" s="16"/>
      <c r="H455" s="15"/>
      <c r="I455" s="15"/>
    </row>
    <row r="456" ht="12.9" customHeight="1">
      <c r="B456" s="17"/>
      <c r="C456" s="18"/>
      <c r="D456" s="12"/>
      <c r="E456" s="16"/>
      <c r="F456" s="16"/>
      <c r="G456" s="16"/>
      <c r="H456" s="15"/>
      <c r="I456" s="15"/>
    </row>
    <row r="457" ht="12.9" customHeight="1">
      <c r="B457" s="17"/>
      <c r="C457" s="18"/>
      <c r="D457" s="12"/>
      <c r="E457" s="16"/>
      <c r="F457" s="16"/>
      <c r="G457" s="16"/>
      <c r="H457" s="15"/>
      <c r="I457" s="15"/>
    </row>
    <row r="458" ht="12.9" customHeight="1">
      <c r="B458" s="17"/>
      <c r="C458" s="18"/>
      <c r="D458" s="12"/>
      <c r="E458" s="16"/>
      <c r="F458" s="16"/>
      <c r="G458" s="16"/>
      <c r="H458" s="15"/>
      <c r="I458" s="15"/>
    </row>
    <row r="459" ht="12.9" customHeight="1">
      <c r="B459" s="17"/>
      <c r="C459" s="18"/>
      <c r="D459" s="12"/>
      <c r="E459" s="16"/>
      <c r="F459" s="16"/>
      <c r="G459" s="16"/>
      <c r="H459" s="15"/>
      <c r="I459" s="15"/>
    </row>
    <row r="460" ht="12.9" customHeight="1">
      <c r="B460" s="17"/>
      <c r="C460" s="18"/>
      <c r="D460" s="12"/>
      <c r="E460" s="16"/>
      <c r="F460" s="16"/>
      <c r="G460" s="16"/>
      <c r="H460" s="15"/>
      <c r="I460" s="15"/>
    </row>
    <row r="461" ht="12.9" customHeight="1">
      <c r="B461" s="17"/>
      <c r="C461" s="18"/>
      <c r="D461" s="12"/>
      <c r="E461" s="16"/>
      <c r="F461" s="16"/>
      <c r="G461" s="16"/>
      <c r="H461" s="15"/>
      <c r="I461" s="15"/>
    </row>
    <row r="462" ht="12.9" customHeight="1">
      <c r="B462" s="17"/>
      <c r="C462" s="18"/>
      <c r="D462" s="12"/>
      <c r="E462" s="16"/>
      <c r="F462" s="16"/>
      <c r="G462" s="16"/>
      <c r="H462" s="15"/>
      <c r="I462" s="15"/>
    </row>
    <row r="463" ht="12.9" customHeight="1">
      <c r="B463" s="17"/>
      <c r="C463" s="18"/>
      <c r="D463" s="12"/>
      <c r="E463" s="16"/>
      <c r="F463" s="16"/>
      <c r="G463" s="16"/>
      <c r="H463" s="15"/>
      <c r="I463" s="15"/>
    </row>
    <row r="464" ht="12.9" customHeight="1">
      <c r="B464" s="17"/>
      <c r="C464" s="18"/>
      <c r="D464" s="12"/>
      <c r="E464" s="16"/>
      <c r="F464" s="16"/>
      <c r="G464" s="16"/>
      <c r="H464" s="15"/>
      <c r="I464" s="15"/>
    </row>
    <row r="465" ht="12.9" customHeight="1">
      <c r="B465" s="17"/>
      <c r="C465" s="18"/>
      <c r="D465" s="12"/>
      <c r="E465" s="16"/>
      <c r="F465" s="16"/>
      <c r="G465" s="16"/>
      <c r="H465" s="15"/>
      <c r="I465" s="15"/>
    </row>
    <row r="466" ht="12.9" customHeight="1">
      <c r="B466" s="17"/>
      <c r="C466" s="18"/>
      <c r="D466" s="12"/>
      <c r="E466" s="16"/>
      <c r="F466" s="16"/>
      <c r="G466" s="16"/>
      <c r="H466" s="15"/>
      <c r="I466" s="15"/>
    </row>
    <row r="467" ht="12.9" customHeight="1">
      <c r="B467" s="17"/>
      <c r="C467" s="18"/>
      <c r="D467" s="12"/>
      <c r="E467" s="16"/>
      <c r="F467" s="16"/>
      <c r="G467" s="16"/>
      <c r="H467" s="15"/>
      <c r="I467" s="15"/>
    </row>
    <row r="468" ht="12.9" customHeight="1">
      <c r="B468" s="17"/>
      <c r="C468" s="18"/>
      <c r="D468" s="12"/>
      <c r="E468" s="16"/>
      <c r="F468" s="16"/>
      <c r="G468" s="16"/>
      <c r="H468" s="15"/>
      <c r="I468" s="15"/>
    </row>
    <row r="469" ht="12.9" customHeight="1">
      <c r="B469" s="17"/>
      <c r="C469" s="18"/>
      <c r="D469" s="12"/>
      <c r="E469" s="16"/>
      <c r="F469" s="16"/>
      <c r="G469" s="16"/>
      <c r="H469" s="15"/>
      <c r="I469" s="15"/>
    </row>
    <row r="470" ht="12.9" customHeight="1">
      <c r="B470" s="17"/>
      <c r="C470" s="18"/>
      <c r="D470" s="12"/>
      <c r="E470" s="16"/>
      <c r="F470" s="16"/>
      <c r="G470" s="16"/>
      <c r="H470" s="15"/>
      <c r="I470" s="15"/>
    </row>
    <row r="471" ht="12.9" customHeight="1">
      <c r="B471" s="17"/>
      <c r="C471" s="18"/>
      <c r="D471" s="12"/>
      <c r="E471" s="16"/>
      <c r="F471" s="16"/>
      <c r="G471" s="16"/>
      <c r="H471" s="15"/>
      <c r="I471" s="15"/>
    </row>
    <row r="472" ht="12.9" customHeight="1">
      <c r="B472" s="17"/>
      <c r="C472" s="18"/>
      <c r="D472" s="12"/>
      <c r="E472" s="16"/>
      <c r="F472" s="16"/>
      <c r="G472" s="16"/>
      <c r="H472" s="15"/>
      <c r="I472" s="15"/>
    </row>
    <row r="473" ht="12.9" customHeight="1">
      <c r="B473" s="17"/>
      <c r="C473" s="18"/>
      <c r="D473" s="12"/>
      <c r="E473" s="16"/>
      <c r="F473" s="16"/>
      <c r="G473" s="16"/>
      <c r="H473" s="15"/>
      <c r="I473" s="15"/>
    </row>
    <row r="474" ht="12.9" customHeight="1">
      <c r="B474" s="17"/>
      <c r="C474" s="18"/>
      <c r="D474" s="12"/>
      <c r="E474" s="16"/>
      <c r="F474" s="16"/>
      <c r="G474" s="16"/>
      <c r="H474" s="15"/>
      <c r="I474" s="15"/>
    </row>
    <row r="475" ht="12.9" customHeight="1">
      <c r="B475" s="17"/>
      <c r="C475" s="18"/>
      <c r="D475" s="12"/>
      <c r="E475" s="16"/>
      <c r="F475" s="16"/>
      <c r="G475" s="16"/>
      <c r="H475" s="15"/>
      <c r="I475" s="15"/>
    </row>
    <row r="476" ht="12.9" customHeight="1">
      <c r="B476" s="17"/>
      <c r="C476" s="18"/>
      <c r="D476" s="12"/>
      <c r="E476" s="16"/>
      <c r="F476" s="16"/>
      <c r="G476" s="16"/>
      <c r="H476" s="15"/>
      <c r="I476" s="15"/>
    </row>
    <row r="477" ht="12.9" customHeight="1">
      <c r="B477" s="17"/>
      <c r="C477" s="18"/>
      <c r="D477" s="12"/>
      <c r="E477" s="16"/>
      <c r="F477" s="16"/>
      <c r="G477" s="16"/>
      <c r="H477" s="15"/>
      <c r="I477" s="15"/>
    </row>
    <row r="478" ht="12.9" customHeight="1">
      <c r="B478" s="17"/>
      <c r="C478" s="18"/>
      <c r="D478" s="12"/>
      <c r="E478" s="16"/>
      <c r="F478" s="16"/>
      <c r="G478" s="16"/>
      <c r="H478" s="15"/>
      <c r="I478" s="15"/>
    </row>
    <row r="479" ht="12.9" customHeight="1">
      <c r="B479" s="17"/>
      <c r="C479" s="18"/>
      <c r="D479" s="12"/>
      <c r="E479" s="16"/>
      <c r="F479" s="16"/>
      <c r="G479" s="16"/>
      <c r="H479" s="15"/>
      <c r="I479" s="15"/>
    </row>
    <row r="480" ht="12.9" customHeight="1">
      <c r="B480" s="17"/>
      <c r="C480" s="18"/>
      <c r="D480" s="12"/>
      <c r="E480" s="16"/>
      <c r="F480" s="16"/>
      <c r="G480" s="16"/>
      <c r="H480" s="15"/>
      <c r="I480" s="15"/>
    </row>
    <row r="481" ht="12.9" customHeight="1">
      <c r="B481" s="17"/>
      <c r="C481" s="18"/>
      <c r="D481" s="12"/>
      <c r="E481" s="16"/>
      <c r="F481" s="16"/>
      <c r="G481" s="16"/>
      <c r="H481" s="15"/>
      <c r="I481" s="15"/>
    </row>
    <row r="482" ht="12.9" customHeight="1">
      <c r="B482" s="17"/>
      <c r="C482" s="18"/>
      <c r="D482" s="12"/>
      <c r="E482" s="16"/>
      <c r="F482" s="16"/>
      <c r="G482" s="16"/>
      <c r="H482" s="15"/>
      <c r="I482" s="15"/>
    </row>
    <row r="483" ht="12.9" customHeight="1">
      <c r="B483" s="17"/>
      <c r="C483" s="18"/>
      <c r="D483" s="12"/>
      <c r="E483" s="16"/>
      <c r="F483" s="16"/>
      <c r="G483" s="16"/>
      <c r="H483" s="15"/>
      <c r="I483" s="15"/>
    </row>
    <row r="484" ht="12.9" customHeight="1">
      <c r="B484" s="17"/>
      <c r="C484" s="18"/>
      <c r="D484" s="12"/>
      <c r="E484" s="16"/>
      <c r="F484" s="16"/>
      <c r="G484" s="16"/>
      <c r="H484" s="15"/>
      <c r="I484" s="15"/>
    </row>
    <row r="485" ht="12.9" customHeight="1">
      <c r="B485" s="17"/>
      <c r="C485" s="18"/>
      <c r="D485" s="12"/>
      <c r="E485" s="16"/>
      <c r="F485" s="16"/>
      <c r="G485" s="16"/>
      <c r="H485" s="15"/>
      <c r="I485" s="15"/>
    </row>
    <row r="486" ht="12.9" customHeight="1">
      <c r="B486" s="17"/>
      <c r="C486" s="18"/>
      <c r="D486" s="12"/>
      <c r="E486" s="16"/>
      <c r="F486" s="16"/>
      <c r="G486" s="16"/>
      <c r="H486" s="15"/>
      <c r="I486" s="15"/>
    </row>
    <row r="487" ht="12.9" customHeight="1">
      <c r="B487" s="17"/>
      <c r="C487" s="18"/>
      <c r="D487" s="12"/>
      <c r="E487" s="16"/>
      <c r="F487" s="16"/>
      <c r="G487" s="16"/>
      <c r="H487" s="15"/>
      <c r="I487" s="15"/>
    </row>
    <row r="488" ht="12.9" customHeight="1">
      <c r="B488" s="17"/>
      <c r="C488" s="18"/>
      <c r="D488" s="12"/>
      <c r="E488" s="16"/>
      <c r="F488" s="16"/>
      <c r="G488" s="16"/>
      <c r="H488" s="15"/>
      <c r="I488" s="15"/>
    </row>
    <row r="489" ht="12.9" customHeight="1">
      <c r="B489" s="17"/>
      <c r="C489" s="18"/>
      <c r="D489" s="12"/>
      <c r="E489" s="16"/>
      <c r="F489" s="16"/>
      <c r="G489" s="16"/>
      <c r="H489" s="15"/>
      <c r="I489" s="15"/>
    </row>
    <row r="490" ht="12.9" customHeight="1">
      <c r="B490" s="17"/>
      <c r="C490" s="18"/>
      <c r="D490" s="12"/>
      <c r="E490" s="16"/>
      <c r="F490" s="16"/>
      <c r="G490" s="16"/>
      <c r="H490" s="15"/>
      <c r="I490" s="15"/>
    </row>
    <row r="491" ht="12.9" customHeight="1">
      <c r="B491" s="17"/>
      <c r="C491" s="18"/>
      <c r="D491" s="12"/>
      <c r="E491" s="16"/>
      <c r="F491" s="16"/>
      <c r="G491" s="16"/>
      <c r="H491" s="15"/>
      <c r="I491" s="15"/>
    </row>
    <row r="492" ht="12.9" customHeight="1">
      <c r="B492" s="17"/>
      <c r="C492" s="18"/>
      <c r="D492" s="12"/>
      <c r="E492" s="16"/>
      <c r="F492" s="16"/>
      <c r="G492" s="16"/>
      <c r="H492" s="15"/>
      <c r="I492" s="15"/>
    </row>
    <row r="493" ht="12.9" customHeight="1">
      <c r="B493" s="17"/>
      <c r="C493" s="18"/>
      <c r="D493" s="12"/>
      <c r="E493" s="16"/>
      <c r="F493" s="16"/>
      <c r="G493" s="16"/>
      <c r="H493" s="15"/>
      <c r="I493" s="15"/>
    </row>
    <row r="494" ht="12.9" customHeight="1">
      <c r="B494" s="17"/>
      <c r="C494" s="18"/>
      <c r="D494" s="12"/>
      <c r="E494" s="16"/>
      <c r="F494" s="16"/>
      <c r="G494" s="16"/>
      <c r="H494" s="15"/>
      <c r="I494" s="15"/>
    </row>
    <row r="495" ht="12.9" customHeight="1">
      <c r="B495" s="17"/>
      <c r="C495" s="18"/>
      <c r="D495" s="12"/>
      <c r="E495" s="16"/>
      <c r="F495" s="16"/>
      <c r="G495" s="16"/>
      <c r="H495" s="15"/>
      <c r="I495" s="15"/>
    </row>
    <row r="496" ht="12.9" customHeight="1">
      <c r="B496" s="17"/>
      <c r="C496" s="18"/>
      <c r="D496" s="12"/>
      <c r="E496" s="16"/>
      <c r="F496" s="16"/>
      <c r="G496" s="16"/>
      <c r="H496" s="15"/>
      <c r="I496" s="15"/>
    </row>
    <row r="497" ht="12.9" customHeight="1">
      <c r="B497" s="17"/>
      <c r="C497" s="18"/>
      <c r="D497" s="12"/>
      <c r="E497" s="16"/>
      <c r="F497" s="16"/>
      <c r="G497" s="16"/>
      <c r="H497" s="15"/>
      <c r="I497" s="15"/>
    </row>
    <row r="498" ht="12.9" customHeight="1">
      <c r="B498" s="17"/>
      <c r="C498" s="18"/>
      <c r="D498" s="12"/>
      <c r="E498" s="16"/>
      <c r="F498" s="16"/>
      <c r="G498" s="16"/>
      <c r="H498" s="15"/>
      <c r="I498" s="15"/>
    </row>
    <row r="500" ht="15.55" customHeight="1">
      <c r="J500" t="s" s="2">
        <v>615</v>
      </c>
      <c r="K500" s="2"/>
      <c r="L500" s="2"/>
      <c r="M500" s="2"/>
      <c r="N500" s="2"/>
      <c r="O500" s="2"/>
      <c r="P500" s="2"/>
    </row>
    <row r="502" ht="13.1" customHeight="1">
      <c r="J502" t="s" s="20">
        <v>2</v>
      </c>
      <c r="K502" t="s" s="21">
        <v>1</v>
      </c>
      <c r="L502" t="s" s="21">
        <v>616</v>
      </c>
      <c r="M502" t="s" s="22">
        <v>4</v>
      </c>
      <c r="N502" t="s" s="23">
        <v>617</v>
      </c>
      <c r="O502" t="s" s="3">
        <v>618</v>
      </c>
      <c r="P502" t="s" s="3">
        <v>619</v>
      </c>
    </row>
    <row r="503" ht="15.4" customHeight="1">
      <c r="J503" t="s" s="24">
        <v>210</v>
      </c>
      <c r="N503" s="25">
        <v>33</v>
      </c>
      <c r="O503" s="26">
        <v>901.0775</v>
      </c>
      <c r="P503" s="26">
        <v>8963.4275</v>
      </c>
    </row>
    <row r="504" ht="15.55" customHeight="1">
      <c r="J504" t="s" s="27">
        <v>419</v>
      </c>
      <c r="N504" s="28">
        <v>2</v>
      </c>
      <c r="O504" s="29">
        <v>59.99</v>
      </c>
      <c r="P504" s="29">
        <v>119.98</v>
      </c>
    </row>
    <row r="505" ht="15.55" customHeight="1">
      <c r="J505" t="s" s="27">
        <v>435</v>
      </c>
      <c r="N505" s="28">
        <v>1</v>
      </c>
      <c r="O505" s="29">
        <v>79.98999999999999</v>
      </c>
      <c r="P505" s="29">
        <v>79.98999999999999</v>
      </c>
    </row>
    <row r="506" ht="15.55" customHeight="1">
      <c r="J506" t="s" s="27">
        <v>161</v>
      </c>
      <c r="N506" s="28">
        <v>1</v>
      </c>
      <c r="O506" s="29">
        <v>0</v>
      </c>
      <c r="P506" s="29">
        <v>0</v>
      </c>
    </row>
    <row r="507" ht="15.55" customHeight="1">
      <c r="J507" t="s" s="27">
        <v>246</v>
      </c>
      <c r="N507" s="28">
        <v>1</v>
      </c>
      <c r="O507" s="29">
        <v>109.99</v>
      </c>
      <c r="P507" s="29">
        <v>109.99</v>
      </c>
    </row>
    <row r="508" ht="15.55" customHeight="1">
      <c r="J508" t="s" s="27">
        <v>238</v>
      </c>
      <c r="N508" s="28">
        <v>2</v>
      </c>
      <c r="O508" s="29">
        <v>99.98999999999999</v>
      </c>
      <c r="P508" s="29">
        <v>199.98</v>
      </c>
    </row>
    <row r="509" ht="15.55" customHeight="1">
      <c r="J509" t="s" s="27">
        <v>439</v>
      </c>
      <c r="N509" s="28">
        <v>3</v>
      </c>
      <c r="O509" s="29">
        <v>119.99</v>
      </c>
      <c r="P509" s="29">
        <v>359.97</v>
      </c>
    </row>
    <row r="510" ht="15.55" customHeight="1">
      <c r="J510" t="s" s="27">
        <v>178</v>
      </c>
      <c r="N510" s="28">
        <v>2</v>
      </c>
      <c r="O510" s="29">
        <v>49.99</v>
      </c>
      <c r="P510" s="29">
        <v>99.98</v>
      </c>
    </row>
    <row r="511" ht="15.55" customHeight="1">
      <c r="J511" t="s" s="27">
        <v>277</v>
      </c>
      <c r="N511" s="28">
        <v>1</v>
      </c>
      <c r="O511" s="29">
        <v>79.98999999999999</v>
      </c>
      <c r="P511" s="29">
        <v>79.98999999999999</v>
      </c>
    </row>
    <row r="512" ht="15.55" customHeight="1">
      <c r="J512" t="s" s="27">
        <v>575</v>
      </c>
      <c r="N512" s="28">
        <v>7</v>
      </c>
      <c r="O512" s="29">
        <v>519.98</v>
      </c>
      <c r="P512" s="29">
        <v>1119.93</v>
      </c>
    </row>
    <row r="513" ht="15.55" customHeight="1">
      <c r="J513" t="s" s="27">
        <v>234</v>
      </c>
      <c r="N513" s="28">
        <v>1</v>
      </c>
      <c r="O513" s="29">
        <v>549.99</v>
      </c>
      <c r="P513" s="29">
        <v>549.99</v>
      </c>
    </row>
    <row r="514" ht="15.55" customHeight="1">
      <c r="J514" t="s" s="27">
        <v>441</v>
      </c>
      <c r="N514" s="28">
        <v>22</v>
      </c>
      <c r="O514" s="29">
        <v>-222.74913</v>
      </c>
      <c r="P514" s="29">
        <v>0.00348</v>
      </c>
    </row>
    <row r="515" ht="15.55" customHeight="1">
      <c r="J515" t="s" s="27">
        <v>516</v>
      </c>
      <c r="N515" s="28">
        <v>7</v>
      </c>
      <c r="O515" s="29">
        <v>1369.96</v>
      </c>
      <c r="P515" s="29">
        <v>1869.95</v>
      </c>
    </row>
    <row r="516" ht="15.55" customHeight="1">
      <c r="J516" t="s" s="27">
        <v>202</v>
      </c>
      <c r="N516" s="28">
        <v>1</v>
      </c>
      <c r="O516" s="29">
        <v>59.99</v>
      </c>
      <c r="P516" s="29">
        <v>59.99</v>
      </c>
    </row>
    <row r="517" ht="15.55" customHeight="1">
      <c r="J517" t="s" s="27">
        <v>540</v>
      </c>
      <c r="N517" s="28">
        <v>1</v>
      </c>
      <c r="O517" s="29">
        <v>49.99</v>
      </c>
      <c r="P517" s="29">
        <v>49.99</v>
      </c>
    </row>
    <row r="518" ht="15.55" customHeight="1">
      <c r="J518" t="s" s="27">
        <v>313</v>
      </c>
      <c r="N518" s="28">
        <v>5</v>
      </c>
      <c r="O518" s="29">
        <v>119.99</v>
      </c>
      <c r="P518" s="29">
        <v>599.95</v>
      </c>
    </row>
    <row r="519" ht="15.55" customHeight="1">
      <c r="J519" t="s" s="27">
        <v>142</v>
      </c>
      <c r="N519" s="28">
        <v>3</v>
      </c>
      <c r="O519" s="29">
        <v>3199.99</v>
      </c>
      <c r="P519" s="29">
        <v>9599.969999999999</v>
      </c>
    </row>
    <row r="520" ht="15.55" customHeight="1">
      <c r="J520" t="s" s="27">
        <v>22</v>
      </c>
      <c r="N520" s="28">
        <v>1</v>
      </c>
      <c r="O520" s="29">
        <v>149.99</v>
      </c>
      <c r="P520" s="29">
        <v>149.99</v>
      </c>
    </row>
    <row r="521" ht="15.55" customHeight="1">
      <c r="J521" t="s" s="27">
        <v>293</v>
      </c>
      <c r="N521" s="28">
        <v>4</v>
      </c>
      <c r="O521" s="29">
        <v>589.98</v>
      </c>
      <c r="P521" s="29">
        <v>1179.96</v>
      </c>
    </row>
    <row r="522" ht="15.55" customHeight="1">
      <c r="J522" t="s" s="27">
        <v>128</v>
      </c>
      <c r="N522" s="28">
        <v>2</v>
      </c>
      <c r="O522" s="29">
        <v>1599.98</v>
      </c>
      <c r="P522" s="29">
        <v>1599.98</v>
      </c>
    </row>
    <row r="523" ht="15.55" customHeight="1">
      <c r="J523" t="s" s="27">
        <v>545</v>
      </c>
      <c r="N523" s="28">
        <v>10</v>
      </c>
      <c r="O523" s="29">
        <v>299.97</v>
      </c>
      <c r="P523" s="29">
        <v>449.94</v>
      </c>
    </row>
    <row r="524" ht="15.55" customHeight="1">
      <c r="J524" t="s" s="27">
        <v>612</v>
      </c>
      <c r="N524" s="28">
        <v>2</v>
      </c>
      <c r="O524" s="29">
        <v>7.49</v>
      </c>
      <c r="P524" s="29">
        <v>14.98</v>
      </c>
    </row>
    <row r="525" ht="15.55" customHeight="1">
      <c r="J525" t="s" s="27">
        <v>309</v>
      </c>
      <c r="N525" s="28">
        <v>2</v>
      </c>
      <c r="O525" s="29">
        <v>149.99</v>
      </c>
      <c r="P525" s="29">
        <v>299.98</v>
      </c>
    </row>
    <row r="526" ht="15.55" customHeight="1">
      <c r="J526" t="s" s="27">
        <v>336</v>
      </c>
      <c r="N526" s="28">
        <v>1</v>
      </c>
      <c r="O526" s="29">
        <v>349.99</v>
      </c>
      <c r="P526" s="29">
        <v>349.99</v>
      </c>
    </row>
    <row r="527" ht="15.55" customHeight="1">
      <c r="J527" t="s" s="27">
        <v>275</v>
      </c>
      <c r="N527" s="28">
        <v>2</v>
      </c>
      <c r="O527" s="29">
        <v>424.98</v>
      </c>
      <c r="P527" s="29">
        <v>424.98</v>
      </c>
    </row>
    <row r="528" ht="15.55" customHeight="1">
      <c r="J528" t="s" s="27">
        <v>311</v>
      </c>
      <c r="N528" s="28">
        <v>1</v>
      </c>
      <c r="O528" s="29">
        <v>79.98999999999999</v>
      </c>
      <c r="P528" s="29">
        <v>79.98999999999999</v>
      </c>
    </row>
    <row r="529" ht="15.55" customHeight="1">
      <c r="J529" t="s" s="27">
        <v>510</v>
      </c>
      <c r="N529" s="28">
        <v>2</v>
      </c>
      <c r="O529" s="29">
        <v>119.99</v>
      </c>
      <c r="P529" s="29">
        <v>239.98</v>
      </c>
    </row>
    <row r="530" ht="15.55" customHeight="1">
      <c r="J530" t="s" s="27">
        <v>380</v>
      </c>
      <c r="N530" s="28">
        <v>1</v>
      </c>
      <c r="O530" s="29">
        <v>9.99</v>
      </c>
      <c r="P530" s="29">
        <v>9.99</v>
      </c>
    </row>
    <row r="531" ht="15.55" customHeight="1">
      <c r="J531" t="s" s="27">
        <v>547</v>
      </c>
      <c r="N531" s="28">
        <v>10</v>
      </c>
      <c r="O531" s="29">
        <v>1299.99</v>
      </c>
      <c r="P531" s="29">
        <v>2599.98</v>
      </c>
    </row>
    <row r="532" ht="15.55" customHeight="1">
      <c r="J532" t="s" s="27">
        <v>244</v>
      </c>
      <c r="N532" s="28">
        <v>1</v>
      </c>
      <c r="O532" s="29">
        <v>399.99</v>
      </c>
      <c r="P532" s="29">
        <v>399.99</v>
      </c>
    </row>
    <row r="533" ht="15.55" customHeight="1">
      <c r="J533" t="s" s="27">
        <v>385</v>
      </c>
      <c r="N533" s="28">
        <v>1</v>
      </c>
      <c r="O533" s="29">
        <v>49.99</v>
      </c>
      <c r="P533" s="29">
        <v>49.99</v>
      </c>
    </row>
    <row r="534" ht="15.55" customHeight="1">
      <c r="J534" t="s" s="27">
        <v>99</v>
      </c>
      <c r="N534" s="28">
        <v>2</v>
      </c>
      <c r="O534" s="29">
        <v>119.99</v>
      </c>
      <c r="P534" s="29">
        <v>239.98</v>
      </c>
    </row>
    <row r="535" ht="15.55" customHeight="1">
      <c r="J535" t="s" s="27">
        <v>10</v>
      </c>
      <c r="N535" s="28">
        <v>1</v>
      </c>
      <c r="O535" s="29">
        <v>399.99</v>
      </c>
      <c r="P535" s="29">
        <v>399.99</v>
      </c>
    </row>
    <row r="536" ht="15.55" customHeight="1">
      <c r="J536" t="s" s="27">
        <v>430</v>
      </c>
      <c r="N536" s="28">
        <v>7</v>
      </c>
      <c r="O536" s="29">
        <v>107.8425</v>
      </c>
      <c r="P536" s="29">
        <v>557.8049999999999</v>
      </c>
    </row>
    <row r="537" ht="15.55" customHeight="1">
      <c r="J537" t="s" s="27">
        <v>18</v>
      </c>
      <c r="N537" s="28">
        <v>18</v>
      </c>
      <c r="O537" s="29">
        <v>129.98</v>
      </c>
      <c r="P537" s="29">
        <v>1499.82</v>
      </c>
    </row>
    <row r="538" ht="15.55" customHeight="1">
      <c r="J538" t="s" s="27">
        <v>374</v>
      </c>
      <c r="N538" s="28">
        <v>1</v>
      </c>
      <c r="O538" s="29">
        <v>599.99</v>
      </c>
      <c r="P538" s="29">
        <v>599.99</v>
      </c>
    </row>
    <row r="539" ht="15.55" customHeight="1">
      <c r="J539" t="s" s="27">
        <v>391</v>
      </c>
      <c r="N539" s="28">
        <v>30</v>
      </c>
      <c r="O539" s="29">
        <v>588.8014127500001</v>
      </c>
      <c r="P539" s="29">
        <v>1781.25641275</v>
      </c>
    </row>
    <row r="540" ht="15.55" customHeight="1">
      <c r="J540" t="s" s="27">
        <v>285</v>
      </c>
      <c r="N540" s="28">
        <v>2</v>
      </c>
      <c r="O540" s="29">
        <v>399.99</v>
      </c>
      <c r="P540" s="29">
        <v>799.98</v>
      </c>
    </row>
    <row r="541" ht="15.55" customHeight="1">
      <c r="J541" t="s" s="27">
        <v>92</v>
      </c>
      <c r="N541" s="28">
        <v>2</v>
      </c>
      <c r="O541" s="29">
        <v>357.98</v>
      </c>
      <c r="P541" s="29">
        <v>357.98</v>
      </c>
    </row>
    <row r="542" ht="15.55" customHeight="1">
      <c r="J542" t="s" s="27">
        <v>567</v>
      </c>
      <c r="N542" s="28">
        <v>1</v>
      </c>
      <c r="O542" s="29">
        <v>399.99</v>
      </c>
      <c r="P542" s="29">
        <v>399.99</v>
      </c>
    </row>
    <row r="543" ht="15.55" customHeight="1">
      <c r="J543" t="s" s="27">
        <v>212</v>
      </c>
      <c r="N543" s="28">
        <v>2</v>
      </c>
      <c r="O543" s="29">
        <v>549.99</v>
      </c>
      <c r="P543" s="29">
        <v>1099.98</v>
      </c>
    </row>
    <row r="544" ht="15.55" customHeight="1">
      <c r="J544" t="s" s="27">
        <v>281</v>
      </c>
      <c r="N544" s="28">
        <v>1</v>
      </c>
      <c r="O544" s="29">
        <v>49.99</v>
      </c>
      <c r="P544" s="29">
        <v>49.99</v>
      </c>
    </row>
    <row r="545" ht="15.55" customHeight="1">
      <c r="J545" t="s" s="27">
        <v>362</v>
      </c>
      <c r="N545" s="28">
        <v>1</v>
      </c>
      <c r="O545" s="29">
        <v>599.99</v>
      </c>
      <c r="P545" s="29">
        <v>599.99</v>
      </c>
    </row>
    <row r="546" ht="15.55" customHeight="1">
      <c r="J546" t="s" s="27">
        <v>186</v>
      </c>
      <c r="N546" s="28">
        <v>2</v>
      </c>
      <c r="O546" s="29">
        <v>49.99</v>
      </c>
      <c r="P546" s="29">
        <v>99.98</v>
      </c>
    </row>
    <row r="547" ht="15.55" customHeight="1">
      <c r="J547" t="s" s="27">
        <v>351</v>
      </c>
      <c r="N547" s="28">
        <v>3</v>
      </c>
      <c r="O547" s="29">
        <v>109.97</v>
      </c>
      <c r="P547" s="29">
        <v>109.97</v>
      </c>
    </row>
    <row r="548" ht="15.55" customHeight="1">
      <c r="J548" t="s" s="27">
        <v>415</v>
      </c>
      <c r="N548" s="28">
        <v>26</v>
      </c>
      <c r="O548" s="29">
        <v>1159.95</v>
      </c>
      <c r="P548" s="29">
        <v>2639.8</v>
      </c>
    </row>
    <row r="549" ht="15.55" customHeight="1">
      <c r="J549" t="s" s="27">
        <v>138</v>
      </c>
      <c r="N549" s="28">
        <v>2</v>
      </c>
      <c r="O549" s="29">
        <v>49.99</v>
      </c>
      <c r="P549" s="29">
        <v>99.98</v>
      </c>
    </row>
    <row r="550" ht="15.55" customHeight="1">
      <c r="J550" t="s" s="27">
        <v>555</v>
      </c>
      <c r="N550" s="28">
        <v>7</v>
      </c>
      <c r="O550" s="29">
        <v>3035.3825</v>
      </c>
      <c r="P550" s="29">
        <v>4235.3525</v>
      </c>
    </row>
    <row r="551" ht="15.55" customHeight="1">
      <c r="J551" t="s" s="27">
        <v>334</v>
      </c>
      <c r="N551" s="28">
        <v>10</v>
      </c>
      <c r="O551" s="29">
        <v>49.99</v>
      </c>
      <c r="P551" s="29">
        <v>499.9</v>
      </c>
    </row>
    <row r="552" ht="15.55" customHeight="1">
      <c r="J552" t="s" s="27">
        <v>34</v>
      </c>
      <c r="N552" s="28">
        <v>4</v>
      </c>
      <c r="O552" s="29">
        <v>49.99</v>
      </c>
      <c r="P552" s="29">
        <v>199.96</v>
      </c>
    </row>
    <row r="553" ht="15.55" customHeight="1">
      <c r="J553" t="s" s="27">
        <v>69</v>
      </c>
      <c r="N553" s="28">
        <v>119</v>
      </c>
      <c r="O553" s="29">
        <v>240.885</v>
      </c>
      <c r="P553" s="29">
        <v>6382.53</v>
      </c>
    </row>
    <row r="554" ht="15.55" customHeight="1">
      <c r="J554" t="s" s="27">
        <v>506</v>
      </c>
      <c r="N554" s="28">
        <v>3</v>
      </c>
      <c r="O554" s="29">
        <v>339.98</v>
      </c>
      <c r="P554" s="29">
        <v>459.97</v>
      </c>
    </row>
    <row r="555" ht="15.55" customHeight="1">
      <c r="J555" t="s" s="27">
        <v>188</v>
      </c>
      <c r="N555" s="28">
        <v>3</v>
      </c>
      <c r="O555" s="29">
        <v>1199.99</v>
      </c>
      <c r="P555" s="29">
        <v>1199.99</v>
      </c>
    </row>
    <row r="556" ht="15.55" customHeight="1">
      <c r="J556" t="s" s="27">
        <v>80</v>
      </c>
      <c r="N556" s="28">
        <v>8</v>
      </c>
      <c r="O556" s="29">
        <v>1699.98</v>
      </c>
      <c r="P556" s="29">
        <v>1699.98</v>
      </c>
    </row>
    <row r="557" ht="15.55" customHeight="1">
      <c r="J557" t="s" s="27">
        <v>482</v>
      </c>
      <c r="N557" s="28">
        <v>20</v>
      </c>
      <c r="O557" s="29">
        <v>169.98</v>
      </c>
      <c r="P557" s="29">
        <v>1699.8</v>
      </c>
    </row>
    <row r="558" ht="15.55" customHeight="1">
      <c r="J558" t="s" s="27">
        <v>332</v>
      </c>
      <c r="N558" s="28">
        <v>5</v>
      </c>
      <c r="O558" s="29">
        <v>849.99</v>
      </c>
      <c r="P558" s="29">
        <v>849.99</v>
      </c>
    </row>
    <row r="559" ht="15.55" customHeight="1">
      <c r="J559" t="s" s="27">
        <v>592</v>
      </c>
      <c r="N559" s="28">
        <v>36</v>
      </c>
      <c r="O559" s="29">
        <v>195</v>
      </c>
      <c r="P559" s="29">
        <v>2340</v>
      </c>
    </row>
    <row r="560" ht="15.55" customHeight="1">
      <c r="J560" t="s" s="27">
        <v>132</v>
      </c>
      <c r="N560" s="28">
        <v>16</v>
      </c>
      <c r="O560" s="29">
        <v>899.99</v>
      </c>
      <c r="P560" s="29">
        <v>3599.96</v>
      </c>
    </row>
    <row r="561" ht="15.55" customHeight="1">
      <c r="J561" t="s" s="27">
        <v>305</v>
      </c>
      <c r="N561" s="28">
        <v>1</v>
      </c>
      <c r="O561" s="29">
        <v>399.99</v>
      </c>
      <c r="P561" s="29">
        <v>399.99</v>
      </c>
    </row>
    <row r="562" ht="15.55" customHeight="1">
      <c r="J562" t="s" s="27">
        <v>176</v>
      </c>
      <c r="N562" s="28">
        <v>1</v>
      </c>
      <c r="O562" s="29">
        <v>49.99</v>
      </c>
      <c r="P562" s="29">
        <v>49.99</v>
      </c>
    </row>
    <row r="563" ht="15.55" customHeight="1">
      <c r="J563" t="s" s="27">
        <v>563</v>
      </c>
      <c r="N563" s="28">
        <v>2</v>
      </c>
      <c r="O563" s="29">
        <v>51.0925</v>
      </c>
      <c r="P563" s="29">
        <v>51.0925</v>
      </c>
    </row>
    <row r="564" ht="15.55" customHeight="1">
      <c r="J564" t="s" s="27">
        <v>610</v>
      </c>
      <c r="N564" s="28">
        <v>3</v>
      </c>
      <c r="O564" s="29">
        <v>289.97</v>
      </c>
      <c r="P564" s="29">
        <v>289.97</v>
      </c>
    </row>
    <row r="565" ht="15.55" customHeight="1">
      <c r="J565" t="s" s="27">
        <v>579</v>
      </c>
      <c r="N565" s="28">
        <v>1</v>
      </c>
      <c r="O565" s="29">
        <v>549.99</v>
      </c>
      <c r="P565" s="29">
        <v>549.99</v>
      </c>
    </row>
    <row r="566" ht="15.55" customHeight="1">
      <c r="J566" t="s" s="27">
        <v>153</v>
      </c>
      <c r="N566" s="28">
        <v>1</v>
      </c>
      <c r="O566" s="29">
        <v>119.99</v>
      </c>
      <c r="P566" s="29">
        <v>119.99</v>
      </c>
    </row>
    <row r="567" ht="15.55" customHeight="1">
      <c r="J567" t="s" s="27">
        <v>174</v>
      </c>
      <c r="N567" s="28">
        <v>2</v>
      </c>
      <c r="O567" s="29">
        <v>49.99</v>
      </c>
      <c r="P567" s="29">
        <v>99.98</v>
      </c>
    </row>
    <row r="568" ht="15.55" customHeight="1">
      <c r="J568" t="s" s="27">
        <v>484</v>
      </c>
      <c r="N568" s="28">
        <v>1</v>
      </c>
      <c r="O568" s="29">
        <v>3199.99</v>
      </c>
      <c r="P568" s="29">
        <v>3199.99</v>
      </c>
    </row>
    <row r="569" ht="15.55" customHeight="1">
      <c r="J569" t="s" s="27">
        <v>432</v>
      </c>
      <c r="N569" s="28">
        <v>6</v>
      </c>
      <c r="O569" s="29">
        <v>0</v>
      </c>
      <c r="P569" s="29">
        <v>0</v>
      </c>
    </row>
    <row r="570" ht="15.55" customHeight="1">
      <c r="J570" t="s" s="27">
        <v>601</v>
      </c>
      <c r="N570" s="28">
        <v>16</v>
      </c>
      <c r="O570" s="29">
        <v>999.99</v>
      </c>
      <c r="P570" s="29">
        <v>3999.96</v>
      </c>
    </row>
    <row r="571" ht="15.55" customHeight="1">
      <c r="J571" t="s" s="27">
        <v>368</v>
      </c>
      <c r="N571" s="28">
        <v>5</v>
      </c>
      <c r="O571" s="29">
        <v>62.97</v>
      </c>
      <c r="P571" s="29">
        <v>112.95</v>
      </c>
    </row>
    <row r="572" ht="15.55" customHeight="1">
      <c r="J572" t="s" s="27">
        <v>476</v>
      </c>
      <c r="N572" s="28">
        <v>423</v>
      </c>
      <c r="O572" s="29">
        <v>1164.49</v>
      </c>
      <c r="P572" s="29">
        <v>34766.49</v>
      </c>
    </row>
    <row r="573" ht="15.55" customHeight="1">
      <c r="J573" t="s" s="27">
        <v>157</v>
      </c>
      <c r="N573" s="28">
        <v>1</v>
      </c>
      <c r="O573" s="29">
        <v>79.98999999999999</v>
      </c>
      <c r="P573" s="29">
        <v>79.98999999999999</v>
      </c>
    </row>
    <row r="574" ht="15.55" customHeight="1">
      <c r="J574" t="s" s="27">
        <v>421</v>
      </c>
      <c r="N574" s="28">
        <v>1</v>
      </c>
      <c r="O574" s="29">
        <v>399.99</v>
      </c>
      <c r="P574" s="29">
        <v>399.99</v>
      </c>
    </row>
    <row r="575" ht="15.55" customHeight="1">
      <c r="J575" t="s" s="27">
        <v>504</v>
      </c>
      <c r="N575" s="28">
        <v>1</v>
      </c>
      <c r="O575" s="29">
        <v>349.99</v>
      </c>
      <c r="P575" s="29">
        <v>349.99</v>
      </c>
    </row>
    <row r="576" ht="15.55" customHeight="1">
      <c r="J576" t="s" s="27">
        <v>289</v>
      </c>
      <c r="N576" s="28">
        <v>1</v>
      </c>
      <c r="O576" s="29">
        <v>349.99</v>
      </c>
      <c r="P576" s="29">
        <v>349.99</v>
      </c>
    </row>
    <row r="577" ht="15.55" customHeight="1">
      <c r="J577" t="s" s="27">
        <v>242</v>
      </c>
      <c r="N577" s="28">
        <v>1</v>
      </c>
      <c r="O577" s="29">
        <v>79.98999999999999</v>
      </c>
      <c r="P577" s="29">
        <v>79.98999999999999</v>
      </c>
    </row>
    <row r="578" ht="15.55" customHeight="1">
      <c r="J578" t="s" s="27">
        <v>159</v>
      </c>
      <c r="N578" s="28">
        <v>1</v>
      </c>
      <c r="O578" s="29">
        <v>59.99</v>
      </c>
      <c r="P578" s="29">
        <v>59.99</v>
      </c>
    </row>
    <row r="579" ht="15.55" customHeight="1">
      <c r="J579" t="s" s="27">
        <v>164</v>
      </c>
      <c r="N579" s="28">
        <v>18</v>
      </c>
      <c r="O579" s="29">
        <v>1079.96</v>
      </c>
      <c r="P579" s="29">
        <v>2159.92</v>
      </c>
    </row>
    <row r="580" ht="15.55" customHeight="1">
      <c r="J580" t="s" s="27">
        <v>97</v>
      </c>
      <c r="N580" s="28">
        <v>1</v>
      </c>
      <c r="O580" s="29">
        <v>399.99</v>
      </c>
      <c r="P580" s="29">
        <v>399.99</v>
      </c>
    </row>
    <row r="581" ht="15.55" customHeight="1">
      <c r="J581" t="s" s="27">
        <v>508</v>
      </c>
      <c r="N581" s="28">
        <v>1</v>
      </c>
      <c r="O581" s="29">
        <v>79.98999999999999</v>
      </c>
      <c r="P581" s="29">
        <v>79.98999999999999</v>
      </c>
    </row>
    <row r="582" ht="15.55" customHeight="1">
      <c r="J582" t="s" s="27">
        <v>222</v>
      </c>
      <c r="N582" s="28">
        <v>2</v>
      </c>
      <c r="O582" s="29">
        <v>424.98</v>
      </c>
      <c r="P582" s="29">
        <v>424.98</v>
      </c>
    </row>
    <row r="583" ht="15.55" customHeight="1">
      <c r="J583" t="s" s="27">
        <v>67</v>
      </c>
      <c r="N583" s="28">
        <v>1</v>
      </c>
      <c r="O583" s="29">
        <v>82.49250000000001</v>
      </c>
      <c r="P583" s="29">
        <v>82.49250000000001</v>
      </c>
    </row>
    <row r="584" ht="15.55" customHeight="1">
      <c r="J584" t="s" s="27">
        <v>114</v>
      </c>
      <c r="N584" s="28">
        <v>2</v>
      </c>
      <c r="O584" s="29">
        <v>22.99</v>
      </c>
      <c r="P584" s="29">
        <v>45.98</v>
      </c>
    </row>
    <row r="585" ht="15.55" customHeight="1">
      <c r="J585" t="s" s="27">
        <v>155</v>
      </c>
      <c r="N585" s="28">
        <v>3</v>
      </c>
      <c r="O585" s="29">
        <v>369.97</v>
      </c>
      <c r="P585" s="29">
        <v>369.97</v>
      </c>
    </row>
    <row r="586" ht="15.55" customHeight="1">
      <c r="J586" t="s" s="27">
        <v>196</v>
      </c>
      <c r="N586" s="28">
        <v>1</v>
      </c>
      <c r="O586" s="29">
        <v>349.99</v>
      </c>
      <c r="P586" s="29">
        <v>349.99</v>
      </c>
    </row>
    <row r="587" ht="15.55" customHeight="1">
      <c r="J587" t="s" s="27">
        <v>437</v>
      </c>
      <c r="N587" s="28">
        <v>2</v>
      </c>
      <c r="O587" s="29">
        <v>1199.98</v>
      </c>
      <c r="P587" s="29">
        <v>1199.98</v>
      </c>
    </row>
    <row r="588" ht="15.55" customHeight="1">
      <c r="J588" t="s" s="27">
        <v>329</v>
      </c>
      <c r="N588" s="28">
        <v>17</v>
      </c>
      <c r="O588" s="29">
        <v>801.9924999999999</v>
      </c>
      <c r="P588" s="29">
        <v>2714.47</v>
      </c>
    </row>
    <row r="589" ht="15.55" customHeight="1">
      <c r="J589" t="s" s="27">
        <v>216</v>
      </c>
      <c r="N589" s="28">
        <v>8</v>
      </c>
      <c r="O589" s="29">
        <v>194.96</v>
      </c>
      <c r="P589" s="29">
        <v>279.93</v>
      </c>
    </row>
    <row r="590" ht="15.55" customHeight="1">
      <c r="J590" t="s" s="27">
        <v>577</v>
      </c>
      <c r="N590" s="28">
        <v>1</v>
      </c>
      <c r="O590" s="29">
        <v>19.99</v>
      </c>
      <c r="P590" s="29">
        <v>19.99</v>
      </c>
    </row>
    <row r="591" ht="15.55" customHeight="1">
      <c r="J591" t="s" s="27">
        <v>425</v>
      </c>
      <c r="N591" s="28">
        <v>3</v>
      </c>
      <c r="O591" s="29">
        <v>589.98</v>
      </c>
      <c r="P591" s="29">
        <v>629.97</v>
      </c>
    </row>
    <row r="592" ht="15.55" customHeight="1">
      <c r="J592" t="s" s="27">
        <v>542</v>
      </c>
      <c r="N592" s="28">
        <v>1</v>
      </c>
      <c r="O592" s="29">
        <v>599.99</v>
      </c>
      <c r="P592" s="29">
        <v>599.99</v>
      </c>
    </row>
    <row r="593" ht="15.55" customHeight="1">
      <c r="J593" t="s" s="27">
        <v>218</v>
      </c>
      <c r="N593" s="28">
        <v>18</v>
      </c>
      <c r="O593" s="29">
        <v>125.161</v>
      </c>
      <c r="P593" s="29">
        <v>253.825</v>
      </c>
    </row>
    <row r="594" ht="15.55" customHeight="1">
      <c r="J594" t="s" s="27">
        <v>198</v>
      </c>
      <c r="N594" s="28">
        <v>1</v>
      </c>
      <c r="O594" s="29">
        <v>59.99</v>
      </c>
      <c r="P594" s="29">
        <v>59.99</v>
      </c>
    </row>
    <row r="595" ht="15.55" customHeight="1">
      <c r="J595" t="s" s="27">
        <v>423</v>
      </c>
      <c r="N595" s="28">
        <v>1</v>
      </c>
      <c r="O595" s="29">
        <v>399.99</v>
      </c>
      <c r="P595" s="29">
        <v>399.99</v>
      </c>
    </row>
    <row r="596" ht="15.55" customHeight="1">
      <c r="J596" t="s" s="27">
        <v>569</v>
      </c>
      <c r="N596" s="28">
        <v>3</v>
      </c>
      <c r="O596" s="29">
        <v>19.99</v>
      </c>
      <c r="P596" s="29">
        <v>59.97</v>
      </c>
    </row>
    <row r="597" ht="15.55" customHeight="1">
      <c r="J597" t="s" s="27">
        <v>605</v>
      </c>
      <c r="N597" s="28">
        <v>1</v>
      </c>
      <c r="O597" s="29">
        <v>0</v>
      </c>
      <c r="P597" s="29">
        <v>0</v>
      </c>
    </row>
    <row r="598" ht="15.55" customHeight="1">
      <c r="J598" t="s" s="27">
        <v>344</v>
      </c>
      <c r="N598" s="28">
        <v>4</v>
      </c>
      <c r="O598" s="29">
        <v>844.96</v>
      </c>
      <c r="P598" s="29">
        <v>844.96</v>
      </c>
    </row>
    <row r="599" ht="15.55" customHeight="1">
      <c r="J599" t="s" s="27">
        <v>325</v>
      </c>
      <c r="N599" s="28">
        <v>2</v>
      </c>
      <c r="O599" s="29">
        <v>234.98</v>
      </c>
      <c r="P599" s="29">
        <v>234.98</v>
      </c>
    </row>
    <row r="600" ht="15.55" customHeight="1">
      <c r="J600" t="s" s="27">
        <v>149</v>
      </c>
      <c r="N600" s="28">
        <v>1</v>
      </c>
      <c r="O600" s="29">
        <v>49.99</v>
      </c>
      <c r="P600" s="29">
        <v>49.99</v>
      </c>
    </row>
    <row r="601" ht="15.55" customHeight="1">
      <c r="J601" t="s" s="27">
        <v>307</v>
      </c>
      <c r="N601" s="28">
        <v>1</v>
      </c>
      <c r="O601" s="29">
        <v>1199.99</v>
      </c>
      <c r="P601" s="29">
        <v>1199.99</v>
      </c>
    </row>
    <row r="602" ht="15.55" customHeight="1">
      <c r="J602" t="s" s="27">
        <v>184</v>
      </c>
      <c r="N602" s="28">
        <v>2</v>
      </c>
      <c r="O602" s="29">
        <v>109.98</v>
      </c>
      <c r="P602" s="29">
        <v>109.98</v>
      </c>
    </row>
    <row r="603" ht="15.55" customHeight="1">
      <c r="J603" t="s" s="27">
        <v>283</v>
      </c>
      <c r="N603" s="28">
        <v>1</v>
      </c>
      <c r="O603" s="29">
        <v>49.99</v>
      </c>
      <c r="P603" s="29">
        <v>49.99</v>
      </c>
    </row>
    <row r="604" ht="15.55" customHeight="1">
      <c r="J604" t="s" s="27">
        <v>271</v>
      </c>
      <c r="N604" s="28">
        <v>2</v>
      </c>
      <c r="O604" s="29">
        <v>79.98999999999999</v>
      </c>
      <c r="P604" s="29">
        <v>159.98</v>
      </c>
    </row>
    <row r="605" ht="15.55" customHeight="1">
      <c r="J605" t="s" s="27">
        <v>232</v>
      </c>
      <c r="N605" s="28">
        <v>1</v>
      </c>
      <c r="O605" s="29">
        <v>49.99</v>
      </c>
      <c r="P605" s="29">
        <v>49.99</v>
      </c>
    </row>
    <row r="606" ht="15.55" customHeight="1">
      <c r="J606" t="s" s="27">
        <v>465</v>
      </c>
      <c r="N606" s="28">
        <v>17</v>
      </c>
      <c r="O606" s="29">
        <v>62.735</v>
      </c>
      <c r="P606" s="29">
        <v>403.88</v>
      </c>
    </row>
    <row r="607" ht="15.55" customHeight="1">
      <c r="J607" t="s" s="27">
        <v>614</v>
      </c>
      <c r="N607" s="28">
        <v>1</v>
      </c>
      <c r="O607" s="29">
        <v>49.99</v>
      </c>
      <c r="P607" s="29">
        <v>49.99</v>
      </c>
    </row>
    <row r="608" ht="15.55" customHeight="1">
      <c r="J608" t="s" s="27">
        <v>338</v>
      </c>
      <c r="N608" s="28">
        <v>8</v>
      </c>
      <c r="O608" s="29">
        <v>769.97</v>
      </c>
      <c r="P608" s="29">
        <v>1539.94</v>
      </c>
    </row>
    <row r="609" ht="15.55" customHeight="1">
      <c r="J609" t="s" s="27">
        <v>200</v>
      </c>
      <c r="N609" s="28">
        <v>1</v>
      </c>
      <c r="O609" s="29">
        <v>49.99</v>
      </c>
      <c r="P609" s="29">
        <v>49.99</v>
      </c>
    </row>
    <row r="610" ht="15.55" customHeight="1">
      <c r="J610" t="s" s="27">
        <v>320</v>
      </c>
      <c r="N610" s="28">
        <v>4</v>
      </c>
      <c r="O610" s="29">
        <v>19.99</v>
      </c>
      <c r="P610" s="29">
        <v>79.95999999999999</v>
      </c>
    </row>
    <row r="611" ht="15.55" customHeight="1">
      <c r="J611" t="s" s="27">
        <v>192</v>
      </c>
      <c r="N611" s="28">
        <v>1</v>
      </c>
      <c r="O611" s="29">
        <v>399.99</v>
      </c>
      <c r="P611" s="29">
        <v>399.99</v>
      </c>
    </row>
    <row r="612" ht="15.55" customHeight="1">
      <c r="J612" t="s" s="27">
        <v>76</v>
      </c>
      <c r="N612" s="28">
        <v>6</v>
      </c>
      <c r="O612" s="29">
        <v>82.95</v>
      </c>
      <c r="P612" s="29">
        <v>92.94</v>
      </c>
    </row>
    <row r="613" ht="15.55" customHeight="1">
      <c r="J613" t="s" s="27">
        <v>26</v>
      </c>
      <c r="N613" s="28">
        <v>1</v>
      </c>
      <c r="O613" s="29">
        <v>79.98999999999999</v>
      </c>
      <c r="P613" s="29">
        <v>79.98999999999999</v>
      </c>
    </row>
    <row r="614" ht="15.55" customHeight="1">
      <c r="J614" t="s" s="27">
        <v>353</v>
      </c>
      <c r="N614" s="28">
        <v>34</v>
      </c>
      <c r="O614" s="29">
        <v>305.063</v>
      </c>
      <c r="P614" s="29">
        <v>993.5119999999999</v>
      </c>
    </row>
    <row r="615" ht="15.55" customHeight="1">
      <c r="J615" t="s" s="27">
        <v>298</v>
      </c>
      <c r="N615" s="28">
        <v>54</v>
      </c>
      <c r="O615" s="29">
        <v>264.97</v>
      </c>
      <c r="P615" s="29">
        <v>3779.46</v>
      </c>
    </row>
    <row r="616" ht="15.55" customHeight="1">
      <c r="J616" t="s" s="27">
        <v>411</v>
      </c>
      <c r="N616" s="28">
        <v>2</v>
      </c>
      <c r="O616" s="29">
        <v>11.98</v>
      </c>
      <c r="P616" s="29">
        <v>11.98</v>
      </c>
    </row>
    <row r="617" ht="15.55" customHeight="1">
      <c r="J617" t="s" s="27">
        <v>457</v>
      </c>
      <c r="N617" s="28">
        <v>4</v>
      </c>
      <c r="O617" s="29">
        <v>119.99</v>
      </c>
      <c r="P617" s="29">
        <v>479.96</v>
      </c>
    </row>
    <row r="618" ht="15.55" customHeight="1">
      <c r="J618" t="s" s="27">
        <v>376</v>
      </c>
      <c r="N618" s="28">
        <v>1</v>
      </c>
      <c r="O618" s="29">
        <v>399.99</v>
      </c>
      <c r="P618" s="29">
        <v>399.99</v>
      </c>
    </row>
    <row r="619" ht="15.55" customHeight="1">
      <c r="J619" t="s" s="27">
        <v>130</v>
      </c>
      <c r="N619" s="28">
        <v>1</v>
      </c>
      <c r="O619" s="29">
        <v>79.98999999999999</v>
      </c>
      <c r="P619" s="29">
        <v>79.98999999999999</v>
      </c>
    </row>
    <row r="620" ht="15.55" customHeight="1">
      <c r="J620" t="s" s="27">
        <v>340</v>
      </c>
      <c r="N620" s="28">
        <v>15</v>
      </c>
      <c r="O620" s="29">
        <v>1329.96</v>
      </c>
      <c r="P620" s="29">
        <v>2359.91</v>
      </c>
    </row>
    <row r="621" ht="15.55" customHeight="1">
      <c r="J621" t="s" s="27">
        <v>151</v>
      </c>
      <c r="N621" s="28">
        <v>2</v>
      </c>
      <c r="O621" s="29">
        <v>349.99</v>
      </c>
      <c r="P621" s="29">
        <v>699.98</v>
      </c>
    </row>
    <row r="622" ht="15.55" customHeight="1">
      <c r="J622" t="s" s="27">
        <v>427</v>
      </c>
      <c r="N622" s="28">
        <v>1</v>
      </c>
      <c r="O622" s="29">
        <v>399.99</v>
      </c>
      <c r="P622" s="29">
        <v>399.99</v>
      </c>
    </row>
    <row r="623" ht="15.55" customHeight="1">
      <c r="J623" t="s" s="27">
        <v>291</v>
      </c>
      <c r="N623" s="28">
        <v>4</v>
      </c>
      <c r="O623" s="29">
        <v>152.97</v>
      </c>
      <c r="P623" s="29">
        <v>272.96</v>
      </c>
    </row>
    <row r="624" ht="15.55" customHeight="1">
      <c r="J624" t="s" s="27">
        <v>14</v>
      </c>
      <c r="N624" s="28">
        <v>2</v>
      </c>
      <c r="O624" s="29">
        <v>9.99</v>
      </c>
      <c r="P624" s="29">
        <v>19.98</v>
      </c>
    </row>
    <row r="625" ht="15.55" customHeight="1">
      <c r="J625" t="s" s="27">
        <v>366</v>
      </c>
      <c r="N625" s="28">
        <v>2</v>
      </c>
      <c r="O625" s="29">
        <v>19.99</v>
      </c>
      <c r="P625" s="29">
        <v>39.98</v>
      </c>
    </row>
    <row r="626" ht="15.55" customHeight="1">
      <c r="J626" t="s" s="27">
        <v>581</v>
      </c>
      <c r="N626" s="28">
        <v>1</v>
      </c>
      <c r="O626" s="29">
        <v>199.99</v>
      </c>
      <c r="P626" s="29">
        <v>199.99</v>
      </c>
    </row>
    <row r="627" ht="15.55" customHeight="1">
      <c r="J627" t="s" s="27">
        <v>287</v>
      </c>
      <c r="N627" s="28">
        <v>14</v>
      </c>
      <c r="O627" s="29">
        <v>1459.94</v>
      </c>
      <c r="P627" s="29">
        <v>2329.92</v>
      </c>
    </row>
    <row r="628" ht="15.55" customHeight="1">
      <c r="J628" t="s" s="27">
        <v>523</v>
      </c>
      <c r="N628" s="28">
        <v>4</v>
      </c>
      <c r="O628" s="29">
        <v>53.97</v>
      </c>
      <c r="P628" s="29">
        <v>103.96</v>
      </c>
    </row>
    <row r="629" ht="15.55" customHeight="1">
      <c r="J629" t="s" s="27">
        <v>467</v>
      </c>
      <c r="N629" s="28">
        <v>14</v>
      </c>
      <c r="O629" s="29">
        <v>2799.98</v>
      </c>
      <c r="P629" s="29">
        <v>3699.95</v>
      </c>
    </row>
    <row r="630" ht="15.55" customHeight="1">
      <c r="J630" t="s" s="27">
        <v>382</v>
      </c>
      <c r="N630" s="28">
        <v>1</v>
      </c>
      <c r="O630" s="29">
        <v>399.99</v>
      </c>
      <c r="P630" s="29">
        <v>399.99</v>
      </c>
    </row>
    <row r="631" ht="15.55" customHeight="1">
      <c r="J631" t="s" s="27">
        <v>118</v>
      </c>
      <c r="N631" s="28">
        <v>7</v>
      </c>
      <c r="O631" s="29">
        <v>411.97</v>
      </c>
      <c r="P631" s="29">
        <v>427.93</v>
      </c>
    </row>
    <row r="632" ht="15.55" customHeight="1">
      <c r="J632" t="s" s="27">
        <v>269</v>
      </c>
      <c r="N632" s="28">
        <v>2</v>
      </c>
      <c r="O632" s="29">
        <v>119.99</v>
      </c>
      <c r="P632" s="29">
        <v>239.98</v>
      </c>
    </row>
    <row r="633" ht="15.55" customHeight="1">
      <c r="J633" t="s" s="27">
        <v>190</v>
      </c>
      <c r="N633" s="28">
        <v>1</v>
      </c>
      <c r="O633" s="29">
        <v>399.99</v>
      </c>
      <c r="P633" s="29">
        <v>399.99</v>
      </c>
    </row>
    <row r="634" ht="15.55" customHeight="1">
      <c r="J634" t="s" s="27">
        <v>273</v>
      </c>
      <c r="N634" s="28">
        <v>2</v>
      </c>
      <c r="O634" s="29">
        <v>349.99</v>
      </c>
      <c r="P634" s="29">
        <v>699.98</v>
      </c>
    </row>
    <row r="635" ht="15.55" customHeight="1">
      <c r="J635" t="s" s="27">
        <v>72</v>
      </c>
      <c r="N635" s="28">
        <v>1</v>
      </c>
      <c r="O635" s="29">
        <v>399.99</v>
      </c>
      <c r="P635" s="29">
        <v>399.99</v>
      </c>
    </row>
    <row r="636" ht="15.55" customHeight="1">
      <c r="J636" t="s" s="27">
        <v>473</v>
      </c>
      <c r="N636" s="28">
        <v>4</v>
      </c>
      <c r="O636" s="29">
        <v>0</v>
      </c>
      <c r="P636" s="29">
        <v>0</v>
      </c>
    </row>
    <row r="637" ht="15.55" customHeight="1">
      <c r="J637" t="s" s="27">
        <v>42</v>
      </c>
      <c r="N637" s="28">
        <v>146</v>
      </c>
      <c r="O637" s="29">
        <v>1865.1375</v>
      </c>
      <c r="P637" s="29">
        <v>16859.13</v>
      </c>
    </row>
    <row r="638" ht="15.55" customHeight="1">
      <c r="J638" t="s" s="27">
        <v>514</v>
      </c>
      <c r="N638" s="28">
        <v>10</v>
      </c>
      <c r="O638" s="29">
        <v>59.99</v>
      </c>
      <c r="P638" s="29">
        <v>599.9</v>
      </c>
    </row>
    <row r="639" ht="15.55" customHeight="1">
      <c r="J639" t="s" s="27">
        <v>182</v>
      </c>
      <c r="N639" s="28">
        <v>2</v>
      </c>
      <c r="O639" s="29">
        <v>49.99</v>
      </c>
      <c r="P639" s="29">
        <v>99.98</v>
      </c>
    </row>
    <row r="640" ht="15.55" customHeight="1">
      <c r="J640" t="s" s="27">
        <v>459</v>
      </c>
      <c r="N640" s="28">
        <v>1</v>
      </c>
      <c r="O640" s="29">
        <v>399.99</v>
      </c>
      <c r="P640" s="29">
        <v>399.99</v>
      </c>
    </row>
    <row r="641" ht="15.55" customHeight="1">
      <c r="J641" t="s" s="27">
        <v>194</v>
      </c>
      <c r="N641" s="28">
        <v>4</v>
      </c>
      <c r="O641" s="29">
        <v>446.31</v>
      </c>
      <c r="P641" s="29">
        <v>846.3</v>
      </c>
    </row>
    <row r="642" ht="15.55" customHeight="1">
      <c r="J642" t="s" s="27">
        <v>573</v>
      </c>
      <c r="N642" s="28">
        <v>1</v>
      </c>
      <c r="O642" s="29">
        <v>49.99</v>
      </c>
      <c r="P642" s="29">
        <v>49.99</v>
      </c>
    </row>
    <row r="643" ht="15.55" customHeight="1">
      <c r="J643" t="s" s="27">
        <v>30</v>
      </c>
      <c r="N643" s="28">
        <v>2</v>
      </c>
      <c r="O643" s="29">
        <v>599.99</v>
      </c>
      <c r="P643" s="29">
        <v>1199.98</v>
      </c>
    </row>
    <row r="644" ht="15.55" customHeight="1">
      <c r="J644" t="s" s="27">
        <v>349</v>
      </c>
      <c r="N644" s="28">
        <v>1</v>
      </c>
      <c r="O644" s="29">
        <v>399.99</v>
      </c>
      <c r="P644" s="29">
        <v>399.99</v>
      </c>
    </row>
    <row r="645" ht="15.55" customHeight="1">
      <c r="J645" t="s" s="27">
        <v>553</v>
      </c>
      <c r="N645" s="28">
        <v>1</v>
      </c>
      <c r="O645" s="29">
        <v>599.99</v>
      </c>
      <c r="P645" s="29">
        <v>599.99</v>
      </c>
    </row>
    <row r="646" ht="15.55" customHeight="1">
      <c r="J646" t="s" s="27">
        <v>479</v>
      </c>
      <c r="N646" s="28">
        <v>1</v>
      </c>
      <c r="O646" s="29">
        <v>599.99</v>
      </c>
      <c r="P646" s="29">
        <v>599.99</v>
      </c>
    </row>
    <row r="647" ht="15.55" customHeight="1">
      <c r="J647" t="s" s="27">
        <v>62</v>
      </c>
      <c r="N647" s="28">
        <v>3</v>
      </c>
      <c r="O647" s="29">
        <v>615.1525</v>
      </c>
      <c r="P647" s="29">
        <v>1087.645</v>
      </c>
    </row>
    <row r="648" ht="15.55" customHeight="1">
      <c r="J648" t="s" s="27">
        <v>38</v>
      </c>
      <c r="N648" s="28">
        <v>1</v>
      </c>
      <c r="O648" s="29">
        <v>109.99</v>
      </c>
      <c r="P648" s="29">
        <v>109.99</v>
      </c>
    </row>
    <row r="649" ht="15.55" customHeight="1">
      <c r="J649" t="s" s="27">
        <v>486</v>
      </c>
      <c r="N649" s="28">
        <v>83</v>
      </c>
      <c r="O649" s="29">
        <v>3957.7175</v>
      </c>
      <c r="P649" s="29">
        <v>11070.455</v>
      </c>
    </row>
    <row r="650" ht="15.55" customHeight="1">
      <c r="J650" t="s" s="27">
        <v>136</v>
      </c>
      <c r="N650" s="28">
        <v>1</v>
      </c>
      <c r="O650" s="29">
        <v>349.99</v>
      </c>
      <c r="P650" s="29">
        <v>349.99</v>
      </c>
    </row>
    <row r="651" ht="15.55" customHeight="1">
      <c r="J651" t="s" s="27">
        <v>122</v>
      </c>
      <c r="N651" s="28">
        <v>13</v>
      </c>
      <c r="O651" s="29">
        <v>5036.115</v>
      </c>
      <c r="P651" s="29">
        <v>26019.79</v>
      </c>
    </row>
    <row r="652" ht="15.55" customHeight="1">
      <c r="J652" t="s" s="27">
        <v>170</v>
      </c>
      <c r="N652" s="28">
        <v>1</v>
      </c>
      <c r="O652" s="29">
        <v>524.99</v>
      </c>
      <c r="P652" s="29">
        <v>524.99</v>
      </c>
    </row>
    <row r="653" ht="15.55" customHeight="1">
      <c r="J653" t="s" s="27">
        <v>549</v>
      </c>
      <c r="N653" s="28">
        <v>2</v>
      </c>
      <c r="O653" s="29">
        <v>59.99</v>
      </c>
      <c r="P653" s="29">
        <v>119.98</v>
      </c>
    </row>
    <row r="654" ht="15.55" customHeight="1">
      <c r="J654" t="s" s="27">
        <v>519</v>
      </c>
      <c r="N654" s="28">
        <v>3</v>
      </c>
      <c r="O654" s="29">
        <v>51.98</v>
      </c>
      <c r="P654" s="29">
        <v>101.97</v>
      </c>
    </row>
    <row r="655" ht="15.55" customHeight="1">
      <c r="J655" t="s" s="27">
        <v>583</v>
      </c>
      <c r="N655" s="28">
        <v>2</v>
      </c>
      <c r="O655" s="29">
        <v>609.98</v>
      </c>
      <c r="P655" s="29">
        <v>609.98</v>
      </c>
    </row>
    <row r="656" ht="15.55" customHeight="1">
      <c r="J656" t="s" s="27">
        <v>461</v>
      </c>
      <c r="N656" s="28">
        <v>4</v>
      </c>
      <c r="O656" s="29">
        <v>259.98</v>
      </c>
      <c r="P656" s="29">
        <v>519.96</v>
      </c>
    </row>
    <row r="657" ht="15.55" customHeight="1">
      <c r="J657" t="s" s="27">
        <v>101</v>
      </c>
      <c r="N657" s="28">
        <v>14</v>
      </c>
      <c r="O657" s="29">
        <v>1164.95</v>
      </c>
      <c r="P657" s="29">
        <v>2329.9</v>
      </c>
    </row>
    <row r="658" ht="15.55" customHeight="1">
      <c r="J658" t="s" s="27">
        <v>230</v>
      </c>
      <c r="N658" s="28">
        <v>8</v>
      </c>
      <c r="O658" s="29">
        <v>849.99</v>
      </c>
      <c r="P658" s="29">
        <v>1699.98</v>
      </c>
    </row>
    <row r="659" ht="15.55" customHeight="1">
      <c r="J659" t="s" s="27">
        <v>521</v>
      </c>
      <c r="N659" s="28">
        <v>1</v>
      </c>
      <c r="O659" s="29">
        <v>79.98999999999999</v>
      </c>
      <c r="P659" s="29">
        <v>79.98999999999999</v>
      </c>
    </row>
    <row r="660" ht="15.55" customHeight="1">
      <c r="J660" t="s" s="27">
        <v>378</v>
      </c>
      <c r="N660" s="28">
        <v>2</v>
      </c>
      <c r="O660" s="29">
        <v>399.99</v>
      </c>
      <c r="P660" s="29">
        <v>799.98</v>
      </c>
    </row>
    <row r="661" ht="15.55" customHeight="1">
      <c r="J661" t="s" s="27">
        <v>46</v>
      </c>
      <c r="N661" s="28">
        <v>38</v>
      </c>
      <c r="O661" s="29">
        <v>2610.4775</v>
      </c>
      <c r="P661" s="29">
        <v>10485.4025</v>
      </c>
    </row>
    <row r="662" ht="15.55" customHeight="1">
      <c r="J662" t="s" s="27">
        <v>551</v>
      </c>
      <c r="N662" s="28">
        <v>1</v>
      </c>
      <c r="O662" s="29">
        <v>219.99</v>
      </c>
      <c r="P662" s="29">
        <v>219.99</v>
      </c>
    </row>
    <row r="663" ht="15.55" customHeight="1">
      <c r="J663" t="s" s="27">
        <v>253</v>
      </c>
      <c r="N663" s="28">
        <v>20</v>
      </c>
      <c r="O663" s="29">
        <v>118.5</v>
      </c>
      <c r="P663" s="29">
        <v>147</v>
      </c>
    </row>
    <row r="664" ht="15.55" customHeight="1">
      <c r="J664" t="s" s="27">
        <v>88</v>
      </c>
      <c r="N664" s="28">
        <v>1</v>
      </c>
      <c r="O664" s="29">
        <v>59.99</v>
      </c>
      <c r="P664" s="29">
        <v>59.99</v>
      </c>
    </row>
    <row r="665" ht="15.55" customHeight="1">
      <c r="J665" t="s" s="27">
        <v>206</v>
      </c>
      <c r="N665" s="28">
        <v>4</v>
      </c>
      <c r="O665" s="29">
        <v>0</v>
      </c>
      <c r="P665" s="29">
        <v>0</v>
      </c>
    </row>
    <row r="666" ht="15.55" customHeight="1">
      <c r="J666" t="s" s="27">
        <v>512</v>
      </c>
      <c r="N666" s="28">
        <v>20</v>
      </c>
      <c r="O666" s="29">
        <v>0</v>
      </c>
      <c r="P666" s="29">
        <v>0</v>
      </c>
    </row>
    <row r="667" ht="15.55" customHeight="1">
      <c r="J667" t="s" s="27">
        <v>236</v>
      </c>
      <c r="N667" s="28">
        <v>2</v>
      </c>
      <c r="O667" s="29">
        <v>119.99</v>
      </c>
      <c r="P667" s="29">
        <v>239.98</v>
      </c>
    </row>
    <row r="668" ht="15.55" customHeight="1">
      <c r="J668" t="s" s="27">
        <v>387</v>
      </c>
      <c r="N668" s="28">
        <v>4</v>
      </c>
      <c r="O668" s="29">
        <v>1949.985</v>
      </c>
      <c r="P668" s="29">
        <v>1949.985</v>
      </c>
    </row>
    <row r="669" ht="15.55" customHeight="1">
      <c r="J669" t="s" s="27">
        <v>597</v>
      </c>
      <c r="N669" s="28">
        <v>1</v>
      </c>
      <c r="O669" s="29">
        <v>0</v>
      </c>
      <c r="P669" s="29">
        <v>0</v>
      </c>
    </row>
    <row r="670" ht="15.55" customHeight="1">
      <c r="J670" t="s" s="27">
        <v>571</v>
      </c>
      <c r="N670" s="28">
        <v>2</v>
      </c>
      <c r="O670" s="29">
        <v>119.99</v>
      </c>
      <c r="P670" s="29">
        <v>239.98</v>
      </c>
    </row>
    <row r="671" ht="15.55" customHeight="1">
      <c r="J671" t="s" s="27">
        <v>372</v>
      </c>
      <c r="N671" s="28">
        <v>1</v>
      </c>
      <c r="O671" s="29">
        <v>79.98999999999999</v>
      </c>
      <c r="P671" s="29">
        <v>79.98999999999999</v>
      </c>
    </row>
    <row r="672" ht="15.55" customHeight="1">
      <c r="J672" t="s" s="27">
        <v>323</v>
      </c>
      <c r="N672" s="28">
        <v>3</v>
      </c>
      <c r="O672" s="29">
        <v>459.98</v>
      </c>
      <c r="P672" s="29">
        <v>519.97</v>
      </c>
    </row>
    <row r="673" ht="15.55" customHeight="1">
      <c r="J673" t="s" s="27">
        <v>279</v>
      </c>
      <c r="N673" s="28">
        <v>1</v>
      </c>
      <c r="O673" s="29">
        <v>599.99</v>
      </c>
      <c r="P673" s="29">
        <v>599.99</v>
      </c>
    </row>
    <row r="674" ht="15.55" customHeight="1">
      <c r="J674" t="s" s="27">
        <v>364</v>
      </c>
      <c r="N674" s="28">
        <v>2</v>
      </c>
      <c r="O674" s="29">
        <v>49.99</v>
      </c>
      <c r="P674" s="29">
        <v>99.98</v>
      </c>
    </row>
    <row r="675" ht="15.55" customHeight="1">
      <c r="J675" t="s" s="27">
        <v>295</v>
      </c>
      <c r="N675" s="28">
        <v>2</v>
      </c>
      <c r="O675" s="29">
        <v>659.98</v>
      </c>
      <c r="P675" s="29">
        <v>659.98</v>
      </c>
    </row>
    <row r="676" ht="15.55" customHeight="1">
      <c r="J676" t="s" s="27">
        <v>417</v>
      </c>
      <c r="N676" s="28">
        <v>1</v>
      </c>
      <c r="O676" s="29">
        <v>599.99</v>
      </c>
      <c r="P676" s="29">
        <v>599.99</v>
      </c>
    </row>
    <row r="677" ht="15.4" customHeight="1">
      <c r="J677" t="s" s="30">
        <v>224</v>
      </c>
      <c r="N677" s="31">
        <v>8</v>
      </c>
      <c r="O677" s="32">
        <v>769.97</v>
      </c>
      <c r="P677" s="32">
        <v>1539.94</v>
      </c>
    </row>
    <row r="678" ht="13.1" customHeight="1">
      <c r="J678" t="s" s="33">
        <v>620</v>
      </c>
      <c r="N678" s="34">
        <v>1662</v>
      </c>
      <c r="O678" s="35">
        <v>83903.95128275</v>
      </c>
      <c r="P678" s="35">
        <v>229666.38439275</v>
      </c>
    </row>
    <row r="680" ht="15.55" customHeight="1">
      <c r="Q680" t="s" s="2">
        <v>621</v>
      </c>
      <c r="R680" s="2"/>
    </row>
    <row r="681" ht="13.1" customHeight="1">
      <c r="Q681" t="s" s="37">
        <v>4</v>
      </c>
      <c r="R681" t="s" s="23">
        <v>617</v>
      </c>
    </row>
    <row r="682" ht="13.1" customHeight="1">
      <c r="Q682" t="s" s="38">
        <v>115</v>
      </c>
      <c r="R682" s="39">
        <v>8</v>
      </c>
    </row>
    <row r="683" ht="12.9" customHeight="1">
      <c r="Q683" t="s" s="40">
        <v>396</v>
      </c>
      <c r="R683" s="41">
        <v>4</v>
      </c>
    </row>
    <row r="684" ht="12.9" customHeight="1">
      <c r="Q684" t="s" s="40">
        <v>449</v>
      </c>
      <c r="R684" s="41">
        <v>4</v>
      </c>
    </row>
    <row r="685" ht="12.9" customHeight="1">
      <c r="Q685" t="s" s="40">
        <v>451</v>
      </c>
      <c r="R685" s="41">
        <v>4</v>
      </c>
    </row>
    <row r="686" ht="12.9" customHeight="1">
      <c r="Q686" t="s" s="40">
        <v>109</v>
      </c>
      <c r="R686" s="41">
        <v>14</v>
      </c>
    </row>
    <row r="687" ht="12.9" customHeight="1">
      <c r="Q687" t="s" s="40">
        <v>262</v>
      </c>
      <c r="R687" s="41">
        <v>2</v>
      </c>
    </row>
    <row r="688" ht="12.9" customHeight="1">
      <c r="Q688" t="s" s="40">
        <v>104</v>
      </c>
      <c r="R688" s="41">
        <v>2</v>
      </c>
    </row>
    <row r="689" ht="12.9" customHeight="1">
      <c r="Q689" t="s" s="40">
        <v>593</v>
      </c>
      <c r="R689" s="41">
        <v>12</v>
      </c>
    </row>
    <row r="690" ht="12.9" customHeight="1">
      <c r="Q690" t="s" s="40">
        <v>406</v>
      </c>
      <c r="R690" s="41">
        <v>1</v>
      </c>
    </row>
    <row r="691" ht="12.9" customHeight="1">
      <c r="Q691" t="s" s="40">
        <v>111</v>
      </c>
      <c r="R691" s="41">
        <v>2</v>
      </c>
    </row>
    <row r="692" ht="12.9" customHeight="1">
      <c r="Q692" t="s" s="40">
        <v>266</v>
      </c>
      <c r="R692" s="41">
        <v>30</v>
      </c>
    </row>
    <row r="693" ht="12.9" customHeight="1">
      <c r="Q693" t="s" s="40">
        <v>123</v>
      </c>
      <c r="R693" s="41">
        <v>8</v>
      </c>
    </row>
    <row r="694" ht="12.9" customHeight="1">
      <c r="Q694" t="s" s="40">
        <v>165</v>
      </c>
      <c r="R694" s="41">
        <v>16</v>
      </c>
    </row>
    <row r="695" ht="12.9" customHeight="1">
      <c r="Q695" t="s" s="40">
        <v>19</v>
      </c>
      <c r="R695" s="41">
        <v>83</v>
      </c>
    </row>
    <row r="696" ht="12.9" customHeight="1">
      <c r="Q696" t="s" s="40">
        <v>317</v>
      </c>
      <c r="R696" s="41">
        <v>6</v>
      </c>
    </row>
    <row r="697" ht="12.9" customHeight="1">
      <c r="Q697" t="s" s="40">
        <v>227</v>
      </c>
      <c r="R697" s="41">
        <v>4</v>
      </c>
    </row>
    <row r="698" ht="12.9" customHeight="1">
      <c r="Q698" t="s" s="40">
        <v>167</v>
      </c>
      <c r="R698" s="41">
        <v>8</v>
      </c>
    </row>
    <row r="699" ht="12.9" customHeight="1">
      <c r="Q699" t="s" s="40">
        <v>341</v>
      </c>
      <c r="R699" s="41">
        <v>2</v>
      </c>
    </row>
    <row r="700" ht="12.9" customHeight="1">
      <c r="Q700" t="s" s="40">
        <v>54</v>
      </c>
      <c r="R700" s="41">
        <v>41</v>
      </c>
    </row>
    <row r="701" ht="12.9" customHeight="1">
      <c r="Q701" t="s" s="40">
        <v>139</v>
      </c>
      <c r="R701" s="41">
        <v>35</v>
      </c>
    </row>
    <row r="702" ht="12.9" customHeight="1">
      <c r="Q702" t="s" s="40">
        <v>57</v>
      </c>
      <c r="R702" s="41">
        <v>26</v>
      </c>
    </row>
    <row r="703" ht="12.9" customHeight="1">
      <c r="Q703" t="s" s="40">
        <v>369</v>
      </c>
      <c r="R703" s="41">
        <v>2</v>
      </c>
    </row>
    <row r="704" ht="12.9" customHeight="1">
      <c r="Q704" t="s" s="40">
        <v>84</v>
      </c>
      <c r="R704" s="41">
        <v>37</v>
      </c>
    </row>
    <row r="705" ht="12.9" customHeight="1">
      <c r="Q705" t="s" s="40">
        <v>179</v>
      </c>
      <c r="R705" s="41">
        <v>14</v>
      </c>
    </row>
    <row r="706" ht="12.9" customHeight="1">
      <c r="Q706" t="s" s="40">
        <v>412</v>
      </c>
      <c r="R706" s="41">
        <v>2</v>
      </c>
    </row>
    <row r="707" ht="12.9" customHeight="1">
      <c r="Q707" t="s" s="40">
        <v>119</v>
      </c>
      <c r="R707" s="41">
        <v>57</v>
      </c>
    </row>
    <row r="708" ht="12.9" customHeight="1">
      <c r="Q708" t="s" s="40">
        <v>589</v>
      </c>
      <c r="R708" s="41">
        <v>4</v>
      </c>
    </row>
    <row r="709" ht="12.9" customHeight="1">
      <c r="Q709" t="s" s="40">
        <v>447</v>
      </c>
      <c r="R709" s="41">
        <v>4</v>
      </c>
    </row>
    <row r="710" ht="12.9" customHeight="1">
      <c r="Q710" t="s" s="40">
        <v>587</v>
      </c>
      <c r="R710" s="41">
        <v>4</v>
      </c>
    </row>
    <row r="711" ht="12.9" customHeight="1">
      <c r="Q711" t="s" s="40">
        <v>345</v>
      </c>
      <c r="R711" s="41">
        <v>5</v>
      </c>
    </row>
    <row r="712" ht="12.9" customHeight="1">
      <c r="Q712" t="s" s="40">
        <v>225</v>
      </c>
      <c r="R712" s="41">
        <v>12</v>
      </c>
    </row>
    <row r="713" ht="12.9" customHeight="1">
      <c r="Q713" t="s" s="40">
        <v>585</v>
      </c>
      <c r="R713" s="41">
        <v>4</v>
      </c>
    </row>
    <row r="714" ht="12.9" customHeight="1">
      <c r="Q714" t="s" s="40">
        <v>598</v>
      </c>
      <c r="R714" s="41">
        <v>1</v>
      </c>
    </row>
    <row r="715" ht="12.9" customHeight="1">
      <c r="Q715" t="s" s="40">
        <v>125</v>
      </c>
      <c r="R715" s="41">
        <v>8</v>
      </c>
    </row>
    <row r="716" ht="12.9" customHeight="1">
      <c r="Q716" t="s" s="40">
        <v>500</v>
      </c>
      <c r="R716" s="41">
        <v>40</v>
      </c>
    </row>
    <row r="717" ht="12.9" customHeight="1">
      <c r="Q717" t="s" s="40">
        <v>299</v>
      </c>
      <c r="R717" s="41">
        <v>36</v>
      </c>
    </row>
    <row r="718" ht="12.9" customHeight="1">
      <c r="Q718" t="s" s="40">
        <v>239</v>
      </c>
      <c r="R718" s="41">
        <v>3</v>
      </c>
    </row>
    <row r="719" ht="12.9" customHeight="1">
      <c r="Q719" t="s" s="40">
        <v>487</v>
      </c>
      <c r="R719" s="41">
        <v>5</v>
      </c>
    </row>
    <row r="720" ht="12.9" customHeight="1">
      <c r="Q720" t="s" s="40">
        <v>39</v>
      </c>
      <c r="R720" s="41">
        <v>3</v>
      </c>
    </row>
    <row r="721" ht="12.9" customHeight="1">
      <c r="Q721" t="s" s="40">
        <v>213</v>
      </c>
      <c r="R721" s="41">
        <v>2</v>
      </c>
    </row>
    <row r="722" ht="12.9" customHeight="1">
      <c r="Q722" t="s" s="40">
        <v>354</v>
      </c>
      <c r="R722" s="41">
        <v>4</v>
      </c>
    </row>
    <row r="723" ht="12.9" customHeight="1">
      <c r="Q723" t="s" s="40">
        <v>23</v>
      </c>
      <c r="R723" s="41">
        <v>37</v>
      </c>
    </row>
    <row r="724" ht="12.9" customHeight="1">
      <c r="Q724" t="s" s="40">
        <v>462</v>
      </c>
      <c r="R724" s="41">
        <v>6</v>
      </c>
    </row>
    <row r="725" ht="12.9" customHeight="1">
      <c r="Q725" t="s" s="40">
        <v>133</v>
      </c>
      <c r="R725" s="41">
        <v>8</v>
      </c>
    </row>
    <row r="726" ht="12.9" customHeight="1">
      <c r="Q726" t="s" s="40">
        <v>470</v>
      </c>
      <c r="R726" s="41">
        <v>5</v>
      </c>
    </row>
    <row r="727" ht="12.9" customHeight="1">
      <c r="Q727" t="s" s="40">
        <v>602</v>
      </c>
      <c r="R727" s="41">
        <v>4</v>
      </c>
    </row>
    <row r="728" ht="12.9" customHeight="1">
      <c r="Q728" t="s" s="40">
        <v>102</v>
      </c>
      <c r="R728" s="41">
        <v>2</v>
      </c>
    </row>
    <row r="729" ht="12.9" customHeight="1">
      <c r="Q729" t="s" s="40">
        <v>35</v>
      </c>
      <c r="R729" s="41">
        <v>39</v>
      </c>
    </row>
    <row r="730" ht="12.9" customHeight="1">
      <c r="Q730" t="s" s="40">
        <v>89</v>
      </c>
      <c r="R730" s="41">
        <v>27</v>
      </c>
    </row>
    <row r="731" ht="12.9" customHeight="1">
      <c r="Q731" t="s" s="40">
        <v>594</v>
      </c>
      <c r="R731" s="41">
        <v>12</v>
      </c>
    </row>
    <row r="732" ht="12.9" customHeight="1">
      <c r="Q732" t="s" s="40">
        <v>106</v>
      </c>
      <c r="R732" s="41">
        <v>78</v>
      </c>
    </row>
    <row r="733" ht="12.9" customHeight="1">
      <c r="Q733" t="s" s="40">
        <v>52</v>
      </c>
      <c r="R733" s="41">
        <v>35</v>
      </c>
    </row>
    <row r="734" ht="12.9" customHeight="1">
      <c r="Q734" t="s" s="40">
        <v>359</v>
      </c>
      <c r="R734" s="41">
        <v>18</v>
      </c>
    </row>
    <row r="735" ht="12.9" customHeight="1">
      <c r="Q735" t="s" s="40">
        <v>607</v>
      </c>
      <c r="R735" s="41">
        <v>20</v>
      </c>
    </row>
    <row r="736" ht="12.9" customHeight="1">
      <c r="Q736" t="s" s="40">
        <v>497</v>
      </c>
      <c r="R736" s="41">
        <v>6</v>
      </c>
    </row>
    <row r="737" ht="12.9" customHeight="1">
      <c r="Q737" t="s" s="40">
        <v>77</v>
      </c>
      <c r="R737" s="41">
        <v>15</v>
      </c>
    </row>
    <row r="738" ht="12.9" customHeight="1">
      <c r="Q738" t="s" s="40">
        <v>146</v>
      </c>
      <c r="R738" s="41">
        <v>4</v>
      </c>
    </row>
    <row r="739" ht="12.9" customHeight="1">
      <c r="Q739" t="s" s="40">
        <v>258</v>
      </c>
      <c r="R739" s="41">
        <v>2</v>
      </c>
    </row>
    <row r="740" ht="12.9" customHeight="1">
      <c r="Q740" t="s" s="40">
        <v>95</v>
      </c>
      <c r="R740" s="41">
        <v>11</v>
      </c>
    </row>
    <row r="741" ht="12.9" customHeight="1">
      <c r="Q741" t="s" s="40">
        <v>171</v>
      </c>
      <c r="R741" s="41">
        <v>6</v>
      </c>
    </row>
    <row r="742" ht="12.9" customHeight="1">
      <c r="Q742" t="s" s="40">
        <v>11</v>
      </c>
      <c r="R742" s="41">
        <v>16</v>
      </c>
    </row>
    <row r="743" ht="12.9" customHeight="1">
      <c r="Q743" t="s" s="40">
        <v>31</v>
      </c>
      <c r="R743" s="41">
        <v>15</v>
      </c>
    </row>
    <row r="744" ht="12.9" customHeight="1">
      <c r="Q744" t="s" s="40">
        <v>64</v>
      </c>
      <c r="R744" s="41">
        <v>2</v>
      </c>
    </row>
    <row r="745" ht="12.9" customHeight="1">
      <c r="Q745" t="s" s="40">
        <v>81</v>
      </c>
      <c r="R745" s="41">
        <v>23</v>
      </c>
    </row>
    <row r="746" ht="12.9" customHeight="1">
      <c r="Q746" t="s" s="40">
        <v>50</v>
      </c>
      <c r="R746" s="41">
        <v>53</v>
      </c>
    </row>
    <row r="747" ht="12.9" customHeight="1">
      <c r="Q747" t="s" s="40">
        <v>48</v>
      </c>
      <c r="R747" s="41">
        <v>28</v>
      </c>
    </row>
    <row r="748" ht="12.9" customHeight="1">
      <c r="Q748" t="s" s="40">
        <v>468</v>
      </c>
      <c r="R748" s="41">
        <v>1</v>
      </c>
    </row>
    <row r="749" ht="12.9" customHeight="1">
      <c r="Q749" t="s" s="40">
        <v>489</v>
      </c>
      <c r="R749" s="41">
        <v>1</v>
      </c>
    </row>
    <row r="750" ht="12.9" customHeight="1">
      <c r="Q750" t="s" s="40">
        <v>491</v>
      </c>
      <c r="R750" s="41">
        <v>3</v>
      </c>
    </row>
    <row r="751" ht="12.9" customHeight="1">
      <c r="Q751" t="s" s="40">
        <v>493</v>
      </c>
      <c r="R751" s="41">
        <v>1</v>
      </c>
    </row>
    <row r="752" ht="12.9" customHeight="1">
      <c r="Q752" t="s" s="40">
        <v>143</v>
      </c>
      <c r="R752" s="41">
        <v>5</v>
      </c>
    </row>
    <row r="753" ht="12.9" customHeight="1">
      <c r="Q753" t="s" s="40">
        <v>59</v>
      </c>
      <c r="R753" s="41">
        <v>5</v>
      </c>
    </row>
    <row r="754" ht="12.9" customHeight="1">
      <c r="Q754" t="s" s="40">
        <v>73</v>
      </c>
      <c r="R754" s="41">
        <v>18</v>
      </c>
    </row>
    <row r="755" ht="12.9" customHeight="1">
      <c r="Q755" t="s" s="40">
        <v>526</v>
      </c>
      <c r="R755" s="41">
        <v>30</v>
      </c>
    </row>
    <row r="756" ht="12.9" customHeight="1">
      <c r="Q756" t="s" s="40">
        <v>27</v>
      </c>
      <c r="R756" s="41">
        <v>14</v>
      </c>
    </row>
    <row r="757" ht="12.9" customHeight="1">
      <c r="Q757" t="s" s="40">
        <v>559</v>
      </c>
      <c r="R757" s="41">
        <v>5</v>
      </c>
    </row>
    <row r="758" ht="12.9" customHeight="1">
      <c r="Q758" t="s" s="40">
        <v>15</v>
      </c>
      <c r="R758" s="41">
        <v>22</v>
      </c>
    </row>
    <row r="759" ht="12.9" customHeight="1">
      <c r="Q759" t="s" s="40">
        <v>315</v>
      </c>
      <c r="R759" s="41">
        <v>6</v>
      </c>
    </row>
    <row r="760" ht="12.9" customHeight="1">
      <c r="Q760" t="s" s="40">
        <v>356</v>
      </c>
      <c r="R760" s="41">
        <v>5</v>
      </c>
    </row>
    <row r="761" ht="12.9" customHeight="1">
      <c r="Q761" t="s" s="40">
        <v>207</v>
      </c>
      <c r="R761" s="41">
        <v>5</v>
      </c>
    </row>
    <row r="762" ht="12.9" customHeight="1">
      <c r="Q762" t="s" s="40">
        <v>400</v>
      </c>
      <c r="R762" s="41">
        <v>1</v>
      </c>
    </row>
    <row r="763" ht="12.9" customHeight="1">
      <c r="Q763" t="s" s="40">
        <v>388</v>
      </c>
      <c r="R763" s="41">
        <v>1</v>
      </c>
    </row>
    <row r="764" ht="12.9" customHeight="1">
      <c r="Q764" t="s" s="40">
        <v>442</v>
      </c>
      <c r="R764" s="41">
        <v>1</v>
      </c>
    </row>
    <row r="765" ht="12.9" customHeight="1">
      <c r="Q765" t="s" s="40">
        <v>454</v>
      </c>
      <c r="R765" s="41">
        <v>1</v>
      </c>
    </row>
    <row r="766" ht="12.9" customHeight="1">
      <c r="Q766" t="s" s="40">
        <v>43</v>
      </c>
      <c r="R766" s="41">
        <v>7</v>
      </c>
    </row>
    <row r="767" ht="12.9" customHeight="1">
      <c r="Q767" t="s" s="40">
        <v>402</v>
      </c>
      <c r="R767" s="41">
        <v>36</v>
      </c>
    </row>
    <row r="768" ht="12.9" customHeight="1">
      <c r="Q768" t="s" s="40">
        <v>443</v>
      </c>
      <c r="R768" s="41">
        <v>4</v>
      </c>
    </row>
    <row r="769" ht="12.9" customHeight="1">
      <c r="Q769" t="s" s="40">
        <v>301</v>
      </c>
      <c r="R769" s="41">
        <v>20</v>
      </c>
    </row>
    <row r="770" ht="12.9" customHeight="1">
      <c r="Q770" t="s" s="40">
        <v>404</v>
      </c>
      <c r="R770" s="41">
        <v>1</v>
      </c>
    </row>
    <row r="771" ht="12.9" customHeight="1">
      <c r="Q771" t="s" s="40">
        <v>536</v>
      </c>
      <c r="R771" s="41">
        <v>60</v>
      </c>
    </row>
    <row r="772" ht="12.9" customHeight="1">
      <c r="Q772" t="s" s="40">
        <v>534</v>
      </c>
      <c r="R772" s="41">
        <v>180</v>
      </c>
    </row>
    <row r="773" ht="12.9" customHeight="1">
      <c r="Q773" t="s" s="40">
        <v>398</v>
      </c>
      <c r="R773" s="41">
        <v>2</v>
      </c>
    </row>
    <row r="774" ht="12.9" customHeight="1">
      <c r="Q774" t="s" s="40">
        <v>528</v>
      </c>
      <c r="R774" s="41">
        <v>60</v>
      </c>
    </row>
    <row r="775" ht="12.9" customHeight="1">
      <c r="Q775" t="s" s="40">
        <v>532</v>
      </c>
      <c r="R775" s="41">
        <v>30</v>
      </c>
    </row>
    <row r="776" ht="12.9" customHeight="1">
      <c r="Q776" t="s" s="40">
        <v>530</v>
      </c>
      <c r="R776" s="41">
        <v>60</v>
      </c>
    </row>
    <row r="777" ht="12.9" customHeight="1">
      <c r="Q777" t="s" s="40">
        <v>445</v>
      </c>
      <c r="R777" s="41">
        <v>1</v>
      </c>
    </row>
    <row r="778" ht="12.9" customHeight="1">
      <c r="Q778" t="s" s="40">
        <v>250</v>
      </c>
      <c r="R778" s="41">
        <v>2</v>
      </c>
    </row>
    <row r="779" ht="12.9" customHeight="1">
      <c r="Q779" t="s" s="40">
        <v>248</v>
      </c>
      <c r="R779" s="41">
        <v>6</v>
      </c>
    </row>
    <row r="780" ht="12.9" customHeight="1">
      <c r="Q780" t="s" s="40">
        <v>409</v>
      </c>
      <c r="R780" s="41">
        <v>2</v>
      </c>
    </row>
    <row r="781" ht="12.9" customHeight="1">
      <c r="Q781" t="s" s="40">
        <v>254</v>
      </c>
      <c r="R781" s="41">
        <v>2</v>
      </c>
    </row>
    <row r="782" ht="12.9" customHeight="1">
      <c r="Q782" t="s" s="40">
        <v>63</v>
      </c>
      <c r="R782" s="41">
        <v>12</v>
      </c>
    </row>
    <row r="783" ht="12.9" customHeight="1">
      <c r="Q783" t="s" s="40">
        <v>47</v>
      </c>
      <c r="R783" s="41">
        <v>8</v>
      </c>
    </row>
    <row r="784" ht="12.9" customHeight="1">
      <c r="Q784" t="s" s="40">
        <v>110</v>
      </c>
      <c r="R784" s="41">
        <v>2</v>
      </c>
    </row>
    <row r="785" ht="12.9" customHeight="1">
      <c r="Q785" t="s" s="40">
        <v>264</v>
      </c>
      <c r="R785" s="41">
        <v>2</v>
      </c>
    </row>
    <row r="786" ht="12.9" customHeight="1">
      <c r="Q786" t="s" s="40">
        <v>556</v>
      </c>
      <c r="R786" s="41">
        <v>5</v>
      </c>
    </row>
    <row r="787" ht="12.9" customHeight="1">
      <c r="Q787" t="s" s="40">
        <v>394</v>
      </c>
      <c r="R787" s="41">
        <v>1</v>
      </c>
    </row>
    <row r="788" ht="12.9" customHeight="1">
      <c r="Q788" t="s" s="40">
        <v>256</v>
      </c>
      <c r="R788" s="41">
        <v>2</v>
      </c>
    </row>
    <row r="789" ht="13.1" customHeight="1">
      <c r="Q789" t="s" s="42">
        <v>260</v>
      </c>
      <c r="R789" s="43">
        <v>1</v>
      </c>
    </row>
    <row r="790" ht="13.1" customHeight="1">
      <c r="Q790" t="s" s="44">
        <v>620</v>
      </c>
      <c r="R790" s="34">
        <v>1662</v>
      </c>
    </row>
    <row r="792" ht="15.55" customHeight="1">
      <c r="S792" t="s" s="2">
        <v>622</v>
      </c>
      <c r="T792" s="2"/>
    </row>
    <row r="793" ht="13.1" customHeight="1">
      <c r="S793" t="s" s="37">
        <v>4</v>
      </c>
      <c r="T793" t="s" s="23">
        <v>619</v>
      </c>
    </row>
    <row r="794" ht="13.1" customHeight="1">
      <c r="S794" t="s" s="38">
        <v>115</v>
      </c>
      <c r="T794" s="46">
        <v>160.93</v>
      </c>
    </row>
    <row r="795" ht="12.9" customHeight="1">
      <c r="S795" t="s" s="40">
        <v>396</v>
      </c>
      <c r="T795" s="47">
        <v>0</v>
      </c>
    </row>
    <row r="796" ht="12.9" customHeight="1">
      <c r="S796" t="s" s="40">
        <v>449</v>
      </c>
      <c r="T796" s="48">
        <v>21.739132</v>
      </c>
    </row>
    <row r="797" ht="12.9" customHeight="1">
      <c r="S797" t="s" s="40">
        <v>451</v>
      </c>
      <c r="T797" s="48">
        <v>15.304348</v>
      </c>
    </row>
    <row r="798" ht="12.9" customHeight="1">
      <c r="S798" t="s" s="40">
        <v>109</v>
      </c>
      <c r="T798" s="48">
        <v>2119.98</v>
      </c>
    </row>
    <row r="799" ht="12.9" customHeight="1">
      <c r="S799" t="s" s="40">
        <v>262</v>
      </c>
      <c r="T799" s="47">
        <v>0</v>
      </c>
    </row>
    <row r="800" ht="12.9" customHeight="1">
      <c r="S800" t="s" s="40">
        <v>104</v>
      </c>
      <c r="T800" s="48">
        <v>119.98</v>
      </c>
    </row>
    <row r="801" ht="12.9" customHeight="1">
      <c r="S801" t="s" s="40">
        <v>593</v>
      </c>
      <c r="T801" s="48">
        <v>480</v>
      </c>
    </row>
    <row r="802" ht="12.9" customHeight="1">
      <c r="S802" t="s" s="40">
        <v>406</v>
      </c>
      <c r="T802" s="48">
        <v>25.92391275</v>
      </c>
    </row>
    <row r="803" ht="12.9" customHeight="1">
      <c r="S803" t="s" s="40">
        <v>111</v>
      </c>
      <c r="T803" s="48">
        <v>99</v>
      </c>
    </row>
    <row r="804" ht="12.9" customHeight="1">
      <c r="S804" t="s" s="40">
        <v>266</v>
      </c>
      <c r="T804" s="47">
        <v>0</v>
      </c>
    </row>
    <row r="805" ht="12.9" customHeight="1">
      <c r="S805" t="s" s="40">
        <v>123</v>
      </c>
      <c r="T805" s="48">
        <v>1349.925</v>
      </c>
    </row>
    <row r="806" ht="12.9" customHeight="1">
      <c r="S806" t="s" s="40">
        <v>165</v>
      </c>
      <c r="T806" s="48">
        <v>149.95</v>
      </c>
    </row>
    <row r="807" ht="12.9" customHeight="1">
      <c r="S807" t="s" s="40">
        <v>19</v>
      </c>
      <c r="T807" s="48">
        <v>9507.206</v>
      </c>
    </row>
    <row r="808" ht="12.9" customHeight="1">
      <c r="S808" t="s" s="40">
        <v>317</v>
      </c>
      <c r="T808" s="48">
        <v>224.955</v>
      </c>
    </row>
    <row r="809" ht="12.9" customHeight="1">
      <c r="S809" t="s" s="40">
        <v>227</v>
      </c>
      <c r="T809" s="47">
        <v>0</v>
      </c>
    </row>
    <row r="810" ht="12.9" customHeight="1">
      <c r="S810" t="s" s="40">
        <v>167</v>
      </c>
      <c r="T810" s="47">
        <v>0</v>
      </c>
    </row>
    <row r="811" ht="12.9" customHeight="1">
      <c r="S811" t="s" s="40">
        <v>341</v>
      </c>
      <c r="T811" s="48">
        <v>59.98</v>
      </c>
    </row>
    <row r="812" ht="12.9" customHeight="1">
      <c r="S812" t="s" s="40">
        <v>54</v>
      </c>
      <c r="T812" s="48">
        <v>307.69</v>
      </c>
    </row>
    <row r="813" ht="12.9" customHeight="1">
      <c r="S813" t="s" s="40">
        <v>139</v>
      </c>
      <c r="T813" s="48">
        <v>1599.6775</v>
      </c>
    </row>
    <row r="814" ht="12.9" customHeight="1">
      <c r="S814" t="s" s="40">
        <v>57</v>
      </c>
      <c r="T814" s="48">
        <v>15599.805</v>
      </c>
    </row>
    <row r="815" ht="12.9" customHeight="1">
      <c r="S815" t="s" s="40">
        <v>369</v>
      </c>
      <c r="T815" s="48">
        <v>22.7325</v>
      </c>
    </row>
    <row r="816" ht="12.9" customHeight="1">
      <c r="S816" t="s" s="40">
        <v>84</v>
      </c>
      <c r="T816" s="47">
        <v>0</v>
      </c>
    </row>
    <row r="817" ht="12.9" customHeight="1">
      <c r="S817" t="s" s="40">
        <v>179</v>
      </c>
      <c r="T817" s="48">
        <v>599.88</v>
      </c>
    </row>
    <row r="818" ht="12.9" customHeight="1">
      <c r="S818" t="s" s="40">
        <v>412</v>
      </c>
      <c r="T818" s="48">
        <v>3.98</v>
      </c>
    </row>
    <row r="819" ht="12.9" customHeight="1">
      <c r="S819" t="s" s="40">
        <v>119</v>
      </c>
      <c r="T819" s="48">
        <v>11.94</v>
      </c>
    </row>
    <row r="820" ht="12.9" customHeight="1">
      <c r="S820" t="s" s="40">
        <v>589</v>
      </c>
      <c r="T820" s="48">
        <v>14.98</v>
      </c>
    </row>
    <row r="821" ht="12.9" customHeight="1">
      <c r="S821" t="s" s="40">
        <v>447</v>
      </c>
      <c r="T821" s="47">
        <v>0</v>
      </c>
    </row>
    <row r="822" ht="12.9" customHeight="1">
      <c r="S822" t="s" s="40">
        <v>587</v>
      </c>
      <c r="T822" s="47">
        <v>0</v>
      </c>
    </row>
    <row r="823" ht="12.9" customHeight="1">
      <c r="S823" t="s" s="40">
        <v>345</v>
      </c>
      <c r="T823" s="48">
        <v>1049.95</v>
      </c>
    </row>
    <row r="824" ht="12.9" customHeight="1">
      <c r="S824" t="s" s="40">
        <v>225</v>
      </c>
      <c r="T824" s="48">
        <v>5499.89</v>
      </c>
    </row>
    <row r="825" ht="12.9" customHeight="1">
      <c r="S825" t="s" s="40">
        <v>585</v>
      </c>
      <c r="T825" s="48">
        <v>1499.97</v>
      </c>
    </row>
    <row r="826" ht="12.9" customHeight="1">
      <c r="S826" t="s" s="40">
        <v>598</v>
      </c>
      <c r="T826" s="47">
        <v>0</v>
      </c>
    </row>
    <row r="827" ht="12.9" customHeight="1">
      <c r="S827" t="s" s="40">
        <v>125</v>
      </c>
      <c r="T827" s="48">
        <v>487.425</v>
      </c>
    </row>
    <row r="828" ht="12.9" customHeight="1">
      <c r="S828" t="s" s="40">
        <v>500</v>
      </c>
      <c r="T828" s="48">
        <v>2549.7</v>
      </c>
    </row>
    <row r="829" ht="12.9" customHeight="1">
      <c r="S829" t="s" s="40">
        <v>299</v>
      </c>
      <c r="T829" s="48">
        <v>2519.64</v>
      </c>
    </row>
    <row r="830" ht="12.9" customHeight="1">
      <c r="S830" t="s" s="40">
        <v>239</v>
      </c>
      <c r="T830" s="48">
        <v>299.97</v>
      </c>
    </row>
    <row r="831" ht="12.9" customHeight="1">
      <c r="S831" t="s" s="40">
        <v>487</v>
      </c>
      <c r="T831" s="48">
        <v>412.4625</v>
      </c>
    </row>
    <row r="832" ht="12.9" customHeight="1">
      <c r="S832" t="s" s="40">
        <v>39</v>
      </c>
      <c r="T832" s="48">
        <v>302.4725</v>
      </c>
    </row>
    <row r="833" ht="12.9" customHeight="1">
      <c r="S833" t="s" s="40">
        <v>213</v>
      </c>
      <c r="T833" s="48">
        <v>1099.98</v>
      </c>
    </row>
    <row r="834" ht="12.9" customHeight="1">
      <c r="S834" t="s" s="40">
        <v>354</v>
      </c>
      <c r="T834" s="48">
        <v>509.966</v>
      </c>
    </row>
    <row r="835" ht="12.9" customHeight="1">
      <c r="S835" t="s" s="40">
        <v>23</v>
      </c>
      <c r="T835" s="48">
        <v>1499.9</v>
      </c>
    </row>
    <row r="836" ht="12.9" customHeight="1">
      <c r="S836" t="s" s="40">
        <v>462</v>
      </c>
      <c r="T836" s="48">
        <v>1199.94</v>
      </c>
    </row>
    <row r="837" ht="12.9" customHeight="1">
      <c r="S837" t="s" s="40">
        <v>133</v>
      </c>
      <c r="T837" s="48">
        <v>687.48</v>
      </c>
    </row>
    <row r="838" ht="12.9" customHeight="1">
      <c r="S838" t="s" s="40">
        <v>470</v>
      </c>
      <c r="T838" s="48">
        <v>649.99</v>
      </c>
    </row>
    <row r="839" ht="12.9" customHeight="1">
      <c r="S839" t="s" s="40">
        <v>602</v>
      </c>
      <c r="T839" s="48">
        <v>600</v>
      </c>
    </row>
    <row r="840" ht="12.9" customHeight="1">
      <c r="S840" t="s" s="40">
        <v>102</v>
      </c>
      <c r="T840" s="48">
        <v>749.98</v>
      </c>
    </row>
    <row r="841" ht="12.9" customHeight="1">
      <c r="S841" t="s" s="40">
        <v>35</v>
      </c>
      <c r="T841" s="48">
        <v>1878.78</v>
      </c>
    </row>
    <row r="842" ht="12.9" customHeight="1">
      <c r="S842" t="s" s="40">
        <v>89</v>
      </c>
      <c r="T842" s="48">
        <v>1598.9</v>
      </c>
    </row>
    <row r="843" ht="12.9" customHeight="1">
      <c r="S843" t="s" s="40">
        <v>594</v>
      </c>
      <c r="T843" s="48">
        <v>240</v>
      </c>
    </row>
    <row r="844" ht="12.9" customHeight="1">
      <c r="S844" t="s" s="40">
        <v>106</v>
      </c>
      <c r="T844" s="48">
        <v>4284.41</v>
      </c>
    </row>
    <row r="845" ht="12.9" customHeight="1">
      <c r="S845" t="s" s="40">
        <v>52</v>
      </c>
      <c r="T845" s="48">
        <v>139.93</v>
      </c>
    </row>
    <row r="846" ht="12.9" customHeight="1">
      <c r="S846" t="s" s="40">
        <v>359</v>
      </c>
      <c r="T846" s="48">
        <v>419.86</v>
      </c>
    </row>
    <row r="847" ht="12.9" customHeight="1">
      <c r="S847" t="s" s="40">
        <v>607</v>
      </c>
      <c r="T847" s="48">
        <v>449.85</v>
      </c>
    </row>
    <row r="848" ht="12.9" customHeight="1">
      <c r="S848" t="s" s="40">
        <v>497</v>
      </c>
      <c r="T848" s="48">
        <v>112.455</v>
      </c>
    </row>
    <row r="849" ht="12.9" customHeight="1">
      <c r="S849" t="s" s="40">
        <v>77</v>
      </c>
      <c r="T849" s="48">
        <v>510.865</v>
      </c>
    </row>
    <row r="850" ht="12.9" customHeight="1">
      <c r="S850" t="s" s="40">
        <v>146</v>
      </c>
      <c r="T850" s="48">
        <v>79.95999999999999</v>
      </c>
    </row>
    <row r="851" ht="12.9" customHeight="1">
      <c r="S851" t="s" s="40">
        <v>258</v>
      </c>
      <c r="T851" s="47">
        <v>0</v>
      </c>
    </row>
    <row r="852" ht="12.9" customHeight="1">
      <c r="S852" t="s" s="40">
        <v>95</v>
      </c>
      <c r="T852" s="48">
        <v>3849.89</v>
      </c>
    </row>
    <row r="853" ht="12.9" customHeight="1">
      <c r="S853" t="s" s="40">
        <v>171</v>
      </c>
      <c r="T853" s="48">
        <v>3274.94</v>
      </c>
    </row>
    <row r="854" ht="12.9" customHeight="1">
      <c r="S854" t="s" s="40">
        <v>11</v>
      </c>
      <c r="T854" s="48">
        <v>6374.84</v>
      </c>
    </row>
    <row r="855" ht="12.9" customHeight="1">
      <c r="S855" t="s" s="40">
        <v>31</v>
      </c>
      <c r="T855" s="48">
        <v>8841.512500000001</v>
      </c>
    </row>
    <row r="856" ht="12.9" customHeight="1">
      <c r="S856" t="s" s="40">
        <v>64</v>
      </c>
      <c r="T856" s="48">
        <v>944.985</v>
      </c>
    </row>
    <row r="857" ht="12.9" customHeight="1">
      <c r="S857" t="s" s="40">
        <v>81</v>
      </c>
      <c r="T857" s="48">
        <v>18699.78</v>
      </c>
    </row>
    <row r="858" ht="12.9" customHeight="1">
      <c r="S858" t="s" s="40">
        <v>50</v>
      </c>
      <c r="T858" s="48">
        <v>29.99</v>
      </c>
    </row>
    <row r="859" ht="12.9" customHeight="1">
      <c r="S859" t="s" s="40">
        <v>48</v>
      </c>
      <c r="T859" s="48">
        <v>27949.785</v>
      </c>
    </row>
    <row r="860" ht="12.9" customHeight="1">
      <c r="S860" t="s" s="40">
        <v>468</v>
      </c>
      <c r="T860" s="48">
        <v>2499.99</v>
      </c>
    </row>
    <row r="861" ht="12.9" customHeight="1">
      <c r="S861" t="s" s="40">
        <v>489</v>
      </c>
      <c r="T861" s="48">
        <v>1199.9925</v>
      </c>
    </row>
    <row r="862" ht="12.9" customHeight="1">
      <c r="S862" t="s" s="40">
        <v>491</v>
      </c>
      <c r="T862" s="47">
        <v>0</v>
      </c>
    </row>
    <row r="863" ht="12.9" customHeight="1">
      <c r="S863" t="s" s="40">
        <v>493</v>
      </c>
      <c r="T863" s="47">
        <v>0</v>
      </c>
    </row>
    <row r="864" ht="12.9" customHeight="1">
      <c r="S864" t="s" s="40">
        <v>143</v>
      </c>
      <c r="T864" s="48">
        <v>15299.95</v>
      </c>
    </row>
    <row r="865" ht="12.9" customHeight="1">
      <c r="S865" t="s" s="40">
        <v>59</v>
      </c>
      <c r="T865" s="48">
        <v>4499.9625</v>
      </c>
    </row>
    <row r="866" ht="12.9" customHeight="1">
      <c r="S866" t="s" s="40">
        <v>73</v>
      </c>
      <c r="T866" s="48">
        <v>6999.825</v>
      </c>
    </row>
    <row r="867" ht="12.9" customHeight="1">
      <c r="S867" t="s" s="40">
        <v>526</v>
      </c>
      <c r="T867" s="48">
        <v>28500</v>
      </c>
    </row>
    <row r="868" ht="12.9" customHeight="1">
      <c r="S868" t="s" s="40">
        <v>27</v>
      </c>
      <c r="T868" s="48">
        <v>1039.87</v>
      </c>
    </row>
    <row r="869" ht="12.9" customHeight="1">
      <c r="S869" t="s" s="40">
        <v>559</v>
      </c>
      <c r="T869" s="47">
        <v>0</v>
      </c>
    </row>
    <row r="870" ht="12.9" customHeight="1">
      <c r="S870" t="s" s="40">
        <v>15</v>
      </c>
      <c r="T870" s="48">
        <v>203.785</v>
      </c>
    </row>
    <row r="871" ht="12.9" customHeight="1">
      <c r="S871" t="s" s="40">
        <v>315</v>
      </c>
      <c r="T871" s="48">
        <v>2.25</v>
      </c>
    </row>
    <row r="872" ht="12.9" customHeight="1">
      <c r="S872" t="s" s="40">
        <v>356</v>
      </c>
      <c r="T872" s="47">
        <v>0</v>
      </c>
    </row>
    <row r="873" ht="12.9" customHeight="1">
      <c r="S873" t="s" s="40">
        <v>207</v>
      </c>
      <c r="T873" s="47">
        <v>0</v>
      </c>
    </row>
    <row r="874" ht="12.9" customHeight="1">
      <c r="S874" t="s" s="40">
        <v>400</v>
      </c>
      <c r="T874" s="47">
        <v>0</v>
      </c>
    </row>
    <row r="875" ht="12.9" customHeight="1">
      <c r="S875" t="s" s="40">
        <v>388</v>
      </c>
      <c r="T875" s="48">
        <v>1000</v>
      </c>
    </row>
    <row r="876" ht="12.9" customHeight="1">
      <c r="S876" t="s" s="40">
        <v>442</v>
      </c>
      <c r="T876" s="48">
        <v>-446.99</v>
      </c>
    </row>
    <row r="877" ht="12.9" customHeight="1">
      <c r="S877" t="s" s="40">
        <v>454</v>
      </c>
      <c r="T877" s="48">
        <v>-800</v>
      </c>
    </row>
    <row r="878" ht="12.9" customHeight="1">
      <c r="S878" t="s" s="40">
        <v>43</v>
      </c>
      <c r="T878" s="47">
        <v>0</v>
      </c>
    </row>
    <row r="879" ht="12.9" customHeight="1">
      <c r="S879" t="s" s="40">
        <v>402</v>
      </c>
      <c r="T879" s="47">
        <v>0</v>
      </c>
    </row>
    <row r="880" ht="12.9" customHeight="1">
      <c r="S880" t="s" s="40">
        <v>443</v>
      </c>
      <c r="T880" s="47">
        <v>0</v>
      </c>
    </row>
    <row r="881" ht="12.9" customHeight="1">
      <c r="S881" t="s" s="40">
        <v>301</v>
      </c>
      <c r="T881" s="48">
        <v>269.82</v>
      </c>
    </row>
    <row r="882" ht="12.9" customHeight="1">
      <c r="S882" t="s" s="40">
        <v>404</v>
      </c>
      <c r="T882" s="48">
        <v>18.375</v>
      </c>
    </row>
    <row r="883" ht="12.9" customHeight="1">
      <c r="S883" t="s" s="40">
        <v>536</v>
      </c>
      <c r="T883" s="48">
        <v>840</v>
      </c>
    </row>
    <row r="884" ht="12.9" customHeight="1">
      <c r="S884" t="s" s="40">
        <v>534</v>
      </c>
      <c r="T884" s="48">
        <v>3600</v>
      </c>
    </row>
    <row r="885" ht="12.9" customHeight="1">
      <c r="S885" t="s" s="40">
        <v>398</v>
      </c>
      <c r="T885" s="47">
        <v>0</v>
      </c>
    </row>
    <row r="886" ht="12.9" customHeight="1">
      <c r="S886" t="s" s="40">
        <v>528</v>
      </c>
      <c r="T886" s="48">
        <v>840</v>
      </c>
    </row>
    <row r="887" ht="12.9" customHeight="1">
      <c r="S887" t="s" s="40">
        <v>532</v>
      </c>
      <c r="T887" s="48">
        <v>360</v>
      </c>
    </row>
    <row r="888" ht="12.9" customHeight="1">
      <c r="S888" t="s" s="40">
        <v>530</v>
      </c>
      <c r="T888" s="48">
        <v>480</v>
      </c>
    </row>
    <row r="889" ht="12.9" customHeight="1">
      <c r="S889" t="s" s="40">
        <v>445</v>
      </c>
      <c r="T889" s="48">
        <v>149.99</v>
      </c>
    </row>
    <row r="890" ht="12.9" customHeight="1">
      <c r="S890" t="s" s="40">
        <v>250</v>
      </c>
      <c r="T890" s="48">
        <v>1599.98</v>
      </c>
    </row>
    <row r="891" ht="12.9" customHeight="1">
      <c r="S891" t="s" s="40">
        <v>248</v>
      </c>
      <c r="T891" s="48">
        <v>23999.94</v>
      </c>
    </row>
    <row r="892" ht="12.9" customHeight="1">
      <c r="S892" t="s" s="40">
        <v>409</v>
      </c>
      <c r="T892" s="47">
        <v>0</v>
      </c>
    </row>
    <row r="893" ht="12.9" customHeight="1">
      <c r="S893" t="s" s="40">
        <v>254</v>
      </c>
      <c r="T893" s="48">
        <v>90</v>
      </c>
    </row>
    <row r="894" ht="12.9" customHeight="1">
      <c r="S894" t="s" s="40">
        <v>63</v>
      </c>
      <c r="T894" s="48">
        <v>893.62</v>
      </c>
    </row>
    <row r="895" ht="12.9" customHeight="1">
      <c r="S895" t="s" s="40">
        <v>47</v>
      </c>
      <c r="T895" s="48">
        <v>1154.18</v>
      </c>
    </row>
    <row r="896" ht="12.9" customHeight="1">
      <c r="S896" t="s" s="40">
        <v>110</v>
      </c>
      <c r="T896" s="47">
        <v>0</v>
      </c>
    </row>
    <row r="897" ht="12.9" customHeight="1">
      <c r="S897" t="s" s="40">
        <v>264</v>
      </c>
      <c r="T897" s="47">
        <v>0</v>
      </c>
    </row>
    <row r="898" ht="12.9" customHeight="1">
      <c r="S898" t="s" s="40">
        <v>556</v>
      </c>
      <c r="T898" s="48">
        <v>1499.9625</v>
      </c>
    </row>
    <row r="899" ht="12.9" customHeight="1">
      <c r="S899" t="s" s="40">
        <v>394</v>
      </c>
      <c r="T899" s="48">
        <v>19.875</v>
      </c>
    </row>
    <row r="900" ht="12.9" customHeight="1">
      <c r="S900" t="s" s="40">
        <v>256</v>
      </c>
      <c r="T900" s="48">
        <v>57</v>
      </c>
    </row>
    <row r="901" ht="13.1" customHeight="1">
      <c r="S901" t="s" s="42">
        <v>260</v>
      </c>
      <c r="T901" s="49">
        <v>0</v>
      </c>
    </row>
    <row r="902" ht="13.1" customHeight="1">
      <c r="S902" t="s" s="44">
        <v>620</v>
      </c>
      <c r="T902" s="50">
        <v>229666.38439275</v>
      </c>
    </row>
  </sheetData>
  <mergeCells count="4">
    <mergeCell ref="B1:I1"/>
    <mergeCell ref="J500:P500"/>
    <mergeCell ref="Q680:R680"/>
    <mergeCell ref="S792:T79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sheetPr>
    <pageSetUpPr fitToPage="1"/>
  </sheetPr>
  <dimension ref="B2:T1610"/>
  <sheetViews>
    <sheetView workbookViewId="0" showGridLines="0" defaultGridColor="1">
      <pane topLeftCell="C3" xSplit="2" ySplit="2" activePane="bottomRight" state="frozen"/>
    </sheetView>
  </sheetViews>
  <sheetFormatPr defaultColWidth="16.3333" defaultRowHeight="15.4" customHeight="1" outlineLevelRow="0" outlineLevelCol="0"/>
  <cols>
    <col min="1" max="1" width="33.3516" style="51" customWidth="1"/>
    <col min="2" max="2" width="16.3516" style="51" customWidth="1"/>
    <col min="3" max="3" width="24.7656" style="51" customWidth="1"/>
    <col min="4" max="4" width="16.3516" style="51" customWidth="1"/>
    <col min="5" max="5" width="30.7578" style="51" customWidth="1"/>
    <col min="6" max="6" width="58.1797" style="51" customWidth="1"/>
    <col min="7" max="9" width="16.3516" style="51" customWidth="1"/>
    <col min="10" max="10" width="30.3047" style="53" customWidth="1"/>
    <col min="11" max="16" width="13.3516" style="53" customWidth="1"/>
    <col min="17" max="17" width="50.5156" style="54" customWidth="1"/>
    <col min="18" max="18" width="13.3516" style="54" customWidth="1"/>
    <col min="19" max="19" width="54.0312" style="55" customWidth="1"/>
    <col min="20" max="20" width="13.3516" style="55" customWidth="1"/>
    <col min="21" max="16384" width="16.3516" style="55" customWidth="1"/>
  </cols>
  <sheetData>
    <row r="1" ht="15.55" customHeight="1">
      <c r="B1" t="s" s="2">
        <v>623</v>
      </c>
      <c r="C1" s="2"/>
      <c r="D1" s="2"/>
      <c r="E1" s="2"/>
      <c r="F1" s="2"/>
      <c r="G1" s="2"/>
      <c r="H1" s="2"/>
      <c r="I1" s="2"/>
    </row>
    <row r="2" ht="13.1" customHeight="1">
      <c r="B2" t="s" s="3">
        <v>1</v>
      </c>
      <c r="C2" t="s" s="3">
        <v>2</v>
      </c>
      <c r="D2" t="s" s="3">
        <v>3</v>
      </c>
      <c r="E2" t="s" s="3">
        <v>4</v>
      </c>
      <c r="F2" t="s" s="3">
        <v>5</v>
      </c>
      <c r="G2" t="s" s="3">
        <v>6</v>
      </c>
      <c r="H2" t="s" s="3">
        <v>7</v>
      </c>
      <c r="I2" t="s" s="3">
        <v>8</v>
      </c>
    </row>
    <row r="3" ht="13.1" customHeight="1">
      <c r="B3" t="s" s="4">
        <v>624</v>
      </c>
      <c r="C3" t="s" s="5">
        <v>625</v>
      </c>
      <c r="D3" s="6">
        <v>45535.644749618055</v>
      </c>
      <c r="E3" t="s" s="7">
        <v>95</v>
      </c>
      <c r="F3" t="s" s="7">
        <v>12</v>
      </c>
      <c r="G3" s="8">
        <v>1</v>
      </c>
      <c r="H3" s="9">
        <v>349.99</v>
      </c>
      <c r="I3" s="9">
        <v>349.99</v>
      </c>
    </row>
    <row r="4" ht="12.9" customHeight="1">
      <c r="B4" t="s" s="10">
        <v>626</v>
      </c>
      <c r="C4" t="s" s="11">
        <v>368</v>
      </c>
      <c r="D4" s="12">
        <v>45535.0216121875</v>
      </c>
      <c r="E4" t="s" s="13">
        <v>119</v>
      </c>
      <c r="F4" t="s" s="13">
        <v>120</v>
      </c>
      <c r="G4" s="14">
        <v>10</v>
      </c>
      <c r="H4" s="15">
        <v>1.99</v>
      </c>
      <c r="I4" s="15">
        <v>19.9</v>
      </c>
    </row>
    <row r="5" ht="12.9" customHeight="1">
      <c r="B5" t="s" s="10">
        <v>627</v>
      </c>
      <c r="C5" t="s" s="11">
        <v>628</v>
      </c>
      <c r="D5" s="12">
        <v>45534.826936481484</v>
      </c>
      <c r="E5" t="s" s="13">
        <v>95</v>
      </c>
      <c r="F5" t="s" s="13">
        <v>12</v>
      </c>
      <c r="G5" s="14">
        <v>1</v>
      </c>
      <c r="H5" s="15">
        <v>349.99</v>
      </c>
      <c r="I5" s="15">
        <v>349.99</v>
      </c>
    </row>
    <row r="6" ht="12.9" customHeight="1">
      <c r="B6" t="s" s="10">
        <v>629</v>
      </c>
      <c r="C6" t="s" s="11">
        <v>630</v>
      </c>
      <c r="D6" s="12">
        <v>45534.743729282411</v>
      </c>
      <c r="E6" t="s" s="13">
        <v>31</v>
      </c>
      <c r="F6" t="s" s="13">
        <v>32</v>
      </c>
      <c r="G6" s="14">
        <v>1</v>
      </c>
      <c r="H6" s="15">
        <v>599.99</v>
      </c>
      <c r="I6" s="15">
        <v>599.99</v>
      </c>
    </row>
    <row r="7" ht="12.9" customHeight="1">
      <c r="B7" t="s" s="10">
        <v>629</v>
      </c>
      <c r="C7" t="s" s="11">
        <v>630</v>
      </c>
      <c r="D7" s="12">
        <v>45534.743729282411</v>
      </c>
      <c r="E7" t="s" s="13">
        <v>89</v>
      </c>
      <c r="F7" t="s" s="13">
        <v>90</v>
      </c>
      <c r="G7" s="14">
        <v>1</v>
      </c>
      <c r="H7" s="15">
        <v>59.99</v>
      </c>
      <c r="I7" s="15">
        <v>59.99</v>
      </c>
    </row>
    <row r="8" ht="12.9" customHeight="1">
      <c r="B8" t="s" s="10">
        <v>631</v>
      </c>
      <c r="C8" t="s" s="11">
        <v>632</v>
      </c>
      <c r="D8" s="12">
        <v>45534.311825451390</v>
      </c>
      <c r="E8" t="s" s="13">
        <v>171</v>
      </c>
      <c r="F8" t="s" s="13">
        <v>172</v>
      </c>
      <c r="G8" s="14">
        <v>1</v>
      </c>
      <c r="H8" s="15">
        <v>549.99</v>
      </c>
      <c r="I8" s="15">
        <v>549.99</v>
      </c>
    </row>
    <row r="9" ht="12.9" customHeight="1">
      <c r="B9" t="s" s="10">
        <v>633</v>
      </c>
      <c r="C9" t="s" s="11">
        <v>634</v>
      </c>
      <c r="D9" s="12">
        <v>45534.119870949071</v>
      </c>
      <c r="E9" t="s" s="13">
        <v>35</v>
      </c>
      <c r="F9" t="s" s="13">
        <v>36</v>
      </c>
      <c r="G9" s="14">
        <v>1</v>
      </c>
      <c r="H9" s="15">
        <v>49.99</v>
      </c>
      <c r="I9" s="15">
        <v>49.99</v>
      </c>
    </row>
    <row r="10" ht="12.9" customHeight="1">
      <c r="B10" t="s" s="10">
        <v>635</v>
      </c>
      <c r="C10" t="s" s="11">
        <v>636</v>
      </c>
      <c r="D10" s="12">
        <v>45534</v>
      </c>
      <c r="E10" t="s" s="13">
        <v>63</v>
      </c>
      <c r="F10" t="s" s="13">
        <v>637</v>
      </c>
      <c r="G10" s="14">
        <v>1</v>
      </c>
      <c r="H10" s="15">
        <v>325.63</v>
      </c>
      <c r="I10" s="15">
        <v>325.63</v>
      </c>
    </row>
    <row r="11" ht="12.9" customHeight="1">
      <c r="B11" t="s" s="10">
        <v>635</v>
      </c>
      <c r="C11" t="s" s="11">
        <v>636</v>
      </c>
      <c r="D11" s="12">
        <v>45534</v>
      </c>
      <c r="E11" t="s" s="13">
        <v>23</v>
      </c>
      <c r="F11" t="s" s="13">
        <v>638</v>
      </c>
      <c r="G11" s="14">
        <v>8</v>
      </c>
      <c r="H11" s="15">
        <v>0</v>
      </c>
      <c r="I11" s="15">
        <v>0</v>
      </c>
    </row>
    <row r="12" ht="12.9" customHeight="1">
      <c r="B12" t="s" s="10">
        <v>635</v>
      </c>
      <c r="C12" t="s" s="11">
        <v>636</v>
      </c>
      <c r="D12" s="12">
        <v>45534</v>
      </c>
      <c r="E12" t="s" s="13">
        <v>54</v>
      </c>
      <c r="F12" t="s" s="13">
        <v>639</v>
      </c>
      <c r="G12" s="14">
        <v>8</v>
      </c>
      <c r="H12" s="15">
        <v>0</v>
      </c>
      <c r="I12" s="15">
        <v>0</v>
      </c>
    </row>
    <row r="13" ht="12.9" customHeight="1">
      <c r="B13" t="s" s="10">
        <v>635</v>
      </c>
      <c r="C13" t="s" s="11">
        <v>636</v>
      </c>
      <c r="D13" s="12">
        <v>45534</v>
      </c>
      <c r="E13" t="s" s="13">
        <v>640</v>
      </c>
      <c r="F13" t="s" s="13">
        <v>641</v>
      </c>
      <c r="G13" s="14">
        <v>4</v>
      </c>
      <c r="H13" s="15">
        <v>0</v>
      </c>
      <c r="I13" s="15">
        <v>0</v>
      </c>
    </row>
    <row r="14" ht="12.9" customHeight="1">
      <c r="B14" t="s" s="10">
        <v>635</v>
      </c>
      <c r="C14" t="s" s="11">
        <v>636</v>
      </c>
      <c r="D14" s="12">
        <v>45534</v>
      </c>
      <c r="E14" t="s" s="13">
        <v>642</v>
      </c>
      <c r="F14" t="s" s="13">
        <v>643</v>
      </c>
      <c r="G14" s="14">
        <v>2</v>
      </c>
      <c r="H14" s="15">
        <v>0</v>
      </c>
      <c r="I14" s="15">
        <v>0</v>
      </c>
    </row>
    <row r="15" ht="12.9" customHeight="1">
      <c r="B15" t="s" s="10">
        <v>644</v>
      </c>
      <c r="C15" t="s" s="11">
        <v>476</v>
      </c>
      <c r="D15" s="12">
        <v>45534</v>
      </c>
      <c r="E15" t="s" s="13">
        <v>63</v>
      </c>
      <c r="F15" s="16"/>
      <c r="G15" s="14">
        <v>1</v>
      </c>
      <c r="H15" s="15">
        <v>18.5</v>
      </c>
      <c r="I15" s="15">
        <v>18.5</v>
      </c>
    </row>
    <row r="16" ht="12.9" customHeight="1">
      <c r="B16" t="s" s="10">
        <v>644</v>
      </c>
      <c r="C16" t="s" s="11">
        <v>476</v>
      </c>
      <c r="D16" s="12">
        <v>45534</v>
      </c>
      <c r="E16" t="s" s="13">
        <v>645</v>
      </c>
      <c r="F16" t="s" s="13">
        <v>646</v>
      </c>
      <c r="G16" s="14">
        <v>1</v>
      </c>
      <c r="H16" s="15">
        <v>675</v>
      </c>
      <c r="I16" s="15">
        <v>675</v>
      </c>
    </row>
    <row r="17" ht="12.9" customHeight="1">
      <c r="B17" t="s" s="10">
        <v>647</v>
      </c>
      <c r="C17" t="s" s="11">
        <v>476</v>
      </c>
      <c r="D17" s="12">
        <v>45534</v>
      </c>
      <c r="E17" t="s" s="13">
        <v>63</v>
      </c>
      <c r="F17" s="16"/>
      <c r="G17" s="14">
        <v>1</v>
      </c>
      <c r="H17" s="15">
        <v>15</v>
      </c>
      <c r="I17" s="15">
        <v>15</v>
      </c>
    </row>
    <row r="18" ht="12.9" customHeight="1">
      <c r="B18" t="s" s="10">
        <v>647</v>
      </c>
      <c r="C18" t="s" s="11">
        <v>476</v>
      </c>
      <c r="D18" s="12">
        <v>45534</v>
      </c>
      <c r="E18" t="s" s="13">
        <v>73</v>
      </c>
      <c r="F18" t="s" s="13">
        <v>74</v>
      </c>
      <c r="G18" s="14">
        <v>1</v>
      </c>
      <c r="H18" s="15">
        <v>299.9925</v>
      </c>
      <c r="I18" s="15">
        <v>299.9925</v>
      </c>
    </row>
    <row r="19" ht="12.9" customHeight="1">
      <c r="B19" t="s" s="10">
        <v>648</v>
      </c>
      <c r="C19" t="s" s="11">
        <v>649</v>
      </c>
      <c r="D19" s="12">
        <v>45533.936495266207</v>
      </c>
      <c r="E19" t="s" s="13">
        <v>11</v>
      </c>
      <c r="F19" t="s" s="13">
        <v>12</v>
      </c>
      <c r="G19" s="14">
        <v>2</v>
      </c>
      <c r="H19" s="15">
        <v>399.99</v>
      </c>
      <c r="I19" s="15">
        <v>799.98</v>
      </c>
    </row>
    <row r="20" ht="12.9" customHeight="1">
      <c r="B20" t="s" s="10">
        <v>650</v>
      </c>
      <c r="C20" t="s" s="11">
        <v>651</v>
      </c>
      <c r="D20" s="12">
        <v>45533.929940648151</v>
      </c>
      <c r="E20" t="s" s="13">
        <v>15</v>
      </c>
      <c r="F20" t="s" s="13">
        <v>16</v>
      </c>
      <c r="G20" s="14">
        <v>5</v>
      </c>
      <c r="H20" s="15">
        <v>9.99</v>
      </c>
      <c r="I20" s="15">
        <v>49.95</v>
      </c>
    </row>
    <row r="21" ht="12.9" customHeight="1">
      <c r="B21" t="s" s="10">
        <v>652</v>
      </c>
      <c r="C21" t="s" s="11">
        <v>653</v>
      </c>
      <c r="D21" s="12">
        <v>45533.924402222219</v>
      </c>
      <c r="E21" t="s" s="13">
        <v>354</v>
      </c>
      <c r="F21" t="s" s="13">
        <v>355</v>
      </c>
      <c r="G21" s="14">
        <v>2</v>
      </c>
      <c r="H21" s="15">
        <v>149.99</v>
      </c>
      <c r="I21" s="15">
        <v>299.98</v>
      </c>
    </row>
    <row r="22" ht="12.9" customHeight="1">
      <c r="B22" t="s" s="10">
        <v>654</v>
      </c>
      <c r="C22" t="s" s="11">
        <v>655</v>
      </c>
      <c r="D22" s="12">
        <v>45533.874934027779</v>
      </c>
      <c r="E22" t="s" s="13">
        <v>59</v>
      </c>
      <c r="F22" t="s" s="13">
        <v>60</v>
      </c>
      <c r="G22" s="14">
        <v>1</v>
      </c>
      <c r="H22" s="15">
        <v>1199.99</v>
      </c>
      <c r="I22" s="15">
        <v>1199.99</v>
      </c>
    </row>
    <row r="23" ht="12.9" customHeight="1">
      <c r="B23" t="s" s="10">
        <v>654</v>
      </c>
      <c r="C23" t="s" s="11">
        <v>655</v>
      </c>
      <c r="D23" s="12">
        <v>45533.874934027779</v>
      </c>
      <c r="E23" t="s" s="13">
        <v>48</v>
      </c>
      <c r="F23" t="s" s="13">
        <v>49</v>
      </c>
      <c r="G23" s="14">
        <v>2</v>
      </c>
      <c r="H23" s="15">
        <v>1299.99</v>
      </c>
      <c r="I23" s="15">
        <v>2599.98</v>
      </c>
    </row>
    <row r="24" ht="12.9" customHeight="1">
      <c r="B24" t="s" s="10">
        <v>654</v>
      </c>
      <c r="C24" t="s" s="11">
        <v>655</v>
      </c>
      <c r="D24" s="12">
        <v>45533.874934027779</v>
      </c>
      <c r="E24" t="s" s="13">
        <v>50</v>
      </c>
      <c r="F24" t="s" s="13">
        <v>83</v>
      </c>
      <c r="G24" s="14">
        <v>2</v>
      </c>
      <c r="H24" s="15">
        <v>0</v>
      </c>
      <c r="I24" s="15">
        <v>0</v>
      </c>
    </row>
    <row r="25" ht="12.9" customHeight="1">
      <c r="B25" t="s" s="10">
        <v>654</v>
      </c>
      <c r="C25" t="s" s="11">
        <v>655</v>
      </c>
      <c r="D25" s="12">
        <v>45533.874934027779</v>
      </c>
      <c r="E25" t="s" s="13">
        <v>52</v>
      </c>
      <c r="F25" t="s" s="13">
        <v>321</v>
      </c>
      <c r="G25" s="14">
        <v>2</v>
      </c>
      <c r="H25" s="15">
        <v>0</v>
      </c>
      <c r="I25" s="15">
        <v>0</v>
      </c>
    </row>
    <row r="26" ht="12.9" customHeight="1">
      <c r="B26" t="s" s="10">
        <v>654</v>
      </c>
      <c r="C26" t="s" s="11">
        <v>655</v>
      </c>
      <c r="D26" s="12">
        <v>45533.874934027779</v>
      </c>
      <c r="E26" t="s" s="13">
        <v>84</v>
      </c>
      <c r="F26" t="s" s="13">
        <v>85</v>
      </c>
      <c r="G26" s="14">
        <v>2</v>
      </c>
      <c r="H26" s="15">
        <v>0</v>
      </c>
      <c r="I26" s="15">
        <v>0</v>
      </c>
    </row>
    <row r="27" ht="12.9" customHeight="1">
      <c r="B27" t="s" s="10">
        <v>654</v>
      </c>
      <c r="C27" t="s" s="11">
        <v>655</v>
      </c>
      <c r="D27" s="12">
        <v>45533.874934027779</v>
      </c>
      <c r="E27" t="s" s="13">
        <v>23</v>
      </c>
      <c r="F27" t="s" s="13">
        <v>24</v>
      </c>
      <c r="G27" s="14">
        <v>2</v>
      </c>
      <c r="H27" s="15">
        <v>0</v>
      </c>
      <c r="I27" s="15">
        <v>0</v>
      </c>
    </row>
    <row r="28" ht="12.9" customHeight="1">
      <c r="B28" t="s" s="10">
        <v>654</v>
      </c>
      <c r="C28" t="s" s="11">
        <v>655</v>
      </c>
      <c r="D28" s="12">
        <v>45533.874934027779</v>
      </c>
      <c r="E28" t="s" s="13">
        <v>179</v>
      </c>
      <c r="F28" t="s" s="13">
        <v>180</v>
      </c>
      <c r="G28" s="14">
        <v>2</v>
      </c>
      <c r="H28" s="15">
        <v>49.99</v>
      </c>
      <c r="I28" s="15">
        <v>99.98</v>
      </c>
    </row>
    <row r="29" ht="12.9" customHeight="1">
      <c r="B29" t="s" s="10">
        <v>656</v>
      </c>
      <c r="C29" t="s" s="11">
        <v>657</v>
      </c>
      <c r="D29" s="12">
        <v>45533.861312662040</v>
      </c>
      <c r="E29" t="s" s="13">
        <v>89</v>
      </c>
      <c r="F29" t="s" s="13">
        <v>90</v>
      </c>
      <c r="G29" s="14">
        <v>1</v>
      </c>
      <c r="H29" s="15">
        <v>59.99</v>
      </c>
      <c r="I29" s="15">
        <v>59.99</v>
      </c>
    </row>
    <row r="30" ht="12.9" customHeight="1">
      <c r="B30" t="s" s="10">
        <v>658</v>
      </c>
      <c r="C30" t="s" s="11">
        <v>659</v>
      </c>
      <c r="D30" s="12">
        <v>45533.839537083331</v>
      </c>
      <c r="E30" t="s" s="13">
        <v>81</v>
      </c>
      <c r="F30" t="s" s="13">
        <v>82</v>
      </c>
      <c r="G30" s="14">
        <v>3</v>
      </c>
      <c r="H30" s="15">
        <v>849.99</v>
      </c>
      <c r="I30" s="15">
        <v>2549.97</v>
      </c>
    </row>
    <row r="31" ht="12.9" customHeight="1">
      <c r="B31" t="s" s="10">
        <v>658</v>
      </c>
      <c r="C31" t="s" s="11">
        <v>659</v>
      </c>
      <c r="D31" s="12">
        <v>45533.839537083331</v>
      </c>
      <c r="E31" t="s" s="13">
        <v>23</v>
      </c>
      <c r="F31" t="s" s="13">
        <v>24</v>
      </c>
      <c r="G31" s="14">
        <v>3</v>
      </c>
      <c r="H31" s="15">
        <v>0</v>
      </c>
      <c r="I31" s="15">
        <v>0</v>
      </c>
    </row>
    <row r="32" ht="12.9" customHeight="1">
      <c r="B32" t="s" s="10">
        <v>658</v>
      </c>
      <c r="C32" t="s" s="11">
        <v>659</v>
      </c>
      <c r="D32" s="12">
        <v>45533.839537083331</v>
      </c>
      <c r="E32" t="s" s="13">
        <v>660</v>
      </c>
      <c r="F32" t="s" s="13">
        <v>661</v>
      </c>
      <c r="G32" s="14">
        <v>3</v>
      </c>
      <c r="H32" s="15">
        <v>5.99</v>
      </c>
      <c r="I32" s="15">
        <v>17.97</v>
      </c>
    </row>
    <row r="33" ht="12.9" customHeight="1">
      <c r="B33" t="s" s="10">
        <v>658</v>
      </c>
      <c r="C33" t="s" s="11">
        <v>659</v>
      </c>
      <c r="D33" s="12">
        <v>45533.839537083331</v>
      </c>
      <c r="E33" t="s" s="13">
        <v>50</v>
      </c>
      <c r="F33" t="s" s="13">
        <v>83</v>
      </c>
      <c r="G33" s="14">
        <v>3</v>
      </c>
      <c r="H33" s="15">
        <v>0</v>
      </c>
      <c r="I33" s="15">
        <v>0</v>
      </c>
    </row>
    <row r="34" ht="12.9" customHeight="1">
      <c r="B34" t="s" s="10">
        <v>658</v>
      </c>
      <c r="C34" t="s" s="11">
        <v>659</v>
      </c>
      <c r="D34" s="12">
        <v>45533.839537083331</v>
      </c>
      <c r="E34" t="s" s="13">
        <v>84</v>
      </c>
      <c r="F34" t="s" s="13">
        <v>85</v>
      </c>
      <c r="G34" s="14">
        <v>3</v>
      </c>
      <c r="H34" s="15">
        <v>0</v>
      </c>
      <c r="I34" s="15">
        <v>0</v>
      </c>
    </row>
    <row r="35" ht="12.9" customHeight="1">
      <c r="B35" t="s" s="10">
        <v>658</v>
      </c>
      <c r="C35" t="s" s="11">
        <v>659</v>
      </c>
      <c r="D35" s="12">
        <v>45533.839537083331</v>
      </c>
      <c r="E35" t="s" s="13">
        <v>73</v>
      </c>
      <c r="F35" t="s" s="13">
        <v>74</v>
      </c>
      <c r="G35" s="14">
        <v>1</v>
      </c>
      <c r="H35" s="15">
        <v>399.99</v>
      </c>
      <c r="I35" s="15">
        <v>399.99</v>
      </c>
    </row>
    <row r="36" ht="12.9" customHeight="1">
      <c r="B36" t="s" s="10">
        <v>658</v>
      </c>
      <c r="C36" t="s" s="11">
        <v>659</v>
      </c>
      <c r="D36" s="12">
        <v>45533.839537083331</v>
      </c>
      <c r="E36" t="s" s="13">
        <v>341</v>
      </c>
      <c r="F36" t="s" s="13">
        <v>342</v>
      </c>
      <c r="G36" s="14">
        <v>6</v>
      </c>
      <c r="H36" s="15">
        <v>29.99</v>
      </c>
      <c r="I36" s="15">
        <v>179.94</v>
      </c>
    </row>
    <row r="37" ht="12.9" customHeight="1">
      <c r="B37" t="s" s="10">
        <v>662</v>
      </c>
      <c r="C37" t="s" s="11">
        <v>663</v>
      </c>
      <c r="D37" s="12">
        <v>45533.816815162034</v>
      </c>
      <c r="E37" t="s" s="13">
        <v>35</v>
      </c>
      <c r="F37" t="s" s="13">
        <v>36</v>
      </c>
      <c r="G37" s="14">
        <v>2</v>
      </c>
      <c r="H37" s="15">
        <v>49.99</v>
      </c>
      <c r="I37" s="15">
        <v>99.98</v>
      </c>
    </row>
    <row r="38" ht="12.9" customHeight="1">
      <c r="B38" t="s" s="10">
        <v>662</v>
      </c>
      <c r="C38" t="s" s="11">
        <v>663</v>
      </c>
      <c r="D38" s="12">
        <v>45533.816815162034</v>
      </c>
      <c r="E38" t="s" s="13">
        <v>19</v>
      </c>
      <c r="F38" t="s" s="13">
        <v>20</v>
      </c>
      <c r="G38" s="14">
        <v>1</v>
      </c>
      <c r="H38" s="15">
        <v>119.99</v>
      </c>
      <c r="I38" s="15">
        <v>119.99</v>
      </c>
    </row>
    <row r="39" ht="12.9" customHeight="1">
      <c r="B39" t="s" s="10">
        <v>664</v>
      </c>
      <c r="C39" t="s" s="11">
        <v>665</v>
      </c>
      <c r="D39" s="12">
        <v>45533.803091782407</v>
      </c>
      <c r="E39" t="s" s="13">
        <v>95</v>
      </c>
      <c r="F39" t="s" s="13">
        <v>12</v>
      </c>
      <c r="G39" s="14">
        <v>1</v>
      </c>
      <c r="H39" s="15">
        <v>349.99</v>
      </c>
      <c r="I39" s="15">
        <v>349.99</v>
      </c>
    </row>
    <row r="40" ht="12.9" customHeight="1">
      <c r="B40" t="s" s="10">
        <v>664</v>
      </c>
      <c r="C40" t="s" s="11">
        <v>665</v>
      </c>
      <c r="D40" s="12">
        <v>45533.803091782407</v>
      </c>
      <c r="E40" t="s" s="13">
        <v>35</v>
      </c>
      <c r="F40" t="s" s="13">
        <v>36</v>
      </c>
      <c r="G40" s="14">
        <v>1</v>
      </c>
      <c r="H40" s="15">
        <v>39.99</v>
      </c>
      <c r="I40" s="15">
        <v>39.99</v>
      </c>
    </row>
    <row r="41" ht="12.9" customHeight="1">
      <c r="B41" t="s" s="10">
        <v>666</v>
      </c>
      <c r="C41" t="s" s="11">
        <v>667</v>
      </c>
      <c r="D41" s="12">
        <v>45533.734655370368</v>
      </c>
      <c r="E41" t="s" s="13">
        <v>95</v>
      </c>
      <c r="F41" t="s" s="13">
        <v>12</v>
      </c>
      <c r="G41" s="14">
        <v>1</v>
      </c>
      <c r="H41" s="15">
        <v>349.99</v>
      </c>
      <c r="I41" s="15">
        <v>349.99</v>
      </c>
    </row>
    <row r="42" ht="12.9" customHeight="1">
      <c r="B42" t="s" s="10">
        <v>668</v>
      </c>
      <c r="C42" t="s" s="11">
        <v>669</v>
      </c>
      <c r="D42" s="12">
        <v>45533.615788298608</v>
      </c>
      <c r="E42" t="s" s="13">
        <v>81</v>
      </c>
      <c r="F42" t="s" s="13">
        <v>82</v>
      </c>
      <c r="G42" s="14">
        <v>1</v>
      </c>
      <c r="H42" s="15">
        <v>849.99</v>
      </c>
      <c r="I42" s="15">
        <v>849.99</v>
      </c>
    </row>
    <row r="43" ht="12.9" customHeight="1">
      <c r="B43" t="s" s="10">
        <v>668</v>
      </c>
      <c r="C43" t="s" s="11">
        <v>669</v>
      </c>
      <c r="D43" s="12">
        <v>45533.615788298608</v>
      </c>
      <c r="E43" t="s" s="13">
        <v>23</v>
      </c>
      <c r="F43" t="s" s="13">
        <v>24</v>
      </c>
      <c r="G43" s="14">
        <v>1</v>
      </c>
      <c r="H43" s="15">
        <v>0</v>
      </c>
      <c r="I43" s="15">
        <v>0</v>
      </c>
    </row>
    <row r="44" ht="12.9" customHeight="1">
      <c r="B44" t="s" s="10">
        <v>668</v>
      </c>
      <c r="C44" t="s" s="11">
        <v>669</v>
      </c>
      <c r="D44" s="12">
        <v>45533.615788298608</v>
      </c>
      <c r="E44" t="s" s="13">
        <v>50</v>
      </c>
      <c r="F44" t="s" s="13">
        <v>83</v>
      </c>
      <c r="G44" s="14">
        <v>1</v>
      </c>
      <c r="H44" s="15">
        <v>0</v>
      </c>
      <c r="I44" s="15">
        <v>0</v>
      </c>
    </row>
    <row r="45" ht="12.9" customHeight="1">
      <c r="B45" t="s" s="10">
        <v>668</v>
      </c>
      <c r="C45" t="s" s="11">
        <v>669</v>
      </c>
      <c r="D45" s="12">
        <v>45533.615788298608</v>
      </c>
      <c r="E45" t="s" s="13">
        <v>84</v>
      </c>
      <c r="F45" t="s" s="13">
        <v>85</v>
      </c>
      <c r="G45" s="14">
        <v>1</v>
      </c>
      <c r="H45" s="15">
        <v>0</v>
      </c>
      <c r="I45" s="15">
        <v>0</v>
      </c>
    </row>
    <row r="46" ht="12.9" customHeight="1">
      <c r="B46" t="s" s="10">
        <v>668</v>
      </c>
      <c r="C46" t="s" s="11">
        <v>669</v>
      </c>
      <c r="D46" s="12">
        <v>45533.615788298608</v>
      </c>
      <c r="E46" t="s" s="13">
        <v>15</v>
      </c>
      <c r="F46" t="s" s="13">
        <v>16</v>
      </c>
      <c r="G46" s="14">
        <v>1</v>
      </c>
      <c r="H46" s="15">
        <v>9.99</v>
      </c>
      <c r="I46" s="15">
        <v>9.99</v>
      </c>
    </row>
    <row r="47" ht="12.9" customHeight="1">
      <c r="B47" t="s" s="10">
        <v>668</v>
      </c>
      <c r="C47" t="s" s="11">
        <v>669</v>
      </c>
      <c r="D47" s="12">
        <v>45533.615788298608</v>
      </c>
      <c r="E47" t="s" s="13">
        <v>35</v>
      </c>
      <c r="F47" t="s" s="13">
        <v>36</v>
      </c>
      <c r="G47" s="14">
        <v>3</v>
      </c>
      <c r="H47" s="15">
        <v>49.99</v>
      </c>
      <c r="I47" s="15">
        <v>149.97</v>
      </c>
    </row>
    <row r="48" ht="12.9" customHeight="1">
      <c r="B48" t="s" s="10">
        <v>670</v>
      </c>
      <c r="C48" t="s" s="11">
        <v>671</v>
      </c>
      <c r="D48" s="12">
        <v>45533.400950486110</v>
      </c>
      <c r="E48" t="s" s="13">
        <v>73</v>
      </c>
      <c r="F48" t="s" s="13">
        <v>74</v>
      </c>
      <c r="G48" s="14">
        <v>1</v>
      </c>
      <c r="H48" s="15">
        <v>399.99</v>
      </c>
      <c r="I48" s="15">
        <v>399.99</v>
      </c>
    </row>
    <row r="49" ht="12.9" customHeight="1">
      <c r="B49" t="s" s="10">
        <v>672</v>
      </c>
      <c r="C49" t="s" s="11">
        <v>673</v>
      </c>
      <c r="D49" s="12">
        <v>45533.061430081019</v>
      </c>
      <c r="E49" t="s" s="13">
        <v>171</v>
      </c>
      <c r="F49" t="s" s="13">
        <v>172</v>
      </c>
      <c r="G49" s="14">
        <v>1</v>
      </c>
      <c r="H49" s="15">
        <v>549.99</v>
      </c>
      <c r="I49" s="15">
        <v>549.99</v>
      </c>
    </row>
    <row r="50" ht="12.9" customHeight="1">
      <c r="B50" t="s" s="10">
        <v>674</v>
      </c>
      <c r="C50" t="s" s="11">
        <v>675</v>
      </c>
      <c r="D50" s="12">
        <v>45532.995505717590</v>
      </c>
      <c r="E50" t="s" s="13">
        <v>35</v>
      </c>
      <c r="F50" t="s" s="13">
        <v>36</v>
      </c>
      <c r="G50" s="14">
        <v>1</v>
      </c>
      <c r="H50" s="15">
        <v>49.99</v>
      </c>
      <c r="I50" s="15">
        <v>49.99</v>
      </c>
    </row>
    <row r="51" ht="12.9" customHeight="1">
      <c r="B51" t="s" s="10">
        <v>676</v>
      </c>
      <c r="C51" t="s" s="11">
        <v>677</v>
      </c>
      <c r="D51" s="12">
        <v>45532.988953784719</v>
      </c>
      <c r="E51" t="s" s="13">
        <v>115</v>
      </c>
      <c r="F51" t="s" s="13">
        <v>116</v>
      </c>
      <c r="G51" s="14">
        <v>4</v>
      </c>
      <c r="H51" s="15">
        <v>22.99</v>
      </c>
      <c r="I51" s="15">
        <v>91.95999999999999</v>
      </c>
    </row>
    <row r="52" ht="12.9" customHeight="1">
      <c r="B52" t="s" s="10">
        <v>676</v>
      </c>
      <c r="C52" t="s" s="11">
        <v>677</v>
      </c>
      <c r="D52" s="12">
        <v>45532.988953784719</v>
      </c>
      <c r="E52" t="s" s="13">
        <v>35</v>
      </c>
      <c r="F52" t="s" s="13">
        <v>36</v>
      </c>
      <c r="G52" s="14">
        <v>2</v>
      </c>
      <c r="H52" s="15">
        <v>49.99</v>
      </c>
      <c r="I52" s="15">
        <v>99.98</v>
      </c>
    </row>
    <row r="53" ht="12.9" customHeight="1">
      <c r="B53" t="s" s="10">
        <v>678</v>
      </c>
      <c r="C53" t="s" s="11">
        <v>679</v>
      </c>
      <c r="D53" s="12">
        <v>45532.86347</v>
      </c>
      <c r="E53" t="s" s="13">
        <v>89</v>
      </c>
      <c r="F53" t="s" s="13">
        <v>90</v>
      </c>
      <c r="G53" s="14">
        <v>2</v>
      </c>
      <c r="H53" s="15">
        <v>59.99</v>
      </c>
      <c r="I53" s="15">
        <v>119.98</v>
      </c>
    </row>
    <row r="54" ht="12.9" customHeight="1">
      <c r="B54" t="s" s="10">
        <v>678</v>
      </c>
      <c r="C54" t="s" s="11">
        <v>679</v>
      </c>
      <c r="D54" s="12">
        <v>45532.86347</v>
      </c>
      <c r="E54" t="s" s="13">
        <v>54</v>
      </c>
      <c r="F54" t="s" s="13">
        <v>93</v>
      </c>
      <c r="G54" s="14">
        <v>2</v>
      </c>
      <c r="H54" s="15">
        <v>9.99</v>
      </c>
      <c r="I54" s="15">
        <v>19.98</v>
      </c>
    </row>
    <row r="55" ht="12.9" customHeight="1">
      <c r="B55" t="s" s="10">
        <v>680</v>
      </c>
      <c r="C55" t="s" s="11">
        <v>681</v>
      </c>
      <c r="D55" s="12">
        <v>45532.678534317129</v>
      </c>
      <c r="E55" t="s" s="13">
        <v>682</v>
      </c>
      <c r="F55" t="s" s="13">
        <v>683</v>
      </c>
      <c r="G55" s="14">
        <v>2</v>
      </c>
      <c r="H55" s="15">
        <v>249.99</v>
      </c>
      <c r="I55" s="15">
        <v>499.98</v>
      </c>
    </row>
    <row r="56" ht="12.9" customHeight="1">
      <c r="B56" t="s" s="10">
        <v>680</v>
      </c>
      <c r="C56" t="s" s="11">
        <v>681</v>
      </c>
      <c r="D56" s="12">
        <v>45532.678534317129</v>
      </c>
      <c r="E56" t="s" s="13">
        <v>462</v>
      </c>
      <c r="F56" t="s" s="13">
        <v>463</v>
      </c>
      <c r="G56" s="14">
        <v>1</v>
      </c>
      <c r="H56" s="15">
        <v>199.99</v>
      </c>
      <c r="I56" s="15">
        <v>199.99</v>
      </c>
    </row>
    <row r="57" ht="12.9" customHeight="1">
      <c r="B57" t="s" s="10">
        <v>680</v>
      </c>
      <c r="C57" t="s" s="11">
        <v>681</v>
      </c>
      <c r="D57" s="12">
        <v>45532.678534317129</v>
      </c>
      <c r="E57" t="s" s="13">
        <v>19</v>
      </c>
      <c r="F57" t="s" s="13">
        <v>20</v>
      </c>
      <c r="G57" s="14">
        <v>7</v>
      </c>
      <c r="H57" s="15">
        <v>119.99</v>
      </c>
      <c r="I57" s="15">
        <v>839.9299999999999</v>
      </c>
    </row>
    <row r="58" ht="12.9" customHeight="1">
      <c r="B58" t="s" s="10">
        <v>684</v>
      </c>
      <c r="C58" t="s" s="11">
        <v>685</v>
      </c>
      <c r="D58" s="12">
        <v>45532.594391770836</v>
      </c>
      <c r="E58" t="s" s="13">
        <v>341</v>
      </c>
      <c r="F58" t="s" s="13">
        <v>342</v>
      </c>
      <c r="G58" s="14">
        <v>4</v>
      </c>
      <c r="H58" s="15">
        <v>29.99</v>
      </c>
      <c r="I58" s="15">
        <v>119.96</v>
      </c>
    </row>
    <row r="59" ht="12.9" customHeight="1">
      <c r="B59" t="s" s="10">
        <v>684</v>
      </c>
      <c r="C59" t="s" s="11">
        <v>685</v>
      </c>
      <c r="D59" s="12">
        <v>45532.594391770836</v>
      </c>
      <c r="E59" t="s" s="13">
        <v>81</v>
      </c>
      <c r="F59" t="s" s="13">
        <v>82</v>
      </c>
      <c r="G59" s="14">
        <v>2</v>
      </c>
      <c r="H59" s="15">
        <v>849.99</v>
      </c>
      <c r="I59" s="15">
        <v>1699.98</v>
      </c>
    </row>
    <row r="60" ht="12.9" customHeight="1">
      <c r="B60" t="s" s="10">
        <v>684</v>
      </c>
      <c r="C60" t="s" s="11">
        <v>685</v>
      </c>
      <c r="D60" s="12">
        <v>45532.594391770836</v>
      </c>
      <c r="E60" t="s" s="13">
        <v>602</v>
      </c>
      <c r="F60" t="s" s="13">
        <v>686</v>
      </c>
      <c r="G60" s="14">
        <v>2</v>
      </c>
      <c r="H60" s="15">
        <v>175</v>
      </c>
      <c r="I60" s="15">
        <v>350</v>
      </c>
    </row>
    <row r="61" ht="12.9" customHeight="1">
      <c r="B61" t="s" s="10">
        <v>684</v>
      </c>
      <c r="C61" t="s" s="11">
        <v>685</v>
      </c>
      <c r="D61" s="12">
        <v>45532.594391770836</v>
      </c>
      <c r="E61" t="s" s="13">
        <v>50</v>
      </c>
      <c r="F61" t="s" s="13">
        <v>83</v>
      </c>
      <c r="G61" s="14">
        <v>2</v>
      </c>
      <c r="H61" s="15">
        <v>0</v>
      </c>
      <c r="I61" s="15">
        <v>0</v>
      </c>
    </row>
    <row r="62" ht="12.9" customHeight="1">
      <c r="B62" t="s" s="10">
        <v>684</v>
      </c>
      <c r="C62" t="s" s="11">
        <v>685</v>
      </c>
      <c r="D62" s="12">
        <v>45532.594391770836</v>
      </c>
      <c r="E62" t="s" s="13">
        <v>84</v>
      </c>
      <c r="F62" t="s" s="13">
        <v>85</v>
      </c>
      <c r="G62" s="14">
        <v>2</v>
      </c>
      <c r="H62" s="15">
        <v>0</v>
      </c>
      <c r="I62" s="15">
        <v>0</v>
      </c>
    </row>
    <row r="63" ht="12.9" customHeight="1">
      <c r="B63" t="s" s="10">
        <v>687</v>
      </c>
      <c r="C63" t="s" s="11">
        <v>688</v>
      </c>
      <c r="D63" s="12">
        <v>45532.009919259261</v>
      </c>
      <c r="E63" t="s" s="13">
        <v>171</v>
      </c>
      <c r="F63" t="s" s="13">
        <v>172</v>
      </c>
      <c r="G63" s="14">
        <v>1</v>
      </c>
      <c r="H63" s="15">
        <v>549.99</v>
      </c>
      <c r="I63" s="15">
        <v>549.99</v>
      </c>
    </row>
    <row r="64" ht="12.9" customHeight="1">
      <c r="B64" t="s" s="10">
        <v>689</v>
      </c>
      <c r="C64" t="s" s="11">
        <v>545</v>
      </c>
      <c r="D64" s="12">
        <v>45532</v>
      </c>
      <c r="E64" t="s" s="13">
        <v>225</v>
      </c>
      <c r="F64" t="s" s="13">
        <v>226</v>
      </c>
      <c r="G64" s="14">
        <v>2</v>
      </c>
      <c r="H64" s="15">
        <v>449.99</v>
      </c>
      <c r="I64" s="15">
        <v>899.98</v>
      </c>
    </row>
    <row r="65" ht="12.9" customHeight="1">
      <c r="B65" t="s" s="10">
        <v>689</v>
      </c>
      <c r="C65" t="s" s="11">
        <v>545</v>
      </c>
      <c r="D65" s="12">
        <v>45532</v>
      </c>
      <c r="E65" t="s" s="13">
        <v>167</v>
      </c>
      <c r="F65" t="s" s="13">
        <v>690</v>
      </c>
      <c r="G65" s="14">
        <v>2</v>
      </c>
      <c r="H65" s="15">
        <v>0</v>
      </c>
      <c r="I65" s="15">
        <v>0</v>
      </c>
    </row>
    <row r="66" ht="12.9" customHeight="1">
      <c r="B66" t="s" s="10">
        <v>689</v>
      </c>
      <c r="C66" t="s" s="11">
        <v>545</v>
      </c>
      <c r="D66" s="12">
        <v>45532</v>
      </c>
      <c r="E66" t="s" s="13">
        <v>165</v>
      </c>
      <c r="F66" t="s" s="13">
        <v>392</v>
      </c>
      <c r="G66" s="14">
        <v>2</v>
      </c>
      <c r="H66" s="15">
        <v>29.99</v>
      </c>
      <c r="I66" s="15">
        <v>59.98</v>
      </c>
    </row>
    <row r="67" ht="12.9" customHeight="1">
      <c r="B67" t="s" s="10">
        <v>689</v>
      </c>
      <c r="C67" t="s" s="11">
        <v>545</v>
      </c>
      <c r="D67" s="12">
        <v>45532</v>
      </c>
      <c r="E67" t="s" s="13">
        <v>39</v>
      </c>
      <c r="F67" t="s" s="13">
        <v>40</v>
      </c>
      <c r="G67" s="14">
        <v>3</v>
      </c>
      <c r="H67" s="15">
        <v>89.98999999999999</v>
      </c>
      <c r="I67" s="15">
        <v>269.97</v>
      </c>
    </row>
    <row r="68" ht="12.9" customHeight="1">
      <c r="B68" t="s" s="10">
        <v>689</v>
      </c>
      <c r="C68" t="s" s="11">
        <v>545</v>
      </c>
      <c r="D68" s="12">
        <v>45532</v>
      </c>
      <c r="E68" t="s" s="13">
        <v>691</v>
      </c>
      <c r="F68" t="s" s="13">
        <v>692</v>
      </c>
      <c r="G68" s="14">
        <v>1</v>
      </c>
      <c r="H68" s="15">
        <v>299.99</v>
      </c>
      <c r="I68" s="15">
        <v>299.99</v>
      </c>
    </row>
    <row r="69" ht="12.9" customHeight="1">
      <c r="B69" t="s" s="10">
        <v>689</v>
      </c>
      <c r="C69" t="s" s="11">
        <v>545</v>
      </c>
      <c r="D69" s="12">
        <v>45532</v>
      </c>
      <c r="E69" t="s" s="13">
        <v>73</v>
      </c>
      <c r="F69" t="s" s="13">
        <v>74</v>
      </c>
      <c r="G69" s="14">
        <v>1</v>
      </c>
      <c r="H69" s="15">
        <v>374.99</v>
      </c>
      <c r="I69" s="15">
        <v>374.99</v>
      </c>
    </row>
    <row r="70" ht="12.9" customHeight="1">
      <c r="B70" t="s" s="10">
        <v>693</v>
      </c>
      <c r="C70" t="s" s="11">
        <v>545</v>
      </c>
      <c r="D70" s="12">
        <v>45532</v>
      </c>
      <c r="E70" t="s" s="13">
        <v>445</v>
      </c>
      <c r="F70" t="s" s="13">
        <v>446</v>
      </c>
      <c r="G70" s="14">
        <v>1</v>
      </c>
      <c r="H70" s="15">
        <v>149.99</v>
      </c>
      <c r="I70" s="15">
        <v>149.99</v>
      </c>
    </row>
    <row r="71" ht="12.9" customHeight="1">
      <c r="B71" t="s" s="10">
        <v>693</v>
      </c>
      <c r="C71" t="s" s="11">
        <v>545</v>
      </c>
      <c r="D71" s="12">
        <v>45532</v>
      </c>
      <c r="E71" t="s" s="13">
        <v>694</v>
      </c>
      <c r="F71" t="s" s="13">
        <v>695</v>
      </c>
      <c r="G71" s="14">
        <v>1</v>
      </c>
      <c r="H71" s="15">
        <v>59.99</v>
      </c>
      <c r="I71" s="15">
        <v>59.99</v>
      </c>
    </row>
    <row r="72" ht="12.9" customHeight="1">
      <c r="B72" t="s" s="10">
        <v>696</v>
      </c>
      <c r="C72" t="s" s="11">
        <v>697</v>
      </c>
      <c r="D72" s="12">
        <v>45532</v>
      </c>
      <c r="E72" t="s" s="13">
        <v>143</v>
      </c>
      <c r="F72" t="s" s="13">
        <v>144</v>
      </c>
      <c r="G72" s="14">
        <v>1</v>
      </c>
      <c r="H72" s="15">
        <v>3199.99</v>
      </c>
      <c r="I72" s="15">
        <v>3199.99</v>
      </c>
    </row>
    <row r="73" ht="12.9" customHeight="1">
      <c r="B73" t="s" s="10">
        <v>696</v>
      </c>
      <c r="C73" t="s" s="11">
        <v>697</v>
      </c>
      <c r="D73" s="12">
        <v>45532</v>
      </c>
      <c r="E73" t="s" s="13">
        <v>698</v>
      </c>
      <c r="F73" t="s" s="13">
        <v>699</v>
      </c>
      <c r="G73" s="14">
        <v>4</v>
      </c>
      <c r="H73" s="15">
        <v>0</v>
      </c>
      <c r="I73" s="15">
        <v>0</v>
      </c>
    </row>
    <row r="74" ht="12.9" customHeight="1">
      <c r="B74" t="s" s="10">
        <v>700</v>
      </c>
      <c r="C74" t="s" s="11">
        <v>465</v>
      </c>
      <c r="D74" s="12">
        <v>45532</v>
      </c>
      <c r="E74" t="s" s="13">
        <v>47</v>
      </c>
      <c r="F74" s="16"/>
      <c r="G74" s="14">
        <v>1</v>
      </c>
      <c r="H74" s="15">
        <v>33.6</v>
      </c>
      <c r="I74" s="15">
        <v>33.6</v>
      </c>
    </row>
    <row r="75" ht="12.9" customHeight="1">
      <c r="B75" t="s" s="10">
        <v>700</v>
      </c>
      <c r="C75" t="s" s="11">
        <v>465</v>
      </c>
      <c r="D75" s="12">
        <v>45532</v>
      </c>
      <c r="E75" t="s" s="13">
        <v>602</v>
      </c>
      <c r="F75" t="s" s="13">
        <v>686</v>
      </c>
      <c r="G75" s="14">
        <v>2</v>
      </c>
      <c r="H75" s="15">
        <v>224.9925</v>
      </c>
      <c r="I75" s="15">
        <v>449.985</v>
      </c>
    </row>
    <row r="76" ht="12.9" customHeight="1">
      <c r="B76" t="s" s="10">
        <v>701</v>
      </c>
      <c r="C76" t="s" s="11">
        <v>702</v>
      </c>
      <c r="D76" s="12">
        <v>45532</v>
      </c>
      <c r="E76" t="s" s="13">
        <v>598</v>
      </c>
      <c r="F76" t="s" s="13">
        <v>599</v>
      </c>
      <c r="G76" s="14">
        <v>1</v>
      </c>
      <c r="H76" s="15">
        <v>45</v>
      </c>
      <c r="I76" s="15">
        <v>45</v>
      </c>
    </row>
    <row r="77" ht="12.9" customHeight="1">
      <c r="B77" t="s" s="10">
        <v>703</v>
      </c>
      <c r="C77" t="s" s="11">
        <v>704</v>
      </c>
      <c r="D77" s="12">
        <v>45532</v>
      </c>
      <c r="E77" t="s" s="13">
        <v>43</v>
      </c>
      <c r="F77" t="s" s="13">
        <v>705</v>
      </c>
      <c r="G77" s="14">
        <v>1</v>
      </c>
      <c r="H77" s="15">
        <v>0</v>
      </c>
      <c r="I77" s="15">
        <v>0</v>
      </c>
    </row>
    <row r="78" ht="12.9" customHeight="1">
      <c r="B78" t="s" s="10">
        <v>706</v>
      </c>
      <c r="C78" t="s" s="11">
        <v>707</v>
      </c>
      <c r="D78" s="12">
        <v>45531.896866493058</v>
      </c>
      <c r="E78" t="s" s="13">
        <v>95</v>
      </c>
      <c r="F78" t="s" s="13">
        <v>12</v>
      </c>
      <c r="G78" s="14">
        <v>1</v>
      </c>
      <c r="H78" s="15">
        <v>349.99</v>
      </c>
      <c r="I78" s="15">
        <v>349.99</v>
      </c>
    </row>
    <row r="79" ht="12.9" customHeight="1">
      <c r="B79" t="s" s="10">
        <v>708</v>
      </c>
      <c r="C79" t="s" s="11">
        <v>709</v>
      </c>
      <c r="D79" s="12">
        <v>45531.847870659723</v>
      </c>
      <c r="E79" t="s" s="13">
        <v>95</v>
      </c>
      <c r="F79" t="s" s="13">
        <v>12</v>
      </c>
      <c r="G79" s="14">
        <v>1</v>
      </c>
      <c r="H79" s="15">
        <v>349.99</v>
      </c>
      <c r="I79" s="15">
        <v>349.99</v>
      </c>
    </row>
    <row r="80" ht="12.9" customHeight="1">
      <c r="B80" t="s" s="10">
        <v>710</v>
      </c>
      <c r="C80" t="s" s="11">
        <v>415</v>
      </c>
      <c r="D80" s="12">
        <v>45531.845856585649</v>
      </c>
      <c r="E80" t="s" s="13">
        <v>81</v>
      </c>
      <c r="F80" t="s" s="13">
        <v>82</v>
      </c>
      <c r="G80" s="14">
        <v>4</v>
      </c>
      <c r="H80" s="15">
        <v>849.99</v>
      </c>
      <c r="I80" s="15">
        <v>3399.96</v>
      </c>
    </row>
    <row r="81" ht="12.9" customHeight="1">
      <c r="B81" t="s" s="10">
        <v>710</v>
      </c>
      <c r="C81" t="s" s="11">
        <v>415</v>
      </c>
      <c r="D81" s="12">
        <v>45531.845856585649</v>
      </c>
      <c r="E81" t="s" s="13">
        <v>23</v>
      </c>
      <c r="F81" t="s" s="13">
        <v>24</v>
      </c>
      <c r="G81" s="14">
        <v>4</v>
      </c>
      <c r="H81" s="15">
        <v>0</v>
      </c>
      <c r="I81" s="15">
        <v>0</v>
      </c>
    </row>
    <row r="82" ht="12.9" customHeight="1">
      <c r="B82" t="s" s="10">
        <v>710</v>
      </c>
      <c r="C82" t="s" s="11">
        <v>415</v>
      </c>
      <c r="D82" s="12">
        <v>45531.845856585649</v>
      </c>
      <c r="E82" t="s" s="13">
        <v>660</v>
      </c>
      <c r="F82" t="s" s="13">
        <v>661</v>
      </c>
      <c r="G82" s="14">
        <v>4</v>
      </c>
      <c r="H82" s="15">
        <v>5.99</v>
      </c>
      <c r="I82" s="15">
        <v>23.96</v>
      </c>
    </row>
    <row r="83" ht="12.9" customHeight="1">
      <c r="B83" t="s" s="10">
        <v>710</v>
      </c>
      <c r="C83" t="s" s="11">
        <v>415</v>
      </c>
      <c r="D83" s="12">
        <v>45531.845856585649</v>
      </c>
      <c r="E83" t="s" s="13">
        <v>50</v>
      </c>
      <c r="F83" t="s" s="13">
        <v>83</v>
      </c>
      <c r="G83" s="14">
        <v>4</v>
      </c>
      <c r="H83" s="15">
        <v>0</v>
      </c>
      <c r="I83" s="15">
        <v>0</v>
      </c>
    </row>
    <row r="84" ht="12.9" customHeight="1">
      <c r="B84" t="s" s="10">
        <v>710</v>
      </c>
      <c r="C84" t="s" s="11">
        <v>415</v>
      </c>
      <c r="D84" s="12">
        <v>45531.845856585649</v>
      </c>
      <c r="E84" t="s" s="13">
        <v>84</v>
      </c>
      <c r="F84" t="s" s="13">
        <v>85</v>
      </c>
      <c r="G84" s="14">
        <v>4</v>
      </c>
      <c r="H84" s="15">
        <v>0</v>
      </c>
      <c r="I84" s="15">
        <v>0</v>
      </c>
    </row>
    <row r="85" ht="12.9" customHeight="1">
      <c r="B85" t="s" s="10">
        <v>710</v>
      </c>
      <c r="C85" t="s" s="11">
        <v>415</v>
      </c>
      <c r="D85" s="12">
        <v>45531.845856585649</v>
      </c>
      <c r="E85" t="s" s="13">
        <v>59</v>
      </c>
      <c r="F85" t="s" s="13">
        <v>60</v>
      </c>
      <c r="G85" s="14">
        <v>1</v>
      </c>
      <c r="H85" s="15">
        <v>1199.99</v>
      </c>
      <c r="I85" s="15">
        <v>1199.99</v>
      </c>
    </row>
    <row r="86" ht="12.9" customHeight="1">
      <c r="B86" t="s" s="10">
        <v>711</v>
      </c>
      <c r="C86" t="s" s="11">
        <v>669</v>
      </c>
      <c r="D86" s="12">
        <v>45531.759060208336</v>
      </c>
      <c r="E86" t="s" s="13">
        <v>19</v>
      </c>
      <c r="F86" t="s" s="13">
        <v>20</v>
      </c>
      <c r="G86" s="14">
        <v>1</v>
      </c>
      <c r="H86" s="15">
        <v>119.99</v>
      </c>
      <c r="I86" s="15">
        <v>119.99</v>
      </c>
    </row>
    <row r="87" ht="12.9" customHeight="1">
      <c r="B87" t="s" s="10">
        <v>711</v>
      </c>
      <c r="C87" t="s" s="11">
        <v>669</v>
      </c>
      <c r="D87" s="12">
        <v>45531.759060208336</v>
      </c>
      <c r="E87" t="s" s="13">
        <v>146</v>
      </c>
      <c r="F87" t="s" s="13">
        <v>147</v>
      </c>
      <c r="G87" s="14">
        <v>3</v>
      </c>
      <c r="H87" s="15">
        <v>19.99</v>
      </c>
      <c r="I87" s="15">
        <v>59.97</v>
      </c>
    </row>
    <row r="88" ht="12.9" customHeight="1">
      <c r="B88" t="s" s="10">
        <v>711</v>
      </c>
      <c r="C88" t="s" s="11">
        <v>669</v>
      </c>
      <c r="D88" s="12">
        <v>45531.759060208336</v>
      </c>
      <c r="E88" t="s" s="13">
        <v>77</v>
      </c>
      <c r="F88" t="s" s="13">
        <v>78</v>
      </c>
      <c r="G88" s="14">
        <v>1</v>
      </c>
      <c r="H88" s="15">
        <v>19.99</v>
      </c>
      <c r="I88" s="15">
        <v>19.99</v>
      </c>
    </row>
    <row r="89" ht="12.9" customHeight="1">
      <c r="B89" t="s" s="10">
        <v>711</v>
      </c>
      <c r="C89" t="s" s="11">
        <v>669</v>
      </c>
      <c r="D89" s="12">
        <v>45531.759060208336</v>
      </c>
      <c r="E89" t="s" s="13">
        <v>23</v>
      </c>
      <c r="F89" t="s" s="13">
        <v>24</v>
      </c>
      <c r="G89" s="14">
        <v>1</v>
      </c>
      <c r="H89" s="15">
        <v>149.99</v>
      </c>
      <c r="I89" s="15">
        <v>149.99</v>
      </c>
    </row>
    <row r="90" ht="12.9" customHeight="1">
      <c r="B90" t="s" s="10">
        <v>712</v>
      </c>
      <c r="C90" t="s" s="11">
        <v>713</v>
      </c>
      <c r="D90" s="12">
        <v>45531.726370752316</v>
      </c>
      <c r="E90" t="s" s="13">
        <v>345</v>
      </c>
      <c r="F90" t="s" s="13">
        <v>346</v>
      </c>
      <c r="G90" s="14">
        <v>1</v>
      </c>
      <c r="H90" s="15">
        <v>219.99</v>
      </c>
      <c r="I90" s="15">
        <v>219.99</v>
      </c>
    </row>
    <row r="91" ht="12.9" customHeight="1">
      <c r="B91" t="s" s="10">
        <v>714</v>
      </c>
      <c r="C91" t="s" s="11">
        <v>715</v>
      </c>
      <c r="D91" s="12">
        <v>45531.708921793979</v>
      </c>
      <c r="E91" t="s" s="13">
        <v>81</v>
      </c>
      <c r="F91" t="s" s="13">
        <v>82</v>
      </c>
      <c r="G91" s="14">
        <v>2</v>
      </c>
      <c r="H91" s="15">
        <v>849.99</v>
      </c>
      <c r="I91" s="15">
        <v>1699.98</v>
      </c>
    </row>
    <row r="92" ht="12.9" customHeight="1">
      <c r="B92" t="s" s="10">
        <v>714</v>
      </c>
      <c r="C92" t="s" s="11">
        <v>715</v>
      </c>
      <c r="D92" s="12">
        <v>45531.708921793979</v>
      </c>
      <c r="E92" t="s" s="13">
        <v>23</v>
      </c>
      <c r="F92" t="s" s="13">
        <v>24</v>
      </c>
      <c r="G92" s="14">
        <v>2</v>
      </c>
      <c r="H92" s="15">
        <v>0</v>
      </c>
      <c r="I92" s="15">
        <v>0</v>
      </c>
    </row>
    <row r="93" ht="12.9" customHeight="1">
      <c r="B93" t="s" s="10">
        <v>714</v>
      </c>
      <c r="C93" t="s" s="11">
        <v>715</v>
      </c>
      <c r="D93" s="12">
        <v>45531.708921793979</v>
      </c>
      <c r="E93" t="s" s="13">
        <v>50</v>
      </c>
      <c r="F93" t="s" s="13">
        <v>83</v>
      </c>
      <c r="G93" s="14">
        <v>2</v>
      </c>
      <c r="H93" s="15">
        <v>0</v>
      </c>
      <c r="I93" s="15">
        <v>0</v>
      </c>
    </row>
    <row r="94" ht="12.9" customHeight="1">
      <c r="B94" t="s" s="10">
        <v>714</v>
      </c>
      <c r="C94" t="s" s="11">
        <v>715</v>
      </c>
      <c r="D94" s="12">
        <v>45531.708921793979</v>
      </c>
      <c r="E94" t="s" s="13">
        <v>84</v>
      </c>
      <c r="F94" t="s" s="13">
        <v>85</v>
      </c>
      <c r="G94" s="14">
        <v>2</v>
      </c>
      <c r="H94" s="15">
        <v>0</v>
      </c>
      <c r="I94" s="15">
        <v>0</v>
      </c>
    </row>
    <row r="95" ht="12.9" customHeight="1">
      <c r="B95" t="s" s="10">
        <v>716</v>
      </c>
      <c r="C95" t="s" s="11">
        <v>717</v>
      </c>
      <c r="D95" s="12">
        <v>45531.648600277775</v>
      </c>
      <c r="E95" t="s" s="13">
        <v>11</v>
      </c>
      <c r="F95" t="s" s="13">
        <v>12</v>
      </c>
      <c r="G95" s="14">
        <v>1</v>
      </c>
      <c r="H95" s="15">
        <v>399.99</v>
      </c>
      <c r="I95" s="15">
        <v>399.99</v>
      </c>
    </row>
    <row r="96" ht="12.9" customHeight="1">
      <c r="B96" t="s" s="10">
        <v>718</v>
      </c>
      <c r="C96" t="s" s="11">
        <v>719</v>
      </c>
      <c r="D96" s="12">
        <v>45531.134368090279</v>
      </c>
      <c r="E96" t="s" s="13">
        <v>11</v>
      </c>
      <c r="F96" t="s" s="13">
        <v>12</v>
      </c>
      <c r="G96" s="14">
        <v>1</v>
      </c>
      <c r="H96" s="15">
        <v>399.99</v>
      </c>
      <c r="I96" s="15">
        <v>399.99</v>
      </c>
    </row>
    <row r="97" ht="12.9" customHeight="1">
      <c r="B97" t="s" s="10">
        <v>720</v>
      </c>
      <c r="C97" t="s" s="11">
        <v>721</v>
      </c>
      <c r="D97" s="12">
        <v>45531</v>
      </c>
      <c r="E97" t="s" s="13">
        <v>63</v>
      </c>
      <c r="F97" s="16"/>
      <c r="G97" s="14">
        <v>1</v>
      </c>
      <c r="H97" s="15">
        <v>226.85</v>
      </c>
      <c r="I97" s="15">
        <v>226.85</v>
      </c>
    </row>
    <row r="98" ht="12.9" customHeight="1">
      <c r="B98" t="s" s="10">
        <v>720</v>
      </c>
      <c r="C98" t="s" s="11">
        <v>721</v>
      </c>
      <c r="D98" s="12">
        <v>45531</v>
      </c>
      <c r="E98" t="s" s="13">
        <v>722</v>
      </c>
      <c r="F98" t="s" s="13">
        <v>723</v>
      </c>
      <c r="G98" s="14">
        <v>6</v>
      </c>
      <c r="H98" s="15">
        <v>577.49</v>
      </c>
      <c r="I98" s="15">
        <v>3464.94</v>
      </c>
    </row>
    <row r="99" ht="12.9" customHeight="1">
      <c r="B99" t="s" s="10">
        <v>720</v>
      </c>
      <c r="C99" t="s" s="11">
        <v>721</v>
      </c>
      <c r="D99" s="12">
        <v>45531</v>
      </c>
      <c r="E99" t="s" s="13">
        <v>50</v>
      </c>
      <c r="F99" t="s" s="13">
        <v>51</v>
      </c>
      <c r="G99" s="14">
        <v>6</v>
      </c>
      <c r="H99" s="15">
        <v>0</v>
      </c>
      <c r="I99" s="15">
        <v>0</v>
      </c>
    </row>
    <row r="100" ht="12.9" customHeight="1">
      <c r="B100" t="s" s="10">
        <v>720</v>
      </c>
      <c r="C100" t="s" s="11">
        <v>721</v>
      </c>
      <c r="D100" s="12">
        <v>45531</v>
      </c>
      <c r="E100" t="s" s="13">
        <v>724</v>
      </c>
      <c r="F100" t="s" s="13">
        <v>725</v>
      </c>
      <c r="G100" s="14">
        <v>4</v>
      </c>
      <c r="H100" s="15">
        <v>187.4925</v>
      </c>
      <c r="I100" s="15">
        <v>749.97</v>
      </c>
    </row>
    <row r="101" ht="12.9" customHeight="1">
      <c r="B101" t="s" s="10">
        <v>720</v>
      </c>
      <c r="C101" t="s" s="11">
        <v>721</v>
      </c>
      <c r="D101" s="12">
        <v>45531</v>
      </c>
      <c r="E101" t="s" s="13">
        <v>726</v>
      </c>
      <c r="F101" t="s" s="13">
        <v>727</v>
      </c>
      <c r="G101" s="14">
        <v>1</v>
      </c>
      <c r="H101" s="15">
        <v>0</v>
      </c>
      <c r="I101" s="15">
        <v>0</v>
      </c>
    </row>
    <row r="102" ht="12.9" customHeight="1">
      <c r="B102" t="s" s="10">
        <v>720</v>
      </c>
      <c r="C102" t="s" s="11">
        <v>721</v>
      </c>
      <c r="D102" s="12">
        <v>45531</v>
      </c>
      <c r="E102" t="s" s="13">
        <v>402</v>
      </c>
      <c r="F102" t="s" s="13">
        <v>728</v>
      </c>
      <c r="G102" s="14">
        <v>8</v>
      </c>
      <c r="H102" s="15">
        <v>0</v>
      </c>
      <c r="I102" s="15">
        <v>0</v>
      </c>
    </row>
    <row r="103" ht="12.9" customHeight="1">
      <c r="B103" t="s" s="10">
        <v>729</v>
      </c>
      <c r="C103" t="s" s="11">
        <v>555</v>
      </c>
      <c r="D103" s="12">
        <v>45531</v>
      </c>
      <c r="E103" t="s" s="13">
        <v>63</v>
      </c>
      <c r="F103" s="16"/>
      <c r="G103" s="14">
        <v>1</v>
      </c>
      <c r="H103" s="15">
        <v>223.21</v>
      </c>
      <c r="I103" s="15">
        <v>223.21</v>
      </c>
    </row>
    <row r="104" ht="12.9" customHeight="1">
      <c r="B104" t="s" s="10">
        <v>729</v>
      </c>
      <c r="C104" t="s" s="11">
        <v>555</v>
      </c>
      <c r="D104" s="12">
        <v>45531</v>
      </c>
      <c r="E104" t="s" s="13">
        <v>556</v>
      </c>
      <c r="F104" t="s" s="13">
        <v>557</v>
      </c>
      <c r="G104" s="14">
        <v>3</v>
      </c>
      <c r="H104" s="15">
        <v>299.9925</v>
      </c>
      <c r="I104" s="15">
        <v>899.9775</v>
      </c>
    </row>
    <row r="105" ht="12.9" customHeight="1">
      <c r="B105" t="s" s="10">
        <v>729</v>
      </c>
      <c r="C105" t="s" s="11">
        <v>555</v>
      </c>
      <c r="D105" s="12">
        <v>45531</v>
      </c>
      <c r="E105" t="s" s="13">
        <v>59</v>
      </c>
      <c r="F105" t="s" s="13">
        <v>60</v>
      </c>
      <c r="G105" s="14">
        <v>2</v>
      </c>
      <c r="H105" s="15">
        <v>899.9924999999999</v>
      </c>
      <c r="I105" s="15">
        <v>1799.985</v>
      </c>
    </row>
    <row r="106" ht="12.9" customHeight="1">
      <c r="B106" t="s" s="10">
        <v>729</v>
      </c>
      <c r="C106" t="s" s="11">
        <v>555</v>
      </c>
      <c r="D106" s="12">
        <v>45531</v>
      </c>
      <c r="E106" t="s" s="13">
        <v>143</v>
      </c>
      <c r="F106" t="s" s="13">
        <v>144</v>
      </c>
      <c r="G106" s="14">
        <v>1</v>
      </c>
      <c r="H106" s="15">
        <v>2499.99</v>
      </c>
      <c r="I106" s="15">
        <v>2499.99</v>
      </c>
    </row>
    <row r="107" ht="12.9" customHeight="1">
      <c r="B107" t="s" s="10">
        <v>730</v>
      </c>
      <c r="C107" t="s" s="11">
        <v>731</v>
      </c>
      <c r="D107" s="12">
        <v>45531</v>
      </c>
      <c r="E107" t="s" s="13">
        <v>254</v>
      </c>
      <c r="F107" t="s" s="13">
        <v>732</v>
      </c>
      <c r="G107" s="14">
        <v>1</v>
      </c>
      <c r="H107" s="15">
        <v>0</v>
      </c>
      <c r="I107" s="15">
        <v>0</v>
      </c>
    </row>
    <row r="108" ht="12.9" customHeight="1">
      <c r="B108" t="s" s="10">
        <v>733</v>
      </c>
      <c r="C108" t="s" s="11">
        <v>563</v>
      </c>
      <c r="D108" s="12">
        <v>45531</v>
      </c>
      <c r="E108" t="s" s="13">
        <v>63</v>
      </c>
      <c r="F108" s="16"/>
      <c r="G108" s="14">
        <v>1</v>
      </c>
      <c r="H108" s="15">
        <v>105.8</v>
      </c>
      <c r="I108" s="15">
        <v>105.8</v>
      </c>
    </row>
    <row r="109" ht="12.9" customHeight="1">
      <c r="B109" t="s" s="10">
        <v>733</v>
      </c>
      <c r="C109" t="s" s="11">
        <v>563</v>
      </c>
      <c r="D109" s="12">
        <v>45531</v>
      </c>
      <c r="E109" t="s" s="13">
        <v>171</v>
      </c>
      <c r="F109" t="s" s="13">
        <v>172</v>
      </c>
      <c r="G109" s="14">
        <v>2</v>
      </c>
      <c r="H109" s="15">
        <v>412.4925</v>
      </c>
      <c r="I109" s="15">
        <v>824.985</v>
      </c>
    </row>
    <row r="110" ht="12.9" customHeight="1">
      <c r="B110" t="s" s="10">
        <v>734</v>
      </c>
      <c r="C110" t="s" s="11">
        <v>735</v>
      </c>
      <c r="D110" s="12">
        <v>45530.994408368053</v>
      </c>
      <c r="E110" t="s" s="13">
        <v>31</v>
      </c>
      <c r="F110" t="s" s="13">
        <v>32</v>
      </c>
      <c r="G110" s="14">
        <v>1</v>
      </c>
      <c r="H110" s="15">
        <v>599.99</v>
      </c>
      <c r="I110" s="15">
        <v>599.99</v>
      </c>
    </row>
    <row r="111" ht="12.9" customHeight="1">
      <c r="B111" t="s" s="10">
        <v>736</v>
      </c>
      <c r="C111" t="s" s="11">
        <v>737</v>
      </c>
      <c r="D111" s="12">
        <v>45530.985485613426</v>
      </c>
      <c r="E111" t="s" s="13">
        <v>27</v>
      </c>
      <c r="F111" t="s" s="13">
        <v>28</v>
      </c>
      <c r="G111" s="14">
        <v>2</v>
      </c>
      <c r="H111" s="15">
        <v>79.98999999999999</v>
      </c>
      <c r="I111" s="15">
        <v>159.98</v>
      </c>
    </row>
    <row r="112" ht="12.9" customHeight="1">
      <c r="B112" t="s" s="10">
        <v>738</v>
      </c>
      <c r="C112" t="s" s="11">
        <v>739</v>
      </c>
      <c r="D112" s="12">
        <v>45530.952454027778</v>
      </c>
      <c r="E112" t="s" s="13">
        <v>19</v>
      </c>
      <c r="F112" t="s" s="13">
        <v>20</v>
      </c>
      <c r="G112" s="14">
        <v>2</v>
      </c>
      <c r="H112" s="15">
        <v>119.99</v>
      </c>
      <c r="I112" s="15">
        <v>239.98</v>
      </c>
    </row>
    <row r="113" ht="12.9" customHeight="1">
      <c r="B113" t="s" s="10">
        <v>738</v>
      </c>
      <c r="C113" t="s" s="11">
        <v>739</v>
      </c>
      <c r="D113" s="12">
        <v>45530.952454027778</v>
      </c>
      <c r="E113" t="s" s="13">
        <v>54</v>
      </c>
      <c r="F113" t="s" s="13">
        <v>93</v>
      </c>
      <c r="G113" s="14">
        <v>1</v>
      </c>
      <c r="H113" s="15">
        <v>9.99</v>
      </c>
      <c r="I113" s="15">
        <v>9.99</v>
      </c>
    </row>
    <row r="114" ht="12.9" customHeight="1">
      <c r="B114" t="s" s="10">
        <v>738</v>
      </c>
      <c r="C114" t="s" s="11">
        <v>739</v>
      </c>
      <c r="D114" s="12">
        <v>45530.952454027778</v>
      </c>
      <c r="E114" t="s" s="13">
        <v>15</v>
      </c>
      <c r="F114" t="s" s="13">
        <v>16</v>
      </c>
      <c r="G114" s="14">
        <v>1</v>
      </c>
      <c r="H114" s="15">
        <v>9.99</v>
      </c>
      <c r="I114" s="15">
        <v>9.99</v>
      </c>
    </row>
    <row r="115" ht="12.9" customHeight="1">
      <c r="B115" t="s" s="10">
        <v>740</v>
      </c>
      <c r="C115" t="s" s="11">
        <v>741</v>
      </c>
      <c r="D115" s="12">
        <v>45530.942135648147</v>
      </c>
      <c r="E115" t="s" s="13">
        <v>73</v>
      </c>
      <c r="F115" t="s" s="13">
        <v>74</v>
      </c>
      <c r="G115" s="14">
        <v>2</v>
      </c>
      <c r="H115" s="15">
        <v>399.99</v>
      </c>
      <c r="I115" s="15">
        <v>799.98</v>
      </c>
    </row>
    <row r="116" ht="12.9" customHeight="1">
      <c r="B116" t="s" s="10">
        <v>740</v>
      </c>
      <c r="C116" t="s" s="11">
        <v>741</v>
      </c>
      <c r="D116" s="12">
        <v>45530.942135648147</v>
      </c>
      <c r="E116" t="s" s="13">
        <v>19</v>
      </c>
      <c r="F116" t="s" s="13">
        <v>20</v>
      </c>
      <c r="G116" s="14">
        <v>10</v>
      </c>
      <c r="H116" s="15">
        <v>119.99</v>
      </c>
      <c r="I116" s="15">
        <v>1199.9</v>
      </c>
    </row>
    <row r="117" ht="12.9" customHeight="1">
      <c r="B117" t="s" s="10">
        <v>742</v>
      </c>
      <c r="C117" t="s" s="11">
        <v>743</v>
      </c>
      <c r="D117" s="12">
        <v>45530.882718229164</v>
      </c>
      <c r="E117" t="s" s="13">
        <v>35</v>
      </c>
      <c r="F117" t="s" s="13">
        <v>36</v>
      </c>
      <c r="G117" s="14">
        <v>4</v>
      </c>
      <c r="H117" s="15">
        <v>49.99</v>
      </c>
      <c r="I117" s="15">
        <v>199.96</v>
      </c>
    </row>
    <row r="118" ht="12.9" customHeight="1">
      <c r="B118" t="s" s="10">
        <v>744</v>
      </c>
      <c r="C118" t="s" s="11">
        <v>745</v>
      </c>
      <c r="D118" s="12">
        <v>45530.854018981481</v>
      </c>
      <c r="E118" t="s" s="13">
        <v>11</v>
      </c>
      <c r="F118" t="s" s="13">
        <v>12</v>
      </c>
      <c r="G118" s="14">
        <v>1</v>
      </c>
      <c r="H118" s="15">
        <v>399.99</v>
      </c>
      <c r="I118" s="15">
        <v>399.99</v>
      </c>
    </row>
    <row r="119" ht="12.9" customHeight="1">
      <c r="B119" t="s" s="10">
        <v>746</v>
      </c>
      <c r="C119" t="s" s="11">
        <v>747</v>
      </c>
      <c r="D119" s="12">
        <v>45530.851641817128</v>
      </c>
      <c r="E119" t="s" s="13">
        <v>31</v>
      </c>
      <c r="F119" t="s" s="13">
        <v>32</v>
      </c>
      <c r="G119" s="14">
        <v>2</v>
      </c>
      <c r="H119" s="15">
        <v>599.99</v>
      </c>
      <c r="I119" s="15">
        <v>1199.98</v>
      </c>
    </row>
    <row r="120" ht="12.9" customHeight="1">
      <c r="B120" t="s" s="10">
        <v>748</v>
      </c>
      <c r="C120" t="s" s="11">
        <v>749</v>
      </c>
      <c r="D120" s="12">
        <v>45530.839570405093</v>
      </c>
      <c r="E120" t="s" s="13">
        <v>11</v>
      </c>
      <c r="F120" t="s" s="13">
        <v>12</v>
      </c>
      <c r="G120" s="14">
        <v>1</v>
      </c>
      <c r="H120" s="15">
        <v>399.99</v>
      </c>
      <c r="I120" s="15">
        <v>399.99</v>
      </c>
    </row>
    <row r="121" ht="12.9" customHeight="1">
      <c r="B121" t="s" s="10">
        <v>748</v>
      </c>
      <c r="C121" t="s" s="11">
        <v>749</v>
      </c>
      <c r="D121" s="12">
        <v>45530.839570405093</v>
      </c>
      <c r="E121" t="s" s="13">
        <v>35</v>
      </c>
      <c r="F121" t="s" s="13">
        <v>36</v>
      </c>
      <c r="G121" s="14">
        <v>1</v>
      </c>
      <c r="H121" s="15">
        <v>39.99</v>
      </c>
      <c r="I121" s="15">
        <v>39.99</v>
      </c>
    </row>
    <row r="122" ht="12.9" customHeight="1">
      <c r="B122" t="s" s="10">
        <v>750</v>
      </c>
      <c r="C122" t="s" s="11">
        <v>751</v>
      </c>
      <c r="D122" s="12">
        <v>45530.837782650466</v>
      </c>
      <c r="E122" t="s" s="13">
        <v>95</v>
      </c>
      <c r="F122" t="s" s="13">
        <v>12</v>
      </c>
      <c r="G122" s="14">
        <v>2</v>
      </c>
      <c r="H122" s="15">
        <v>349.99</v>
      </c>
      <c r="I122" s="15">
        <v>699.98</v>
      </c>
    </row>
    <row r="123" ht="12.9" customHeight="1">
      <c r="B123" t="s" s="10">
        <v>752</v>
      </c>
      <c r="C123" t="s" s="11">
        <v>753</v>
      </c>
      <c r="D123" s="12">
        <v>45530.709553344910</v>
      </c>
      <c r="E123" t="s" s="13">
        <v>89</v>
      </c>
      <c r="F123" t="s" s="13">
        <v>90</v>
      </c>
      <c r="G123" s="14">
        <v>1</v>
      </c>
      <c r="H123" s="15">
        <v>59.99</v>
      </c>
      <c r="I123" s="15">
        <v>59.99</v>
      </c>
    </row>
    <row r="124" ht="12.9" customHeight="1">
      <c r="B124" t="s" s="10">
        <v>754</v>
      </c>
      <c r="C124" t="s" s="11">
        <v>755</v>
      </c>
      <c r="D124" s="12">
        <v>45530.600555949073</v>
      </c>
      <c r="E124" t="s" s="13">
        <v>54</v>
      </c>
      <c r="F124" t="s" s="13">
        <v>93</v>
      </c>
      <c r="G124" s="14">
        <v>1</v>
      </c>
      <c r="H124" s="15">
        <v>9.99</v>
      </c>
      <c r="I124" s="15">
        <v>9.99</v>
      </c>
    </row>
    <row r="125" ht="12.9" customHeight="1">
      <c r="B125" t="s" s="10">
        <v>754</v>
      </c>
      <c r="C125" t="s" s="11">
        <v>755</v>
      </c>
      <c r="D125" s="12">
        <v>45530.600555949073</v>
      </c>
      <c r="E125" t="s" s="13">
        <v>15</v>
      </c>
      <c r="F125" t="s" s="13">
        <v>16</v>
      </c>
      <c r="G125" s="14">
        <v>1</v>
      </c>
      <c r="H125" s="15">
        <v>9.99</v>
      </c>
      <c r="I125" s="15">
        <v>9.99</v>
      </c>
    </row>
    <row r="126" ht="12.9" customHeight="1">
      <c r="B126" t="s" s="10">
        <v>756</v>
      </c>
      <c r="C126" t="s" s="11">
        <v>757</v>
      </c>
      <c r="D126" s="12">
        <v>45530.119171956016</v>
      </c>
      <c r="E126" t="s" s="13">
        <v>11</v>
      </c>
      <c r="F126" t="s" s="13">
        <v>12</v>
      </c>
      <c r="G126" s="14">
        <v>1</v>
      </c>
      <c r="H126" s="15">
        <v>399.99</v>
      </c>
      <c r="I126" s="15">
        <v>399.99</v>
      </c>
    </row>
    <row r="127" ht="12.9" customHeight="1">
      <c r="B127" t="s" s="10">
        <v>758</v>
      </c>
      <c r="C127" t="s" s="11">
        <v>759</v>
      </c>
      <c r="D127" s="12">
        <v>45530.021566585645</v>
      </c>
      <c r="E127" t="s" s="13">
        <v>95</v>
      </c>
      <c r="F127" t="s" s="13">
        <v>12</v>
      </c>
      <c r="G127" s="14">
        <v>1</v>
      </c>
      <c r="H127" s="15">
        <v>349.99</v>
      </c>
      <c r="I127" s="15">
        <v>349.99</v>
      </c>
    </row>
    <row r="128" ht="12.9" customHeight="1">
      <c r="B128" t="s" s="10">
        <v>760</v>
      </c>
      <c r="C128" t="s" s="11">
        <v>122</v>
      </c>
      <c r="D128" s="12">
        <v>45530</v>
      </c>
      <c r="E128" t="s" s="13">
        <v>63</v>
      </c>
      <c r="F128" s="16"/>
      <c r="G128" s="14">
        <v>1</v>
      </c>
      <c r="H128" s="15">
        <v>22.5</v>
      </c>
      <c r="I128" s="15">
        <v>22.5</v>
      </c>
    </row>
    <row r="129" ht="12.9" customHeight="1">
      <c r="B129" t="s" s="10">
        <v>760</v>
      </c>
      <c r="C129" t="s" s="11">
        <v>122</v>
      </c>
      <c r="D129" s="12">
        <v>45530</v>
      </c>
      <c r="E129" t="s" s="13">
        <v>254</v>
      </c>
      <c r="F129" t="s" s="13">
        <v>761</v>
      </c>
      <c r="G129" s="14">
        <v>1</v>
      </c>
      <c r="H129" s="15">
        <v>50</v>
      </c>
      <c r="I129" s="15">
        <v>50</v>
      </c>
    </row>
    <row r="130" ht="12.9" customHeight="1">
      <c r="B130" t="s" s="10">
        <v>760</v>
      </c>
      <c r="C130" t="s" s="11">
        <v>122</v>
      </c>
      <c r="D130" s="12">
        <v>45530</v>
      </c>
      <c r="E130" t="s" s="13">
        <v>762</v>
      </c>
      <c r="F130" t="s" s="13">
        <v>763</v>
      </c>
      <c r="G130" s="14">
        <v>1</v>
      </c>
      <c r="H130" s="15">
        <v>0</v>
      </c>
      <c r="I130" s="15">
        <v>0</v>
      </c>
    </row>
    <row r="131" ht="12.9" customHeight="1">
      <c r="B131" t="s" s="10">
        <v>760</v>
      </c>
      <c r="C131" t="s" s="11">
        <v>122</v>
      </c>
      <c r="D131" s="12">
        <v>45530</v>
      </c>
      <c r="E131" t="s" s="13">
        <v>764</v>
      </c>
      <c r="F131" t="s" s="13">
        <v>765</v>
      </c>
      <c r="G131" s="14">
        <v>1</v>
      </c>
      <c r="H131" s="15">
        <v>0</v>
      </c>
      <c r="I131" s="15">
        <v>0</v>
      </c>
    </row>
    <row r="132" ht="12.9" customHeight="1">
      <c r="B132" t="s" s="10">
        <v>760</v>
      </c>
      <c r="C132" t="s" s="11">
        <v>122</v>
      </c>
      <c r="D132" s="12">
        <v>45530</v>
      </c>
      <c r="E132" t="s" s="13">
        <v>766</v>
      </c>
      <c r="F132" t="s" s="13">
        <v>767</v>
      </c>
      <c r="G132" s="14">
        <v>1</v>
      </c>
      <c r="H132" s="15">
        <v>0</v>
      </c>
      <c r="I132" s="15">
        <v>0</v>
      </c>
    </row>
    <row r="133" ht="12.9" customHeight="1">
      <c r="B133" t="s" s="10">
        <v>768</v>
      </c>
      <c r="C133" t="s" s="11">
        <v>476</v>
      </c>
      <c r="D133" s="12">
        <v>45530</v>
      </c>
      <c r="E133" t="s" s="13">
        <v>43</v>
      </c>
      <c r="F133" t="s" s="13">
        <v>769</v>
      </c>
      <c r="G133" s="14">
        <v>1</v>
      </c>
      <c r="H133" s="15">
        <v>0</v>
      </c>
      <c r="I133" s="15">
        <v>0</v>
      </c>
    </row>
    <row r="134" ht="12.9" customHeight="1">
      <c r="B134" t="s" s="10">
        <v>770</v>
      </c>
      <c r="C134" t="s" s="11">
        <v>212</v>
      </c>
      <c r="D134" s="12">
        <v>45530</v>
      </c>
      <c r="E134" t="s" s="13">
        <v>254</v>
      </c>
      <c r="F134" t="s" s="13">
        <v>771</v>
      </c>
      <c r="G134" s="14">
        <v>0.5</v>
      </c>
      <c r="H134" s="15">
        <v>95</v>
      </c>
      <c r="I134" s="15">
        <v>47.5</v>
      </c>
    </row>
    <row r="135" ht="12.9" customHeight="1">
      <c r="B135" t="s" s="10">
        <v>770</v>
      </c>
      <c r="C135" t="s" s="11">
        <v>212</v>
      </c>
      <c r="D135" s="12">
        <v>45530</v>
      </c>
      <c r="E135" t="s" s="13">
        <v>772</v>
      </c>
      <c r="F135" t="s" s="13">
        <v>773</v>
      </c>
      <c r="G135" s="14">
        <v>2</v>
      </c>
      <c r="H135" s="15">
        <v>16.608696</v>
      </c>
      <c r="I135" s="15">
        <v>33.217392</v>
      </c>
    </row>
    <row r="136" ht="12.9" customHeight="1">
      <c r="B136" t="s" s="10">
        <v>770</v>
      </c>
      <c r="C136" t="s" s="11">
        <v>212</v>
      </c>
      <c r="D136" s="12">
        <v>45530</v>
      </c>
      <c r="E136" t="s" s="13">
        <v>258</v>
      </c>
      <c r="F136" t="s" s="13">
        <v>774</v>
      </c>
      <c r="G136" s="14">
        <v>4</v>
      </c>
      <c r="H136" s="15">
        <v>14.99</v>
      </c>
      <c r="I136" s="15">
        <v>59.96</v>
      </c>
    </row>
    <row r="137" ht="12.9" customHeight="1">
      <c r="B137" t="s" s="10">
        <v>770</v>
      </c>
      <c r="C137" t="s" s="11">
        <v>212</v>
      </c>
      <c r="D137" s="12">
        <v>45530</v>
      </c>
      <c r="E137" t="s" s="13">
        <v>775</v>
      </c>
      <c r="F137" t="s" s="13">
        <v>775</v>
      </c>
      <c r="G137" s="14">
        <v>1</v>
      </c>
      <c r="H137" s="15">
        <v>49.99</v>
      </c>
      <c r="I137" s="15">
        <v>49.99</v>
      </c>
    </row>
    <row r="138" ht="12.9" customHeight="1">
      <c r="B138" t="s" s="10">
        <v>776</v>
      </c>
      <c r="C138" t="s" s="11">
        <v>777</v>
      </c>
      <c r="D138" s="12">
        <v>45530</v>
      </c>
      <c r="E138" t="s" s="13">
        <v>47</v>
      </c>
      <c r="F138" s="16"/>
      <c r="G138" s="14">
        <v>1</v>
      </c>
      <c r="H138" s="15">
        <v>66.90000000000001</v>
      </c>
      <c r="I138" s="15">
        <v>66.90000000000001</v>
      </c>
    </row>
    <row r="139" ht="12.9" customHeight="1">
      <c r="B139" t="s" s="10">
        <v>776</v>
      </c>
      <c r="C139" t="s" s="11">
        <v>777</v>
      </c>
      <c r="D139" s="12">
        <v>45530</v>
      </c>
      <c r="E139" t="s" s="13">
        <v>778</v>
      </c>
      <c r="F139" t="s" s="13">
        <v>779</v>
      </c>
      <c r="G139" s="14">
        <v>1</v>
      </c>
      <c r="H139" s="15">
        <v>299.99</v>
      </c>
      <c r="I139" s="15">
        <v>299.99</v>
      </c>
    </row>
    <row r="140" ht="12.9" customHeight="1">
      <c r="B140" t="s" s="10">
        <v>776</v>
      </c>
      <c r="C140" t="s" s="11">
        <v>777</v>
      </c>
      <c r="D140" s="12">
        <v>45530</v>
      </c>
      <c r="E140" t="s" s="13">
        <v>780</v>
      </c>
      <c r="F140" t="s" s="13">
        <v>780</v>
      </c>
      <c r="G140" s="14">
        <v>1</v>
      </c>
      <c r="H140" s="15">
        <v>0</v>
      </c>
      <c r="I140" s="15">
        <v>0</v>
      </c>
    </row>
    <row r="141" ht="12.9" customHeight="1">
      <c r="B141" t="s" s="10">
        <v>776</v>
      </c>
      <c r="C141" t="s" s="11">
        <v>777</v>
      </c>
      <c r="D141" s="12">
        <v>45530</v>
      </c>
      <c r="E141" t="s" s="13">
        <v>781</v>
      </c>
      <c r="F141" t="s" s="13">
        <v>782</v>
      </c>
      <c r="G141" s="14">
        <v>1</v>
      </c>
      <c r="H141" s="15">
        <v>0</v>
      </c>
      <c r="I141" s="15">
        <v>0</v>
      </c>
    </row>
    <row r="142" ht="12.9" customHeight="1">
      <c r="B142" t="s" s="10">
        <v>783</v>
      </c>
      <c r="C142" t="s" s="11">
        <v>784</v>
      </c>
      <c r="D142" s="12">
        <v>45530</v>
      </c>
      <c r="E142" t="s" s="13">
        <v>81</v>
      </c>
      <c r="F142" t="s" s="13">
        <v>82</v>
      </c>
      <c r="G142" s="14">
        <v>4</v>
      </c>
      <c r="H142" s="15">
        <v>849.99</v>
      </c>
      <c r="I142" s="15">
        <v>3399.96</v>
      </c>
    </row>
    <row r="143" ht="12.9" customHeight="1">
      <c r="B143" t="s" s="10">
        <v>783</v>
      </c>
      <c r="C143" t="s" s="11">
        <v>784</v>
      </c>
      <c r="D143" s="12">
        <v>45530</v>
      </c>
      <c r="E143" t="s" s="13">
        <v>50</v>
      </c>
      <c r="F143" t="s" s="13">
        <v>51</v>
      </c>
      <c r="G143" s="14">
        <v>4</v>
      </c>
      <c r="H143" s="15">
        <v>0</v>
      </c>
      <c r="I143" s="15">
        <v>0</v>
      </c>
    </row>
    <row r="144" ht="12.9" customHeight="1">
      <c r="B144" t="s" s="10">
        <v>783</v>
      </c>
      <c r="C144" t="s" s="11">
        <v>784</v>
      </c>
      <c r="D144" s="12">
        <v>45530</v>
      </c>
      <c r="E144" t="s" s="13">
        <v>23</v>
      </c>
      <c r="F144" t="s" s="13">
        <v>56</v>
      </c>
      <c r="G144" s="14">
        <v>4</v>
      </c>
      <c r="H144" s="15">
        <v>0</v>
      </c>
      <c r="I144" s="15">
        <v>0</v>
      </c>
    </row>
    <row r="145" ht="12.9" customHeight="1">
      <c r="B145" t="s" s="10">
        <v>783</v>
      </c>
      <c r="C145" t="s" s="11">
        <v>784</v>
      </c>
      <c r="D145" s="12">
        <v>45530</v>
      </c>
      <c r="E145" t="s" s="13">
        <v>84</v>
      </c>
      <c r="F145" t="s" s="13">
        <v>330</v>
      </c>
      <c r="G145" s="14">
        <v>4</v>
      </c>
      <c r="H145" s="15">
        <v>0</v>
      </c>
      <c r="I145" s="15">
        <v>0</v>
      </c>
    </row>
    <row r="146" ht="12.9" customHeight="1">
      <c r="B146" t="s" s="10">
        <v>783</v>
      </c>
      <c r="C146" t="s" s="11">
        <v>784</v>
      </c>
      <c r="D146" s="12">
        <v>45530</v>
      </c>
      <c r="E146" t="s" s="13">
        <v>59</v>
      </c>
      <c r="F146" t="s" s="13">
        <v>60</v>
      </c>
      <c r="G146" s="14">
        <v>1</v>
      </c>
      <c r="H146" s="15">
        <v>1199.99</v>
      </c>
      <c r="I146" s="15">
        <v>1199.99</v>
      </c>
    </row>
    <row r="147" ht="12.9" customHeight="1">
      <c r="B147" t="s" s="10">
        <v>785</v>
      </c>
      <c r="C147" t="s" s="11">
        <v>473</v>
      </c>
      <c r="D147" s="12">
        <v>45530</v>
      </c>
      <c r="E147" t="s" s="13">
        <v>63</v>
      </c>
      <c r="F147" s="16"/>
      <c r="G147" s="14">
        <v>1</v>
      </c>
      <c r="H147" s="15">
        <v>30</v>
      </c>
      <c r="I147" s="15">
        <v>30</v>
      </c>
    </row>
    <row r="148" ht="12.9" customHeight="1">
      <c r="B148" t="s" s="10">
        <v>785</v>
      </c>
      <c r="C148" t="s" s="11">
        <v>473</v>
      </c>
      <c r="D148" s="12">
        <v>45530</v>
      </c>
      <c r="E148" t="s" s="13">
        <v>250</v>
      </c>
      <c r="F148" t="s" s="13">
        <v>251</v>
      </c>
      <c r="G148" s="14">
        <v>2</v>
      </c>
      <c r="H148" s="15">
        <v>799.99</v>
      </c>
      <c r="I148" s="15">
        <v>1599.98</v>
      </c>
    </row>
    <row r="149" ht="12.9" customHeight="1">
      <c r="B149" t="s" s="10">
        <v>786</v>
      </c>
      <c r="C149" t="s" s="11">
        <v>787</v>
      </c>
      <c r="D149" s="12">
        <v>45529.772185081019</v>
      </c>
      <c r="E149" t="s" s="13">
        <v>123</v>
      </c>
      <c r="F149" t="s" s="13">
        <v>124</v>
      </c>
      <c r="G149" s="14">
        <v>2</v>
      </c>
      <c r="H149" s="15">
        <v>179.99</v>
      </c>
      <c r="I149" s="15">
        <v>359.98</v>
      </c>
    </row>
    <row r="150" ht="12.9" customHeight="1">
      <c r="B150" t="s" s="10">
        <v>788</v>
      </c>
      <c r="C150" t="s" s="11">
        <v>789</v>
      </c>
      <c r="D150" s="12">
        <v>45528.649155451392</v>
      </c>
      <c r="E150" t="s" s="13">
        <v>77</v>
      </c>
      <c r="F150" t="s" s="13">
        <v>78</v>
      </c>
      <c r="G150" s="14">
        <v>2</v>
      </c>
      <c r="H150" s="15">
        <v>19.99</v>
      </c>
      <c r="I150" s="15">
        <v>39.98</v>
      </c>
    </row>
    <row r="151" ht="12.9" customHeight="1">
      <c r="B151" t="s" s="10">
        <v>788</v>
      </c>
      <c r="C151" t="s" s="11">
        <v>789</v>
      </c>
      <c r="D151" s="12">
        <v>45528.649155451392</v>
      </c>
      <c r="E151" t="s" s="13">
        <v>359</v>
      </c>
      <c r="F151" t="s" s="13">
        <v>360</v>
      </c>
      <c r="G151" s="14">
        <v>2</v>
      </c>
      <c r="H151" s="15">
        <v>29.99</v>
      </c>
      <c r="I151" s="15">
        <v>59.98</v>
      </c>
    </row>
    <row r="152" ht="12.9" customHeight="1">
      <c r="B152" t="s" s="10">
        <v>790</v>
      </c>
      <c r="C152" t="s" s="11">
        <v>72</v>
      </c>
      <c r="D152" s="12">
        <v>45528.533349039353</v>
      </c>
      <c r="E152" t="s" s="13">
        <v>73</v>
      </c>
      <c r="F152" t="s" s="13">
        <v>74</v>
      </c>
      <c r="G152" s="14">
        <v>1</v>
      </c>
      <c r="H152" s="15">
        <v>399.99</v>
      </c>
      <c r="I152" s="15">
        <v>399.99</v>
      </c>
    </row>
    <row r="153" ht="12.9" customHeight="1">
      <c r="B153" t="s" s="10">
        <v>791</v>
      </c>
      <c r="C153" t="s" s="11">
        <v>792</v>
      </c>
      <c r="D153" s="12">
        <v>45527.910553935188</v>
      </c>
      <c r="E153" t="s" s="13">
        <v>73</v>
      </c>
      <c r="F153" t="s" s="13">
        <v>74</v>
      </c>
      <c r="G153" s="14">
        <v>1</v>
      </c>
      <c r="H153" s="15">
        <v>399.99</v>
      </c>
      <c r="I153" s="15">
        <v>399.99</v>
      </c>
    </row>
    <row r="154" ht="12.9" customHeight="1">
      <c r="B154" t="s" s="10">
        <v>793</v>
      </c>
      <c r="C154" t="s" s="11">
        <v>794</v>
      </c>
      <c r="D154" s="12">
        <v>45527.903529652780</v>
      </c>
      <c r="E154" t="s" s="13">
        <v>139</v>
      </c>
      <c r="F154" t="s" s="13">
        <v>140</v>
      </c>
      <c r="G154" s="14">
        <v>1</v>
      </c>
      <c r="H154" s="15">
        <v>49.99</v>
      </c>
      <c r="I154" s="15">
        <v>49.99</v>
      </c>
    </row>
    <row r="155" ht="12.9" customHeight="1">
      <c r="B155" t="s" s="10">
        <v>795</v>
      </c>
      <c r="C155" t="s" s="11">
        <v>669</v>
      </c>
      <c r="D155" s="12">
        <v>45527.896681319442</v>
      </c>
      <c r="E155" t="s" s="13">
        <v>239</v>
      </c>
      <c r="F155" t="s" s="13">
        <v>240</v>
      </c>
      <c r="G155" s="14">
        <v>1</v>
      </c>
      <c r="H155" s="15">
        <v>99.98999999999999</v>
      </c>
      <c r="I155" s="15">
        <v>99.98999999999999</v>
      </c>
    </row>
    <row r="156" ht="12.9" customHeight="1">
      <c r="B156" t="s" s="10">
        <v>795</v>
      </c>
      <c r="C156" t="s" s="11">
        <v>669</v>
      </c>
      <c r="D156" s="12">
        <v>45527.896681319442</v>
      </c>
      <c r="E156" t="s" s="13">
        <v>39</v>
      </c>
      <c r="F156" t="s" s="13">
        <v>40</v>
      </c>
      <c r="G156" s="14">
        <v>2</v>
      </c>
      <c r="H156" s="15">
        <v>109.99</v>
      </c>
      <c r="I156" s="15">
        <v>219.98</v>
      </c>
    </row>
    <row r="157" ht="12.9" customHeight="1">
      <c r="B157" t="s" s="10">
        <v>795</v>
      </c>
      <c r="C157" t="s" s="11">
        <v>669</v>
      </c>
      <c r="D157" s="12">
        <v>45527.896681319442</v>
      </c>
      <c r="E157" t="s" s="13">
        <v>115</v>
      </c>
      <c r="F157" t="s" s="13">
        <v>116</v>
      </c>
      <c r="G157" s="14">
        <v>3</v>
      </c>
      <c r="H157" s="15">
        <v>22.99</v>
      </c>
      <c r="I157" s="15">
        <v>68.97</v>
      </c>
    </row>
    <row r="158" ht="12.9" customHeight="1">
      <c r="B158" t="s" s="10">
        <v>796</v>
      </c>
      <c r="C158" t="s" s="11">
        <v>797</v>
      </c>
      <c r="D158" s="12">
        <v>45527.675664942130</v>
      </c>
      <c r="E158" t="s" s="13">
        <v>35</v>
      </c>
      <c r="F158" t="s" s="13">
        <v>36</v>
      </c>
      <c r="G158" s="14">
        <v>2</v>
      </c>
      <c r="H158" s="15">
        <v>49.99</v>
      </c>
      <c r="I158" s="15">
        <v>99.98</v>
      </c>
    </row>
    <row r="159" ht="12.9" customHeight="1">
      <c r="B159" t="s" s="10">
        <v>796</v>
      </c>
      <c r="C159" t="s" s="11">
        <v>797</v>
      </c>
      <c r="D159" s="12">
        <v>45527.675664942130</v>
      </c>
      <c r="E159" t="s" s="13">
        <v>54</v>
      </c>
      <c r="F159" t="s" s="13">
        <v>93</v>
      </c>
      <c r="G159" s="14">
        <v>1</v>
      </c>
      <c r="H159" s="15">
        <v>9.99</v>
      </c>
      <c r="I159" s="15">
        <v>9.99</v>
      </c>
    </row>
    <row r="160" ht="12.9" customHeight="1">
      <c r="B160" t="s" s="10">
        <v>798</v>
      </c>
      <c r="C160" t="s" s="11">
        <v>799</v>
      </c>
      <c r="D160" s="12">
        <v>45527.583849340277</v>
      </c>
      <c r="E160" t="s" s="13">
        <v>171</v>
      </c>
      <c r="F160" t="s" s="13">
        <v>172</v>
      </c>
      <c r="G160" s="14">
        <v>1</v>
      </c>
      <c r="H160" s="15">
        <v>549.99</v>
      </c>
      <c r="I160" s="15">
        <v>549.99</v>
      </c>
    </row>
    <row r="161" ht="12.9" customHeight="1">
      <c r="B161" t="s" s="10">
        <v>798</v>
      </c>
      <c r="C161" t="s" s="11">
        <v>799</v>
      </c>
      <c r="D161" s="12">
        <v>45527.583849340277</v>
      </c>
      <c r="E161" t="s" s="13">
        <v>35</v>
      </c>
      <c r="F161" t="s" s="13">
        <v>36</v>
      </c>
      <c r="G161" s="14">
        <v>2</v>
      </c>
      <c r="H161" s="15">
        <v>39.99</v>
      </c>
      <c r="I161" s="15">
        <v>79.98</v>
      </c>
    </row>
    <row r="162" ht="12.9" customHeight="1">
      <c r="B162" t="s" s="10">
        <v>800</v>
      </c>
      <c r="C162" t="s" s="11">
        <v>801</v>
      </c>
      <c r="D162" s="12">
        <v>45527.4417559838</v>
      </c>
      <c r="E162" t="s" s="13">
        <v>95</v>
      </c>
      <c r="F162" t="s" s="13">
        <v>12</v>
      </c>
      <c r="G162" s="14">
        <v>1</v>
      </c>
      <c r="H162" s="15">
        <v>349.99</v>
      </c>
      <c r="I162" s="15">
        <v>349.99</v>
      </c>
    </row>
    <row r="163" ht="12.9" customHeight="1">
      <c r="B163" t="s" s="10">
        <v>802</v>
      </c>
      <c r="C163" t="s" s="11">
        <v>803</v>
      </c>
      <c r="D163" s="12">
        <v>45527</v>
      </c>
      <c r="E163" t="s" s="13">
        <v>119</v>
      </c>
      <c r="F163" t="s" s="13">
        <v>120</v>
      </c>
      <c r="G163" s="14">
        <v>3</v>
      </c>
      <c r="H163" s="15">
        <v>0</v>
      </c>
      <c r="I163" s="15">
        <v>0</v>
      </c>
    </row>
    <row r="164" ht="12.9" customHeight="1">
      <c r="B164" t="s" s="10">
        <v>804</v>
      </c>
      <c r="C164" t="s" s="11">
        <v>805</v>
      </c>
      <c r="D164" s="12">
        <v>45526.811421898150</v>
      </c>
      <c r="E164" t="s" s="13">
        <v>806</v>
      </c>
      <c r="F164" s="16"/>
      <c r="G164" s="14">
        <v>1</v>
      </c>
      <c r="H164" s="15">
        <v>0</v>
      </c>
      <c r="I164" s="15">
        <v>0</v>
      </c>
    </row>
    <row r="165" ht="12.9" customHeight="1">
      <c r="B165" t="s" s="10">
        <v>804</v>
      </c>
      <c r="C165" t="s" s="11">
        <v>805</v>
      </c>
      <c r="D165" s="12">
        <v>45526.811421898150</v>
      </c>
      <c r="E165" t="s" s="13">
        <v>95</v>
      </c>
      <c r="F165" t="s" s="13">
        <v>12</v>
      </c>
      <c r="G165" s="14">
        <v>1</v>
      </c>
      <c r="H165" s="15">
        <v>349.99</v>
      </c>
      <c r="I165" s="15">
        <v>349.99</v>
      </c>
    </row>
    <row r="166" ht="12.9" customHeight="1">
      <c r="B166" t="s" s="10">
        <v>807</v>
      </c>
      <c r="C166" t="s" s="11">
        <v>808</v>
      </c>
      <c r="D166" s="12">
        <v>45526.798109629628</v>
      </c>
      <c r="E166" t="s" s="13">
        <v>806</v>
      </c>
      <c r="F166" s="16"/>
      <c r="G166" s="14">
        <v>1</v>
      </c>
      <c r="H166" s="15">
        <v>0</v>
      </c>
      <c r="I166" s="15">
        <v>0</v>
      </c>
    </row>
    <row r="167" ht="12.9" customHeight="1">
      <c r="B167" t="s" s="10">
        <v>807</v>
      </c>
      <c r="C167" t="s" s="11">
        <v>808</v>
      </c>
      <c r="D167" s="12">
        <v>45526.798109629628</v>
      </c>
      <c r="E167" t="s" s="13">
        <v>139</v>
      </c>
      <c r="F167" t="s" s="13">
        <v>140</v>
      </c>
      <c r="G167" s="14">
        <v>2</v>
      </c>
      <c r="H167" s="15">
        <v>49.99</v>
      </c>
      <c r="I167" s="15">
        <v>99.98</v>
      </c>
    </row>
    <row r="168" ht="12.9" customHeight="1">
      <c r="B168" t="s" s="10">
        <v>809</v>
      </c>
      <c r="C168" t="s" s="11">
        <v>810</v>
      </c>
      <c r="D168" s="12">
        <v>45526.696104606483</v>
      </c>
      <c r="E168" t="s" s="13">
        <v>806</v>
      </c>
      <c r="F168" s="16"/>
      <c r="G168" s="14">
        <v>1</v>
      </c>
      <c r="H168" s="15">
        <v>0</v>
      </c>
      <c r="I168" s="15">
        <v>0</v>
      </c>
    </row>
    <row r="169" ht="12.9" customHeight="1">
      <c r="B169" t="s" s="10">
        <v>809</v>
      </c>
      <c r="C169" t="s" s="11">
        <v>810</v>
      </c>
      <c r="D169" s="12">
        <v>45526.696104606483</v>
      </c>
      <c r="E169" t="s" s="13">
        <v>15</v>
      </c>
      <c r="F169" t="s" s="13">
        <v>16</v>
      </c>
      <c r="G169" s="14">
        <v>6</v>
      </c>
      <c r="H169" s="15">
        <v>9.99</v>
      </c>
      <c r="I169" s="15">
        <v>59.94</v>
      </c>
    </row>
    <row r="170" ht="12.9" customHeight="1">
      <c r="B170" t="s" s="10">
        <v>811</v>
      </c>
      <c r="C170" t="s" s="11">
        <v>812</v>
      </c>
      <c r="D170" s="12">
        <v>45526.629375</v>
      </c>
      <c r="E170" t="s" s="13">
        <v>806</v>
      </c>
      <c r="F170" s="16"/>
      <c r="G170" s="14">
        <v>1</v>
      </c>
      <c r="H170" s="15">
        <v>0</v>
      </c>
      <c r="I170" s="15">
        <v>0</v>
      </c>
    </row>
    <row r="171" ht="12.9" customHeight="1">
      <c r="B171" t="s" s="10">
        <v>811</v>
      </c>
      <c r="C171" t="s" s="11">
        <v>812</v>
      </c>
      <c r="D171" s="12">
        <v>45526.629375</v>
      </c>
      <c r="E171" t="s" s="13">
        <v>39</v>
      </c>
      <c r="F171" t="s" s="13">
        <v>40</v>
      </c>
      <c r="G171" s="14">
        <v>2</v>
      </c>
      <c r="H171" s="15">
        <v>109.99</v>
      </c>
      <c r="I171" s="15">
        <v>219.98</v>
      </c>
    </row>
    <row r="172" ht="12.9" customHeight="1">
      <c r="B172" t="s" s="10">
        <v>813</v>
      </c>
      <c r="C172" t="s" s="11">
        <v>669</v>
      </c>
      <c r="D172" s="12">
        <v>45526.615519664352</v>
      </c>
      <c r="E172" t="s" s="13">
        <v>806</v>
      </c>
      <c r="F172" s="16"/>
      <c r="G172" s="14">
        <v>1</v>
      </c>
      <c r="H172" s="15">
        <v>0</v>
      </c>
      <c r="I172" s="15">
        <v>0</v>
      </c>
    </row>
    <row r="173" ht="12.9" customHeight="1">
      <c r="B173" t="s" s="10">
        <v>813</v>
      </c>
      <c r="C173" t="s" s="11">
        <v>669</v>
      </c>
      <c r="D173" s="12">
        <v>45526.615519664352</v>
      </c>
      <c r="E173" t="s" s="13">
        <v>139</v>
      </c>
      <c r="F173" t="s" s="13">
        <v>140</v>
      </c>
      <c r="G173" s="14">
        <v>2</v>
      </c>
      <c r="H173" s="15">
        <v>49.99</v>
      </c>
      <c r="I173" s="15">
        <v>99.98</v>
      </c>
    </row>
    <row r="174" ht="12.9" customHeight="1">
      <c r="B174" t="s" s="10">
        <v>813</v>
      </c>
      <c r="C174" t="s" s="11">
        <v>669</v>
      </c>
      <c r="D174" s="12">
        <v>45526.615519664352</v>
      </c>
      <c r="E174" t="s" s="13">
        <v>35</v>
      </c>
      <c r="F174" t="s" s="13">
        <v>36</v>
      </c>
      <c r="G174" s="14">
        <v>3</v>
      </c>
      <c r="H174" s="15">
        <v>49.99</v>
      </c>
      <c r="I174" s="15">
        <v>149.97</v>
      </c>
    </row>
    <row r="175" ht="12.9" customHeight="1">
      <c r="B175" t="s" s="10">
        <v>813</v>
      </c>
      <c r="C175" t="s" s="11">
        <v>669</v>
      </c>
      <c r="D175" s="12">
        <v>45526.615519664352</v>
      </c>
      <c r="E175" t="s" s="13">
        <v>73</v>
      </c>
      <c r="F175" t="s" s="13">
        <v>74</v>
      </c>
      <c r="G175" s="14">
        <v>1</v>
      </c>
      <c r="H175" s="15">
        <v>399.99</v>
      </c>
      <c r="I175" s="15">
        <v>399.99</v>
      </c>
    </row>
    <row r="176" ht="12.9" customHeight="1">
      <c r="B176" t="s" s="10">
        <v>814</v>
      </c>
      <c r="C176" t="s" s="11">
        <v>815</v>
      </c>
      <c r="D176" s="12">
        <v>45526.596645578706</v>
      </c>
      <c r="E176" t="s" s="13">
        <v>806</v>
      </c>
      <c r="F176" s="16"/>
      <c r="G176" s="14">
        <v>1</v>
      </c>
      <c r="H176" s="15">
        <v>0</v>
      </c>
      <c r="I176" s="15">
        <v>0</v>
      </c>
    </row>
    <row r="177" ht="12.9" customHeight="1">
      <c r="B177" t="s" s="10">
        <v>814</v>
      </c>
      <c r="C177" t="s" s="11">
        <v>815</v>
      </c>
      <c r="D177" s="12">
        <v>45526.596645578706</v>
      </c>
      <c r="E177" t="s" s="13">
        <v>15</v>
      </c>
      <c r="F177" t="s" s="13">
        <v>16</v>
      </c>
      <c r="G177" s="14">
        <v>2</v>
      </c>
      <c r="H177" s="15">
        <v>9.99</v>
      </c>
      <c r="I177" s="15">
        <v>19.98</v>
      </c>
    </row>
    <row r="178" ht="12.9" customHeight="1">
      <c r="B178" t="s" s="10">
        <v>816</v>
      </c>
      <c r="C178" t="s" s="11">
        <v>815</v>
      </c>
      <c r="D178" s="12">
        <v>45526.563368692128</v>
      </c>
      <c r="E178" t="s" s="13">
        <v>806</v>
      </c>
      <c r="F178" s="16"/>
      <c r="G178" s="14">
        <v>1</v>
      </c>
      <c r="H178" s="15">
        <v>0</v>
      </c>
      <c r="I178" s="15">
        <v>0</v>
      </c>
    </row>
    <row r="179" ht="12.9" customHeight="1">
      <c r="B179" t="s" s="10">
        <v>816</v>
      </c>
      <c r="C179" t="s" s="11">
        <v>815</v>
      </c>
      <c r="D179" s="12">
        <v>45526.563368692128</v>
      </c>
      <c r="E179" t="s" s="13">
        <v>81</v>
      </c>
      <c r="F179" t="s" s="13">
        <v>82</v>
      </c>
      <c r="G179" s="14">
        <v>6</v>
      </c>
      <c r="H179" s="15">
        <v>849.99</v>
      </c>
      <c r="I179" s="15">
        <v>5099.94</v>
      </c>
    </row>
    <row r="180" ht="12.9" customHeight="1">
      <c r="B180" t="s" s="10">
        <v>816</v>
      </c>
      <c r="C180" t="s" s="11">
        <v>815</v>
      </c>
      <c r="D180" s="12">
        <v>45526.563368692128</v>
      </c>
      <c r="E180" t="s" s="13">
        <v>23</v>
      </c>
      <c r="F180" t="s" s="13">
        <v>24</v>
      </c>
      <c r="G180" s="14">
        <v>6</v>
      </c>
      <c r="H180" s="15">
        <v>0</v>
      </c>
      <c r="I180" s="15">
        <v>0</v>
      </c>
    </row>
    <row r="181" ht="12.9" customHeight="1">
      <c r="B181" t="s" s="10">
        <v>816</v>
      </c>
      <c r="C181" t="s" s="11">
        <v>815</v>
      </c>
      <c r="D181" s="12">
        <v>45526.563368692128</v>
      </c>
      <c r="E181" t="s" s="13">
        <v>50</v>
      </c>
      <c r="F181" t="s" s="13">
        <v>83</v>
      </c>
      <c r="G181" s="14">
        <v>6</v>
      </c>
      <c r="H181" s="15">
        <v>0</v>
      </c>
      <c r="I181" s="15">
        <v>0</v>
      </c>
    </row>
    <row r="182" ht="12.9" customHeight="1">
      <c r="B182" t="s" s="10">
        <v>816</v>
      </c>
      <c r="C182" t="s" s="11">
        <v>815</v>
      </c>
      <c r="D182" s="12">
        <v>45526.563368692128</v>
      </c>
      <c r="E182" t="s" s="13">
        <v>84</v>
      </c>
      <c r="F182" t="s" s="13">
        <v>85</v>
      </c>
      <c r="G182" s="14">
        <v>6</v>
      </c>
      <c r="H182" s="15">
        <v>0</v>
      </c>
      <c r="I182" s="15">
        <v>0</v>
      </c>
    </row>
    <row r="183" ht="12.9" customHeight="1">
      <c r="B183" t="s" s="10">
        <v>816</v>
      </c>
      <c r="C183" t="s" s="11">
        <v>815</v>
      </c>
      <c r="D183" s="12">
        <v>45526.563368692128</v>
      </c>
      <c r="E183" t="s" s="13">
        <v>143</v>
      </c>
      <c r="F183" t="s" s="13">
        <v>144</v>
      </c>
      <c r="G183" s="14">
        <v>1</v>
      </c>
      <c r="H183" s="15">
        <v>3199.99</v>
      </c>
      <c r="I183" s="15">
        <v>3199.99</v>
      </c>
    </row>
    <row r="184" ht="12.9" customHeight="1">
      <c r="B184" t="s" s="10">
        <v>817</v>
      </c>
      <c r="C184" t="s" s="11">
        <v>818</v>
      </c>
      <c r="D184" s="12">
        <v>45526.344140277775</v>
      </c>
      <c r="E184" t="s" s="13">
        <v>806</v>
      </c>
      <c r="F184" s="16"/>
      <c r="G184" s="14">
        <v>1</v>
      </c>
      <c r="H184" s="15">
        <v>0</v>
      </c>
      <c r="I184" s="15">
        <v>0</v>
      </c>
    </row>
    <row r="185" ht="12.9" customHeight="1">
      <c r="B185" t="s" s="10">
        <v>817</v>
      </c>
      <c r="C185" t="s" s="11">
        <v>818</v>
      </c>
      <c r="D185" s="12">
        <v>45526.344140277775</v>
      </c>
      <c r="E185" t="s" s="13">
        <v>171</v>
      </c>
      <c r="F185" t="s" s="13">
        <v>172</v>
      </c>
      <c r="G185" s="14">
        <v>1</v>
      </c>
      <c r="H185" s="15">
        <v>549.99</v>
      </c>
      <c r="I185" s="15">
        <v>549.99</v>
      </c>
    </row>
    <row r="186" ht="12.9" customHeight="1">
      <c r="B186" t="s" s="10">
        <v>819</v>
      </c>
      <c r="C186" t="s" s="11">
        <v>432</v>
      </c>
      <c r="D186" s="12">
        <v>45526.256694861113</v>
      </c>
      <c r="E186" t="s" s="13">
        <v>806</v>
      </c>
      <c r="F186" s="16"/>
      <c r="G186" s="14">
        <v>1</v>
      </c>
      <c r="H186" s="15">
        <v>0</v>
      </c>
      <c r="I186" s="15">
        <v>0</v>
      </c>
    </row>
    <row r="187" ht="12.9" customHeight="1">
      <c r="B187" t="s" s="10">
        <v>819</v>
      </c>
      <c r="C187" t="s" s="11">
        <v>432</v>
      </c>
      <c r="D187" s="12">
        <v>45526.256694861113</v>
      </c>
      <c r="E187" t="s" s="13">
        <v>11</v>
      </c>
      <c r="F187" t="s" s="13">
        <v>12</v>
      </c>
      <c r="G187" s="14">
        <v>1</v>
      </c>
      <c r="H187" s="15">
        <v>399.99</v>
      </c>
      <c r="I187" s="15">
        <v>399.99</v>
      </c>
    </row>
    <row r="188" ht="12.9" customHeight="1">
      <c r="B188" t="s" s="10">
        <v>820</v>
      </c>
      <c r="C188" t="s" s="11">
        <v>721</v>
      </c>
      <c r="D188" s="12">
        <v>45526</v>
      </c>
      <c r="E188" t="s" s="13">
        <v>821</v>
      </c>
      <c r="F188" t="s" s="13">
        <v>822</v>
      </c>
      <c r="G188" s="14">
        <v>6</v>
      </c>
      <c r="H188" s="15">
        <v>1874.9925</v>
      </c>
      <c r="I188" s="15">
        <v>11249.955</v>
      </c>
    </row>
    <row r="189" ht="12.9" customHeight="1">
      <c r="B189" t="s" s="10">
        <v>820</v>
      </c>
      <c r="C189" t="s" s="11">
        <v>721</v>
      </c>
      <c r="D189" s="12">
        <v>45526</v>
      </c>
      <c r="E189" t="s" s="13">
        <v>50</v>
      </c>
      <c r="F189" t="s" s="13">
        <v>51</v>
      </c>
      <c r="G189" s="14">
        <v>6</v>
      </c>
      <c r="H189" s="15">
        <v>0</v>
      </c>
      <c r="I189" s="15">
        <v>0</v>
      </c>
    </row>
    <row r="190" ht="12.9" customHeight="1">
      <c r="B190" t="s" s="10">
        <v>820</v>
      </c>
      <c r="C190" t="s" s="11">
        <v>721</v>
      </c>
      <c r="D190" s="12">
        <v>45526</v>
      </c>
      <c r="E190" t="s" s="13">
        <v>462</v>
      </c>
      <c r="F190" t="s" s="13">
        <v>823</v>
      </c>
      <c r="G190" s="14">
        <v>24</v>
      </c>
      <c r="H190" s="15">
        <v>37.5</v>
      </c>
      <c r="I190" s="15">
        <v>900</v>
      </c>
    </row>
    <row r="191" ht="12.9" customHeight="1">
      <c r="B191" t="s" s="10">
        <v>820</v>
      </c>
      <c r="C191" t="s" s="11">
        <v>721</v>
      </c>
      <c r="D191" s="12">
        <v>45526</v>
      </c>
      <c r="E191" t="s" s="13">
        <v>179</v>
      </c>
      <c r="F191" t="s" s="13">
        <v>180</v>
      </c>
      <c r="G191" s="14">
        <v>24</v>
      </c>
      <c r="H191" s="15">
        <v>37.4925</v>
      </c>
      <c r="I191" s="15">
        <v>899.8200000000001</v>
      </c>
    </row>
    <row r="192" ht="12.9" customHeight="1">
      <c r="B192" t="s" s="10">
        <v>820</v>
      </c>
      <c r="C192" t="s" s="11">
        <v>721</v>
      </c>
      <c r="D192" s="12">
        <v>45526</v>
      </c>
      <c r="E192" t="s" s="13">
        <v>489</v>
      </c>
      <c r="F192" t="s" s="13">
        <v>490</v>
      </c>
      <c r="G192" s="14">
        <v>2</v>
      </c>
      <c r="H192" s="15">
        <v>1199.9925</v>
      </c>
      <c r="I192" s="15">
        <v>2399.985</v>
      </c>
    </row>
    <row r="193" ht="12.9" customHeight="1">
      <c r="B193" t="s" s="10">
        <v>820</v>
      </c>
      <c r="C193" t="s" s="11">
        <v>721</v>
      </c>
      <c r="D193" s="12">
        <v>45526</v>
      </c>
      <c r="E193" t="s" s="13">
        <v>824</v>
      </c>
      <c r="F193" t="s" s="13">
        <v>825</v>
      </c>
      <c r="G193" s="14">
        <v>2</v>
      </c>
      <c r="H193" s="15">
        <v>0</v>
      </c>
      <c r="I193" s="15">
        <v>0</v>
      </c>
    </row>
    <row r="194" ht="12.9" customHeight="1">
      <c r="B194" t="s" s="10">
        <v>820</v>
      </c>
      <c r="C194" t="s" s="11">
        <v>721</v>
      </c>
      <c r="D194" s="12">
        <v>45526</v>
      </c>
      <c r="E194" t="s" s="13">
        <v>493</v>
      </c>
      <c r="F194" t="s" s="13">
        <v>494</v>
      </c>
      <c r="G194" s="14">
        <v>2</v>
      </c>
      <c r="H194" s="15">
        <v>0</v>
      </c>
      <c r="I194" s="15">
        <v>0</v>
      </c>
    </row>
    <row r="195" ht="12.9" customHeight="1">
      <c r="B195" t="s" s="10">
        <v>826</v>
      </c>
      <c r="C195" t="s" s="11">
        <v>827</v>
      </c>
      <c r="D195" s="12">
        <v>45526</v>
      </c>
      <c r="E195" t="s" s="13">
        <v>47</v>
      </c>
      <c r="F195" s="16"/>
      <c r="G195" s="14">
        <v>1</v>
      </c>
      <c r="H195" s="15">
        <v>225</v>
      </c>
      <c r="I195" s="15">
        <v>225</v>
      </c>
    </row>
    <row r="196" ht="12.9" customHeight="1">
      <c r="B196" t="s" s="10">
        <v>826</v>
      </c>
      <c r="C196" t="s" s="11">
        <v>827</v>
      </c>
      <c r="D196" s="12">
        <v>45526</v>
      </c>
      <c r="E196" t="s" s="13">
        <v>81</v>
      </c>
      <c r="F196" t="s" s="13">
        <v>82</v>
      </c>
      <c r="G196" s="14">
        <v>4</v>
      </c>
      <c r="H196" s="15">
        <v>849.99</v>
      </c>
      <c r="I196" s="15">
        <v>3399.96</v>
      </c>
    </row>
    <row r="197" ht="12.9" customHeight="1">
      <c r="B197" t="s" s="10">
        <v>826</v>
      </c>
      <c r="C197" t="s" s="11">
        <v>827</v>
      </c>
      <c r="D197" s="12">
        <v>45526</v>
      </c>
      <c r="E197" t="s" s="13">
        <v>470</v>
      </c>
      <c r="F197" t="s" s="13">
        <v>828</v>
      </c>
      <c r="G197" s="14">
        <v>4</v>
      </c>
      <c r="H197" s="15">
        <v>100</v>
      </c>
      <c r="I197" s="15">
        <v>400</v>
      </c>
    </row>
    <row r="198" ht="12.9" customHeight="1">
      <c r="B198" t="s" s="10">
        <v>826</v>
      </c>
      <c r="C198" t="s" s="11">
        <v>827</v>
      </c>
      <c r="D198" s="12">
        <v>45526</v>
      </c>
      <c r="E198" t="s" s="13">
        <v>660</v>
      </c>
      <c r="F198" t="s" s="13">
        <v>661</v>
      </c>
      <c r="G198" s="14">
        <v>4</v>
      </c>
      <c r="H198" s="15">
        <v>5.99</v>
      </c>
      <c r="I198" s="15">
        <v>23.96</v>
      </c>
    </row>
    <row r="199" ht="12.9" customHeight="1">
      <c r="B199" t="s" s="10">
        <v>826</v>
      </c>
      <c r="C199" t="s" s="11">
        <v>827</v>
      </c>
      <c r="D199" s="12">
        <v>45526</v>
      </c>
      <c r="E199" t="s" s="13">
        <v>50</v>
      </c>
      <c r="F199" t="s" s="13">
        <v>83</v>
      </c>
      <c r="G199" s="14">
        <v>4</v>
      </c>
      <c r="H199" s="15">
        <v>0</v>
      </c>
      <c r="I199" s="15">
        <v>0</v>
      </c>
    </row>
    <row r="200" ht="12.9" customHeight="1">
      <c r="B200" t="s" s="10">
        <v>826</v>
      </c>
      <c r="C200" t="s" s="11">
        <v>827</v>
      </c>
      <c r="D200" s="12">
        <v>45526</v>
      </c>
      <c r="E200" t="s" s="13">
        <v>84</v>
      </c>
      <c r="F200" t="s" s="13">
        <v>829</v>
      </c>
      <c r="G200" s="14">
        <v>4</v>
      </c>
      <c r="H200" s="15">
        <v>0</v>
      </c>
      <c r="I200" s="15">
        <v>0</v>
      </c>
    </row>
    <row r="201" ht="12.9" customHeight="1">
      <c r="B201" t="s" s="10">
        <v>830</v>
      </c>
      <c r="C201" t="s" s="11">
        <v>831</v>
      </c>
      <c r="D201" s="12">
        <v>45526</v>
      </c>
      <c r="E201" t="s" s="13">
        <v>806</v>
      </c>
      <c r="F201" s="16"/>
      <c r="G201" s="14">
        <v>1</v>
      </c>
      <c r="H201" s="15">
        <v>0</v>
      </c>
      <c r="I201" s="15">
        <v>0</v>
      </c>
    </row>
    <row r="202" ht="12.9" customHeight="1">
      <c r="B202" t="s" s="10">
        <v>830</v>
      </c>
      <c r="C202" t="s" s="11">
        <v>831</v>
      </c>
      <c r="D202" s="12">
        <v>45526</v>
      </c>
      <c r="E202" t="s" s="13">
        <v>832</v>
      </c>
      <c r="F202" t="s" s="13">
        <v>833</v>
      </c>
      <c r="G202" s="14">
        <v>1</v>
      </c>
      <c r="H202" s="15">
        <v>0</v>
      </c>
      <c r="I202" s="15">
        <v>0</v>
      </c>
    </row>
    <row r="203" ht="12.9" customHeight="1">
      <c r="B203" t="s" s="10">
        <v>830</v>
      </c>
      <c r="C203" t="s" s="11">
        <v>831</v>
      </c>
      <c r="D203" s="12">
        <v>45526</v>
      </c>
      <c r="E203" t="s" s="13">
        <v>834</v>
      </c>
      <c r="F203" t="s" s="13">
        <v>834</v>
      </c>
      <c r="G203" s="14">
        <v>1</v>
      </c>
      <c r="H203" s="15">
        <v>0</v>
      </c>
      <c r="I203" s="15">
        <v>0</v>
      </c>
    </row>
    <row r="204" ht="12.9" customHeight="1">
      <c r="B204" t="s" s="10">
        <v>835</v>
      </c>
      <c r="C204" t="s" s="11">
        <v>636</v>
      </c>
      <c r="D204" s="12">
        <v>45526</v>
      </c>
      <c r="E204" t="s" s="13">
        <v>47</v>
      </c>
      <c r="F204" s="16"/>
      <c r="G204" s="14">
        <v>1</v>
      </c>
      <c r="H204" s="15">
        <v>195.8</v>
      </c>
      <c r="I204" s="15">
        <v>195.8</v>
      </c>
    </row>
    <row r="205" ht="12.9" customHeight="1">
      <c r="B205" t="s" s="10">
        <v>835</v>
      </c>
      <c r="C205" t="s" s="11">
        <v>636</v>
      </c>
      <c r="D205" s="12">
        <v>45526</v>
      </c>
      <c r="E205" t="s" s="13">
        <v>468</v>
      </c>
      <c r="F205" t="s" s="13">
        <v>469</v>
      </c>
      <c r="G205" s="14">
        <v>6</v>
      </c>
      <c r="H205" s="15">
        <v>1874.9925</v>
      </c>
      <c r="I205" s="15">
        <v>11249.955</v>
      </c>
    </row>
    <row r="206" ht="12.9" customHeight="1">
      <c r="B206" t="s" s="10">
        <v>835</v>
      </c>
      <c r="C206" t="s" s="11">
        <v>636</v>
      </c>
      <c r="D206" s="12">
        <v>45526</v>
      </c>
      <c r="E206" t="s" s="13">
        <v>50</v>
      </c>
      <c r="F206" t="s" s="13">
        <v>51</v>
      </c>
      <c r="G206" s="14">
        <v>6</v>
      </c>
      <c r="H206" s="15">
        <v>0</v>
      </c>
      <c r="I206" s="15">
        <v>0</v>
      </c>
    </row>
    <row r="207" ht="12.9" customHeight="1">
      <c r="B207" t="s" s="10">
        <v>835</v>
      </c>
      <c r="C207" t="s" s="11">
        <v>636</v>
      </c>
      <c r="D207" s="12">
        <v>45526</v>
      </c>
      <c r="E207" t="s" s="13">
        <v>23</v>
      </c>
      <c r="F207" t="s" s="13">
        <v>56</v>
      </c>
      <c r="G207" s="14">
        <v>24</v>
      </c>
      <c r="H207" s="15">
        <v>0</v>
      </c>
      <c r="I207" s="15">
        <v>0</v>
      </c>
    </row>
    <row r="208" ht="12.9" customHeight="1">
      <c r="B208" t="s" s="10">
        <v>835</v>
      </c>
      <c r="C208" t="s" s="11">
        <v>636</v>
      </c>
      <c r="D208" s="12">
        <v>45526</v>
      </c>
      <c r="E208" t="s" s="13">
        <v>54</v>
      </c>
      <c r="F208" t="s" s="13">
        <v>55</v>
      </c>
      <c r="G208" s="14">
        <v>24</v>
      </c>
      <c r="H208" s="15">
        <v>0</v>
      </c>
      <c r="I208" s="15">
        <v>0</v>
      </c>
    </row>
    <row r="209" ht="12.9" customHeight="1">
      <c r="B209" t="s" s="10">
        <v>835</v>
      </c>
      <c r="C209" t="s" s="11">
        <v>636</v>
      </c>
      <c r="D209" s="12">
        <v>45526</v>
      </c>
      <c r="E209" t="s" s="13">
        <v>73</v>
      </c>
      <c r="F209" t="s" s="13">
        <v>74</v>
      </c>
      <c r="G209" s="14">
        <v>2</v>
      </c>
      <c r="H209" s="15">
        <v>299.9925</v>
      </c>
      <c r="I209" s="15">
        <v>599.985</v>
      </c>
    </row>
    <row r="210" ht="12.9" customHeight="1">
      <c r="B210" t="s" s="10">
        <v>836</v>
      </c>
      <c r="C210" t="s" s="11">
        <v>812</v>
      </c>
      <c r="D210" s="12">
        <v>45525.966960150465</v>
      </c>
      <c r="E210" t="s" s="13">
        <v>225</v>
      </c>
      <c r="F210" t="s" s="13">
        <v>226</v>
      </c>
      <c r="G210" s="14">
        <v>2</v>
      </c>
      <c r="H210" s="15">
        <v>499.99</v>
      </c>
      <c r="I210" s="15">
        <v>999.98</v>
      </c>
    </row>
    <row r="211" ht="12.9" customHeight="1">
      <c r="B211" t="s" s="10">
        <v>836</v>
      </c>
      <c r="C211" t="s" s="11">
        <v>812</v>
      </c>
      <c r="D211" s="12">
        <v>45525.966960150465</v>
      </c>
      <c r="E211" t="s" s="13">
        <v>227</v>
      </c>
      <c r="F211" t="s" s="13">
        <v>228</v>
      </c>
      <c r="G211" s="14">
        <v>2</v>
      </c>
      <c r="H211" s="15">
        <v>0</v>
      </c>
      <c r="I211" s="15">
        <v>0</v>
      </c>
    </row>
    <row r="212" ht="12.9" customHeight="1">
      <c r="B212" t="s" s="10">
        <v>836</v>
      </c>
      <c r="C212" t="s" s="11">
        <v>812</v>
      </c>
      <c r="D212" s="12">
        <v>45525.966960150465</v>
      </c>
      <c r="E212" t="s" s="13">
        <v>95</v>
      </c>
      <c r="F212" t="s" s="13">
        <v>12</v>
      </c>
      <c r="G212" s="14">
        <v>1</v>
      </c>
      <c r="H212" s="15">
        <v>349.99</v>
      </c>
      <c r="I212" s="15">
        <v>349.99</v>
      </c>
    </row>
    <row r="213" ht="12.9" customHeight="1">
      <c r="B213" t="s" s="10">
        <v>837</v>
      </c>
      <c r="C213" t="s" s="11">
        <v>838</v>
      </c>
      <c r="D213" s="12">
        <v>45525.855787326385</v>
      </c>
      <c r="E213" t="s" s="13">
        <v>31</v>
      </c>
      <c r="F213" t="s" s="13">
        <v>32</v>
      </c>
      <c r="G213" s="14">
        <v>1</v>
      </c>
      <c r="H213" s="15">
        <v>599.99</v>
      </c>
      <c r="I213" s="15">
        <v>599.99</v>
      </c>
    </row>
    <row r="214" ht="12.9" customHeight="1">
      <c r="B214" t="s" s="10">
        <v>837</v>
      </c>
      <c r="C214" t="s" s="11">
        <v>838</v>
      </c>
      <c r="D214" s="12">
        <v>45525.855787326385</v>
      </c>
      <c r="E214" t="s" s="13">
        <v>23</v>
      </c>
      <c r="F214" t="s" s="13">
        <v>24</v>
      </c>
      <c r="G214" s="14">
        <v>1</v>
      </c>
      <c r="H214" s="15">
        <v>149.99</v>
      </c>
      <c r="I214" s="15">
        <v>149.99</v>
      </c>
    </row>
    <row r="215" ht="12.9" customHeight="1">
      <c r="B215" t="s" s="10">
        <v>839</v>
      </c>
      <c r="C215" t="s" s="11">
        <v>840</v>
      </c>
      <c r="D215" s="12">
        <v>45525.838838078707</v>
      </c>
      <c r="E215" t="s" s="13">
        <v>57</v>
      </c>
      <c r="F215" t="s" s="13">
        <v>58</v>
      </c>
      <c r="G215" s="14">
        <v>4</v>
      </c>
      <c r="H215" s="15">
        <v>799.99</v>
      </c>
      <c r="I215" s="15">
        <v>3199.96</v>
      </c>
    </row>
    <row r="216" ht="12.9" customHeight="1">
      <c r="B216" t="s" s="10">
        <v>841</v>
      </c>
      <c r="C216" t="s" s="11">
        <v>842</v>
      </c>
      <c r="D216" s="12">
        <v>45525.779838148148</v>
      </c>
      <c r="E216" t="s" s="13">
        <v>50</v>
      </c>
      <c r="F216" t="s" s="13">
        <v>83</v>
      </c>
      <c r="G216" s="14">
        <v>1</v>
      </c>
      <c r="H216" s="15">
        <v>29.99</v>
      </c>
      <c r="I216" s="15">
        <v>29.99</v>
      </c>
    </row>
    <row r="217" ht="12.9" customHeight="1">
      <c r="B217" t="s" s="10">
        <v>843</v>
      </c>
      <c r="C217" t="s" s="11">
        <v>844</v>
      </c>
      <c r="D217" s="12">
        <v>45525.758044444447</v>
      </c>
      <c r="E217" t="s" s="13">
        <v>133</v>
      </c>
      <c r="F217" t="s" s="13">
        <v>134</v>
      </c>
      <c r="G217" s="14">
        <v>2</v>
      </c>
      <c r="H217" s="15">
        <v>199.99</v>
      </c>
      <c r="I217" s="15">
        <v>399.98</v>
      </c>
    </row>
    <row r="218" ht="12.9" customHeight="1">
      <c r="B218" t="s" s="10">
        <v>845</v>
      </c>
      <c r="C218" t="s" s="11">
        <v>846</v>
      </c>
      <c r="D218" s="12">
        <v>45525.702353182867</v>
      </c>
      <c r="E218" t="s" s="13">
        <v>77</v>
      </c>
      <c r="F218" t="s" s="13">
        <v>78</v>
      </c>
      <c r="G218" s="14">
        <v>10</v>
      </c>
      <c r="H218" s="15">
        <v>19.99</v>
      </c>
      <c r="I218" s="15">
        <v>199.9</v>
      </c>
    </row>
    <row r="219" ht="12.9" customHeight="1">
      <c r="B219" t="s" s="10">
        <v>845</v>
      </c>
      <c r="C219" t="s" s="11">
        <v>846</v>
      </c>
      <c r="D219" s="12">
        <v>45525.702353182867</v>
      </c>
      <c r="E219" t="s" s="13">
        <v>359</v>
      </c>
      <c r="F219" t="s" s="13">
        <v>360</v>
      </c>
      <c r="G219" s="14">
        <v>17</v>
      </c>
      <c r="H219" s="15">
        <v>29.99</v>
      </c>
      <c r="I219" s="15">
        <v>509.83</v>
      </c>
    </row>
    <row r="220" ht="12.9" customHeight="1">
      <c r="B220" t="s" s="10">
        <v>845</v>
      </c>
      <c r="C220" t="s" s="11">
        <v>846</v>
      </c>
      <c r="D220" s="12">
        <v>45525.702353182867</v>
      </c>
      <c r="E220" t="s" s="13">
        <v>119</v>
      </c>
      <c r="F220" t="s" s="13">
        <v>120</v>
      </c>
      <c r="G220" s="14">
        <v>20</v>
      </c>
      <c r="H220" s="15">
        <v>1.99</v>
      </c>
      <c r="I220" s="15">
        <v>39.8</v>
      </c>
    </row>
    <row r="221" ht="12.9" customHeight="1">
      <c r="B221" t="s" s="10">
        <v>845</v>
      </c>
      <c r="C221" t="s" s="11">
        <v>846</v>
      </c>
      <c r="D221" s="12">
        <v>45525.702353182867</v>
      </c>
      <c r="E221" t="s" s="13">
        <v>89</v>
      </c>
      <c r="F221" t="s" s="13">
        <v>90</v>
      </c>
      <c r="G221" s="14">
        <v>2</v>
      </c>
      <c r="H221" s="15">
        <v>59.99</v>
      </c>
      <c r="I221" s="15">
        <v>119.98</v>
      </c>
    </row>
    <row r="222" ht="12.9" customHeight="1">
      <c r="B222" t="s" s="10">
        <v>847</v>
      </c>
      <c r="C222" t="s" s="11">
        <v>848</v>
      </c>
      <c r="D222" s="12">
        <v>45525.662331909720</v>
      </c>
      <c r="E222" t="s" s="13">
        <v>89</v>
      </c>
      <c r="F222" t="s" s="13">
        <v>90</v>
      </c>
      <c r="G222" s="14">
        <v>2</v>
      </c>
      <c r="H222" s="15">
        <v>59.99</v>
      </c>
      <c r="I222" s="15">
        <v>119.98</v>
      </c>
    </row>
    <row r="223" ht="12.9" customHeight="1">
      <c r="B223" t="s" s="10">
        <v>849</v>
      </c>
      <c r="C223" t="s" s="11">
        <v>850</v>
      </c>
      <c r="D223" s="12">
        <v>45525.616577152781</v>
      </c>
      <c r="E223" t="s" s="13">
        <v>11</v>
      </c>
      <c r="F223" t="s" s="13">
        <v>12</v>
      </c>
      <c r="G223" s="14">
        <v>1</v>
      </c>
      <c r="H223" s="15">
        <v>399.99</v>
      </c>
      <c r="I223" s="15">
        <v>399.99</v>
      </c>
    </row>
    <row r="224" ht="12.9" customHeight="1">
      <c r="B224" t="s" s="10">
        <v>851</v>
      </c>
      <c r="C224" t="s" s="11">
        <v>852</v>
      </c>
      <c r="D224" s="12">
        <v>45525.587766087963</v>
      </c>
      <c r="E224" t="s" s="13">
        <v>73</v>
      </c>
      <c r="F224" t="s" s="13">
        <v>74</v>
      </c>
      <c r="G224" s="14">
        <v>1</v>
      </c>
      <c r="H224" s="15">
        <v>399.99</v>
      </c>
      <c r="I224" s="15">
        <v>399.99</v>
      </c>
    </row>
    <row r="225" ht="12.9" customHeight="1">
      <c r="B225" t="s" s="10">
        <v>853</v>
      </c>
      <c r="C225" t="s" s="11">
        <v>854</v>
      </c>
      <c r="D225" s="12">
        <v>45525.5760700463</v>
      </c>
      <c r="E225" t="s" s="13">
        <v>11</v>
      </c>
      <c r="F225" t="s" s="13">
        <v>12</v>
      </c>
      <c r="G225" s="14">
        <v>1</v>
      </c>
      <c r="H225" s="15">
        <v>399.99</v>
      </c>
      <c r="I225" s="15">
        <v>399.99</v>
      </c>
    </row>
    <row r="226" ht="12.9" customHeight="1">
      <c r="B226" t="s" s="10">
        <v>855</v>
      </c>
      <c r="C226" t="s" s="11">
        <v>856</v>
      </c>
      <c r="D226" s="12">
        <v>45525.535371979167</v>
      </c>
      <c r="E226" t="s" s="13">
        <v>95</v>
      </c>
      <c r="F226" t="s" s="13">
        <v>12</v>
      </c>
      <c r="G226" s="14">
        <v>1</v>
      </c>
      <c r="H226" s="15">
        <v>349.99</v>
      </c>
      <c r="I226" s="15">
        <v>349.99</v>
      </c>
    </row>
    <row r="227" ht="12.9" customHeight="1">
      <c r="B227" t="s" s="10">
        <v>855</v>
      </c>
      <c r="C227" t="s" s="11">
        <v>856</v>
      </c>
      <c r="D227" s="12">
        <v>45525.535371979167</v>
      </c>
      <c r="E227" t="s" s="13">
        <v>15</v>
      </c>
      <c r="F227" t="s" s="13">
        <v>16</v>
      </c>
      <c r="G227" s="14">
        <v>1</v>
      </c>
      <c r="H227" s="15">
        <v>9.99</v>
      </c>
      <c r="I227" s="15">
        <v>9.99</v>
      </c>
    </row>
    <row r="228" ht="12.9" customHeight="1">
      <c r="B228" t="s" s="10">
        <v>857</v>
      </c>
      <c r="C228" t="s" s="11">
        <v>858</v>
      </c>
      <c r="D228" s="12">
        <v>45525.017542372683</v>
      </c>
      <c r="E228" t="s" s="13">
        <v>54</v>
      </c>
      <c r="F228" t="s" s="13">
        <v>93</v>
      </c>
      <c r="G228" s="14">
        <v>1</v>
      </c>
      <c r="H228" s="15">
        <v>9.99</v>
      </c>
      <c r="I228" s="15">
        <v>9.99</v>
      </c>
    </row>
    <row r="229" ht="12.9" customHeight="1">
      <c r="B229" t="s" s="10">
        <v>857</v>
      </c>
      <c r="C229" t="s" s="11">
        <v>858</v>
      </c>
      <c r="D229" s="12">
        <v>45525.017542372683</v>
      </c>
      <c r="E229" t="s" s="13">
        <v>15</v>
      </c>
      <c r="F229" t="s" s="13">
        <v>16</v>
      </c>
      <c r="G229" s="14">
        <v>1</v>
      </c>
      <c r="H229" s="15">
        <v>9.99</v>
      </c>
      <c r="I229" s="15">
        <v>9.99</v>
      </c>
    </row>
    <row r="230" ht="12.9" customHeight="1">
      <c r="B230" t="s" s="10">
        <v>859</v>
      </c>
      <c r="C230" t="s" s="11">
        <v>860</v>
      </c>
      <c r="D230" s="12">
        <v>45525</v>
      </c>
      <c r="E230" t="s" s="13">
        <v>861</v>
      </c>
      <c r="F230" s="16"/>
      <c r="G230" s="14">
        <v>1</v>
      </c>
      <c r="H230" s="15">
        <v>105</v>
      </c>
      <c r="I230" s="15">
        <v>105</v>
      </c>
    </row>
    <row r="231" ht="12.9" customHeight="1">
      <c r="B231" t="s" s="10">
        <v>859</v>
      </c>
      <c r="C231" t="s" s="11">
        <v>860</v>
      </c>
      <c r="D231" s="12">
        <v>45525</v>
      </c>
      <c r="E231" t="s" s="13">
        <v>31</v>
      </c>
      <c r="F231" t="s" s="13">
        <v>32</v>
      </c>
      <c r="G231" s="14">
        <v>2</v>
      </c>
      <c r="H231" s="15">
        <v>599.99</v>
      </c>
      <c r="I231" s="15">
        <v>1199.98</v>
      </c>
    </row>
    <row r="232" ht="12.9" customHeight="1">
      <c r="B232" t="s" s="10">
        <v>862</v>
      </c>
      <c r="C232" t="s" s="11">
        <v>863</v>
      </c>
      <c r="D232" s="12">
        <v>45524.811818831018</v>
      </c>
      <c r="E232" t="s" s="13">
        <v>95</v>
      </c>
      <c r="F232" t="s" s="13">
        <v>12</v>
      </c>
      <c r="G232" s="14">
        <v>1</v>
      </c>
      <c r="H232" s="15">
        <v>349.99</v>
      </c>
      <c r="I232" s="15">
        <v>349.99</v>
      </c>
    </row>
    <row r="233" ht="12.9" customHeight="1">
      <c r="B233" t="s" s="10">
        <v>864</v>
      </c>
      <c r="C233" t="s" s="11">
        <v>865</v>
      </c>
      <c r="D233" s="12">
        <v>45524.775373425924</v>
      </c>
      <c r="E233" t="s" s="13">
        <v>171</v>
      </c>
      <c r="F233" t="s" s="13">
        <v>172</v>
      </c>
      <c r="G233" s="14">
        <v>1</v>
      </c>
      <c r="H233" s="15">
        <v>549.99</v>
      </c>
      <c r="I233" s="15">
        <v>549.99</v>
      </c>
    </row>
    <row r="234" ht="12.9" customHeight="1">
      <c r="B234" t="s" s="10">
        <v>866</v>
      </c>
      <c r="C234" t="s" s="11">
        <v>867</v>
      </c>
      <c r="D234" s="12">
        <v>45524.736103472220</v>
      </c>
      <c r="E234" t="s" s="13">
        <v>35</v>
      </c>
      <c r="F234" t="s" s="13">
        <v>36</v>
      </c>
      <c r="G234" s="14">
        <v>2</v>
      </c>
      <c r="H234" s="15">
        <v>49.99</v>
      </c>
      <c r="I234" s="15">
        <v>99.98</v>
      </c>
    </row>
    <row r="235" ht="12.9" customHeight="1">
      <c r="B235" t="s" s="10">
        <v>868</v>
      </c>
      <c r="C235" t="s" s="11">
        <v>869</v>
      </c>
      <c r="D235" s="12">
        <v>45524.720429710651</v>
      </c>
      <c r="E235" t="s" s="13">
        <v>50</v>
      </c>
      <c r="F235" t="s" s="13">
        <v>83</v>
      </c>
      <c r="G235" s="14">
        <v>1</v>
      </c>
      <c r="H235" s="15">
        <v>29.99</v>
      </c>
      <c r="I235" s="15">
        <v>29.99</v>
      </c>
    </row>
    <row r="236" ht="12.9" customHeight="1">
      <c r="B236" t="s" s="10">
        <v>870</v>
      </c>
      <c r="C236" t="s" s="11">
        <v>871</v>
      </c>
      <c r="D236" s="12">
        <v>45524.671940752312</v>
      </c>
      <c r="E236" t="s" s="13">
        <v>35</v>
      </c>
      <c r="F236" t="s" s="13">
        <v>36</v>
      </c>
      <c r="G236" s="14">
        <v>2</v>
      </c>
      <c r="H236" s="15">
        <v>49.99</v>
      </c>
      <c r="I236" s="15">
        <v>99.98</v>
      </c>
    </row>
    <row r="237" ht="12.9" customHeight="1">
      <c r="B237" t="s" s="10">
        <v>872</v>
      </c>
      <c r="C237" t="s" s="11">
        <v>873</v>
      </c>
      <c r="D237" s="12">
        <v>45524.610061678242</v>
      </c>
      <c r="E237" t="s" s="13">
        <v>54</v>
      </c>
      <c r="F237" t="s" s="13">
        <v>93</v>
      </c>
      <c r="G237" s="14">
        <v>1</v>
      </c>
      <c r="H237" s="15">
        <v>9.99</v>
      </c>
      <c r="I237" s="15">
        <v>9.99</v>
      </c>
    </row>
    <row r="238" ht="12.9" customHeight="1">
      <c r="B238" t="s" s="10">
        <v>872</v>
      </c>
      <c r="C238" t="s" s="11">
        <v>873</v>
      </c>
      <c r="D238" s="12">
        <v>45524.610061678242</v>
      </c>
      <c r="E238" t="s" s="13">
        <v>239</v>
      </c>
      <c r="F238" t="s" s="13">
        <v>240</v>
      </c>
      <c r="G238" s="14">
        <v>1</v>
      </c>
      <c r="H238" s="15">
        <v>99.98999999999999</v>
      </c>
      <c r="I238" s="15">
        <v>99.98999999999999</v>
      </c>
    </row>
    <row r="239" ht="12.9" customHeight="1">
      <c r="B239" t="s" s="10">
        <v>874</v>
      </c>
      <c r="C239" t="s" s="11">
        <v>875</v>
      </c>
      <c r="D239" s="12">
        <v>45524.217910277781</v>
      </c>
      <c r="E239" t="s" s="13">
        <v>27</v>
      </c>
      <c r="F239" t="s" s="13">
        <v>28</v>
      </c>
      <c r="G239" s="14">
        <v>1</v>
      </c>
      <c r="H239" s="15">
        <v>79.98999999999999</v>
      </c>
      <c r="I239" s="15">
        <v>79.98999999999999</v>
      </c>
    </row>
    <row r="240" ht="12.9" customHeight="1">
      <c r="B240" t="s" s="10">
        <v>876</v>
      </c>
      <c r="C240" t="s" s="11">
        <v>877</v>
      </c>
      <c r="D240" s="12">
        <v>45524.092054247689</v>
      </c>
      <c r="E240" t="s" s="13">
        <v>179</v>
      </c>
      <c r="F240" t="s" s="13">
        <v>180</v>
      </c>
      <c r="G240" s="14">
        <v>2</v>
      </c>
      <c r="H240" s="15">
        <v>49.99</v>
      </c>
      <c r="I240" s="15">
        <v>99.98</v>
      </c>
    </row>
    <row r="241" ht="12.9" customHeight="1">
      <c r="B241" t="s" s="10">
        <v>876</v>
      </c>
      <c r="C241" t="s" s="11">
        <v>877</v>
      </c>
      <c r="D241" s="12">
        <v>45524.092054247689</v>
      </c>
      <c r="E241" t="s" s="13">
        <v>470</v>
      </c>
      <c r="F241" t="s" s="13">
        <v>517</v>
      </c>
      <c r="G241" s="14">
        <v>2</v>
      </c>
      <c r="H241" s="15">
        <v>249.99</v>
      </c>
      <c r="I241" s="15">
        <v>499.98</v>
      </c>
    </row>
    <row r="242" ht="12.9" customHeight="1">
      <c r="B242" t="s" s="10">
        <v>878</v>
      </c>
      <c r="C242" t="s" s="11">
        <v>879</v>
      </c>
      <c r="D242" s="12">
        <v>45524.003436238425</v>
      </c>
      <c r="E242" t="s" s="13">
        <v>73</v>
      </c>
      <c r="F242" t="s" s="13">
        <v>74</v>
      </c>
      <c r="G242" s="14">
        <v>1</v>
      </c>
      <c r="H242" s="15">
        <v>399.99</v>
      </c>
      <c r="I242" s="15">
        <v>399.99</v>
      </c>
    </row>
    <row r="243" ht="12.9" customHeight="1">
      <c r="B243" t="s" s="10">
        <v>880</v>
      </c>
      <c r="C243" t="s" s="11">
        <v>881</v>
      </c>
      <c r="D243" s="12">
        <v>45524</v>
      </c>
      <c r="E243" t="s" s="13">
        <v>47</v>
      </c>
      <c r="F243" s="16"/>
      <c r="G243" s="14">
        <v>1</v>
      </c>
      <c r="H243" s="15">
        <v>73.45</v>
      </c>
      <c r="I243" s="15">
        <v>73.45</v>
      </c>
    </row>
    <row r="244" ht="12.9" customHeight="1">
      <c r="B244" t="s" s="10">
        <v>880</v>
      </c>
      <c r="C244" t="s" s="11">
        <v>881</v>
      </c>
      <c r="D244" s="12">
        <v>45524</v>
      </c>
      <c r="E244" t="s" s="13">
        <v>722</v>
      </c>
      <c r="F244" t="s" s="13">
        <v>82</v>
      </c>
      <c r="G244" s="14">
        <v>2</v>
      </c>
      <c r="H244" s="15">
        <v>652.4924999999999</v>
      </c>
      <c r="I244" s="15">
        <v>1304.985</v>
      </c>
    </row>
    <row r="245" ht="12.9" customHeight="1">
      <c r="B245" t="s" s="10">
        <v>880</v>
      </c>
      <c r="C245" t="s" s="11">
        <v>881</v>
      </c>
      <c r="D245" s="12">
        <v>45524</v>
      </c>
      <c r="E245" t="s" s="13">
        <v>50</v>
      </c>
      <c r="F245" t="s" s="13">
        <v>51</v>
      </c>
      <c r="G245" s="14">
        <v>2</v>
      </c>
      <c r="H245" s="15">
        <v>0</v>
      </c>
      <c r="I245" s="15">
        <v>0</v>
      </c>
    </row>
    <row r="246" ht="12.9" customHeight="1">
      <c r="B246" t="s" s="10">
        <v>880</v>
      </c>
      <c r="C246" t="s" s="11">
        <v>881</v>
      </c>
      <c r="D246" s="12">
        <v>45524</v>
      </c>
      <c r="E246" t="s" s="13">
        <v>470</v>
      </c>
      <c r="F246" t="s" s="13">
        <v>471</v>
      </c>
      <c r="G246" s="14">
        <v>2</v>
      </c>
      <c r="H246" s="15">
        <v>75</v>
      </c>
      <c r="I246" s="15">
        <v>150</v>
      </c>
    </row>
    <row r="247" ht="12.9" customHeight="1">
      <c r="B247" t="s" s="10">
        <v>880</v>
      </c>
      <c r="C247" t="s" s="11">
        <v>881</v>
      </c>
      <c r="D247" s="12">
        <v>45524</v>
      </c>
      <c r="E247" t="s" s="13">
        <v>470</v>
      </c>
      <c r="F247" t="s" s="13">
        <v>517</v>
      </c>
      <c r="G247" s="14">
        <v>2</v>
      </c>
      <c r="H247" s="15">
        <v>187.4925</v>
      </c>
      <c r="I247" s="15">
        <v>374.985</v>
      </c>
    </row>
    <row r="248" ht="12.9" customHeight="1">
      <c r="B248" t="s" s="10">
        <v>880</v>
      </c>
      <c r="C248" t="s" s="11">
        <v>881</v>
      </c>
      <c r="D248" s="12">
        <v>45524</v>
      </c>
      <c r="E248" t="s" s="13">
        <v>354</v>
      </c>
      <c r="F248" t="s" s="13">
        <v>355</v>
      </c>
      <c r="G248" s="14">
        <v>2</v>
      </c>
      <c r="H248" s="15">
        <v>112.4925</v>
      </c>
      <c r="I248" s="15">
        <v>224.985</v>
      </c>
    </row>
    <row r="249" ht="12.9" customHeight="1">
      <c r="B249" t="s" s="10">
        <v>880</v>
      </c>
      <c r="C249" t="s" s="11">
        <v>881</v>
      </c>
      <c r="D249" s="12">
        <v>45524</v>
      </c>
      <c r="E249" t="s" s="13">
        <v>123</v>
      </c>
      <c r="F249" t="s" s="13">
        <v>124</v>
      </c>
      <c r="G249" s="14">
        <v>2</v>
      </c>
      <c r="H249" s="15">
        <v>134.9925</v>
      </c>
      <c r="I249" s="15">
        <v>269.985</v>
      </c>
    </row>
    <row r="250" ht="12.9" customHeight="1">
      <c r="B250" t="s" s="10">
        <v>880</v>
      </c>
      <c r="C250" t="s" s="11">
        <v>881</v>
      </c>
      <c r="D250" s="12">
        <v>45524</v>
      </c>
      <c r="E250" t="s" s="13">
        <v>882</v>
      </c>
      <c r="F250" t="s" s="13">
        <v>883</v>
      </c>
      <c r="G250" s="14">
        <v>8</v>
      </c>
      <c r="H250" s="15">
        <v>56.2425</v>
      </c>
      <c r="I250" s="15">
        <v>449.94</v>
      </c>
    </row>
    <row r="251" ht="12.9" customHeight="1">
      <c r="B251" t="s" s="10">
        <v>880</v>
      </c>
      <c r="C251" t="s" s="11">
        <v>881</v>
      </c>
      <c r="D251" s="12">
        <v>45524</v>
      </c>
      <c r="E251" t="s" s="13">
        <v>146</v>
      </c>
      <c r="F251" t="s" s="13">
        <v>147</v>
      </c>
      <c r="G251" s="14">
        <v>8</v>
      </c>
      <c r="H251" s="15">
        <v>14.9925</v>
      </c>
      <c r="I251" s="15">
        <v>119.94</v>
      </c>
    </row>
    <row r="252" ht="12.9" customHeight="1">
      <c r="B252" t="s" s="10">
        <v>880</v>
      </c>
      <c r="C252" t="s" s="11">
        <v>881</v>
      </c>
      <c r="D252" s="12">
        <v>45524</v>
      </c>
      <c r="E252" t="s" s="13">
        <v>27</v>
      </c>
      <c r="F252" t="s" s="13">
        <v>28</v>
      </c>
      <c r="G252" s="14">
        <v>4</v>
      </c>
      <c r="H252" s="15">
        <v>59.9925</v>
      </c>
      <c r="I252" s="15">
        <v>239.97</v>
      </c>
    </row>
    <row r="253" ht="12.9" customHeight="1">
      <c r="B253" t="s" s="10">
        <v>884</v>
      </c>
      <c r="C253" t="s" s="11">
        <v>885</v>
      </c>
      <c r="D253" s="12">
        <v>45524</v>
      </c>
      <c r="E253" t="s" s="13">
        <v>722</v>
      </c>
      <c r="F253" t="s" s="13">
        <v>82</v>
      </c>
      <c r="G253" s="14">
        <v>2</v>
      </c>
      <c r="H253" s="15">
        <v>869.99</v>
      </c>
      <c r="I253" s="15">
        <v>1739.98</v>
      </c>
    </row>
    <row r="254" ht="12.9" customHeight="1">
      <c r="B254" t="s" s="10">
        <v>884</v>
      </c>
      <c r="C254" t="s" s="11">
        <v>885</v>
      </c>
      <c r="D254" s="12">
        <v>45524</v>
      </c>
      <c r="E254" t="s" s="13">
        <v>23</v>
      </c>
      <c r="F254" t="s" s="13">
        <v>56</v>
      </c>
      <c r="G254" s="14">
        <v>2</v>
      </c>
      <c r="H254" s="15">
        <v>149.99</v>
      </c>
      <c r="I254" s="15">
        <v>299.98</v>
      </c>
    </row>
    <row r="255" ht="12.9" customHeight="1">
      <c r="B255" t="s" s="10">
        <v>884</v>
      </c>
      <c r="C255" t="s" s="11">
        <v>885</v>
      </c>
      <c r="D255" s="12">
        <v>45524</v>
      </c>
      <c r="E255" t="s" s="13">
        <v>54</v>
      </c>
      <c r="F255" t="s" s="13">
        <v>886</v>
      </c>
      <c r="G255" s="14">
        <v>2</v>
      </c>
      <c r="H255" s="15">
        <v>0</v>
      </c>
      <c r="I255" s="15">
        <v>0</v>
      </c>
    </row>
    <row r="256" ht="12.9" customHeight="1">
      <c r="B256" t="s" s="10">
        <v>884</v>
      </c>
      <c r="C256" t="s" s="11">
        <v>885</v>
      </c>
      <c r="D256" s="12">
        <v>45524</v>
      </c>
      <c r="E256" t="s" s="13">
        <v>887</v>
      </c>
      <c r="F256" t="s" s="13">
        <v>888</v>
      </c>
      <c r="G256" s="14">
        <v>2</v>
      </c>
      <c r="H256" s="15">
        <v>49.99</v>
      </c>
      <c r="I256" s="15">
        <v>99.98</v>
      </c>
    </row>
    <row r="257" ht="12.9" customHeight="1">
      <c r="B257" t="s" s="10">
        <v>884</v>
      </c>
      <c r="C257" t="s" s="11">
        <v>885</v>
      </c>
      <c r="D257" s="12">
        <v>45524</v>
      </c>
      <c r="E257" t="s" s="13">
        <v>15</v>
      </c>
      <c r="F257" t="s" s="13">
        <v>16</v>
      </c>
      <c r="G257" s="14">
        <v>1</v>
      </c>
      <c r="H257" s="15">
        <v>0</v>
      </c>
      <c r="I257" s="15">
        <v>0</v>
      </c>
    </row>
    <row r="258" ht="12.9" customHeight="1">
      <c r="B258" t="s" s="10">
        <v>889</v>
      </c>
      <c r="C258" t="s" s="11">
        <v>890</v>
      </c>
      <c r="D258" s="12">
        <v>45524</v>
      </c>
      <c r="E258" t="s" s="13">
        <v>95</v>
      </c>
      <c r="F258" t="s" s="13">
        <v>12</v>
      </c>
      <c r="G258" s="14">
        <v>1</v>
      </c>
      <c r="H258" s="15">
        <v>349.99</v>
      </c>
      <c r="I258" s="15">
        <v>349.99</v>
      </c>
    </row>
    <row r="259" ht="12.9" customHeight="1">
      <c r="B259" t="s" s="10">
        <v>891</v>
      </c>
      <c r="C259" t="s" s="11">
        <v>473</v>
      </c>
      <c r="D259" s="12">
        <v>45524</v>
      </c>
      <c r="E259" t="s" s="13">
        <v>63</v>
      </c>
      <c r="F259" s="16"/>
      <c r="G259" s="14">
        <v>1</v>
      </c>
      <c r="H259" s="15">
        <v>24.5</v>
      </c>
      <c r="I259" s="15">
        <v>24.5</v>
      </c>
    </row>
    <row r="260" ht="12.9" customHeight="1">
      <c r="B260" t="s" s="10">
        <v>891</v>
      </c>
      <c r="C260" t="s" s="11">
        <v>473</v>
      </c>
      <c r="D260" s="12">
        <v>45524</v>
      </c>
      <c r="E260" t="s" s="13">
        <v>892</v>
      </c>
      <c r="F260" t="s" s="13">
        <v>893</v>
      </c>
      <c r="G260" s="14">
        <v>7</v>
      </c>
      <c r="H260" s="15">
        <v>22.4925</v>
      </c>
      <c r="I260" s="15">
        <v>157.4475</v>
      </c>
    </row>
    <row r="261" ht="12.9" customHeight="1">
      <c r="B261" t="s" s="10">
        <v>894</v>
      </c>
      <c r="C261" t="s" s="11">
        <v>366</v>
      </c>
      <c r="D261" s="12">
        <v>45523.933619745367</v>
      </c>
      <c r="E261" t="s" s="13">
        <v>50</v>
      </c>
      <c r="F261" t="s" s="13">
        <v>83</v>
      </c>
      <c r="G261" s="14">
        <v>2</v>
      </c>
      <c r="H261" s="15">
        <v>29.99</v>
      </c>
      <c r="I261" s="15">
        <v>59.98</v>
      </c>
    </row>
    <row r="262" ht="12.9" customHeight="1">
      <c r="B262" t="s" s="10">
        <v>894</v>
      </c>
      <c r="C262" t="s" s="11">
        <v>366</v>
      </c>
      <c r="D262" s="12">
        <v>45523.933619745367</v>
      </c>
      <c r="E262" t="s" s="13">
        <v>23</v>
      </c>
      <c r="F262" t="s" s="13">
        <v>24</v>
      </c>
      <c r="G262" s="14">
        <v>1</v>
      </c>
      <c r="H262" s="15">
        <v>149.99</v>
      </c>
      <c r="I262" s="15">
        <v>149.99</v>
      </c>
    </row>
    <row r="263" ht="12.9" customHeight="1">
      <c r="B263" t="s" s="10">
        <v>894</v>
      </c>
      <c r="C263" t="s" s="11">
        <v>366</v>
      </c>
      <c r="D263" s="12">
        <v>45523.933619745367</v>
      </c>
      <c r="E263" t="s" s="13">
        <v>15</v>
      </c>
      <c r="F263" t="s" s="13">
        <v>16</v>
      </c>
      <c r="G263" s="14">
        <v>1</v>
      </c>
      <c r="H263" s="15">
        <v>9.99</v>
      </c>
      <c r="I263" s="15">
        <v>9.99</v>
      </c>
    </row>
    <row r="264" ht="12.9" customHeight="1">
      <c r="B264" t="s" s="10">
        <v>895</v>
      </c>
      <c r="C264" t="s" s="11">
        <v>896</v>
      </c>
      <c r="D264" s="12">
        <v>45523</v>
      </c>
      <c r="E264" t="s" s="13">
        <v>897</v>
      </c>
      <c r="F264" t="s" s="13">
        <v>898</v>
      </c>
      <c r="G264" s="14">
        <v>1</v>
      </c>
      <c r="H264" s="15">
        <v>0</v>
      </c>
      <c r="I264" s="15">
        <v>0</v>
      </c>
    </row>
    <row r="265" ht="12.9" customHeight="1">
      <c r="B265" t="s" s="10">
        <v>895</v>
      </c>
      <c r="C265" t="s" s="11">
        <v>896</v>
      </c>
      <c r="D265" s="12">
        <v>45523</v>
      </c>
      <c r="E265" t="s" s="13">
        <v>899</v>
      </c>
      <c r="F265" t="s" s="13">
        <v>900</v>
      </c>
      <c r="G265" s="14">
        <v>1</v>
      </c>
      <c r="H265" s="15">
        <v>0</v>
      </c>
      <c r="I265" s="15">
        <v>0</v>
      </c>
    </row>
    <row r="266" ht="12.9" customHeight="1">
      <c r="B266" t="s" s="10">
        <v>901</v>
      </c>
      <c r="C266" t="s" s="11">
        <v>391</v>
      </c>
      <c r="D266" s="12">
        <v>45523</v>
      </c>
      <c r="E266" t="s" s="13">
        <v>63</v>
      </c>
      <c r="F266" s="16"/>
      <c r="G266" s="14">
        <v>1</v>
      </c>
      <c r="H266" s="15">
        <v>312.55</v>
      </c>
      <c r="I266" s="15">
        <v>312.55</v>
      </c>
    </row>
    <row r="267" ht="12.9" customHeight="1">
      <c r="B267" t="s" s="10">
        <v>901</v>
      </c>
      <c r="C267" t="s" s="11">
        <v>391</v>
      </c>
      <c r="D267" s="12">
        <v>45523</v>
      </c>
      <c r="E267" t="s" s="13">
        <v>902</v>
      </c>
      <c r="F267" t="s" s="13">
        <v>903</v>
      </c>
      <c r="G267" s="14">
        <v>8</v>
      </c>
      <c r="H267" s="15">
        <v>112.4925</v>
      </c>
      <c r="I267" s="15">
        <v>899.9400000000001</v>
      </c>
    </row>
    <row r="268" ht="12.9" customHeight="1">
      <c r="B268" t="s" s="10">
        <v>901</v>
      </c>
      <c r="C268" t="s" s="11">
        <v>391</v>
      </c>
      <c r="D268" s="12">
        <v>45523</v>
      </c>
      <c r="E268" t="s" s="13">
        <v>778</v>
      </c>
      <c r="F268" t="s" s="13">
        <v>779</v>
      </c>
      <c r="G268" s="14">
        <v>10</v>
      </c>
      <c r="H268" s="15">
        <v>187.4925</v>
      </c>
      <c r="I268" s="15">
        <v>1874.925</v>
      </c>
    </row>
    <row r="269" ht="12.9" customHeight="1">
      <c r="B269" t="s" s="10">
        <v>901</v>
      </c>
      <c r="C269" t="s" s="11">
        <v>391</v>
      </c>
      <c r="D269" s="12">
        <v>45523</v>
      </c>
      <c r="E269" t="s" s="13">
        <v>904</v>
      </c>
      <c r="F269" t="s" s="13">
        <v>905</v>
      </c>
      <c r="G269" s="14">
        <v>6</v>
      </c>
      <c r="H269" s="15">
        <v>374.9925</v>
      </c>
      <c r="I269" s="15">
        <v>2249.955</v>
      </c>
    </row>
    <row r="270" ht="12.9" customHeight="1">
      <c r="B270" t="s" s="10">
        <v>901</v>
      </c>
      <c r="C270" t="s" s="11">
        <v>391</v>
      </c>
      <c r="D270" s="12">
        <v>45523</v>
      </c>
      <c r="E270" t="s" s="13">
        <v>123</v>
      </c>
      <c r="F270" t="s" s="13">
        <v>124</v>
      </c>
      <c r="G270" s="14">
        <v>2</v>
      </c>
      <c r="H270" s="15">
        <v>134.9925</v>
      </c>
      <c r="I270" s="15">
        <v>269.985</v>
      </c>
    </row>
    <row r="271" ht="12.9" customHeight="1">
      <c r="B271" t="s" s="10">
        <v>901</v>
      </c>
      <c r="C271" t="s" s="11">
        <v>391</v>
      </c>
      <c r="D271" s="12">
        <v>45523</v>
      </c>
      <c r="E271" t="s" s="13">
        <v>167</v>
      </c>
      <c r="F271" t="s" s="13">
        <v>168</v>
      </c>
      <c r="G271" s="14">
        <v>4</v>
      </c>
      <c r="H271" s="15">
        <v>22.4925</v>
      </c>
      <c r="I271" s="15">
        <v>89.97</v>
      </c>
    </row>
    <row r="272" ht="12.9" customHeight="1">
      <c r="B272" t="s" s="10">
        <v>901</v>
      </c>
      <c r="C272" t="s" s="11">
        <v>391</v>
      </c>
      <c r="D272" s="12">
        <v>45523</v>
      </c>
      <c r="E272" t="s" s="13">
        <v>906</v>
      </c>
      <c r="F272" t="s" s="13">
        <v>907</v>
      </c>
      <c r="G272" s="14">
        <v>24</v>
      </c>
      <c r="H272" s="15">
        <v>0</v>
      </c>
      <c r="I272" s="15">
        <v>0</v>
      </c>
    </row>
    <row r="273" ht="12.9" customHeight="1">
      <c r="B273" t="s" s="10">
        <v>901</v>
      </c>
      <c r="C273" t="s" s="11">
        <v>391</v>
      </c>
      <c r="D273" s="12">
        <v>45523</v>
      </c>
      <c r="E273" t="s" s="13">
        <v>908</v>
      </c>
      <c r="F273" t="s" s="13">
        <v>909</v>
      </c>
      <c r="G273" s="14">
        <v>24</v>
      </c>
      <c r="H273" s="15">
        <v>11.25</v>
      </c>
      <c r="I273" s="15">
        <v>270</v>
      </c>
    </row>
    <row r="274" ht="25.9" customHeight="1">
      <c r="B274" t="s" s="10">
        <v>910</v>
      </c>
      <c r="C274" t="s" s="11">
        <v>911</v>
      </c>
      <c r="D274" s="12">
        <v>45523</v>
      </c>
      <c r="E274" t="s" s="13">
        <v>48</v>
      </c>
      <c r="F274" t="s" s="52">
        <v>912</v>
      </c>
      <c r="G274" s="14">
        <v>5</v>
      </c>
      <c r="H274" s="15">
        <v>1249.99</v>
      </c>
      <c r="I274" s="15">
        <v>6249.95</v>
      </c>
    </row>
    <row r="275" ht="25.9" customHeight="1">
      <c r="B275" t="s" s="10">
        <v>910</v>
      </c>
      <c r="C275" t="s" s="11">
        <v>911</v>
      </c>
      <c r="D275" s="12">
        <v>45523</v>
      </c>
      <c r="E275" t="s" s="13">
        <v>50</v>
      </c>
      <c r="F275" t="s" s="52">
        <v>913</v>
      </c>
      <c r="G275" s="14">
        <v>5</v>
      </c>
      <c r="H275" s="15">
        <v>0</v>
      </c>
      <c r="I275" s="15">
        <v>0</v>
      </c>
    </row>
    <row r="276" ht="25.9" customHeight="1">
      <c r="B276" t="s" s="10">
        <v>910</v>
      </c>
      <c r="C276" t="s" s="11">
        <v>911</v>
      </c>
      <c r="D276" s="12">
        <v>45523</v>
      </c>
      <c r="E276" t="s" s="13">
        <v>52</v>
      </c>
      <c r="F276" t="s" s="52">
        <v>914</v>
      </c>
      <c r="G276" s="14">
        <v>5</v>
      </c>
      <c r="H276" s="15">
        <v>0</v>
      </c>
      <c r="I276" s="15">
        <v>0</v>
      </c>
    </row>
    <row r="277" ht="25.9" customHeight="1">
      <c r="B277" t="s" s="10">
        <v>910</v>
      </c>
      <c r="C277" t="s" s="11">
        <v>911</v>
      </c>
      <c r="D277" s="12">
        <v>45523</v>
      </c>
      <c r="E277" t="s" s="13">
        <v>57</v>
      </c>
      <c r="F277" t="s" s="52">
        <v>915</v>
      </c>
      <c r="G277" s="14">
        <v>5</v>
      </c>
      <c r="H277" s="15">
        <v>799.99</v>
      </c>
      <c r="I277" s="15">
        <v>3999.95</v>
      </c>
    </row>
    <row r="278" ht="25.9" customHeight="1">
      <c r="B278" t="s" s="10">
        <v>910</v>
      </c>
      <c r="C278" t="s" s="11">
        <v>911</v>
      </c>
      <c r="D278" s="12">
        <v>45523</v>
      </c>
      <c r="E278" t="s" s="13">
        <v>359</v>
      </c>
      <c r="F278" t="s" s="52">
        <v>916</v>
      </c>
      <c r="G278" s="14">
        <v>6</v>
      </c>
      <c r="H278" s="15">
        <v>29.99</v>
      </c>
      <c r="I278" s="15">
        <v>179.94</v>
      </c>
    </row>
    <row r="279" ht="25.9" customHeight="1">
      <c r="B279" t="s" s="10">
        <v>910</v>
      </c>
      <c r="C279" t="s" s="11">
        <v>911</v>
      </c>
      <c r="D279" s="12">
        <v>45523</v>
      </c>
      <c r="E279" t="s" s="13">
        <v>115</v>
      </c>
      <c r="F279" t="s" s="52">
        <v>917</v>
      </c>
      <c r="G279" s="14">
        <v>10</v>
      </c>
      <c r="H279" s="15">
        <v>22.99</v>
      </c>
      <c r="I279" s="15">
        <v>229.9</v>
      </c>
    </row>
    <row r="280" ht="25.9" customHeight="1">
      <c r="B280" t="s" s="10">
        <v>910</v>
      </c>
      <c r="C280" t="s" s="11">
        <v>911</v>
      </c>
      <c r="D280" s="12">
        <v>45523</v>
      </c>
      <c r="E280" t="s" s="13">
        <v>54</v>
      </c>
      <c r="F280" t="s" s="52">
        <v>918</v>
      </c>
      <c r="G280" s="14">
        <v>20</v>
      </c>
      <c r="H280" s="15">
        <v>7.99</v>
      </c>
      <c r="I280" s="15">
        <v>159.8</v>
      </c>
    </row>
    <row r="281" ht="12.9" customHeight="1">
      <c r="B281" t="s" s="10">
        <v>919</v>
      </c>
      <c r="C281" t="s" s="11">
        <v>391</v>
      </c>
      <c r="D281" s="12">
        <v>45523</v>
      </c>
      <c r="E281" t="s" s="13">
        <v>43</v>
      </c>
      <c r="F281" t="s" s="13">
        <v>44</v>
      </c>
      <c r="G281" s="14">
        <v>1</v>
      </c>
      <c r="H281" s="15">
        <v>0</v>
      </c>
      <c r="I281" s="15">
        <v>0</v>
      </c>
    </row>
    <row r="282" ht="12.9" customHeight="1">
      <c r="B282" t="s" s="10">
        <v>920</v>
      </c>
      <c r="C282" t="s" s="11">
        <v>161</v>
      </c>
      <c r="D282" s="12">
        <v>45523</v>
      </c>
      <c r="E282" t="s" s="13">
        <v>63</v>
      </c>
      <c r="F282" s="16"/>
      <c r="G282" s="14">
        <v>1</v>
      </c>
      <c r="H282" s="15">
        <v>35</v>
      </c>
      <c r="I282" s="15">
        <v>35</v>
      </c>
    </row>
    <row r="283" ht="12.9" customHeight="1">
      <c r="B283" t="s" s="10">
        <v>920</v>
      </c>
      <c r="C283" t="s" s="11">
        <v>161</v>
      </c>
      <c r="D283" s="12">
        <v>45523</v>
      </c>
      <c r="E283" t="s" s="13">
        <v>95</v>
      </c>
      <c r="F283" t="s" s="13">
        <v>12</v>
      </c>
      <c r="G283" s="14">
        <v>2</v>
      </c>
      <c r="H283" s="15">
        <v>262.4925</v>
      </c>
      <c r="I283" s="15">
        <v>524.985</v>
      </c>
    </row>
    <row r="284" ht="12.9" customHeight="1">
      <c r="B284" t="s" s="10">
        <v>921</v>
      </c>
      <c r="C284" t="s" s="11">
        <v>922</v>
      </c>
      <c r="D284" s="12">
        <v>45521.755847523149</v>
      </c>
      <c r="E284" t="s" s="13">
        <v>31</v>
      </c>
      <c r="F284" t="s" s="13">
        <v>32</v>
      </c>
      <c r="G284" s="14">
        <v>1</v>
      </c>
      <c r="H284" s="15">
        <v>599.99</v>
      </c>
      <c r="I284" s="15">
        <v>599.99</v>
      </c>
    </row>
    <row r="285" ht="12.9" customHeight="1">
      <c r="B285" t="s" s="10">
        <v>921</v>
      </c>
      <c r="C285" t="s" s="11">
        <v>922</v>
      </c>
      <c r="D285" s="12">
        <v>45521.755847523149</v>
      </c>
      <c r="E285" t="s" s="13">
        <v>35</v>
      </c>
      <c r="F285" t="s" s="13">
        <v>36</v>
      </c>
      <c r="G285" s="14">
        <v>1</v>
      </c>
      <c r="H285" s="15">
        <v>39.99</v>
      </c>
      <c r="I285" s="15">
        <v>39.99</v>
      </c>
    </row>
    <row r="286" ht="12.9" customHeight="1">
      <c r="B286" t="s" s="10">
        <v>923</v>
      </c>
      <c r="C286" t="s" s="11">
        <v>924</v>
      </c>
      <c r="D286" s="12">
        <v>45520.934041331020</v>
      </c>
      <c r="E286" t="s" s="13">
        <v>39</v>
      </c>
      <c r="F286" t="s" s="13">
        <v>40</v>
      </c>
      <c r="G286" s="14">
        <v>1</v>
      </c>
      <c r="H286" s="15">
        <v>109.99</v>
      </c>
      <c r="I286" s="15">
        <v>109.99</v>
      </c>
    </row>
    <row r="287" ht="12.9" customHeight="1">
      <c r="B287" t="s" s="10">
        <v>925</v>
      </c>
      <c r="C287" t="s" s="11">
        <v>510</v>
      </c>
      <c r="D287" s="12">
        <v>45520.908822476849</v>
      </c>
      <c r="E287" t="s" s="13">
        <v>171</v>
      </c>
      <c r="F287" t="s" s="13">
        <v>172</v>
      </c>
      <c r="G287" s="14">
        <v>2</v>
      </c>
      <c r="H287" s="15">
        <v>549.99</v>
      </c>
      <c r="I287" s="15">
        <v>1099.98</v>
      </c>
    </row>
    <row r="288" ht="12.9" customHeight="1">
      <c r="B288" t="s" s="10">
        <v>926</v>
      </c>
      <c r="C288" t="s" s="11">
        <v>927</v>
      </c>
      <c r="D288" s="12">
        <v>45520.902035277781</v>
      </c>
      <c r="E288" t="s" s="13">
        <v>35</v>
      </c>
      <c r="F288" t="s" s="13">
        <v>36</v>
      </c>
      <c r="G288" s="14">
        <v>2</v>
      </c>
      <c r="H288" s="15">
        <v>49.99</v>
      </c>
      <c r="I288" s="15">
        <v>99.98</v>
      </c>
    </row>
    <row r="289" ht="12.9" customHeight="1">
      <c r="B289" t="s" s="10">
        <v>928</v>
      </c>
      <c r="C289" t="s" s="11">
        <v>929</v>
      </c>
      <c r="D289" s="12">
        <v>45520.662558726850</v>
      </c>
      <c r="E289" t="s" s="13">
        <v>48</v>
      </c>
      <c r="F289" t="s" s="13">
        <v>49</v>
      </c>
      <c r="G289" s="14">
        <v>1</v>
      </c>
      <c r="H289" s="15">
        <v>1299.99</v>
      </c>
      <c r="I289" s="15">
        <v>1299.99</v>
      </c>
    </row>
    <row r="290" ht="12.9" customHeight="1">
      <c r="B290" t="s" s="10">
        <v>928</v>
      </c>
      <c r="C290" t="s" s="11">
        <v>929</v>
      </c>
      <c r="D290" s="12">
        <v>45520.662558726850</v>
      </c>
      <c r="E290" t="s" s="13">
        <v>50</v>
      </c>
      <c r="F290" t="s" s="13">
        <v>83</v>
      </c>
      <c r="G290" s="14">
        <v>1</v>
      </c>
      <c r="H290" s="15">
        <v>0</v>
      </c>
      <c r="I290" s="15">
        <v>0</v>
      </c>
    </row>
    <row r="291" ht="12.9" customHeight="1">
      <c r="B291" t="s" s="10">
        <v>928</v>
      </c>
      <c r="C291" t="s" s="11">
        <v>929</v>
      </c>
      <c r="D291" s="12">
        <v>45520.662558726850</v>
      </c>
      <c r="E291" t="s" s="13">
        <v>52</v>
      </c>
      <c r="F291" t="s" s="13">
        <v>321</v>
      </c>
      <c r="G291" s="14">
        <v>1</v>
      </c>
      <c r="H291" s="15">
        <v>0</v>
      </c>
      <c r="I291" s="15">
        <v>0</v>
      </c>
    </row>
    <row r="292" ht="12.9" customHeight="1">
      <c r="B292" t="s" s="10">
        <v>928</v>
      </c>
      <c r="C292" t="s" s="11">
        <v>929</v>
      </c>
      <c r="D292" s="12">
        <v>45520.662558726850</v>
      </c>
      <c r="E292" t="s" s="13">
        <v>84</v>
      </c>
      <c r="F292" t="s" s="13">
        <v>85</v>
      </c>
      <c r="G292" s="14">
        <v>1</v>
      </c>
      <c r="H292" s="15">
        <v>0</v>
      </c>
      <c r="I292" s="15">
        <v>0</v>
      </c>
    </row>
    <row r="293" ht="12.9" customHeight="1">
      <c r="B293" t="s" s="10">
        <v>928</v>
      </c>
      <c r="C293" t="s" s="11">
        <v>929</v>
      </c>
      <c r="D293" s="12">
        <v>45520.662558726850</v>
      </c>
      <c r="E293" t="s" s="13">
        <v>23</v>
      </c>
      <c r="F293" t="s" s="13">
        <v>24</v>
      </c>
      <c r="G293" s="14">
        <v>1</v>
      </c>
      <c r="H293" s="15">
        <v>0</v>
      </c>
      <c r="I293" s="15">
        <v>0</v>
      </c>
    </row>
    <row r="294" ht="12.9" customHeight="1">
      <c r="B294" t="s" s="10">
        <v>928</v>
      </c>
      <c r="C294" t="s" s="11">
        <v>929</v>
      </c>
      <c r="D294" s="12">
        <v>45520.662558726850</v>
      </c>
      <c r="E294" t="s" s="13">
        <v>35</v>
      </c>
      <c r="F294" t="s" s="13">
        <v>36</v>
      </c>
      <c r="G294" s="14">
        <v>2</v>
      </c>
      <c r="H294" s="15">
        <v>49.99</v>
      </c>
      <c r="I294" s="15">
        <v>99.98</v>
      </c>
    </row>
    <row r="295" ht="12.9" customHeight="1">
      <c r="B295" t="s" s="10">
        <v>930</v>
      </c>
      <c r="C295" t="s" s="11">
        <v>931</v>
      </c>
      <c r="D295" s="12">
        <v>45520.6555821412</v>
      </c>
      <c r="E295" t="s" s="13">
        <v>11</v>
      </c>
      <c r="F295" t="s" s="13">
        <v>12</v>
      </c>
      <c r="G295" s="14">
        <v>1</v>
      </c>
      <c r="H295" s="15">
        <v>399.99</v>
      </c>
      <c r="I295" s="15">
        <v>399.99</v>
      </c>
    </row>
    <row r="296" ht="12.9" customHeight="1">
      <c r="B296" t="s" s="10">
        <v>932</v>
      </c>
      <c r="C296" t="s" s="11">
        <v>704</v>
      </c>
      <c r="D296" s="12">
        <v>45520</v>
      </c>
      <c r="E296" t="s" s="13">
        <v>933</v>
      </c>
      <c r="F296" t="s" s="13">
        <v>934</v>
      </c>
      <c r="G296" s="14">
        <v>2</v>
      </c>
      <c r="H296" s="15">
        <v>974.9924999999999</v>
      </c>
      <c r="I296" s="15">
        <v>1949.985</v>
      </c>
    </row>
    <row r="297" ht="12.9" customHeight="1">
      <c r="B297" t="s" s="10">
        <v>932</v>
      </c>
      <c r="C297" t="s" s="11">
        <v>704</v>
      </c>
      <c r="D297" s="12">
        <v>45520</v>
      </c>
      <c r="E297" t="s" s="13">
        <v>50</v>
      </c>
      <c r="F297" t="s" s="13">
        <v>51</v>
      </c>
      <c r="G297" s="14">
        <v>2</v>
      </c>
      <c r="H297" s="15">
        <v>0</v>
      </c>
      <c r="I297" s="15">
        <v>0</v>
      </c>
    </row>
    <row r="298" ht="12.9" customHeight="1">
      <c r="B298" t="s" s="10">
        <v>932</v>
      </c>
      <c r="C298" t="s" s="11">
        <v>704</v>
      </c>
      <c r="D298" s="12">
        <v>45520</v>
      </c>
      <c r="E298" t="s" s="13">
        <v>52</v>
      </c>
      <c r="F298" t="s" s="13">
        <v>53</v>
      </c>
      <c r="G298" s="14">
        <v>2</v>
      </c>
      <c r="H298" s="15">
        <v>0</v>
      </c>
      <c r="I298" s="15">
        <v>0</v>
      </c>
    </row>
    <row r="299" ht="12.9" customHeight="1">
      <c r="B299" t="s" s="10">
        <v>932</v>
      </c>
      <c r="C299" t="s" s="11">
        <v>704</v>
      </c>
      <c r="D299" s="12">
        <v>45520</v>
      </c>
      <c r="E299" t="s" s="13">
        <v>602</v>
      </c>
      <c r="F299" t="s" s="13">
        <v>686</v>
      </c>
      <c r="G299" s="14">
        <v>2</v>
      </c>
      <c r="H299" s="15">
        <v>224.9925</v>
      </c>
      <c r="I299" s="15">
        <v>449.985</v>
      </c>
    </row>
    <row r="300" ht="12.9" customHeight="1">
      <c r="B300" t="s" s="10">
        <v>932</v>
      </c>
      <c r="C300" t="s" s="11">
        <v>704</v>
      </c>
      <c r="D300" s="12">
        <v>45520</v>
      </c>
      <c r="E300" t="s" s="13">
        <v>84</v>
      </c>
      <c r="F300" t="s" s="13">
        <v>330</v>
      </c>
      <c r="G300" s="14">
        <v>2</v>
      </c>
      <c r="H300" s="15">
        <v>0</v>
      </c>
      <c r="I300" s="15">
        <v>0</v>
      </c>
    </row>
    <row r="301" ht="12.9" customHeight="1">
      <c r="B301" t="s" s="10">
        <v>932</v>
      </c>
      <c r="C301" t="s" s="11">
        <v>704</v>
      </c>
      <c r="D301" s="12">
        <v>45520</v>
      </c>
      <c r="E301" t="s" s="13">
        <v>887</v>
      </c>
      <c r="F301" t="s" s="13">
        <v>888</v>
      </c>
      <c r="G301" s="14">
        <v>1</v>
      </c>
      <c r="H301" s="15">
        <v>37.4925</v>
      </c>
      <c r="I301" s="15">
        <v>37.4925</v>
      </c>
    </row>
    <row r="302" ht="12.9" customHeight="1">
      <c r="B302" t="s" s="10">
        <v>935</v>
      </c>
      <c r="C302" t="s" s="11">
        <v>476</v>
      </c>
      <c r="D302" s="12">
        <v>45520</v>
      </c>
      <c r="E302" t="s" s="13">
        <v>207</v>
      </c>
      <c r="F302" t="s" s="13">
        <v>208</v>
      </c>
      <c r="G302" s="14">
        <v>10</v>
      </c>
      <c r="H302" s="15">
        <v>0</v>
      </c>
      <c r="I302" s="15">
        <v>0</v>
      </c>
    </row>
    <row r="303" ht="12.9" customHeight="1">
      <c r="B303" t="s" s="10">
        <v>936</v>
      </c>
      <c r="C303" t="s" s="11">
        <v>937</v>
      </c>
      <c r="D303" s="12">
        <v>45519.929360069444</v>
      </c>
      <c r="E303" t="s" s="13">
        <v>35</v>
      </c>
      <c r="F303" t="s" s="13">
        <v>36</v>
      </c>
      <c r="G303" s="14">
        <v>1</v>
      </c>
      <c r="H303" s="15">
        <v>49.99</v>
      </c>
      <c r="I303" s="15">
        <v>49.99</v>
      </c>
    </row>
    <row r="304" ht="12.9" customHeight="1">
      <c r="B304" t="s" s="10">
        <v>938</v>
      </c>
      <c r="C304" t="s" s="11">
        <v>939</v>
      </c>
      <c r="D304" s="12">
        <v>45519.677766122688</v>
      </c>
      <c r="E304" t="s" s="13">
        <v>27</v>
      </c>
      <c r="F304" t="s" s="13">
        <v>28</v>
      </c>
      <c r="G304" s="14">
        <v>1</v>
      </c>
      <c r="H304" s="15">
        <v>79.98999999999999</v>
      </c>
      <c r="I304" s="15">
        <v>79.98999999999999</v>
      </c>
    </row>
    <row r="305" ht="12.9" customHeight="1">
      <c r="B305" t="s" s="10">
        <v>940</v>
      </c>
      <c r="C305" t="s" s="11">
        <v>941</v>
      </c>
      <c r="D305" s="12">
        <v>45519</v>
      </c>
      <c r="E305" t="s" s="13">
        <v>47</v>
      </c>
      <c r="F305" s="16"/>
      <c r="G305" s="14">
        <v>1</v>
      </c>
      <c r="H305" s="15">
        <v>16.85</v>
      </c>
      <c r="I305" s="15">
        <v>16.85</v>
      </c>
    </row>
    <row r="306" ht="12.9" customHeight="1">
      <c r="B306" t="s" s="10">
        <v>940</v>
      </c>
      <c r="C306" t="s" s="11">
        <v>941</v>
      </c>
      <c r="D306" s="12">
        <v>45519</v>
      </c>
      <c r="E306" t="s" s="13">
        <v>115</v>
      </c>
      <c r="F306" t="s" s="13">
        <v>116</v>
      </c>
      <c r="G306" s="14">
        <v>6</v>
      </c>
      <c r="H306" s="15">
        <v>17.2425</v>
      </c>
      <c r="I306" s="15">
        <v>103.455</v>
      </c>
    </row>
    <row r="307" ht="12.9" customHeight="1">
      <c r="B307" t="s" s="10">
        <v>942</v>
      </c>
      <c r="C307" t="s" s="11">
        <v>943</v>
      </c>
      <c r="D307" s="12">
        <v>45519</v>
      </c>
      <c r="E307" t="s" s="13">
        <v>468</v>
      </c>
      <c r="F307" t="s" s="13">
        <v>469</v>
      </c>
      <c r="G307" s="14">
        <v>2</v>
      </c>
      <c r="H307" s="15">
        <v>2249.991</v>
      </c>
      <c r="I307" s="15">
        <v>4499.982</v>
      </c>
    </row>
    <row r="308" ht="12.9" customHeight="1">
      <c r="B308" t="s" s="10">
        <v>942</v>
      </c>
      <c r="C308" t="s" s="11">
        <v>943</v>
      </c>
      <c r="D308" s="12">
        <v>45519</v>
      </c>
      <c r="E308" t="s" s="13">
        <v>50</v>
      </c>
      <c r="F308" t="s" s="13">
        <v>51</v>
      </c>
      <c r="G308" s="14">
        <v>2</v>
      </c>
      <c r="H308" s="15">
        <v>0</v>
      </c>
      <c r="I308" s="15">
        <v>0</v>
      </c>
    </row>
    <row r="309" ht="12.9" customHeight="1">
      <c r="B309" t="s" s="10">
        <v>942</v>
      </c>
      <c r="C309" t="s" s="11">
        <v>943</v>
      </c>
      <c r="D309" s="12">
        <v>45519</v>
      </c>
      <c r="E309" t="s" s="13">
        <v>23</v>
      </c>
      <c r="F309" t="s" s="13">
        <v>56</v>
      </c>
      <c r="G309" s="14">
        <v>8</v>
      </c>
      <c r="H309" s="15">
        <v>0</v>
      </c>
      <c r="I309" s="15">
        <v>0</v>
      </c>
    </row>
    <row r="310" ht="12.9" customHeight="1">
      <c r="B310" t="s" s="10">
        <v>942</v>
      </c>
      <c r="C310" t="s" s="11">
        <v>943</v>
      </c>
      <c r="D310" s="12">
        <v>45519</v>
      </c>
      <c r="E310" t="s" s="13">
        <v>54</v>
      </c>
      <c r="F310" t="s" s="13">
        <v>55</v>
      </c>
      <c r="G310" s="14">
        <v>8</v>
      </c>
      <c r="H310" s="15">
        <v>0</v>
      </c>
      <c r="I310" s="15">
        <v>0</v>
      </c>
    </row>
    <row r="311" ht="12.9" customHeight="1">
      <c r="B311" t="s" s="10">
        <v>942</v>
      </c>
      <c r="C311" t="s" s="11">
        <v>943</v>
      </c>
      <c r="D311" s="12">
        <v>45519</v>
      </c>
      <c r="E311" t="s" s="13">
        <v>48</v>
      </c>
      <c r="F311" t="s" s="13">
        <v>49</v>
      </c>
      <c r="G311" s="14">
        <v>2</v>
      </c>
      <c r="H311" s="15">
        <v>1299.99</v>
      </c>
      <c r="I311" s="15">
        <v>2599.98</v>
      </c>
    </row>
    <row r="312" ht="12.9" customHeight="1">
      <c r="B312" t="s" s="10">
        <v>942</v>
      </c>
      <c r="C312" t="s" s="11">
        <v>943</v>
      </c>
      <c r="D312" s="12">
        <v>45519</v>
      </c>
      <c r="E312" t="s" s="13">
        <v>50</v>
      </c>
      <c r="F312" t="s" s="13">
        <v>51</v>
      </c>
      <c r="G312" s="14">
        <v>2</v>
      </c>
      <c r="H312" s="15">
        <v>0</v>
      </c>
      <c r="I312" s="15">
        <v>0</v>
      </c>
    </row>
    <row r="313" ht="12.9" customHeight="1">
      <c r="B313" t="s" s="10">
        <v>942</v>
      </c>
      <c r="C313" t="s" s="11">
        <v>943</v>
      </c>
      <c r="D313" s="12">
        <v>45519</v>
      </c>
      <c r="E313" t="s" s="13">
        <v>52</v>
      </c>
      <c r="F313" t="s" s="13">
        <v>53</v>
      </c>
      <c r="G313" s="14">
        <v>2</v>
      </c>
      <c r="H313" s="15">
        <v>0</v>
      </c>
      <c r="I313" s="15">
        <v>0</v>
      </c>
    </row>
    <row r="314" ht="12.9" customHeight="1">
      <c r="B314" t="s" s="10">
        <v>942</v>
      </c>
      <c r="C314" t="s" s="11">
        <v>943</v>
      </c>
      <c r="D314" s="12">
        <v>45519</v>
      </c>
      <c r="E314" t="s" s="13">
        <v>602</v>
      </c>
      <c r="F314" t="s" s="13">
        <v>603</v>
      </c>
      <c r="G314" s="14">
        <v>2</v>
      </c>
      <c r="H314" s="15">
        <v>148.75</v>
      </c>
      <c r="I314" s="15">
        <v>297.5</v>
      </c>
    </row>
    <row r="315" ht="12.9" customHeight="1">
      <c r="B315" t="s" s="10">
        <v>942</v>
      </c>
      <c r="C315" t="s" s="11">
        <v>943</v>
      </c>
      <c r="D315" s="12">
        <v>45519</v>
      </c>
      <c r="E315" t="s" s="13">
        <v>54</v>
      </c>
      <c r="F315" t="s" s="13">
        <v>55</v>
      </c>
      <c r="G315" s="14">
        <v>2</v>
      </c>
      <c r="H315" s="15">
        <v>0</v>
      </c>
      <c r="I315" s="15">
        <v>0</v>
      </c>
    </row>
    <row r="316" ht="12.9" customHeight="1">
      <c r="B316" t="s" s="10">
        <v>942</v>
      </c>
      <c r="C316" t="s" s="11">
        <v>943</v>
      </c>
      <c r="D316" s="12">
        <v>45519</v>
      </c>
      <c r="E316" t="s" s="13">
        <v>59</v>
      </c>
      <c r="F316" t="s" s="13">
        <v>60</v>
      </c>
      <c r="G316" s="14">
        <v>1</v>
      </c>
      <c r="H316" s="15">
        <v>1079.991</v>
      </c>
      <c r="I316" s="15">
        <v>1079.991</v>
      </c>
    </row>
    <row r="317" ht="12.9" customHeight="1">
      <c r="B317" t="s" s="10">
        <v>942</v>
      </c>
      <c r="C317" t="s" s="11">
        <v>943</v>
      </c>
      <c r="D317" s="12">
        <v>45519</v>
      </c>
      <c r="E317" t="s" s="13">
        <v>19</v>
      </c>
      <c r="F317" t="s" s="13">
        <v>20</v>
      </c>
      <c r="G317" s="14">
        <v>2</v>
      </c>
      <c r="H317" s="15">
        <v>89.99250000000001</v>
      </c>
      <c r="I317" s="15">
        <v>179.985</v>
      </c>
    </row>
    <row r="318" ht="12.9" customHeight="1">
      <c r="B318" t="s" s="10">
        <v>942</v>
      </c>
      <c r="C318" t="s" s="11">
        <v>943</v>
      </c>
      <c r="D318" s="12">
        <v>45519</v>
      </c>
      <c r="E318" t="s" s="13">
        <v>77</v>
      </c>
      <c r="F318" t="s" s="13">
        <v>944</v>
      </c>
      <c r="G318" s="14">
        <v>4</v>
      </c>
      <c r="H318" s="15">
        <v>0</v>
      </c>
      <c r="I318" s="15">
        <v>0</v>
      </c>
    </row>
    <row r="319" ht="12.9" customHeight="1">
      <c r="B319" t="s" s="10">
        <v>945</v>
      </c>
      <c r="C319" t="s" s="11">
        <v>946</v>
      </c>
      <c r="D319" s="12">
        <v>45519</v>
      </c>
      <c r="E319" t="s" s="13">
        <v>63</v>
      </c>
      <c r="F319" s="16"/>
      <c r="G319" s="14">
        <v>1</v>
      </c>
      <c r="H319" s="15">
        <v>24.6</v>
      </c>
      <c r="I319" s="15">
        <v>24.6</v>
      </c>
    </row>
    <row r="320" ht="12.9" customHeight="1">
      <c r="B320" t="s" s="10">
        <v>945</v>
      </c>
      <c r="C320" t="s" s="11">
        <v>946</v>
      </c>
      <c r="D320" s="12">
        <v>45519</v>
      </c>
      <c r="E320" t="s" s="13">
        <v>102</v>
      </c>
      <c r="F320" t="s" s="13">
        <v>947</v>
      </c>
      <c r="G320" s="14">
        <v>1</v>
      </c>
      <c r="H320" s="15">
        <v>82.49250000000001</v>
      </c>
      <c r="I320" s="15">
        <v>82.49250000000001</v>
      </c>
    </row>
    <row r="321" ht="12.9" customHeight="1">
      <c r="B321" t="s" s="10">
        <v>945</v>
      </c>
      <c r="C321" t="s" s="11">
        <v>946</v>
      </c>
      <c r="D321" s="12">
        <v>45519</v>
      </c>
      <c r="E321" t="s" s="13">
        <v>948</v>
      </c>
      <c r="F321" t="s" s="13">
        <v>949</v>
      </c>
      <c r="G321" s="14">
        <v>1</v>
      </c>
      <c r="H321" s="15">
        <v>258.7425</v>
      </c>
      <c r="I321" s="15">
        <v>258.7425</v>
      </c>
    </row>
    <row r="322" ht="12.9" customHeight="1">
      <c r="B322" t="s" s="10">
        <v>950</v>
      </c>
      <c r="C322" t="s" s="11">
        <v>951</v>
      </c>
      <c r="D322" s="12">
        <v>45518.966627013891</v>
      </c>
      <c r="E322" t="s" s="13">
        <v>139</v>
      </c>
      <c r="F322" t="s" s="13">
        <v>140</v>
      </c>
      <c r="G322" s="14">
        <v>1</v>
      </c>
      <c r="H322" s="15">
        <v>49.99</v>
      </c>
      <c r="I322" s="15">
        <v>49.99</v>
      </c>
    </row>
    <row r="323" ht="12.9" customHeight="1">
      <c r="B323" t="s" s="10">
        <v>952</v>
      </c>
      <c r="C323" t="s" s="11">
        <v>953</v>
      </c>
      <c r="D323" s="12">
        <v>45518.938275787033</v>
      </c>
      <c r="E323" t="s" s="13">
        <v>359</v>
      </c>
      <c r="F323" t="s" s="13">
        <v>360</v>
      </c>
      <c r="G323" s="14">
        <v>1</v>
      </c>
      <c r="H323" s="15">
        <v>29.99</v>
      </c>
      <c r="I323" s="15">
        <v>29.99</v>
      </c>
    </row>
    <row r="324" ht="12.9" customHeight="1">
      <c r="B324" t="s" s="10">
        <v>952</v>
      </c>
      <c r="C324" t="s" s="11">
        <v>953</v>
      </c>
      <c r="D324" s="12">
        <v>45518.938275787033</v>
      </c>
      <c r="E324" t="s" s="13">
        <v>52</v>
      </c>
      <c r="F324" t="s" s="13">
        <v>321</v>
      </c>
      <c r="G324" s="14">
        <v>1</v>
      </c>
      <c r="H324" s="15">
        <v>19.99</v>
      </c>
      <c r="I324" s="15">
        <v>19.99</v>
      </c>
    </row>
    <row r="325" ht="12.9" customHeight="1">
      <c r="B325" t="s" s="10">
        <v>954</v>
      </c>
      <c r="C325" t="s" s="11">
        <v>955</v>
      </c>
      <c r="D325" s="12">
        <v>45518.822803576390</v>
      </c>
      <c r="E325" t="s" s="13">
        <v>95</v>
      </c>
      <c r="F325" t="s" s="13">
        <v>12</v>
      </c>
      <c r="G325" s="14">
        <v>1</v>
      </c>
      <c r="H325" s="15">
        <v>349.99</v>
      </c>
      <c r="I325" s="15">
        <v>349.99</v>
      </c>
    </row>
    <row r="326" ht="12.9" customHeight="1">
      <c r="B326" t="s" s="10">
        <v>954</v>
      </c>
      <c r="C326" t="s" s="11">
        <v>955</v>
      </c>
      <c r="D326" s="12">
        <v>45518.822803576390</v>
      </c>
      <c r="E326" t="s" s="13">
        <v>35</v>
      </c>
      <c r="F326" t="s" s="13">
        <v>36</v>
      </c>
      <c r="G326" s="14">
        <v>2</v>
      </c>
      <c r="H326" s="15">
        <v>39.99</v>
      </c>
      <c r="I326" s="15">
        <v>79.98</v>
      </c>
    </row>
    <row r="327" ht="12.9" customHeight="1">
      <c r="B327" t="s" s="10">
        <v>956</v>
      </c>
      <c r="C327" t="s" s="11">
        <v>957</v>
      </c>
      <c r="D327" s="12">
        <v>45518.800725381945</v>
      </c>
      <c r="E327" t="s" s="13">
        <v>35</v>
      </c>
      <c r="F327" t="s" s="13">
        <v>36</v>
      </c>
      <c r="G327" s="14">
        <v>4</v>
      </c>
      <c r="H327" s="15">
        <v>49.99</v>
      </c>
      <c r="I327" s="15">
        <v>199.96</v>
      </c>
    </row>
    <row r="328" ht="12.9" customHeight="1">
      <c r="B328" t="s" s="10">
        <v>958</v>
      </c>
      <c r="C328" t="s" s="11">
        <v>959</v>
      </c>
      <c r="D328" s="12">
        <v>45518.637486377316</v>
      </c>
      <c r="E328" t="s" s="13">
        <v>139</v>
      </c>
      <c r="F328" t="s" s="13">
        <v>140</v>
      </c>
      <c r="G328" s="14">
        <v>1</v>
      </c>
      <c r="H328" s="15">
        <v>49.99</v>
      </c>
      <c r="I328" s="15">
        <v>49.99</v>
      </c>
    </row>
    <row r="329" ht="12.9" customHeight="1">
      <c r="B329" t="s" s="10">
        <v>960</v>
      </c>
      <c r="C329" t="s" s="11">
        <v>961</v>
      </c>
      <c r="D329" s="12">
        <v>45518.264268553241</v>
      </c>
      <c r="E329" t="s" s="13">
        <v>15</v>
      </c>
      <c r="F329" t="s" s="13">
        <v>16</v>
      </c>
      <c r="G329" s="14">
        <v>2</v>
      </c>
      <c r="H329" s="15">
        <v>9.99</v>
      </c>
      <c r="I329" s="15">
        <v>19.98</v>
      </c>
    </row>
    <row r="330" ht="12.9" customHeight="1">
      <c r="B330" t="s" s="10">
        <v>962</v>
      </c>
      <c r="C330" t="s" s="11">
        <v>391</v>
      </c>
      <c r="D330" s="12">
        <v>45518</v>
      </c>
      <c r="E330" t="s" s="13">
        <v>63</v>
      </c>
      <c r="F330" s="16"/>
      <c r="G330" s="14">
        <v>1</v>
      </c>
      <c r="H330" s="15">
        <v>111.4</v>
      </c>
      <c r="I330" s="15">
        <v>111.4</v>
      </c>
    </row>
    <row r="331" ht="12.9" customHeight="1">
      <c r="B331" t="s" s="10">
        <v>962</v>
      </c>
      <c r="C331" t="s" s="11">
        <v>391</v>
      </c>
      <c r="D331" s="12">
        <v>45518</v>
      </c>
      <c r="E331" t="s" s="13">
        <v>95</v>
      </c>
      <c r="F331" t="s" s="13">
        <v>12</v>
      </c>
      <c r="G331" s="14">
        <v>2</v>
      </c>
      <c r="H331" s="15">
        <v>262.4925</v>
      </c>
      <c r="I331" s="15">
        <v>524.985</v>
      </c>
    </row>
    <row r="332" ht="12.9" customHeight="1">
      <c r="B332" t="s" s="10">
        <v>963</v>
      </c>
      <c r="C332" t="s" s="11">
        <v>964</v>
      </c>
      <c r="D332" s="12">
        <v>45518</v>
      </c>
      <c r="E332" t="s" s="13">
        <v>50</v>
      </c>
      <c r="F332" t="s" s="13">
        <v>83</v>
      </c>
      <c r="G332" s="14">
        <v>40</v>
      </c>
      <c r="H332" s="15">
        <v>26.991</v>
      </c>
      <c r="I332" s="15">
        <v>1079.64</v>
      </c>
    </row>
    <row r="333" ht="12.9" customHeight="1">
      <c r="B333" t="s" s="10">
        <v>965</v>
      </c>
      <c r="C333" t="s" s="11">
        <v>657</v>
      </c>
      <c r="D333" s="12">
        <v>45517.721098287038</v>
      </c>
      <c r="E333" t="s" s="13">
        <v>89</v>
      </c>
      <c r="F333" t="s" s="13">
        <v>90</v>
      </c>
      <c r="G333" s="14">
        <v>2</v>
      </c>
      <c r="H333" s="15">
        <v>59.99</v>
      </c>
      <c r="I333" s="15">
        <v>119.98</v>
      </c>
    </row>
    <row r="334" ht="12.9" customHeight="1">
      <c r="B334" t="s" s="10">
        <v>966</v>
      </c>
      <c r="C334" t="s" s="11">
        <v>967</v>
      </c>
      <c r="D334" s="12">
        <v>45517.701212754633</v>
      </c>
      <c r="E334" t="s" s="13">
        <v>95</v>
      </c>
      <c r="F334" t="s" s="13">
        <v>12</v>
      </c>
      <c r="G334" s="14">
        <v>1</v>
      </c>
      <c r="H334" s="15">
        <v>349.99</v>
      </c>
      <c r="I334" s="15">
        <v>349.99</v>
      </c>
    </row>
    <row r="335" ht="12.9" customHeight="1">
      <c r="B335" t="s" s="10">
        <v>966</v>
      </c>
      <c r="C335" t="s" s="11">
        <v>967</v>
      </c>
      <c r="D335" s="12">
        <v>45517.701212754633</v>
      </c>
      <c r="E335" t="s" s="13">
        <v>39</v>
      </c>
      <c r="F335" t="s" s="13">
        <v>40</v>
      </c>
      <c r="G335" s="14">
        <v>1</v>
      </c>
      <c r="H335" s="15">
        <v>109.99</v>
      </c>
      <c r="I335" s="15">
        <v>109.99</v>
      </c>
    </row>
    <row r="336" ht="12.9" customHeight="1">
      <c r="B336" t="s" s="10">
        <v>966</v>
      </c>
      <c r="C336" t="s" s="11">
        <v>967</v>
      </c>
      <c r="D336" s="12">
        <v>45517.701212754633</v>
      </c>
      <c r="E336" t="s" s="13">
        <v>19</v>
      </c>
      <c r="F336" t="s" s="13">
        <v>20</v>
      </c>
      <c r="G336" s="14">
        <v>1</v>
      </c>
      <c r="H336" s="15">
        <v>119.99</v>
      </c>
      <c r="I336" s="15">
        <v>119.99</v>
      </c>
    </row>
    <row r="337" ht="12.9" customHeight="1">
      <c r="B337" t="s" s="10">
        <v>966</v>
      </c>
      <c r="C337" t="s" s="11">
        <v>967</v>
      </c>
      <c r="D337" s="12">
        <v>45517.701212754633</v>
      </c>
      <c r="E337" t="s" s="13">
        <v>15</v>
      </c>
      <c r="F337" t="s" s="13">
        <v>16</v>
      </c>
      <c r="G337" s="14">
        <v>1</v>
      </c>
      <c r="H337" s="15">
        <v>9.99</v>
      </c>
      <c r="I337" s="15">
        <v>9.99</v>
      </c>
    </row>
    <row r="338" ht="12.9" customHeight="1">
      <c r="B338" t="s" s="10">
        <v>968</v>
      </c>
      <c r="C338" t="s" s="11">
        <v>969</v>
      </c>
      <c r="D338" s="12">
        <v>45517.581927604166</v>
      </c>
      <c r="E338" t="s" s="13">
        <v>50</v>
      </c>
      <c r="F338" t="s" s="13">
        <v>83</v>
      </c>
      <c r="G338" s="14">
        <v>1</v>
      </c>
      <c r="H338" s="15">
        <v>29.99</v>
      </c>
      <c r="I338" s="15">
        <v>29.99</v>
      </c>
    </row>
    <row r="339" ht="12.9" customHeight="1">
      <c r="B339" t="s" s="10">
        <v>970</v>
      </c>
      <c r="C339" t="s" s="11">
        <v>971</v>
      </c>
      <c r="D339" s="12">
        <v>45517.420132974534</v>
      </c>
      <c r="E339" t="s" s="13">
        <v>81</v>
      </c>
      <c r="F339" t="s" s="13">
        <v>82</v>
      </c>
      <c r="G339" s="14">
        <v>1</v>
      </c>
      <c r="H339" s="15">
        <v>849.99</v>
      </c>
      <c r="I339" s="15">
        <v>849.99</v>
      </c>
    </row>
    <row r="340" ht="12.9" customHeight="1">
      <c r="B340" t="s" s="10">
        <v>970</v>
      </c>
      <c r="C340" t="s" s="11">
        <v>971</v>
      </c>
      <c r="D340" s="12">
        <v>45517.420132974534</v>
      </c>
      <c r="E340" t="s" s="13">
        <v>23</v>
      </c>
      <c r="F340" t="s" s="13">
        <v>24</v>
      </c>
      <c r="G340" s="14">
        <v>1</v>
      </c>
      <c r="H340" s="15">
        <v>0</v>
      </c>
      <c r="I340" s="15">
        <v>0</v>
      </c>
    </row>
    <row r="341" ht="12.9" customHeight="1">
      <c r="B341" t="s" s="10">
        <v>970</v>
      </c>
      <c r="C341" t="s" s="11">
        <v>971</v>
      </c>
      <c r="D341" s="12">
        <v>45517.420132974534</v>
      </c>
      <c r="E341" t="s" s="13">
        <v>50</v>
      </c>
      <c r="F341" t="s" s="13">
        <v>83</v>
      </c>
      <c r="G341" s="14">
        <v>1</v>
      </c>
      <c r="H341" s="15">
        <v>0</v>
      </c>
      <c r="I341" s="15">
        <v>0</v>
      </c>
    </row>
    <row r="342" ht="12.9" customHeight="1">
      <c r="B342" t="s" s="10">
        <v>970</v>
      </c>
      <c r="C342" t="s" s="11">
        <v>971</v>
      </c>
      <c r="D342" s="12">
        <v>45517.420132974534</v>
      </c>
      <c r="E342" t="s" s="13">
        <v>84</v>
      </c>
      <c r="F342" t="s" s="13">
        <v>85</v>
      </c>
      <c r="G342" s="14">
        <v>1</v>
      </c>
      <c r="H342" s="15">
        <v>0</v>
      </c>
      <c r="I342" s="15">
        <v>0</v>
      </c>
    </row>
    <row r="343" ht="12.9" customHeight="1">
      <c r="B343" t="s" s="10">
        <v>970</v>
      </c>
      <c r="C343" t="s" s="11">
        <v>971</v>
      </c>
      <c r="D343" s="12">
        <v>45517.420132974534</v>
      </c>
      <c r="E343" t="s" s="13">
        <v>19</v>
      </c>
      <c r="F343" t="s" s="13">
        <v>20</v>
      </c>
      <c r="G343" s="14">
        <v>2</v>
      </c>
      <c r="H343" s="15">
        <v>119.99</v>
      </c>
      <c r="I343" s="15">
        <v>239.98</v>
      </c>
    </row>
    <row r="344" ht="12.9" customHeight="1">
      <c r="B344" t="s" s="10">
        <v>972</v>
      </c>
      <c r="C344" t="s" s="11">
        <v>973</v>
      </c>
      <c r="D344" s="12">
        <v>45517.184274479165</v>
      </c>
      <c r="E344" t="s" s="13">
        <v>19</v>
      </c>
      <c r="F344" t="s" s="13">
        <v>20</v>
      </c>
      <c r="G344" s="14">
        <v>1</v>
      </c>
      <c r="H344" s="15">
        <v>119.99</v>
      </c>
      <c r="I344" s="15">
        <v>119.99</v>
      </c>
    </row>
    <row r="345" ht="12.9" customHeight="1">
      <c r="B345" t="s" s="10">
        <v>974</v>
      </c>
      <c r="C345" t="s" s="11">
        <v>975</v>
      </c>
      <c r="D345" s="12">
        <v>45517.015387511572</v>
      </c>
      <c r="E345" t="s" s="13">
        <v>11</v>
      </c>
      <c r="F345" t="s" s="13">
        <v>12</v>
      </c>
      <c r="G345" s="14">
        <v>1</v>
      </c>
      <c r="H345" s="15">
        <v>399.99</v>
      </c>
      <c r="I345" s="15">
        <v>399.99</v>
      </c>
    </row>
    <row r="346" ht="12.9" customHeight="1">
      <c r="B346" t="s" s="10">
        <v>976</v>
      </c>
      <c r="C346" t="s" s="11">
        <v>597</v>
      </c>
      <c r="D346" s="12">
        <v>45517</v>
      </c>
      <c r="E346" t="s" s="13">
        <v>977</v>
      </c>
      <c r="F346" t="s" s="13">
        <v>978</v>
      </c>
      <c r="G346" s="14">
        <v>2</v>
      </c>
      <c r="H346" s="15">
        <v>59.99</v>
      </c>
      <c r="I346" s="15">
        <v>119.98</v>
      </c>
    </row>
    <row r="347" ht="12.9" customHeight="1">
      <c r="B347" t="s" s="10">
        <v>976</v>
      </c>
      <c r="C347" t="s" s="11">
        <v>597</v>
      </c>
      <c r="D347" s="12">
        <v>45517</v>
      </c>
      <c r="E347" t="s" s="13">
        <v>979</v>
      </c>
      <c r="F347" t="s" s="13">
        <v>980</v>
      </c>
      <c r="G347" s="14">
        <v>2</v>
      </c>
      <c r="H347" s="15">
        <v>99.98999999999999</v>
      </c>
      <c r="I347" s="15">
        <v>199.98</v>
      </c>
    </row>
    <row r="348" ht="12.9" customHeight="1">
      <c r="B348" t="s" s="10">
        <v>981</v>
      </c>
      <c r="C348" t="s" s="11">
        <v>69</v>
      </c>
      <c r="D348" s="12">
        <v>45517</v>
      </c>
      <c r="E348" t="s" s="13">
        <v>63</v>
      </c>
      <c r="F348" s="16"/>
      <c r="G348" s="14">
        <v>1</v>
      </c>
      <c r="H348" s="15">
        <v>71.8</v>
      </c>
      <c r="I348" s="15">
        <v>71.8</v>
      </c>
    </row>
    <row r="349" ht="12.9" customHeight="1">
      <c r="B349" t="s" s="10">
        <v>981</v>
      </c>
      <c r="C349" t="s" s="11">
        <v>69</v>
      </c>
      <c r="D349" s="12">
        <v>45517</v>
      </c>
      <c r="E349" t="s" s="13">
        <v>412</v>
      </c>
      <c r="F349" t="s" s="13">
        <v>413</v>
      </c>
      <c r="G349" s="14">
        <v>20</v>
      </c>
      <c r="H349" s="15">
        <v>0</v>
      </c>
      <c r="I349" s="15">
        <v>0</v>
      </c>
    </row>
    <row r="350" ht="12.9" customHeight="1">
      <c r="B350" t="s" s="10">
        <v>981</v>
      </c>
      <c r="C350" t="s" s="11">
        <v>69</v>
      </c>
      <c r="D350" s="12">
        <v>45517</v>
      </c>
      <c r="E350" t="s" s="13">
        <v>119</v>
      </c>
      <c r="F350" t="s" s="13">
        <v>120</v>
      </c>
      <c r="G350" s="14">
        <v>30</v>
      </c>
      <c r="H350" s="15">
        <v>0</v>
      </c>
      <c r="I350" s="15">
        <v>0</v>
      </c>
    </row>
    <row r="351" ht="12.9" customHeight="1">
      <c r="B351" t="s" s="10">
        <v>981</v>
      </c>
      <c r="C351" t="s" s="11">
        <v>69</v>
      </c>
      <c r="D351" s="12">
        <v>45517</v>
      </c>
      <c r="E351" t="s" s="13">
        <v>982</v>
      </c>
      <c r="F351" t="s" s="13">
        <v>983</v>
      </c>
      <c r="G351" s="14">
        <v>4</v>
      </c>
      <c r="H351" s="15">
        <v>187.4925</v>
      </c>
      <c r="I351" s="15">
        <v>749.97</v>
      </c>
    </row>
    <row r="352" ht="12.9" customHeight="1">
      <c r="B352" t="s" s="10">
        <v>984</v>
      </c>
      <c r="C352" t="s" s="11">
        <v>985</v>
      </c>
      <c r="D352" s="12">
        <v>45517</v>
      </c>
      <c r="E352" t="s" s="13">
        <v>213</v>
      </c>
      <c r="F352" t="s" s="13">
        <v>214</v>
      </c>
      <c r="G352" s="14">
        <v>8</v>
      </c>
      <c r="H352" s="15">
        <v>494.991</v>
      </c>
      <c r="I352" s="15">
        <v>3959.928</v>
      </c>
    </row>
    <row r="353" ht="12.9" customHeight="1">
      <c r="B353" t="s" s="10">
        <v>984</v>
      </c>
      <c r="C353" t="s" s="11">
        <v>985</v>
      </c>
      <c r="D353" s="12">
        <v>45517</v>
      </c>
      <c r="E353" t="s" s="13">
        <v>77</v>
      </c>
      <c r="F353" t="s" s="13">
        <v>78</v>
      </c>
      <c r="G353" s="14">
        <v>8</v>
      </c>
      <c r="H353" s="15">
        <v>16.9915</v>
      </c>
      <c r="I353" s="15">
        <v>135.932</v>
      </c>
    </row>
    <row r="354" ht="12.9" customHeight="1">
      <c r="B354" t="s" s="10">
        <v>986</v>
      </c>
      <c r="C354" t="s" s="11">
        <v>987</v>
      </c>
      <c r="D354" s="12">
        <v>45517</v>
      </c>
      <c r="E354" t="s" s="13">
        <v>63</v>
      </c>
      <c r="F354" s="16"/>
      <c r="G354" s="14">
        <v>1</v>
      </c>
      <c r="H354" s="15">
        <v>128.95</v>
      </c>
      <c r="I354" s="15">
        <v>128.95</v>
      </c>
    </row>
    <row r="355" ht="12.9" customHeight="1">
      <c r="B355" t="s" s="10">
        <v>986</v>
      </c>
      <c r="C355" t="s" s="11">
        <v>987</v>
      </c>
      <c r="D355" s="12">
        <v>45517</v>
      </c>
      <c r="E355" t="s" s="13">
        <v>59</v>
      </c>
      <c r="F355" t="s" s="13">
        <v>60</v>
      </c>
      <c r="G355" s="14">
        <v>1</v>
      </c>
      <c r="H355" s="15">
        <v>1199.99</v>
      </c>
      <c r="I355" s="15">
        <v>1199.99</v>
      </c>
    </row>
    <row r="356" ht="12.9" customHeight="1">
      <c r="B356" t="s" s="10">
        <v>986</v>
      </c>
      <c r="C356" t="s" s="11">
        <v>987</v>
      </c>
      <c r="D356" s="12">
        <v>45517</v>
      </c>
      <c r="E356" t="s" s="13">
        <v>15</v>
      </c>
      <c r="F356" t="s" s="13">
        <v>16</v>
      </c>
      <c r="G356" s="14">
        <v>10</v>
      </c>
      <c r="H356" s="15">
        <v>9.99</v>
      </c>
      <c r="I356" s="15">
        <v>99.90000000000001</v>
      </c>
    </row>
    <row r="357" ht="12.9" customHeight="1">
      <c r="B357" t="s" s="10">
        <v>986</v>
      </c>
      <c r="C357" t="s" s="11">
        <v>987</v>
      </c>
      <c r="D357" s="12">
        <v>45517</v>
      </c>
      <c r="E357" t="s" s="13">
        <v>54</v>
      </c>
      <c r="F357" t="s" s="13">
        <v>93</v>
      </c>
      <c r="G357" s="14">
        <v>4</v>
      </c>
      <c r="H357" s="15">
        <v>9.99</v>
      </c>
      <c r="I357" s="15">
        <v>39.96</v>
      </c>
    </row>
    <row r="358" ht="12.9" customHeight="1">
      <c r="B358" t="s" s="10">
        <v>988</v>
      </c>
      <c r="C358" t="s" s="11">
        <v>896</v>
      </c>
      <c r="D358" s="12">
        <v>45517</v>
      </c>
      <c r="E358" t="s" s="13">
        <v>254</v>
      </c>
      <c r="F358" t="s" s="13">
        <v>989</v>
      </c>
      <c r="G358" s="14">
        <v>1</v>
      </c>
      <c r="H358" s="15">
        <v>0</v>
      </c>
      <c r="I358" s="15">
        <v>0</v>
      </c>
    </row>
    <row r="359" ht="12.9" customHeight="1">
      <c r="B359" t="s" s="10">
        <v>990</v>
      </c>
      <c r="C359" t="s" s="11">
        <v>991</v>
      </c>
      <c r="D359" s="12">
        <v>45516.669951481483</v>
      </c>
      <c r="E359" t="s" s="13">
        <v>50</v>
      </c>
      <c r="F359" t="s" s="13">
        <v>83</v>
      </c>
      <c r="G359" s="14">
        <v>2</v>
      </c>
      <c r="H359" s="15">
        <v>29.99</v>
      </c>
      <c r="I359" s="15">
        <v>59.98</v>
      </c>
    </row>
    <row r="360" ht="12.9" customHeight="1">
      <c r="B360" t="s" s="10">
        <v>990</v>
      </c>
      <c r="C360" t="s" s="11">
        <v>991</v>
      </c>
      <c r="D360" s="12">
        <v>45516.669951481483</v>
      </c>
      <c r="E360" t="s" s="13">
        <v>979</v>
      </c>
      <c r="F360" t="s" s="13">
        <v>980</v>
      </c>
      <c r="G360" s="14">
        <v>1</v>
      </c>
      <c r="H360" s="15">
        <v>99.98999999999999</v>
      </c>
      <c r="I360" s="15">
        <v>99.98999999999999</v>
      </c>
    </row>
    <row r="361" ht="12.9" customHeight="1">
      <c r="B361" t="s" s="10">
        <v>992</v>
      </c>
      <c r="C361" t="s" s="11">
        <v>993</v>
      </c>
      <c r="D361" s="12">
        <v>45516.540366956018</v>
      </c>
      <c r="E361" t="s" s="13">
        <v>225</v>
      </c>
      <c r="F361" t="s" s="13">
        <v>226</v>
      </c>
      <c r="G361" s="14">
        <v>1</v>
      </c>
      <c r="H361" s="15">
        <v>499.99</v>
      </c>
      <c r="I361" s="15">
        <v>499.99</v>
      </c>
    </row>
    <row r="362" ht="12.9" customHeight="1">
      <c r="B362" t="s" s="10">
        <v>992</v>
      </c>
      <c r="C362" t="s" s="11">
        <v>993</v>
      </c>
      <c r="D362" s="12">
        <v>45516.540366956018</v>
      </c>
      <c r="E362" t="s" s="13">
        <v>227</v>
      </c>
      <c r="F362" t="s" s="13">
        <v>228</v>
      </c>
      <c r="G362" s="14">
        <v>1</v>
      </c>
      <c r="H362" s="15">
        <v>0</v>
      </c>
      <c r="I362" s="15">
        <v>0</v>
      </c>
    </row>
    <row r="363" ht="12.9" customHeight="1">
      <c r="B363" t="s" s="10">
        <v>992</v>
      </c>
      <c r="C363" t="s" s="11">
        <v>993</v>
      </c>
      <c r="D363" s="12">
        <v>45516.540366956018</v>
      </c>
      <c r="E363" t="s" s="13">
        <v>23</v>
      </c>
      <c r="F363" t="s" s="13">
        <v>24</v>
      </c>
      <c r="G363" s="14">
        <v>1</v>
      </c>
      <c r="H363" s="15">
        <v>149.99</v>
      </c>
      <c r="I363" s="15">
        <v>149.99</v>
      </c>
    </row>
    <row r="364" ht="12.9" customHeight="1">
      <c r="B364" t="s" s="10">
        <v>994</v>
      </c>
      <c r="C364" t="s" s="11">
        <v>995</v>
      </c>
      <c r="D364" s="12">
        <v>45516.042494907408</v>
      </c>
      <c r="E364" t="s" s="13">
        <v>54</v>
      </c>
      <c r="F364" t="s" s="13">
        <v>93</v>
      </c>
      <c r="G364" s="14">
        <v>1</v>
      </c>
      <c r="H364" s="15">
        <v>9.99</v>
      </c>
      <c r="I364" s="15">
        <v>9.99</v>
      </c>
    </row>
    <row r="365" ht="12.9" customHeight="1">
      <c r="B365" t="s" s="10">
        <v>996</v>
      </c>
      <c r="C365" t="s" s="11">
        <v>704</v>
      </c>
      <c r="D365" s="12">
        <v>45516</v>
      </c>
      <c r="E365" t="s" s="13">
        <v>933</v>
      </c>
      <c r="F365" t="s" s="13">
        <v>934</v>
      </c>
      <c r="G365" s="14">
        <v>2</v>
      </c>
      <c r="H365" s="15">
        <v>974.9924999999999</v>
      </c>
      <c r="I365" s="15">
        <v>1949.985</v>
      </c>
    </row>
    <row r="366" ht="12.9" customHeight="1">
      <c r="B366" t="s" s="10">
        <v>996</v>
      </c>
      <c r="C366" t="s" s="11">
        <v>704</v>
      </c>
      <c r="D366" s="12">
        <v>45516</v>
      </c>
      <c r="E366" t="s" s="13">
        <v>602</v>
      </c>
      <c r="F366" t="s" s="13">
        <v>686</v>
      </c>
      <c r="G366" s="14">
        <v>2</v>
      </c>
      <c r="H366" s="15">
        <v>224.9925</v>
      </c>
      <c r="I366" s="15">
        <v>449.985</v>
      </c>
    </row>
    <row r="367" ht="12.9" customHeight="1">
      <c r="B367" t="s" s="10">
        <v>996</v>
      </c>
      <c r="C367" t="s" s="11">
        <v>704</v>
      </c>
      <c r="D367" s="12">
        <v>45516</v>
      </c>
      <c r="E367" t="s" s="13">
        <v>887</v>
      </c>
      <c r="F367" t="s" s="13">
        <v>888</v>
      </c>
      <c r="G367" s="14">
        <v>1</v>
      </c>
      <c r="H367" s="15">
        <v>37.4925</v>
      </c>
      <c r="I367" s="15">
        <v>37.4925</v>
      </c>
    </row>
    <row r="368" ht="12.9" customHeight="1">
      <c r="B368" t="s" s="10">
        <v>997</v>
      </c>
      <c r="C368" t="s" s="11">
        <v>476</v>
      </c>
      <c r="D368" s="12">
        <v>45516</v>
      </c>
      <c r="E368" t="s" s="13">
        <v>47</v>
      </c>
      <c r="F368" s="16"/>
      <c r="G368" s="14">
        <v>1</v>
      </c>
      <c r="H368" s="15">
        <v>45</v>
      </c>
      <c r="I368" s="15">
        <v>45</v>
      </c>
    </row>
    <row r="369" ht="12.9" customHeight="1">
      <c r="B369" t="s" s="10">
        <v>997</v>
      </c>
      <c r="C369" t="s" s="11">
        <v>476</v>
      </c>
      <c r="D369" s="12">
        <v>45516</v>
      </c>
      <c r="E369" t="s" s="13">
        <v>998</v>
      </c>
      <c r="F369" t="s" s="13">
        <v>999</v>
      </c>
      <c r="G369" s="14">
        <v>2</v>
      </c>
      <c r="H369" s="15">
        <v>900</v>
      </c>
      <c r="I369" s="15">
        <v>1800</v>
      </c>
    </row>
    <row r="370" ht="12.9" customHeight="1">
      <c r="B370" t="s" s="10">
        <v>997</v>
      </c>
      <c r="C370" t="s" s="11">
        <v>476</v>
      </c>
      <c r="D370" s="12">
        <v>45516</v>
      </c>
      <c r="E370" t="s" s="13">
        <v>57</v>
      </c>
      <c r="F370" t="s" s="13">
        <v>58</v>
      </c>
      <c r="G370" s="14">
        <v>2</v>
      </c>
      <c r="H370" s="15">
        <v>599.9924999999999</v>
      </c>
      <c r="I370" s="15">
        <v>1199.985</v>
      </c>
    </row>
    <row r="371" ht="12.9" customHeight="1">
      <c r="B371" t="s" s="10">
        <v>997</v>
      </c>
      <c r="C371" t="s" s="11">
        <v>476</v>
      </c>
      <c r="D371" s="12">
        <v>45516</v>
      </c>
      <c r="E371" t="s" s="13">
        <v>125</v>
      </c>
      <c r="F371" t="s" s="13">
        <v>1000</v>
      </c>
      <c r="G371" s="14">
        <v>2</v>
      </c>
      <c r="H371" s="15">
        <v>48.7425</v>
      </c>
      <c r="I371" s="15">
        <v>97.485</v>
      </c>
    </row>
    <row r="372" ht="12.9" customHeight="1">
      <c r="B372" t="s" s="10">
        <v>997</v>
      </c>
      <c r="C372" t="s" s="11">
        <v>476</v>
      </c>
      <c r="D372" s="12">
        <v>45516</v>
      </c>
      <c r="E372" t="s" s="13">
        <v>443</v>
      </c>
      <c r="F372" t="s" s="13">
        <v>444</v>
      </c>
      <c r="G372" s="14">
        <v>4</v>
      </c>
      <c r="H372" s="15">
        <v>2.625</v>
      </c>
      <c r="I372" s="15">
        <v>10.5</v>
      </c>
    </row>
    <row r="373" ht="12.9" customHeight="1">
      <c r="B373" t="s" s="10">
        <v>1001</v>
      </c>
      <c r="C373" t="s" s="11">
        <v>1002</v>
      </c>
      <c r="D373" s="12">
        <v>45516</v>
      </c>
      <c r="E373" t="s" s="13">
        <v>47</v>
      </c>
      <c r="F373" s="16"/>
      <c r="G373" s="14">
        <v>1</v>
      </c>
      <c r="H373" s="15">
        <v>46.9</v>
      </c>
      <c r="I373" s="15">
        <v>46.9</v>
      </c>
    </row>
    <row r="374" ht="12.9" customHeight="1">
      <c r="B374" t="s" s="10">
        <v>1001</v>
      </c>
      <c r="C374" t="s" s="11">
        <v>1002</v>
      </c>
      <c r="D374" s="12">
        <v>45516</v>
      </c>
      <c r="E374" t="s" s="13">
        <v>948</v>
      </c>
      <c r="F374" t="s" s="13">
        <v>1003</v>
      </c>
      <c r="G374" s="14">
        <v>2</v>
      </c>
      <c r="H374" s="15">
        <v>55.99</v>
      </c>
      <c r="I374" s="15">
        <v>111.98</v>
      </c>
    </row>
    <row r="375" ht="12.9" customHeight="1">
      <c r="B375" t="s" s="10">
        <v>1001</v>
      </c>
      <c r="C375" t="s" s="11">
        <v>1002</v>
      </c>
      <c r="D375" s="12">
        <v>45516</v>
      </c>
      <c r="E375" t="s" s="13">
        <v>123</v>
      </c>
      <c r="F375" t="s" s="13">
        <v>124</v>
      </c>
      <c r="G375" s="14">
        <v>2</v>
      </c>
      <c r="H375" s="15">
        <v>179.99</v>
      </c>
      <c r="I375" s="15">
        <v>359.98</v>
      </c>
    </row>
    <row r="376" ht="12.9" customHeight="1">
      <c r="B376" t="s" s="10">
        <v>1001</v>
      </c>
      <c r="C376" t="s" s="11">
        <v>1002</v>
      </c>
      <c r="D376" s="12">
        <v>45516</v>
      </c>
      <c r="E376" t="s" s="13">
        <v>882</v>
      </c>
      <c r="F376" t="s" s="13">
        <v>1004</v>
      </c>
      <c r="G376" s="14">
        <v>2</v>
      </c>
      <c r="H376" s="15">
        <v>79.98999999999999</v>
      </c>
      <c r="I376" s="15">
        <v>159.98</v>
      </c>
    </row>
    <row r="377" ht="12.9" customHeight="1">
      <c r="B377" t="s" s="10">
        <v>1001</v>
      </c>
      <c r="C377" t="s" s="11">
        <v>1002</v>
      </c>
      <c r="D377" s="12">
        <v>45516</v>
      </c>
      <c r="E377" t="s" s="13">
        <v>23</v>
      </c>
      <c r="F377" t="s" s="13">
        <v>24</v>
      </c>
      <c r="G377" s="14">
        <v>4</v>
      </c>
      <c r="H377" s="15">
        <v>149.99</v>
      </c>
      <c r="I377" s="15">
        <v>599.96</v>
      </c>
    </row>
    <row r="378" ht="12.9" customHeight="1">
      <c r="B378" t="s" s="10">
        <v>1001</v>
      </c>
      <c r="C378" t="s" s="11">
        <v>1002</v>
      </c>
      <c r="D378" s="12">
        <v>45516</v>
      </c>
      <c r="E378" t="s" s="13">
        <v>73</v>
      </c>
      <c r="F378" t="s" s="13">
        <v>74</v>
      </c>
      <c r="G378" s="14">
        <v>1</v>
      </c>
      <c r="H378" s="15">
        <v>399.99</v>
      </c>
      <c r="I378" s="15">
        <v>399.99</v>
      </c>
    </row>
    <row r="379" ht="12.9" customHeight="1">
      <c r="B379" t="s" s="10">
        <v>1005</v>
      </c>
      <c r="C379" t="s" s="11">
        <v>1006</v>
      </c>
      <c r="D379" s="12">
        <v>45516</v>
      </c>
      <c r="E379" t="s" s="13">
        <v>1007</v>
      </c>
      <c r="F379" t="s" s="13">
        <v>1008</v>
      </c>
      <c r="G379" s="14">
        <v>1</v>
      </c>
      <c r="H379" s="15">
        <v>0</v>
      </c>
      <c r="I379" s="15">
        <v>0</v>
      </c>
    </row>
    <row r="380" ht="12.9" customHeight="1">
      <c r="B380" t="s" s="10">
        <v>1009</v>
      </c>
      <c r="C380" t="s" s="11">
        <v>605</v>
      </c>
      <c r="D380" s="12">
        <v>45515.777083773151</v>
      </c>
      <c r="E380" t="s" s="13">
        <v>27</v>
      </c>
      <c r="F380" t="s" s="13">
        <v>28</v>
      </c>
      <c r="G380" s="14">
        <v>1</v>
      </c>
      <c r="H380" s="15">
        <v>79.98999999999999</v>
      </c>
      <c r="I380" s="15">
        <v>79.98999999999999</v>
      </c>
    </row>
    <row r="381" ht="12.9" customHeight="1">
      <c r="B381" t="s" s="10">
        <v>1010</v>
      </c>
      <c r="C381" t="s" s="11">
        <v>1011</v>
      </c>
      <c r="D381" s="12">
        <v>45515.319541712961</v>
      </c>
      <c r="E381" t="s" s="13">
        <v>89</v>
      </c>
      <c r="F381" t="s" s="13">
        <v>90</v>
      </c>
      <c r="G381" s="14">
        <v>1</v>
      </c>
      <c r="H381" s="15">
        <v>59.99</v>
      </c>
      <c r="I381" s="15">
        <v>59.99</v>
      </c>
    </row>
    <row r="382" ht="12.9" customHeight="1">
      <c r="B382" t="s" s="10">
        <v>1012</v>
      </c>
      <c r="C382" t="s" s="11">
        <v>1013</v>
      </c>
      <c r="D382" s="12">
        <v>45515.173876666668</v>
      </c>
      <c r="E382" t="s" s="13">
        <v>11</v>
      </c>
      <c r="F382" t="s" s="13">
        <v>12</v>
      </c>
      <c r="G382" s="14">
        <v>1</v>
      </c>
      <c r="H382" s="15">
        <v>399.99</v>
      </c>
      <c r="I382" s="15">
        <v>399.99</v>
      </c>
    </row>
    <row r="383" ht="12.9" customHeight="1">
      <c r="B383" t="s" s="10">
        <v>1014</v>
      </c>
      <c r="C383" t="s" s="11">
        <v>1015</v>
      </c>
      <c r="D383" s="12">
        <v>45514.977903796294</v>
      </c>
      <c r="E383" t="s" s="13">
        <v>27</v>
      </c>
      <c r="F383" t="s" s="13">
        <v>28</v>
      </c>
      <c r="G383" s="14">
        <v>1</v>
      </c>
      <c r="H383" s="15">
        <v>79.98999999999999</v>
      </c>
      <c r="I383" s="15">
        <v>79.98999999999999</v>
      </c>
    </row>
    <row r="384" ht="12.9" customHeight="1">
      <c r="B384" t="s" s="10">
        <v>1016</v>
      </c>
      <c r="C384" t="s" s="11">
        <v>1017</v>
      </c>
      <c r="D384" s="12">
        <v>45514.657789398145</v>
      </c>
      <c r="E384" t="s" s="13">
        <v>35</v>
      </c>
      <c r="F384" t="s" s="13">
        <v>36</v>
      </c>
      <c r="G384" s="14">
        <v>2</v>
      </c>
      <c r="H384" s="15">
        <v>49.99</v>
      </c>
      <c r="I384" s="15">
        <v>99.98</v>
      </c>
    </row>
    <row r="385" ht="12.9" customHeight="1">
      <c r="B385" t="s" s="10">
        <v>1018</v>
      </c>
      <c r="C385" t="s" s="11">
        <v>1019</v>
      </c>
      <c r="D385" s="12">
        <v>45513.926577939812</v>
      </c>
      <c r="E385" t="s" s="13">
        <v>11</v>
      </c>
      <c r="F385" t="s" s="13">
        <v>12</v>
      </c>
      <c r="G385" s="14">
        <v>1</v>
      </c>
      <c r="H385" s="15">
        <v>399.99</v>
      </c>
      <c r="I385" s="15">
        <v>399.99</v>
      </c>
    </row>
    <row r="386" ht="12.9" customHeight="1">
      <c r="B386" t="s" s="10">
        <v>1020</v>
      </c>
      <c r="C386" t="s" s="11">
        <v>1021</v>
      </c>
      <c r="D386" s="12">
        <v>45513.692309120372</v>
      </c>
      <c r="E386" t="s" s="13">
        <v>11</v>
      </c>
      <c r="F386" t="s" s="13">
        <v>12</v>
      </c>
      <c r="G386" s="14">
        <v>1</v>
      </c>
      <c r="H386" s="15">
        <v>399.99</v>
      </c>
      <c r="I386" s="15">
        <v>399.99</v>
      </c>
    </row>
    <row r="387" ht="12.9" customHeight="1">
      <c r="B387" t="s" s="10">
        <v>1020</v>
      </c>
      <c r="C387" t="s" s="11">
        <v>1021</v>
      </c>
      <c r="D387" s="12">
        <v>45513.692309120372</v>
      </c>
      <c r="E387" t="s" s="13">
        <v>15</v>
      </c>
      <c r="F387" t="s" s="13">
        <v>16</v>
      </c>
      <c r="G387" s="14">
        <v>1</v>
      </c>
      <c r="H387" s="15">
        <v>9.99</v>
      </c>
      <c r="I387" s="15">
        <v>9.99</v>
      </c>
    </row>
    <row r="388" ht="12.9" customHeight="1">
      <c r="B388" t="s" s="10">
        <v>1020</v>
      </c>
      <c r="C388" t="s" s="11">
        <v>1021</v>
      </c>
      <c r="D388" s="12">
        <v>45513.692309120372</v>
      </c>
      <c r="E388" t="s" s="13">
        <v>119</v>
      </c>
      <c r="F388" t="s" s="13">
        <v>120</v>
      </c>
      <c r="G388" s="14">
        <v>4</v>
      </c>
      <c r="H388" s="15">
        <v>1.99</v>
      </c>
      <c r="I388" s="15">
        <v>7.96</v>
      </c>
    </row>
    <row r="389" ht="12.9" customHeight="1">
      <c r="B389" t="s" s="10">
        <v>1020</v>
      </c>
      <c r="C389" t="s" s="11">
        <v>1021</v>
      </c>
      <c r="D389" s="12">
        <v>45513.692309120372</v>
      </c>
      <c r="E389" t="s" s="13">
        <v>133</v>
      </c>
      <c r="F389" t="s" s="13">
        <v>134</v>
      </c>
      <c r="G389" s="14">
        <v>1</v>
      </c>
      <c r="H389" s="15">
        <v>199.99</v>
      </c>
      <c r="I389" s="15">
        <v>199.99</v>
      </c>
    </row>
    <row r="390" ht="12.9" customHeight="1">
      <c r="B390" t="s" s="10">
        <v>1020</v>
      </c>
      <c r="C390" t="s" s="11">
        <v>1021</v>
      </c>
      <c r="D390" s="12">
        <v>45513.692309120372</v>
      </c>
      <c r="E390" t="s" s="13">
        <v>54</v>
      </c>
      <c r="F390" t="s" s="13">
        <v>93</v>
      </c>
      <c r="G390" s="14">
        <v>1</v>
      </c>
      <c r="H390" s="15">
        <v>9.99</v>
      </c>
      <c r="I390" s="15">
        <v>9.99</v>
      </c>
    </row>
    <row r="391" ht="12.9" customHeight="1">
      <c r="B391" t="s" s="10">
        <v>1022</v>
      </c>
      <c r="C391" t="s" s="11">
        <v>1023</v>
      </c>
      <c r="D391" s="12">
        <v>45513.617472569444</v>
      </c>
      <c r="E391" t="s" s="13">
        <v>31</v>
      </c>
      <c r="F391" t="s" s="13">
        <v>32</v>
      </c>
      <c r="G391" s="14">
        <v>1</v>
      </c>
      <c r="H391" s="15">
        <v>599.99</v>
      </c>
      <c r="I391" s="15">
        <v>599.99</v>
      </c>
    </row>
    <row r="392" ht="12.9" customHeight="1">
      <c r="B392" t="s" s="10">
        <v>1024</v>
      </c>
      <c r="C392" t="s" s="11">
        <v>1025</v>
      </c>
      <c r="D392" s="12">
        <v>45513.350293784722</v>
      </c>
      <c r="E392" t="s" s="13">
        <v>35</v>
      </c>
      <c r="F392" t="s" s="13">
        <v>36</v>
      </c>
      <c r="G392" s="14">
        <v>1</v>
      </c>
      <c r="H392" s="15">
        <v>49.99</v>
      </c>
      <c r="I392" s="15">
        <v>49.99</v>
      </c>
    </row>
    <row r="393" ht="12.9" customHeight="1">
      <c r="B393" t="s" s="10">
        <v>1024</v>
      </c>
      <c r="C393" t="s" s="11">
        <v>1025</v>
      </c>
      <c r="D393" s="12">
        <v>45513.350293784722</v>
      </c>
      <c r="E393" t="s" s="13">
        <v>95</v>
      </c>
      <c r="F393" t="s" s="13">
        <v>12</v>
      </c>
      <c r="G393" s="14">
        <v>1</v>
      </c>
      <c r="H393" s="15">
        <v>349.99</v>
      </c>
      <c r="I393" s="15">
        <v>349.99</v>
      </c>
    </row>
    <row r="394" ht="12.9" customHeight="1">
      <c r="B394" t="s" s="10">
        <v>1026</v>
      </c>
      <c r="C394" t="s" s="11">
        <v>1027</v>
      </c>
      <c r="D394" s="12">
        <v>45513.1026853588</v>
      </c>
      <c r="E394" t="s" s="13">
        <v>225</v>
      </c>
      <c r="F394" t="s" s="13">
        <v>226</v>
      </c>
      <c r="G394" s="14">
        <v>16</v>
      </c>
      <c r="H394" s="15">
        <v>499.99</v>
      </c>
      <c r="I394" s="15">
        <v>7999.84</v>
      </c>
    </row>
    <row r="395" ht="12.9" customHeight="1">
      <c r="B395" t="s" s="10">
        <v>1026</v>
      </c>
      <c r="C395" t="s" s="11">
        <v>1027</v>
      </c>
      <c r="D395" s="12">
        <v>45513.1026853588</v>
      </c>
      <c r="E395" t="s" s="13">
        <v>227</v>
      </c>
      <c r="F395" t="s" s="13">
        <v>228</v>
      </c>
      <c r="G395" s="14">
        <v>16</v>
      </c>
      <c r="H395" s="15">
        <v>0</v>
      </c>
      <c r="I395" s="15">
        <v>0</v>
      </c>
    </row>
    <row r="396" ht="12.9" customHeight="1">
      <c r="B396" t="s" s="10">
        <v>1028</v>
      </c>
      <c r="C396" t="s" s="11">
        <v>188</v>
      </c>
      <c r="D396" s="12">
        <v>45513</v>
      </c>
      <c r="E396" t="s" s="13">
        <v>698</v>
      </c>
      <c r="F396" t="s" s="13">
        <v>699</v>
      </c>
      <c r="G396" s="14">
        <v>4</v>
      </c>
      <c r="H396" s="15">
        <v>19.99</v>
      </c>
      <c r="I396" s="15">
        <v>79.95999999999999</v>
      </c>
    </row>
    <row r="397" ht="12.9" customHeight="1">
      <c r="B397" t="s" s="10">
        <v>1029</v>
      </c>
      <c r="C397" t="s" s="11">
        <v>188</v>
      </c>
      <c r="D397" s="12">
        <v>45513</v>
      </c>
      <c r="E397" t="s" s="13">
        <v>1030</v>
      </c>
      <c r="F397" t="s" s="13">
        <v>1031</v>
      </c>
      <c r="G397" s="14">
        <v>1</v>
      </c>
      <c r="H397" s="15">
        <v>0</v>
      </c>
      <c r="I397" s="15">
        <v>0</v>
      </c>
    </row>
    <row r="398" ht="12.9" customHeight="1">
      <c r="B398" t="s" s="10">
        <v>1032</v>
      </c>
      <c r="C398" t="s" s="11">
        <v>1033</v>
      </c>
      <c r="D398" s="12">
        <v>45512.830964560184</v>
      </c>
      <c r="E398" t="s" s="13">
        <v>95</v>
      </c>
      <c r="F398" t="s" s="13">
        <v>12</v>
      </c>
      <c r="G398" s="14">
        <v>2</v>
      </c>
      <c r="H398" s="15">
        <v>349.99</v>
      </c>
      <c r="I398" s="15">
        <v>699.98</v>
      </c>
    </row>
    <row r="399" ht="12.9" customHeight="1">
      <c r="B399" t="s" s="10">
        <v>1034</v>
      </c>
      <c r="C399" t="s" s="11">
        <v>1035</v>
      </c>
      <c r="D399" s="12">
        <v>45512.785523599538</v>
      </c>
      <c r="E399" t="s" s="13">
        <v>95</v>
      </c>
      <c r="F399" t="s" s="13">
        <v>12</v>
      </c>
      <c r="G399" s="14">
        <v>1</v>
      </c>
      <c r="H399" s="15">
        <v>349.99</v>
      </c>
      <c r="I399" s="15">
        <v>349.99</v>
      </c>
    </row>
    <row r="400" ht="12.9" customHeight="1">
      <c r="B400" t="s" s="10">
        <v>1036</v>
      </c>
      <c r="C400" t="s" s="11">
        <v>1037</v>
      </c>
      <c r="D400" s="12">
        <v>45512.766264733793</v>
      </c>
      <c r="E400" t="s" s="13">
        <v>95</v>
      </c>
      <c r="F400" t="s" s="13">
        <v>12</v>
      </c>
      <c r="G400" s="14">
        <v>1</v>
      </c>
      <c r="H400" s="15">
        <v>349.99</v>
      </c>
      <c r="I400" s="15">
        <v>349.99</v>
      </c>
    </row>
    <row r="401" ht="12.9" customHeight="1">
      <c r="B401" t="s" s="10">
        <v>1038</v>
      </c>
      <c r="C401" t="s" s="11">
        <v>610</v>
      </c>
      <c r="D401" s="12">
        <v>45512.166522754633</v>
      </c>
      <c r="E401" t="s" s="13">
        <v>95</v>
      </c>
      <c r="F401" t="s" s="13">
        <v>12</v>
      </c>
      <c r="G401" s="14">
        <v>1</v>
      </c>
      <c r="H401" s="15">
        <v>324.99</v>
      </c>
      <c r="I401" s="15">
        <v>324.99</v>
      </c>
    </row>
    <row r="402" ht="12.9" customHeight="1">
      <c r="B402" t="s" s="10">
        <v>1039</v>
      </c>
      <c r="C402" t="s" s="11">
        <v>1040</v>
      </c>
      <c r="D402" s="12">
        <v>45512.0531324537</v>
      </c>
      <c r="E402" t="s" s="13">
        <v>95</v>
      </c>
      <c r="F402" t="s" s="13">
        <v>12</v>
      </c>
      <c r="G402" s="14">
        <v>2</v>
      </c>
      <c r="H402" s="15">
        <v>349.99</v>
      </c>
      <c r="I402" s="15">
        <v>699.98</v>
      </c>
    </row>
    <row r="403" ht="12.9" customHeight="1">
      <c r="B403" t="s" s="10">
        <v>1041</v>
      </c>
      <c r="C403" t="s" s="11">
        <v>1035</v>
      </c>
      <c r="D403" s="12">
        <v>45512</v>
      </c>
      <c r="E403" t="s" s="13">
        <v>35</v>
      </c>
      <c r="F403" t="s" s="13">
        <v>36</v>
      </c>
      <c r="G403" s="14">
        <v>2</v>
      </c>
      <c r="H403" s="15">
        <v>39.99</v>
      </c>
      <c r="I403" s="15">
        <v>79.98</v>
      </c>
    </row>
    <row r="404" ht="12.9" customHeight="1">
      <c r="B404" t="s" s="10">
        <v>1042</v>
      </c>
      <c r="C404" t="s" s="11">
        <v>1043</v>
      </c>
      <c r="D404" s="12">
        <v>45512</v>
      </c>
      <c r="E404" t="s" s="13">
        <v>59</v>
      </c>
      <c r="F404" t="s" s="13">
        <v>60</v>
      </c>
      <c r="G404" s="14">
        <v>1</v>
      </c>
      <c r="H404" s="15">
        <v>1199.99</v>
      </c>
      <c r="I404" s="15">
        <v>1199.99</v>
      </c>
    </row>
    <row r="405" ht="12.9" customHeight="1">
      <c r="B405" t="s" s="10">
        <v>1042</v>
      </c>
      <c r="C405" t="s" s="11">
        <v>1043</v>
      </c>
      <c r="D405" s="12">
        <v>45512</v>
      </c>
      <c r="E405" t="s" s="13">
        <v>1044</v>
      </c>
      <c r="F405" t="s" s="13">
        <v>1045</v>
      </c>
      <c r="G405" s="14">
        <v>8</v>
      </c>
      <c r="H405" s="15">
        <v>0</v>
      </c>
      <c r="I405" s="15">
        <v>0</v>
      </c>
    </row>
    <row r="406" ht="12.9" customHeight="1">
      <c r="B406" t="s" s="10">
        <v>1042</v>
      </c>
      <c r="C406" t="s" s="11">
        <v>1043</v>
      </c>
      <c r="D406" s="12">
        <v>45512</v>
      </c>
      <c r="E406" t="s" s="13">
        <v>1046</v>
      </c>
      <c r="F406" t="s" s="13">
        <v>1047</v>
      </c>
      <c r="G406" s="14">
        <v>8</v>
      </c>
      <c r="H406" s="15">
        <v>0</v>
      </c>
      <c r="I406" s="15">
        <v>0</v>
      </c>
    </row>
    <row r="407" ht="12.9" customHeight="1">
      <c r="B407" t="s" s="10">
        <v>1042</v>
      </c>
      <c r="C407" t="s" s="11">
        <v>1043</v>
      </c>
      <c r="D407" s="12">
        <v>45512</v>
      </c>
      <c r="E407" t="s" s="13">
        <v>1048</v>
      </c>
      <c r="F407" t="s" s="13">
        <v>1049</v>
      </c>
      <c r="G407" s="14">
        <v>8</v>
      </c>
      <c r="H407" s="15">
        <v>0</v>
      </c>
      <c r="I407" s="15">
        <v>0</v>
      </c>
    </row>
    <row r="408" ht="12.9" customHeight="1">
      <c r="B408" t="s" s="10">
        <v>1050</v>
      </c>
      <c r="C408" t="s" s="11">
        <v>476</v>
      </c>
      <c r="D408" s="12">
        <v>45512</v>
      </c>
      <c r="E408" t="s" s="13">
        <v>722</v>
      </c>
      <c r="F408" t="s" s="13">
        <v>82</v>
      </c>
      <c r="G408" s="14">
        <v>2</v>
      </c>
      <c r="H408" s="15">
        <v>652.4924999999999</v>
      </c>
      <c r="I408" s="15">
        <v>1304.985</v>
      </c>
    </row>
    <row r="409" ht="12.9" customHeight="1">
      <c r="B409" t="s" s="10">
        <v>1050</v>
      </c>
      <c r="C409" t="s" s="11">
        <v>476</v>
      </c>
      <c r="D409" s="12">
        <v>45512</v>
      </c>
      <c r="E409" t="s" s="13">
        <v>50</v>
      </c>
      <c r="F409" t="s" s="13">
        <v>51</v>
      </c>
      <c r="G409" s="14">
        <v>2</v>
      </c>
      <c r="H409" s="15">
        <v>0</v>
      </c>
      <c r="I409" s="15">
        <v>0</v>
      </c>
    </row>
    <row r="410" ht="12.9" customHeight="1">
      <c r="B410" t="s" s="10">
        <v>1050</v>
      </c>
      <c r="C410" t="s" s="11">
        <v>476</v>
      </c>
      <c r="D410" s="12">
        <v>45512</v>
      </c>
      <c r="E410" t="s" s="13">
        <v>998</v>
      </c>
      <c r="F410" t="s" s="13">
        <v>999</v>
      </c>
      <c r="G410" s="14">
        <v>2</v>
      </c>
      <c r="H410" s="15">
        <v>974.9924999999999</v>
      </c>
      <c r="I410" s="15">
        <v>1949.985</v>
      </c>
    </row>
    <row r="411" ht="12.9" customHeight="1">
      <c r="B411" t="s" s="10">
        <v>1050</v>
      </c>
      <c r="C411" t="s" s="11">
        <v>476</v>
      </c>
      <c r="D411" s="12">
        <v>45512</v>
      </c>
      <c r="E411" t="s" s="13">
        <v>50</v>
      </c>
      <c r="F411" t="s" s="13">
        <v>51</v>
      </c>
      <c r="G411" s="14">
        <v>2</v>
      </c>
      <c r="H411" s="15">
        <v>0</v>
      </c>
      <c r="I411" s="15">
        <v>0</v>
      </c>
    </row>
    <row r="412" ht="12.9" customHeight="1">
      <c r="B412" t="s" s="10">
        <v>1050</v>
      </c>
      <c r="C412" t="s" s="11">
        <v>476</v>
      </c>
      <c r="D412" s="12">
        <v>45512</v>
      </c>
      <c r="E412" t="s" s="13">
        <v>73</v>
      </c>
      <c r="F412" t="s" s="13">
        <v>74</v>
      </c>
      <c r="G412" s="14">
        <v>1</v>
      </c>
      <c r="H412" s="15">
        <v>299.9925</v>
      </c>
      <c r="I412" s="15">
        <v>299.9925</v>
      </c>
    </row>
    <row r="413" ht="12.9" customHeight="1">
      <c r="B413" t="s" s="10">
        <v>1050</v>
      </c>
      <c r="C413" t="s" s="11">
        <v>476</v>
      </c>
      <c r="D413" s="12">
        <v>45512</v>
      </c>
      <c r="E413" t="s" s="13">
        <v>143</v>
      </c>
      <c r="F413" t="s" s="13">
        <v>144</v>
      </c>
      <c r="G413" s="14">
        <v>1</v>
      </c>
      <c r="H413" s="15">
        <v>2399.9925</v>
      </c>
      <c r="I413" s="15">
        <v>2399.9925</v>
      </c>
    </row>
    <row r="414" ht="12.9" customHeight="1">
      <c r="B414" t="s" s="10">
        <v>1050</v>
      </c>
      <c r="C414" t="s" s="11">
        <v>476</v>
      </c>
      <c r="D414" s="12">
        <v>45512</v>
      </c>
      <c r="E414" t="s" s="13">
        <v>35</v>
      </c>
      <c r="F414" t="s" s="13">
        <v>36</v>
      </c>
      <c r="G414" s="14">
        <v>4</v>
      </c>
      <c r="H414" s="15">
        <v>37.4925</v>
      </c>
      <c r="I414" s="15">
        <v>149.97</v>
      </c>
    </row>
    <row r="415" ht="12.9" customHeight="1">
      <c r="B415" t="s" s="10">
        <v>1050</v>
      </c>
      <c r="C415" t="s" s="11">
        <v>476</v>
      </c>
      <c r="D415" s="12">
        <v>45512</v>
      </c>
      <c r="E415" t="s" s="13">
        <v>133</v>
      </c>
      <c r="F415" t="s" s="13">
        <v>134</v>
      </c>
      <c r="G415" s="14">
        <v>4</v>
      </c>
      <c r="H415" s="15">
        <v>37.5</v>
      </c>
      <c r="I415" s="15">
        <v>150</v>
      </c>
    </row>
    <row r="416" ht="12.9" customHeight="1">
      <c r="B416" t="s" s="10">
        <v>1050</v>
      </c>
      <c r="C416" t="s" s="11">
        <v>476</v>
      </c>
      <c r="D416" s="12">
        <v>45512</v>
      </c>
      <c r="E416" t="s" s="13">
        <v>781</v>
      </c>
      <c r="F416" t="s" s="13">
        <v>1051</v>
      </c>
      <c r="G416" s="14">
        <v>2</v>
      </c>
      <c r="H416" s="15">
        <v>0</v>
      </c>
      <c r="I416" s="15">
        <v>0</v>
      </c>
    </row>
    <row r="417" ht="12.9" customHeight="1">
      <c r="B417" t="s" s="10">
        <v>1050</v>
      </c>
      <c r="C417" t="s" s="11">
        <v>476</v>
      </c>
      <c r="D417" s="12">
        <v>45512</v>
      </c>
      <c r="E417" t="s" s="13">
        <v>54</v>
      </c>
      <c r="F417" t="s" s="13">
        <v>565</v>
      </c>
      <c r="G417" s="14">
        <v>4</v>
      </c>
      <c r="H417" s="15">
        <v>0</v>
      </c>
      <c r="I417" s="15">
        <v>0</v>
      </c>
    </row>
    <row r="418" ht="12.9" customHeight="1">
      <c r="B418" t="s" s="10">
        <v>1050</v>
      </c>
      <c r="C418" t="s" s="11">
        <v>476</v>
      </c>
      <c r="D418" s="12">
        <v>45512</v>
      </c>
      <c r="E418" t="s" s="13">
        <v>489</v>
      </c>
      <c r="F418" t="s" s="13">
        <v>490</v>
      </c>
      <c r="G418" s="14">
        <v>1</v>
      </c>
      <c r="H418" s="15">
        <v>1199.9925</v>
      </c>
      <c r="I418" s="15">
        <v>1199.9925</v>
      </c>
    </row>
    <row r="419" ht="12.9" customHeight="1">
      <c r="B419" t="s" s="10">
        <v>1050</v>
      </c>
      <c r="C419" t="s" s="11">
        <v>476</v>
      </c>
      <c r="D419" s="12">
        <v>45512</v>
      </c>
      <c r="E419" t="s" s="13">
        <v>491</v>
      </c>
      <c r="F419" t="s" s="13">
        <v>492</v>
      </c>
      <c r="G419" s="14">
        <v>3</v>
      </c>
      <c r="H419" s="15">
        <v>0</v>
      </c>
      <c r="I419" s="15">
        <v>0</v>
      </c>
    </row>
    <row r="420" ht="12.9" customHeight="1">
      <c r="B420" t="s" s="10">
        <v>1050</v>
      </c>
      <c r="C420" t="s" s="11">
        <v>476</v>
      </c>
      <c r="D420" s="12">
        <v>45512</v>
      </c>
      <c r="E420" t="s" s="13">
        <v>493</v>
      </c>
      <c r="F420" t="s" s="13">
        <v>494</v>
      </c>
      <c r="G420" s="14">
        <v>1</v>
      </c>
      <c r="H420" s="15">
        <v>0</v>
      </c>
      <c r="I420" s="15">
        <v>0</v>
      </c>
    </row>
    <row r="421" ht="12.9" customHeight="1">
      <c r="B421" t="s" s="10">
        <v>1052</v>
      </c>
      <c r="C421" t="s" s="11">
        <v>1053</v>
      </c>
      <c r="D421" s="12">
        <v>45512</v>
      </c>
      <c r="E421" t="s" s="13">
        <v>63</v>
      </c>
      <c r="F421" s="16"/>
      <c r="G421" s="14">
        <v>1</v>
      </c>
      <c r="H421" s="15">
        <v>189.5</v>
      </c>
      <c r="I421" s="15">
        <v>189.5</v>
      </c>
    </row>
    <row r="422" ht="12.9" customHeight="1">
      <c r="B422" t="s" s="10">
        <v>1052</v>
      </c>
      <c r="C422" t="s" s="11">
        <v>1053</v>
      </c>
      <c r="D422" s="12">
        <v>45512</v>
      </c>
      <c r="E422" t="s" s="13">
        <v>123</v>
      </c>
      <c r="F422" t="s" s="13">
        <v>124</v>
      </c>
      <c r="G422" s="14">
        <v>2</v>
      </c>
      <c r="H422" s="15">
        <v>134.9925</v>
      </c>
      <c r="I422" s="15">
        <v>269.985</v>
      </c>
    </row>
    <row r="423" ht="12.9" customHeight="1">
      <c r="B423" t="s" s="10">
        <v>1052</v>
      </c>
      <c r="C423" t="s" s="11">
        <v>1053</v>
      </c>
      <c r="D423" s="12">
        <v>45512</v>
      </c>
      <c r="E423" t="s" s="13">
        <v>299</v>
      </c>
      <c r="F423" t="s" s="13">
        <v>300</v>
      </c>
      <c r="G423" s="14">
        <v>8</v>
      </c>
      <c r="H423" s="15">
        <v>52.4925</v>
      </c>
      <c r="I423" s="15">
        <v>419.94</v>
      </c>
    </row>
    <row r="424" ht="12.9" customHeight="1">
      <c r="B424" t="s" s="10">
        <v>1052</v>
      </c>
      <c r="C424" t="s" s="11">
        <v>1053</v>
      </c>
      <c r="D424" s="12">
        <v>45512</v>
      </c>
      <c r="E424" t="s" s="13">
        <v>1054</v>
      </c>
      <c r="F424" t="s" s="13">
        <v>1055</v>
      </c>
      <c r="G424" s="14">
        <v>6</v>
      </c>
      <c r="H424" s="15">
        <v>112.4925</v>
      </c>
      <c r="I424" s="15">
        <v>674.955</v>
      </c>
    </row>
    <row r="425" ht="12.9" customHeight="1">
      <c r="B425" t="s" s="10">
        <v>1052</v>
      </c>
      <c r="C425" t="s" s="11">
        <v>1053</v>
      </c>
      <c r="D425" s="12">
        <v>45512</v>
      </c>
      <c r="E425" t="s" s="13">
        <v>602</v>
      </c>
      <c r="F425" t="s" s="13">
        <v>1056</v>
      </c>
      <c r="G425" s="14">
        <v>3</v>
      </c>
      <c r="H425" s="15">
        <v>224.9925</v>
      </c>
      <c r="I425" s="15">
        <v>674.9775</v>
      </c>
    </row>
    <row r="426" ht="12.9" customHeight="1">
      <c r="B426" t="s" s="10">
        <v>1052</v>
      </c>
      <c r="C426" t="s" s="11">
        <v>1053</v>
      </c>
      <c r="D426" s="12">
        <v>45512</v>
      </c>
      <c r="E426" t="s" s="13">
        <v>89</v>
      </c>
      <c r="F426" t="s" s="13">
        <v>90</v>
      </c>
      <c r="G426" s="14">
        <v>4</v>
      </c>
      <c r="H426" s="15">
        <v>44.9925</v>
      </c>
      <c r="I426" s="15">
        <v>179.97</v>
      </c>
    </row>
    <row r="427" ht="12.9" customHeight="1">
      <c r="B427" t="s" s="10">
        <v>1057</v>
      </c>
      <c r="C427" t="s" s="11">
        <v>1058</v>
      </c>
      <c r="D427" s="12">
        <v>45511.993760439815</v>
      </c>
      <c r="E427" t="s" s="13">
        <v>50</v>
      </c>
      <c r="F427" t="s" s="13">
        <v>83</v>
      </c>
      <c r="G427" s="14">
        <v>1</v>
      </c>
      <c r="H427" s="15">
        <v>29.99</v>
      </c>
      <c r="I427" s="15">
        <v>29.99</v>
      </c>
    </row>
    <row r="428" ht="12.9" customHeight="1">
      <c r="B428" t="s" s="10">
        <v>1059</v>
      </c>
      <c r="C428" t="s" s="11">
        <v>1060</v>
      </c>
      <c r="D428" s="12">
        <v>45511.984962731483</v>
      </c>
      <c r="E428" t="s" s="13">
        <v>31</v>
      </c>
      <c r="F428" t="s" s="13">
        <v>32</v>
      </c>
      <c r="G428" s="14">
        <v>1</v>
      </c>
      <c r="H428" s="15">
        <v>599.99</v>
      </c>
      <c r="I428" s="15">
        <v>599.99</v>
      </c>
    </row>
    <row r="429" ht="12.9" customHeight="1">
      <c r="B429" t="s" s="10">
        <v>1059</v>
      </c>
      <c r="C429" t="s" s="11">
        <v>1060</v>
      </c>
      <c r="D429" s="12">
        <v>45511.984962731483</v>
      </c>
      <c r="E429" t="s" s="13">
        <v>171</v>
      </c>
      <c r="F429" t="s" s="13">
        <v>172</v>
      </c>
      <c r="G429" s="14">
        <v>1</v>
      </c>
      <c r="H429" s="15">
        <v>549.99</v>
      </c>
      <c r="I429" s="15">
        <v>549.99</v>
      </c>
    </row>
    <row r="430" ht="12.9" customHeight="1">
      <c r="B430" t="s" s="10">
        <v>1061</v>
      </c>
      <c r="C430" t="s" s="11">
        <v>1062</v>
      </c>
      <c r="D430" s="12">
        <v>45511.936265127311</v>
      </c>
      <c r="E430" t="s" s="13">
        <v>73</v>
      </c>
      <c r="F430" t="s" s="13">
        <v>74</v>
      </c>
      <c r="G430" s="14">
        <v>1</v>
      </c>
      <c r="H430" s="15">
        <v>399.99</v>
      </c>
      <c r="I430" s="15">
        <v>399.99</v>
      </c>
    </row>
    <row r="431" ht="12.9" customHeight="1">
      <c r="B431" t="s" s="10">
        <v>1063</v>
      </c>
      <c r="C431" t="s" s="11">
        <v>1064</v>
      </c>
      <c r="D431" s="12">
        <v>45511.884544097222</v>
      </c>
      <c r="E431" t="s" s="13">
        <v>81</v>
      </c>
      <c r="F431" t="s" s="13">
        <v>82</v>
      </c>
      <c r="G431" s="14">
        <v>2</v>
      </c>
      <c r="H431" s="15">
        <v>849.99</v>
      </c>
      <c r="I431" s="15">
        <v>1699.98</v>
      </c>
    </row>
    <row r="432" ht="12.9" customHeight="1">
      <c r="B432" t="s" s="10">
        <v>1063</v>
      </c>
      <c r="C432" t="s" s="11">
        <v>1064</v>
      </c>
      <c r="D432" s="12">
        <v>45511.884544097222</v>
      </c>
      <c r="E432" t="s" s="13">
        <v>23</v>
      </c>
      <c r="F432" t="s" s="13">
        <v>24</v>
      </c>
      <c r="G432" s="14">
        <v>2</v>
      </c>
      <c r="H432" s="15">
        <v>0</v>
      </c>
      <c r="I432" s="15">
        <v>0</v>
      </c>
    </row>
    <row r="433" ht="12.9" customHeight="1">
      <c r="B433" t="s" s="10">
        <v>1063</v>
      </c>
      <c r="C433" t="s" s="11">
        <v>1064</v>
      </c>
      <c r="D433" s="12">
        <v>45511.884544097222</v>
      </c>
      <c r="E433" t="s" s="13">
        <v>50</v>
      </c>
      <c r="F433" t="s" s="13">
        <v>83</v>
      </c>
      <c r="G433" s="14">
        <v>2</v>
      </c>
      <c r="H433" s="15">
        <v>0</v>
      </c>
      <c r="I433" s="15">
        <v>0</v>
      </c>
    </row>
    <row r="434" ht="12.9" customHeight="1">
      <c r="B434" t="s" s="10">
        <v>1063</v>
      </c>
      <c r="C434" t="s" s="11">
        <v>1064</v>
      </c>
      <c r="D434" s="12">
        <v>45511.884544097222</v>
      </c>
      <c r="E434" t="s" s="13">
        <v>84</v>
      </c>
      <c r="F434" t="s" s="13">
        <v>85</v>
      </c>
      <c r="G434" s="14">
        <v>2</v>
      </c>
      <c r="H434" s="15">
        <v>0</v>
      </c>
      <c r="I434" s="15">
        <v>0</v>
      </c>
    </row>
    <row r="435" ht="12.9" customHeight="1">
      <c r="B435" t="s" s="10">
        <v>1063</v>
      </c>
      <c r="C435" t="s" s="11">
        <v>1064</v>
      </c>
      <c r="D435" s="12">
        <v>45511.884544097222</v>
      </c>
      <c r="E435" t="s" s="13">
        <v>19</v>
      </c>
      <c r="F435" t="s" s="13">
        <v>20</v>
      </c>
      <c r="G435" s="14">
        <v>10</v>
      </c>
      <c r="H435" s="15">
        <v>119.99</v>
      </c>
      <c r="I435" s="15">
        <v>1199.9</v>
      </c>
    </row>
    <row r="436" ht="12.9" customHeight="1">
      <c r="B436" t="s" s="10">
        <v>1065</v>
      </c>
      <c r="C436" t="s" s="11">
        <v>1066</v>
      </c>
      <c r="D436" s="12">
        <v>45511.874444884263</v>
      </c>
      <c r="E436" t="s" s="13">
        <v>589</v>
      </c>
      <c r="F436" t="s" s="13">
        <v>590</v>
      </c>
      <c r="G436" s="14">
        <v>4</v>
      </c>
      <c r="H436" s="15">
        <v>7.49</v>
      </c>
      <c r="I436" s="15">
        <v>29.96</v>
      </c>
    </row>
    <row r="437" ht="12.9" customHeight="1">
      <c r="B437" t="s" s="10">
        <v>1067</v>
      </c>
      <c r="C437" t="s" s="11">
        <v>1068</v>
      </c>
      <c r="D437" s="12">
        <v>45511.865235636571</v>
      </c>
      <c r="E437" t="s" s="13">
        <v>1069</v>
      </c>
      <c r="F437" t="s" s="13">
        <v>1070</v>
      </c>
      <c r="G437" s="14">
        <v>1</v>
      </c>
      <c r="H437" s="15">
        <v>99.98999999999999</v>
      </c>
      <c r="I437" s="15">
        <v>99.98999999999999</v>
      </c>
    </row>
    <row r="438" ht="12.9" customHeight="1">
      <c r="B438" t="s" s="10">
        <v>1071</v>
      </c>
      <c r="C438" t="s" s="11">
        <v>1072</v>
      </c>
      <c r="D438" s="12">
        <v>45511.8255869213</v>
      </c>
      <c r="E438" t="s" s="13">
        <v>19</v>
      </c>
      <c r="F438" t="s" s="13">
        <v>20</v>
      </c>
      <c r="G438" s="14">
        <v>2</v>
      </c>
      <c r="H438" s="15">
        <v>119.99</v>
      </c>
      <c r="I438" s="15">
        <v>239.98</v>
      </c>
    </row>
    <row r="439" ht="12.9" customHeight="1">
      <c r="B439" t="s" s="10">
        <v>1073</v>
      </c>
      <c r="C439" t="s" s="11">
        <v>1074</v>
      </c>
      <c r="D439" s="12">
        <v>45511.222719166668</v>
      </c>
      <c r="E439" t="s" s="13">
        <v>345</v>
      </c>
      <c r="F439" t="s" s="13">
        <v>346</v>
      </c>
      <c r="G439" s="14">
        <v>1</v>
      </c>
      <c r="H439" s="15">
        <v>219.99</v>
      </c>
      <c r="I439" s="15">
        <v>219.99</v>
      </c>
    </row>
    <row r="440" ht="12.9" customHeight="1">
      <c r="B440" t="s" s="10">
        <v>1075</v>
      </c>
      <c r="C440" t="s" s="11">
        <v>1011</v>
      </c>
      <c r="D440" s="12">
        <v>45511.218742361110</v>
      </c>
      <c r="E440" t="s" s="13">
        <v>31</v>
      </c>
      <c r="F440" t="s" s="13">
        <v>32</v>
      </c>
      <c r="G440" s="14">
        <v>1</v>
      </c>
      <c r="H440" s="15">
        <v>599.99</v>
      </c>
      <c r="I440" s="15">
        <v>599.99</v>
      </c>
    </row>
    <row r="441" ht="12.9" customHeight="1">
      <c r="B441" t="s" s="10">
        <v>1076</v>
      </c>
      <c r="C441" t="s" s="11">
        <v>236</v>
      </c>
      <c r="D441" s="12">
        <v>45511.174133946763</v>
      </c>
      <c r="E441" t="s" s="13">
        <v>359</v>
      </c>
      <c r="F441" t="s" s="13">
        <v>360</v>
      </c>
      <c r="G441" s="14">
        <v>2</v>
      </c>
      <c r="H441" s="15">
        <v>29.99</v>
      </c>
      <c r="I441" s="15">
        <v>59.98</v>
      </c>
    </row>
    <row r="442" ht="12.9" customHeight="1">
      <c r="B442" t="s" s="10">
        <v>1077</v>
      </c>
      <c r="C442" t="s" s="11">
        <v>506</v>
      </c>
      <c r="D442" s="12">
        <v>45511.106428599538</v>
      </c>
      <c r="E442" t="s" s="13">
        <v>345</v>
      </c>
      <c r="F442" t="s" s="13">
        <v>346</v>
      </c>
      <c r="G442" s="14">
        <v>1</v>
      </c>
      <c r="H442" s="15">
        <v>219.99</v>
      </c>
      <c r="I442" s="15">
        <v>219.99</v>
      </c>
    </row>
    <row r="443" ht="12.9" customHeight="1">
      <c r="B443" t="s" s="10">
        <v>1078</v>
      </c>
      <c r="C443" t="s" s="11">
        <v>896</v>
      </c>
      <c r="D443" s="12">
        <v>45511</v>
      </c>
      <c r="E443" t="s" s="13">
        <v>1079</v>
      </c>
      <c r="F443" s="16"/>
      <c r="G443" s="14">
        <v>1</v>
      </c>
      <c r="H443" s="15">
        <v>300</v>
      </c>
      <c r="I443" s="15">
        <v>300</v>
      </c>
    </row>
    <row r="444" ht="12.9" customHeight="1">
      <c r="B444" t="s" s="10">
        <v>1078</v>
      </c>
      <c r="C444" t="s" s="11">
        <v>896</v>
      </c>
      <c r="D444" s="12">
        <v>45511</v>
      </c>
      <c r="E444" t="s" s="13">
        <v>47</v>
      </c>
      <c r="F444" s="16"/>
      <c r="G444" s="14">
        <v>1</v>
      </c>
      <c r="H444" s="15">
        <v>65</v>
      </c>
      <c r="I444" s="15">
        <v>65</v>
      </c>
    </row>
    <row r="445" ht="12.9" customHeight="1">
      <c r="B445" t="s" s="10">
        <v>1078</v>
      </c>
      <c r="C445" t="s" s="11">
        <v>896</v>
      </c>
      <c r="D445" s="12">
        <v>45511</v>
      </c>
      <c r="E445" t="s" s="13">
        <v>585</v>
      </c>
      <c r="F445" t="s" s="13">
        <v>1080</v>
      </c>
      <c r="G445" s="14">
        <v>6</v>
      </c>
      <c r="H445" s="15">
        <v>374.9925</v>
      </c>
      <c r="I445" s="15">
        <v>2249.955</v>
      </c>
    </row>
    <row r="446" ht="12.9" customHeight="1">
      <c r="B446" t="s" s="10">
        <v>1078</v>
      </c>
      <c r="C446" t="s" s="11">
        <v>896</v>
      </c>
      <c r="D446" s="12">
        <v>45511</v>
      </c>
      <c r="E446" t="s" s="13">
        <v>167</v>
      </c>
      <c r="F446" t="s" s="13">
        <v>1081</v>
      </c>
      <c r="G446" s="14">
        <v>6</v>
      </c>
      <c r="H446" s="15">
        <v>0</v>
      </c>
      <c r="I446" s="15">
        <v>0</v>
      </c>
    </row>
    <row r="447" ht="12.9" customHeight="1">
      <c r="B447" t="s" s="10">
        <v>1082</v>
      </c>
      <c r="C447" t="s" s="11">
        <v>1006</v>
      </c>
      <c r="D447" s="12">
        <v>45511</v>
      </c>
      <c r="E447" t="s" s="13">
        <v>1054</v>
      </c>
      <c r="F447" t="s" s="13">
        <v>1083</v>
      </c>
      <c r="G447" s="14">
        <v>1</v>
      </c>
      <c r="H447" s="15">
        <v>50</v>
      </c>
      <c r="I447" s="15">
        <v>50</v>
      </c>
    </row>
    <row r="448" ht="12.9" customHeight="1">
      <c r="B448" t="s" s="10">
        <v>1082</v>
      </c>
      <c r="C448" t="s" s="11">
        <v>1006</v>
      </c>
      <c r="D448" s="12">
        <v>45511</v>
      </c>
      <c r="E448" t="s" s="13">
        <v>50</v>
      </c>
      <c r="F448" t="s" s="13">
        <v>83</v>
      </c>
      <c r="G448" s="14">
        <v>2</v>
      </c>
      <c r="H448" s="15">
        <v>29.99</v>
      </c>
      <c r="I448" s="15">
        <v>59.98</v>
      </c>
    </row>
    <row r="449" ht="12.9" customHeight="1">
      <c r="B449" t="s" s="10">
        <v>1084</v>
      </c>
      <c r="C449" t="s" s="11">
        <v>1068</v>
      </c>
      <c r="D449" s="12">
        <v>45510.947973032409</v>
      </c>
      <c r="E449" t="s" s="13">
        <v>52</v>
      </c>
      <c r="F449" t="s" s="13">
        <v>321</v>
      </c>
      <c r="G449" s="14">
        <v>2</v>
      </c>
      <c r="H449" s="15">
        <v>19.99</v>
      </c>
      <c r="I449" s="15">
        <v>39.98</v>
      </c>
    </row>
    <row r="450" ht="12.9" customHeight="1">
      <c r="B450" t="s" s="10">
        <v>1085</v>
      </c>
      <c r="C450" t="s" s="11">
        <v>1086</v>
      </c>
      <c r="D450" s="12">
        <v>45510.947898148152</v>
      </c>
      <c r="E450" t="s" s="13">
        <v>487</v>
      </c>
      <c r="F450" t="s" s="13">
        <v>488</v>
      </c>
      <c r="G450" s="14">
        <v>1</v>
      </c>
      <c r="H450" s="15">
        <v>109.99</v>
      </c>
      <c r="I450" s="15">
        <v>109.99</v>
      </c>
    </row>
    <row r="451" ht="12.9" customHeight="1">
      <c r="B451" t="s" s="10">
        <v>1085</v>
      </c>
      <c r="C451" t="s" s="11">
        <v>1086</v>
      </c>
      <c r="D451" s="12">
        <v>45510.947898148152</v>
      </c>
      <c r="E451" t="s" s="13">
        <v>52</v>
      </c>
      <c r="F451" t="s" s="13">
        <v>321</v>
      </c>
      <c r="G451" s="14">
        <v>1</v>
      </c>
      <c r="H451" s="15">
        <v>19.99</v>
      </c>
      <c r="I451" s="15">
        <v>19.99</v>
      </c>
    </row>
    <row r="452" ht="12.9" customHeight="1">
      <c r="B452" t="s" s="10">
        <v>1085</v>
      </c>
      <c r="C452" t="s" s="11">
        <v>1086</v>
      </c>
      <c r="D452" s="12">
        <v>45510.947898148152</v>
      </c>
      <c r="E452" t="s" s="13">
        <v>77</v>
      </c>
      <c r="F452" t="s" s="13">
        <v>78</v>
      </c>
      <c r="G452" s="14">
        <v>1</v>
      </c>
      <c r="H452" s="15">
        <v>19.99</v>
      </c>
      <c r="I452" s="15">
        <v>19.99</v>
      </c>
    </row>
    <row r="453" ht="12.9" customHeight="1">
      <c r="B453" t="s" s="10">
        <v>1085</v>
      </c>
      <c r="C453" t="s" s="11">
        <v>1086</v>
      </c>
      <c r="D453" s="12">
        <v>45510.947898148152</v>
      </c>
      <c r="E453" t="s" s="13">
        <v>146</v>
      </c>
      <c r="F453" t="s" s="13">
        <v>147</v>
      </c>
      <c r="G453" s="14">
        <v>1</v>
      </c>
      <c r="H453" s="15">
        <v>19.99</v>
      </c>
      <c r="I453" s="15">
        <v>19.99</v>
      </c>
    </row>
    <row r="454" ht="12.9" customHeight="1">
      <c r="B454" t="s" s="10">
        <v>1087</v>
      </c>
      <c r="C454" t="s" s="11">
        <v>1088</v>
      </c>
      <c r="D454" s="12">
        <v>45510.822147395833</v>
      </c>
      <c r="E454" t="s" s="13">
        <v>59</v>
      </c>
      <c r="F454" t="s" s="13">
        <v>60</v>
      </c>
      <c r="G454" s="14">
        <v>1</v>
      </c>
      <c r="H454" s="15">
        <v>1199.99</v>
      </c>
      <c r="I454" s="15">
        <v>1199.99</v>
      </c>
    </row>
    <row r="455" ht="12.9" customHeight="1">
      <c r="B455" t="s" s="10">
        <v>1089</v>
      </c>
      <c r="C455" t="s" s="11">
        <v>1090</v>
      </c>
      <c r="D455" s="12">
        <v>45510.808847002314</v>
      </c>
      <c r="E455" t="s" s="13">
        <v>27</v>
      </c>
      <c r="F455" t="s" s="13">
        <v>28</v>
      </c>
      <c r="G455" s="14">
        <v>1</v>
      </c>
      <c r="H455" s="15">
        <v>79.98999999999999</v>
      </c>
      <c r="I455" s="15">
        <v>79.98999999999999</v>
      </c>
    </row>
    <row r="456" ht="12.9" customHeight="1">
      <c r="B456" t="s" s="10">
        <v>1091</v>
      </c>
      <c r="C456" t="s" s="11">
        <v>512</v>
      </c>
      <c r="D456" s="12">
        <v>45510</v>
      </c>
      <c r="E456" t="s" s="13">
        <v>47</v>
      </c>
      <c r="F456" s="16"/>
      <c r="G456" s="14">
        <v>1</v>
      </c>
      <c r="H456" s="15">
        <v>543.21</v>
      </c>
      <c r="I456" s="15">
        <v>543.21</v>
      </c>
    </row>
    <row r="457" ht="12.9" customHeight="1">
      <c r="B457" t="s" s="10">
        <v>1091</v>
      </c>
      <c r="C457" t="s" s="11">
        <v>512</v>
      </c>
      <c r="D457" s="12">
        <v>45510</v>
      </c>
      <c r="E457" t="s" s="13">
        <v>933</v>
      </c>
      <c r="F457" t="s" s="13">
        <v>934</v>
      </c>
      <c r="G457" s="14">
        <v>6</v>
      </c>
      <c r="H457" s="15">
        <v>1169.991</v>
      </c>
      <c r="I457" s="15">
        <v>7019.946</v>
      </c>
    </row>
    <row r="458" ht="12.9" customHeight="1">
      <c r="B458" t="s" s="10">
        <v>1091</v>
      </c>
      <c r="C458" t="s" s="11">
        <v>512</v>
      </c>
      <c r="D458" s="12">
        <v>45510</v>
      </c>
      <c r="E458" t="s" s="13">
        <v>23</v>
      </c>
      <c r="F458" t="s" s="13">
        <v>56</v>
      </c>
      <c r="G458" s="14">
        <v>6</v>
      </c>
      <c r="H458" s="15">
        <v>0</v>
      </c>
      <c r="I458" s="15">
        <v>0</v>
      </c>
    </row>
    <row r="459" ht="12.9" customHeight="1">
      <c r="B459" t="s" s="10">
        <v>1091</v>
      </c>
      <c r="C459" t="s" s="11">
        <v>512</v>
      </c>
      <c r="D459" s="12">
        <v>45510</v>
      </c>
      <c r="E459" t="s" s="13">
        <v>23</v>
      </c>
      <c r="F459" t="s" s="13">
        <v>1092</v>
      </c>
      <c r="G459" s="14">
        <v>1</v>
      </c>
      <c r="H459" s="15">
        <v>134.991</v>
      </c>
      <c r="I459" s="15">
        <v>134.991</v>
      </c>
    </row>
    <row r="460" ht="12.9" customHeight="1">
      <c r="B460" t="s" s="10">
        <v>1091</v>
      </c>
      <c r="C460" t="s" s="11">
        <v>512</v>
      </c>
      <c r="D460" s="12">
        <v>45510</v>
      </c>
      <c r="E460" t="s" s="13">
        <v>50</v>
      </c>
      <c r="F460" t="s" s="13">
        <v>51</v>
      </c>
      <c r="G460" s="14">
        <v>6</v>
      </c>
      <c r="H460" s="15">
        <v>0</v>
      </c>
      <c r="I460" s="15">
        <v>0</v>
      </c>
    </row>
    <row r="461" ht="12.9" customHeight="1">
      <c r="B461" t="s" s="10">
        <v>1091</v>
      </c>
      <c r="C461" t="s" s="11">
        <v>512</v>
      </c>
      <c r="D461" s="12">
        <v>45510</v>
      </c>
      <c r="E461" t="s" s="13">
        <v>52</v>
      </c>
      <c r="F461" t="s" s="13">
        <v>53</v>
      </c>
      <c r="G461" s="14">
        <v>6</v>
      </c>
      <c r="H461" s="15">
        <v>0</v>
      </c>
      <c r="I461" s="15">
        <v>0</v>
      </c>
    </row>
    <row r="462" ht="12.9" customHeight="1">
      <c r="B462" t="s" s="10">
        <v>1091</v>
      </c>
      <c r="C462" t="s" s="11">
        <v>512</v>
      </c>
      <c r="D462" s="12">
        <v>45510</v>
      </c>
      <c r="E462" t="s" s="13">
        <v>57</v>
      </c>
      <c r="F462" t="s" s="13">
        <v>58</v>
      </c>
      <c r="G462" s="14">
        <v>6</v>
      </c>
      <c r="H462" s="15">
        <v>719.991</v>
      </c>
      <c r="I462" s="15">
        <v>4319.946</v>
      </c>
    </row>
    <row r="463" ht="12.9" customHeight="1">
      <c r="B463" t="s" s="10">
        <v>1091</v>
      </c>
      <c r="C463" t="s" s="11">
        <v>512</v>
      </c>
      <c r="D463" s="12">
        <v>45510</v>
      </c>
      <c r="E463" t="s" s="13">
        <v>489</v>
      </c>
      <c r="F463" t="s" s="13">
        <v>490</v>
      </c>
      <c r="G463" s="14">
        <v>1</v>
      </c>
      <c r="H463" s="15">
        <v>1199.9925</v>
      </c>
      <c r="I463" s="15">
        <v>1199.9925</v>
      </c>
    </row>
    <row r="464" ht="12.9" customHeight="1">
      <c r="B464" t="s" s="10">
        <v>1091</v>
      </c>
      <c r="C464" t="s" s="11">
        <v>512</v>
      </c>
      <c r="D464" s="12">
        <v>45510</v>
      </c>
      <c r="E464" t="s" s="13">
        <v>491</v>
      </c>
      <c r="F464" t="s" s="13">
        <v>1093</v>
      </c>
      <c r="G464" s="14">
        <v>3</v>
      </c>
      <c r="H464" s="15">
        <v>0</v>
      </c>
      <c r="I464" s="15">
        <v>0</v>
      </c>
    </row>
    <row r="465" ht="12.9" customHeight="1">
      <c r="B465" t="s" s="10">
        <v>1091</v>
      </c>
      <c r="C465" t="s" s="11">
        <v>512</v>
      </c>
      <c r="D465" s="12">
        <v>45510</v>
      </c>
      <c r="E465" t="s" s="13">
        <v>493</v>
      </c>
      <c r="F465" t="s" s="13">
        <v>494</v>
      </c>
      <c r="G465" s="14">
        <v>1</v>
      </c>
      <c r="H465" s="15">
        <v>0</v>
      </c>
      <c r="I465" s="15">
        <v>0</v>
      </c>
    </row>
    <row r="466" ht="12.9" customHeight="1">
      <c r="B466" t="s" s="10">
        <v>1094</v>
      </c>
      <c r="C466" t="s" s="11">
        <v>353</v>
      </c>
      <c r="D466" s="12">
        <v>45510</v>
      </c>
      <c r="E466" t="s" s="13">
        <v>63</v>
      </c>
      <c r="F466" s="16"/>
      <c r="G466" s="14">
        <v>1</v>
      </c>
      <c r="H466" s="15">
        <v>41.85</v>
      </c>
      <c r="I466" s="15">
        <v>41.85</v>
      </c>
    </row>
    <row r="467" ht="12.9" customHeight="1">
      <c r="B467" t="s" s="10">
        <v>1094</v>
      </c>
      <c r="C467" t="s" s="11">
        <v>353</v>
      </c>
      <c r="D467" s="12">
        <v>45510</v>
      </c>
      <c r="E467" t="s" s="13">
        <v>1095</v>
      </c>
      <c r="F467" t="s" s="13">
        <v>1096</v>
      </c>
      <c r="G467" s="14">
        <v>1</v>
      </c>
      <c r="H467" s="15">
        <v>96.5</v>
      </c>
      <c r="I467" s="15">
        <v>96.5</v>
      </c>
    </row>
    <row r="468" ht="12.9" customHeight="1">
      <c r="B468" t="s" s="10">
        <v>1094</v>
      </c>
      <c r="C468" t="s" s="11">
        <v>353</v>
      </c>
      <c r="D468" s="12">
        <v>45510</v>
      </c>
      <c r="E468" t="s" s="13">
        <v>1097</v>
      </c>
      <c r="F468" t="s" s="13">
        <v>1098</v>
      </c>
      <c r="G468" s="14">
        <v>1</v>
      </c>
      <c r="H468" s="15">
        <v>11.5</v>
      </c>
      <c r="I468" s="15">
        <v>11.5</v>
      </c>
    </row>
    <row r="469" ht="12.9" customHeight="1">
      <c r="B469" t="s" s="10">
        <v>1094</v>
      </c>
      <c r="C469" t="s" s="11">
        <v>353</v>
      </c>
      <c r="D469" s="12">
        <v>45510</v>
      </c>
      <c r="E469" t="s" s="13">
        <v>834</v>
      </c>
      <c r="F469" t="s" s="13">
        <v>834</v>
      </c>
      <c r="G469" s="14">
        <v>1</v>
      </c>
      <c r="H469" s="15">
        <v>5</v>
      </c>
      <c r="I469" s="15">
        <v>5</v>
      </c>
    </row>
    <row r="470" ht="12.9" customHeight="1">
      <c r="B470" t="s" s="10">
        <v>1099</v>
      </c>
      <c r="C470" t="s" s="11">
        <v>777</v>
      </c>
      <c r="D470" s="12">
        <v>45510</v>
      </c>
      <c r="E470" t="s" s="13">
        <v>63</v>
      </c>
      <c r="F470" s="16"/>
      <c r="G470" s="14">
        <v>1</v>
      </c>
      <c r="H470" s="15">
        <v>9.99</v>
      </c>
      <c r="I470" s="15">
        <v>9.99</v>
      </c>
    </row>
    <row r="471" ht="12.9" customHeight="1">
      <c r="B471" t="s" s="10">
        <v>1099</v>
      </c>
      <c r="C471" t="s" s="11">
        <v>777</v>
      </c>
      <c r="D471" s="12">
        <v>45510</v>
      </c>
      <c r="E471" t="s" s="13">
        <v>882</v>
      </c>
      <c r="F471" t="s" s="13">
        <v>1100</v>
      </c>
      <c r="G471" s="14">
        <v>1</v>
      </c>
      <c r="H471" s="15">
        <v>94.98999999999999</v>
      </c>
      <c r="I471" s="15">
        <v>94.98999999999999</v>
      </c>
    </row>
    <row r="472" ht="12.9" customHeight="1">
      <c r="B472" t="s" s="10">
        <v>1101</v>
      </c>
      <c r="C472" t="s" s="11">
        <v>1102</v>
      </c>
      <c r="D472" s="12">
        <v>45509.901862175924</v>
      </c>
      <c r="E472" t="s" s="13">
        <v>35</v>
      </c>
      <c r="F472" t="s" s="13">
        <v>36</v>
      </c>
      <c r="G472" s="14">
        <v>3</v>
      </c>
      <c r="H472" s="15">
        <v>49.99</v>
      </c>
      <c r="I472" s="15">
        <v>149.97</v>
      </c>
    </row>
    <row r="473" ht="12.9" customHeight="1">
      <c r="B473" t="s" s="10">
        <v>1103</v>
      </c>
      <c r="C473" t="s" s="11">
        <v>1104</v>
      </c>
      <c r="D473" s="12">
        <v>45509.731200856484</v>
      </c>
      <c r="E473" t="s" s="13">
        <v>722</v>
      </c>
      <c r="F473" t="s" s="13">
        <v>82</v>
      </c>
      <c r="G473" s="14">
        <v>2</v>
      </c>
      <c r="H473" s="15">
        <v>869.99</v>
      </c>
      <c r="I473" s="15">
        <v>1739.98</v>
      </c>
    </row>
    <row r="474" ht="12.9" customHeight="1">
      <c r="B474" t="s" s="10">
        <v>1103</v>
      </c>
      <c r="C474" t="s" s="11">
        <v>1104</v>
      </c>
      <c r="D474" s="12">
        <v>45509.731200856484</v>
      </c>
      <c r="E474" t="s" s="13">
        <v>23</v>
      </c>
      <c r="F474" t="s" s="13">
        <v>24</v>
      </c>
      <c r="G474" s="14">
        <v>2</v>
      </c>
      <c r="H474" s="15">
        <v>0</v>
      </c>
      <c r="I474" s="15">
        <v>0</v>
      </c>
    </row>
    <row r="475" ht="12.9" customHeight="1">
      <c r="B475" t="s" s="10">
        <v>1103</v>
      </c>
      <c r="C475" t="s" s="11">
        <v>1104</v>
      </c>
      <c r="D475" s="12">
        <v>45509.731200856484</v>
      </c>
      <c r="E475" t="s" s="13">
        <v>50</v>
      </c>
      <c r="F475" t="s" s="13">
        <v>83</v>
      </c>
      <c r="G475" s="14">
        <v>2</v>
      </c>
      <c r="H475" s="15">
        <v>0</v>
      </c>
      <c r="I475" s="15">
        <v>0</v>
      </c>
    </row>
    <row r="476" ht="12.9" customHeight="1">
      <c r="B476" t="s" s="10">
        <v>1103</v>
      </c>
      <c r="C476" t="s" s="11">
        <v>1104</v>
      </c>
      <c r="D476" s="12">
        <v>45509.731200856484</v>
      </c>
      <c r="E476" t="s" s="13">
        <v>84</v>
      </c>
      <c r="F476" t="s" s="13">
        <v>85</v>
      </c>
      <c r="G476" s="14">
        <v>2</v>
      </c>
      <c r="H476" s="15">
        <v>0</v>
      </c>
      <c r="I476" s="15">
        <v>0</v>
      </c>
    </row>
    <row r="477" ht="12.9" customHeight="1">
      <c r="B477" t="s" s="10">
        <v>1103</v>
      </c>
      <c r="C477" t="s" s="11">
        <v>1104</v>
      </c>
      <c r="D477" s="12">
        <v>45509.731200856484</v>
      </c>
      <c r="E477" t="s" s="13">
        <v>73</v>
      </c>
      <c r="F477" t="s" s="13">
        <v>74</v>
      </c>
      <c r="G477" s="14">
        <v>1</v>
      </c>
      <c r="H477" s="15">
        <v>399.99</v>
      </c>
      <c r="I477" s="15">
        <v>399.99</v>
      </c>
    </row>
    <row r="478" ht="12.9" customHeight="1">
      <c r="B478" t="s" s="10">
        <v>1105</v>
      </c>
      <c r="C478" t="s" s="11">
        <v>1106</v>
      </c>
      <c r="D478" s="12">
        <v>45509.329567384259</v>
      </c>
      <c r="E478" t="s" s="13">
        <v>35</v>
      </c>
      <c r="F478" t="s" s="13">
        <v>36</v>
      </c>
      <c r="G478" s="14">
        <v>1</v>
      </c>
      <c r="H478" s="15">
        <v>49.99</v>
      </c>
      <c r="I478" s="15">
        <v>49.99</v>
      </c>
    </row>
    <row r="479" ht="12.9" customHeight="1">
      <c r="B479" t="s" s="10">
        <v>1105</v>
      </c>
      <c r="C479" t="s" s="11">
        <v>1106</v>
      </c>
      <c r="D479" s="12">
        <v>45509.329567384259</v>
      </c>
      <c r="E479" t="s" s="13">
        <v>470</v>
      </c>
      <c r="F479" t="s" s="13">
        <v>517</v>
      </c>
      <c r="G479" s="14">
        <v>1</v>
      </c>
      <c r="H479" s="15">
        <v>249.99</v>
      </c>
      <c r="I479" s="15">
        <v>249.99</v>
      </c>
    </row>
    <row r="480" ht="12.9" customHeight="1">
      <c r="B480" t="s" s="10">
        <v>1105</v>
      </c>
      <c r="C480" t="s" s="11">
        <v>1106</v>
      </c>
      <c r="D480" s="12">
        <v>45509.329567384259</v>
      </c>
      <c r="E480" t="s" s="13">
        <v>54</v>
      </c>
      <c r="F480" t="s" s="13">
        <v>93</v>
      </c>
      <c r="G480" s="14">
        <v>1</v>
      </c>
      <c r="H480" s="15">
        <v>9.99</v>
      </c>
      <c r="I480" s="15">
        <v>9.99</v>
      </c>
    </row>
    <row r="481" ht="12.9" customHeight="1">
      <c r="B481" t="s" s="10">
        <v>1107</v>
      </c>
      <c r="C481" t="s" s="11">
        <v>1108</v>
      </c>
      <c r="D481" s="12">
        <v>45509</v>
      </c>
      <c r="E481" t="s" s="13">
        <v>179</v>
      </c>
      <c r="F481" t="s" s="13">
        <v>180</v>
      </c>
      <c r="G481" s="14">
        <v>2</v>
      </c>
      <c r="H481" s="15">
        <v>49.99</v>
      </c>
      <c r="I481" s="15">
        <v>99.98</v>
      </c>
    </row>
    <row r="482" ht="12.9" customHeight="1">
      <c r="B482" t="s" s="10">
        <v>1109</v>
      </c>
      <c r="C482" t="s" s="11">
        <v>1110</v>
      </c>
      <c r="D482" s="12">
        <v>45509</v>
      </c>
      <c r="E482" t="s" s="13">
        <v>63</v>
      </c>
      <c r="F482" s="16"/>
      <c r="G482" s="14">
        <v>1</v>
      </c>
      <c r="H482" s="15">
        <v>26.55</v>
      </c>
      <c r="I482" s="15">
        <v>26.55</v>
      </c>
    </row>
    <row r="483" ht="12.9" customHeight="1">
      <c r="B483" t="s" s="10">
        <v>1109</v>
      </c>
      <c r="C483" t="s" s="11">
        <v>1110</v>
      </c>
      <c r="D483" s="12">
        <v>45509</v>
      </c>
      <c r="E483" t="s" s="13">
        <v>50</v>
      </c>
      <c r="F483" t="s" s="13">
        <v>1111</v>
      </c>
      <c r="G483" s="14">
        <v>15</v>
      </c>
      <c r="H483" s="15">
        <v>22.4925</v>
      </c>
      <c r="I483" s="15">
        <v>337.3875</v>
      </c>
    </row>
    <row r="484" ht="12.9" customHeight="1">
      <c r="B484" t="s" s="10">
        <v>1112</v>
      </c>
      <c r="C484" t="s" s="11">
        <v>1113</v>
      </c>
      <c r="D484" s="12">
        <v>45508.933313819442</v>
      </c>
      <c r="E484" t="s" s="13">
        <v>31</v>
      </c>
      <c r="F484" t="s" s="13">
        <v>32</v>
      </c>
      <c r="G484" s="14">
        <v>1</v>
      </c>
      <c r="H484" s="15">
        <v>599.99</v>
      </c>
      <c r="I484" s="15">
        <v>599.99</v>
      </c>
    </row>
    <row r="485" ht="12.9" customHeight="1">
      <c r="B485" t="s" s="10">
        <v>1114</v>
      </c>
      <c r="C485" t="s" s="11">
        <v>1033</v>
      </c>
      <c r="D485" s="12">
        <v>45508.727648842592</v>
      </c>
      <c r="E485" t="s" s="13">
        <v>239</v>
      </c>
      <c r="F485" t="s" s="13">
        <v>240</v>
      </c>
      <c r="G485" s="14">
        <v>2</v>
      </c>
      <c r="H485" s="15">
        <v>99.98999999999999</v>
      </c>
      <c r="I485" s="15">
        <v>199.98</v>
      </c>
    </row>
    <row r="486" ht="12.9" customHeight="1">
      <c r="B486" t="s" s="10">
        <v>1115</v>
      </c>
      <c r="C486" t="s" s="11">
        <v>1116</v>
      </c>
      <c r="D486" s="12">
        <v>45508.635098414350</v>
      </c>
      <c r="E486" t="s" s="13">
        <v>23</v>
      </c>
      <c r="F486" t="s" s="13">
        <v>24</v>
      </c>
      <c r="G486" s="14">
        <v>1</v>
      </c>
      <c r="H486" s="15">
        <v>149.99</v>
      </c>
      <c r="I486" s="15">
        <v>149.99</v>
      </c>
    </row>
    <row r="487" ht="12.9" customHeight="1">
      <c r="B487" t="s" s="10">
        <v>1117</v>
      </c>
      <c r="C487" t="s" s="11">
        <v>1118</v>
      </c>
      <c r="D487" s="12">
        <v>45507.046149768517</v>
      </c>
      <c r="E487" t="s" s="13">
        <v>95</v>
      </c>
      <c r="F487" t="s" s="13">
        <v>12</v>
      </c>
      <c r="G487" s="14">
        <v>1</v>
      </c>
      <c r="H487" s="15">
        <v>349.99</v>
      </c>
      <c r="I487" s="15">
        <v>349.99</v>
      </c>
    </row>
    <row r="488" ht="12.9" customHeight="1">
      <c r="B488" t="s" s="10">
        <v>1119</v>
      </c>
      <c r="C488" t="s" s="11">
        <v>1120</v>
      </c>
      <c r="D488" s="12">
        <v>45506.991794166664</v>
      </c>
      <c r="E488" t="s" s="13">
        <v>35</v>
      </c>
      <c r="F488" t="s" s="13">
        <v>36</v>
      </c>
      <c r="G488" s="14">
        <v>1</v>
      </c>
      <c r="H488" s="15">
        <v>49.99</v>
      </c>
      <c r="I488" s="15">
        <v>49.99</v>
      </c>
    </row>
    <row r="489" ht="12.9" customHeight="1">
      <c r="B489" t="s" s="10">
        <v>1121</v>
      </c>
      <c r="C489" t="s" s="11">
        <v>1122</v>
      </c>
      <c r="D489" s="12">
        <v>45506.641169525465</v>
      </c>
      <c r="E489" t="s" s="13">
        <v>31</v>
      </c>
      <c r="F489" t="s" s="13">
        <v>32</v>
      </c>
      <c r="G489" s="14">
        <v>1</v>
      </c>
      <c r="H489" s="15">
        <v>599.99</v>
      </c>
      <c r="I489" s="15">
        <v>599.99</v>
      </c>
    </row>
    <row r="490" ht="12.9" customHeight="1">
      <c r="B490" t="s" s="10">
        <v>1123</v>
      </c>
      <c r="C490" t="s" s="11">
        <v>1124</v>
      </c>
      <c r="D490" s="12">
        <v>45506.188276875</v>
      </c>
      <c r="E490" t="s" s="13">
        <v>11</v>
      </c>
      <c r="F490" t="s" s="13">
        <v>12</v>
      </c>
      <c r="G490" s="14">
        <v>1</v>
      </c>
      <c r="H490" s="15">
        <v>399.99</v>
      </c>
      <c r="I490" s="15">
        <v>399.99</v>
      </c>
    </row>
    <row r="491" ht="12.9" customHeight="1">
      <c r="B491" t="s" s="10">
        <v>1123</v>
      </c>
      <c r="C491" t="s" s="11">
        <v>1124</v>
      </c>
      <c r="D491" s="12">
        <v>45506.188276875</v>
      </c>
      <c r="E491" t="s" s="13">
        <v>19</v>
      </c>
      <c r="F491" t="s" s="13">
        <v>20</v>
      </c>
      <c r="G491" s="14">
        <v>1</v>
      </c>
      <c r="H491" s="15">
        <v>119.99</v>
      </c>
      <c r="I491" s="15">
        <v>119.99</v>
      </c>
    </row>
    <row r="492" ht="12.9" customHeight="1">
      <c r="B492" t="s" s="10">
        <v>1125</v>
      </c>
      <c r="C492" t="s" s="11">
        <v>1126</v>
      </c>
      <c r="D492" s="12">
        <v>45506</v>
      </c>
      <c r="E492" t="s" s="13">
        <v>254</v>
      </c>
      <c r="F492" t="s" s="13">
        <v>1127</v>
      </c>
      <c r="G492" s="14">
        <v>1</v>
      </c>
      <c r="H492" s="15">
        <v>25</v>
      </c>
      <c r="I492" s="15">
        <v>25</v>
      </c>
    </row>
    <row r="493" ht="12.9" customHeight="1">
      <c r="B493" t="s" s="10">
        <v>1128</v>
      </c>
      <c r="C493" t="s" s="11">
        <v>1110</v>
      </c>
      <c r="D493" s="12">
        <v>45506</v>
      </c>
      <c r="E493" t="s" s="13">
        <v>207</v>
      </c>
      <c r="F493" t="s" s="13">
        <v>208</v>
      </c>
      <c r="G493" s="14">
        <v>3</v>
      </c>
      <c r="H493" s="15">
        <v>0</v>
      </c>
      <c r="I493" s="15">
        <v>0</v>
      </c>
    </row>
    <row r="494" ht="12.9" customHeight="1">
      <c r="B494" t="s" s="10">
        <v>1129</v>
      </c>
      <c r="C494" t="s" s="11">
        <v>1130</v>
      </c>
      <c r="D494" s="12">
        <v>45505.598525173613</v>
      </c>
      <c r="E494" t="s" s="13">
        <v>11</v>
      </c>
      <c r="F494" t="s" s="13">
        <v>12</v>
      </c>
      <c r="G494" s="14">
        <v>1</v>
      </c>
      <c r="H494" s="15">
        <v>399.99</v>
      </c>
      <c r="I494" s="15">
        <v>399.99</v>
      </c>
    </row>
    <row r="495" ht="12.9" customHeight="1">
      <c r="B495" t="s" s="10">
        <v>1131</v>
      </c>
      <c r="C495" t="s" s="11">
        <v>188</v>
      </c>
      <c r="D495" s="12">
        <v>45505</v>
      </c>
      <c r="E495" t="s" s="13">
        <v>143</v>
      </c>
      <c r="F495" t="s" s="13">
        <v>144</v>
      </c>
      <c r="G495" s="14">
        <v>1</v>
      </c>
      <c r="H495" s="15">
        <v>3199.99</v>
      </c>
      <c r="I495" s="15">
        <v>3199.99</v>
      </c>
    </row>
    <row r="496" ht="12.9" customHeight="1">
      <c r="B496" t="s" s="10">
        <v>1131</v>
      </c>
      <c r="C496" t="s" s="11">
        <v>188</v>
      </c>
      <c r="D496" s="12">
        <v>45505</v>
      </c>
      <c r="E496" t="s" s="13">
        <v>1132</v>
      </c>
      <c r="F496" t="s" s="13">
        <v>1133</v>
      </c>
      <c r="G496" s="14">
        <v>2</v>
      </c>
      <c r="H496" s="15">
        <v>0</v>
      </c>
      <c r="I496" s="15">
        <v>0</v>
      </c>
    </row>
    <row r="497" ht="12.9" customHeight="1">
      <c r="B497" t="s" s="10">
        <v>1134</v>
      </c>
      <c r="C497" t="s" s="11">
        <v>896</v>
      </c>
      <c r="D497" s="12">
        <v>45505</v>
      </c>
      <c r="E497" t="s" s="13">
        <v>63</v>
      </c>
      <c r="F497" s="16"/>
      <c r="G497" s="14">
        <v>1</v>
      </c>
      <c r="H497" s="15">
        <v>32.5</v>
      </c>
      <c r="I497" s="15">
        <v>32.5</v>
      </c>
    </row>
    <row r="498" ht="12.9" customHeight="1">
      <c r="B498" t="s" s="10">
        <v>1134</v>
      </c>
      <c r="C498" t="s" s="11">
        <v>896</v>
      </c>
      <c r="D498" s="12">
        <v>45505</v>
      </c>
      <c r="E498" t="s" s="13">
        <v>143</v>
      </c>
      <c r="F498" t="s" s="13">
        <v>144</v>
      </c>
      <c r="G498" s="14">
        <v>1</v>
      </c>
      <c r="H498" s="15">
        <v>2399.9925</v>
      </c>
      <c r="I498" s="15">
        <v>2399.9925</v>
      </c>
    </row>
    <row r="500" ht="15.55" customHeight="1">
      <c r="J500" t="s" s="2">
        <v>1135</v>
      </c>
      <c r="K500" s="2"/>
      <c r="L500" s="2"/>
      <c r="M500" s="2"/>
      <c r="N500" s="2"/>
      <c r="O500" s="2"/>
      <c r="P500" s="2"/>
    </row>
    <row r="502" ht="13.1" customHeight="1">
      <c r="J502" t="s" s="20">
        <v>2</v>
      </c>
      <c r="K502" t="s" s="21">
        <v>1</v>
      </c>
      <c r="L502" t="s" s="21">
        <v>616</v>
      </c>
      <c r="M502" t="s" s="22">
        <v>4</v>
      </c>
      <c r="N502" t="s" s="23">
        <v>617</v>
      </c>
      <c r="O502" t="s" s="3">
        <v>618</v>
      </c>
      <c r="P502" t="s" s="3">
        <v>619</v>
      </c>
    </row>
    <row r="503" ht="15.4" customHeight="1">
      <c r="J503" t="s" s="24">
        <v>863</v>
      </c>
      <c r="N503" s="25">
        <v>1</v>
      </c>
      <c r="O503" s="26">
        <v>349.99</v>
      </c>
      <c r="P503" s="26">
        <v>349.99</v>
      </c>
    </row>
    <row r="504" ht="15.55" customHeight="1">
      <c r="J504" t="s" s="27">
        <v>753</v>
      </c>
      <c r="N504" s="28">
        <v>1</v>
      </c>
      <c r="O504" s="29">
        <v>59.99</v>
      </c>
      <c r="P504" s="29">
        <v>59.99</v>
      </c>
    </row>
    <row r="505" ht="15.55" customHeight="1">
      <c r="J505" t="s" s="27">
        <v>975</v>
      </c>
      <c r="N505" s="28">
        <v>1</v>
      </c>
      <c r="O505" s="29">
        <v>399.99</v>
      </c>
      <c r="P505" s="29">
        <v>399.99</v>
      </c>
    </row>
    <row r="506" ht="15.55" customHeight="1">
      <c r="J506" t="s" s="27">
        <v>1110</v>
      </c>
      <c r="N506" s="28">
        <v>19</v>
      </c>
      <c r="O506" s="29">
        <v>49.0425</v>
      </c>
      <c r="P506" s="29">
        <v>363.9375</v>
      </c>
    </row>
    <row r="507" ht="15.55" customHeight="1">
      <c r="J507" t="s" s="27">
        <v>161</v>
      </c>
      <c r="N507" s="28">
        <v>3</v>
      </c>
      <c r="O507" s="29">
        <v>297.4925</v>
      </c>
      <c r="P507" s="29">
        <v>559.985</v>
      </c>
    </row>
    <row r="508" ht="15.55" customHeight="1">
      <c r="J508" t="s" s="27">
        <v>993</v>
      </c>
      <c r="N508" s="28">
        <v>3</v>
      </c>
      <c r="O508" s="29">
        <v>649.98</v>
      </c>
      <c r="P508" s="29">
        <v>649.98</v>
      </c>
    </row>
    <row r="509" ht="15.55" customHeight="1">
      <c r="J509" t="s" s="27">
        <v>1106</v>
      </c>
      <c r="N509" s="28">
        <v>3</v>
      </c>
      <c r="O509" s="29">
        <v>309.97</v>
      </c>
      <c r="P509" s="29">
        <v>309.97</v>
      </c>
    </row>
    <row r="510" ht="15.55" customHeight="1">
      <c r="J510" t="s" s="27">
        <v>1037</v>
      </c>
      <c r="N510" s="28">
        <v>1</v>
      </c>
      <c r="O510" s="29">
        <v>349.99</v>
      </c>
      <c r="P510" s="29">
        <v>349.99</v>
      </c>
    </row>
    <row r="511" ht="15.55" customHeight="1">
      <c r="J511" t="s" s="27">
        <v>1011</v>
      </c>
      <c r="N511" s="28">
        <v>2</v>
      </c>
      <c r="O511" s="29">
        <v>659.98</v>
      </c>
      <c r="P511" s="29">
        <v>659.98</v>
      </c>
    </row>
    <row r="512" ht="15.55" customHeight="1">
      <c r="J512" t="s" s="27">
        <v>953</v>
      </c>
      <c r="N512" s="28">
        <v>2</v>
      </c>
      <c r="O512" s="29">
        <v>49.98</v>
      </c>
      <c r="P512" s="29">
        <v>49.98</v>
      </c>
    </row>
    <row r="513" ht="15.55" customHeight="1">
      <c r="J513" t="s" s="27">
        <v>630</v>
      </c>
      <c r="N513" s="28">
        <v>2</v>
      </c>
      <c r="O513" s="29">
        <v>659.98</v>
      </c>
      <c r="P513" s="29">
        <v>659.98</v>
      </c>
    </row>
    <row r="514" ht="15.55" customHeight="1">
      <c r="J514" t="s" s="27">
        <v>995</v>
      </c>
      <c r="N514" s="28">
        <v>1</v>
      </c>
      <c r="O514" s="29">
        <v>9.99</v>
      </c>
      <c r="P514" s="29">
        <v>9.99</v>
      </c>
    </row>
    <row r="515" ht="15.55" customHeight="1">
      <c r="J515" t="s" s="27">
        <v>957</v>
      </c>
      <c r="N515" s="28">
        <v>4</v>
      </c>
      <c r="O515" s="29">
        <v>49.99</v>
      </c>
      <c r="P515" s="29">
        <v>199.96</v>
      </c>
    </row>
    <row r="516" ht="15.55" customHeight="1">
      <c r="J516" t="s" s="27">
        <v>759</v>
      </c>
      <c r="N516" s="28">
        <v>1</v>
      </c>
      <c r="O516" s="29">
        <v>349.99</v>
      </c>
      <c r="P516" s="29">
        <v>349.99</v>
      </c>
    </row>
    <row r="517" ht="15.55" customHeight="1">
      <c r="J517" t="s" s="27">
        <v>1068</v>
      </c>
      <c r="N517" s="28">
        <v>3</v>
      </c>
      <c r="O517" s="29">
        <v>119.98</v>
      </c>
      <c r="P517" s="29">
        <v>139.97</v>
      </c>
    </row>
    <row r="518" ht="15.55" customHeight="1">
      <c r="J518" t="s" s="27">
        <v>655</v>
      </c>
      <c r="N518" s="28">
        <v>13</v>
      </c>
      <c r="O518" s="29">
        <v>2549.97</v>
      </c>
      <c r="P518" s="29">
        <v>3899.95</v>
      </c>
    </row>
    <row r="519" ht="15.55" customHeight="1">
      <c r="J519" t="s" s="27">
        <v>799</v>
      </c>
      <c r="N519" s="28">
        <v>3</v>
      </c>
      <c r="O519" s="29">
        <v>589.98</v>
      </c>
      <c r="P519" s="29">
        <v>629.97</v>
      </c>
    </row>
    <row r="520" ht="15.55" customHeight="1">
      <c r="J520" t="s" s="27">
        <v>665</v>
      </c>
      <c r="N520" s="28">
        <v>2</v>
      </c>
      <c r="O520" s="29">
        <v>389.98</v>
      </c>
      <c r="P520" s="29">
        <v>389.98</v>
      </c>
    </row>
    <row r="521" ht="15.55" customHeight="1">
      <c r="J521" t="s" s="27">
        <v>1122</v>
      </c>
      <c r="N521" s="28">
        <v>1</v>
      </c>
      <c r="O521" s="29">
        <v>599.99</v>
      </c>
      <c r="P521" s="29">
        <v>599.99</v>
      </c>
    </row>
    <row r="522" ht="15.55" customHeight="1">
      <c r="J522" t="s" s="27">
        <v>1126</v>
      </c>
      <c r="N522" s="28">
        <v>1</v>
      </c>
      <c r="O522" s="29">
        <v>25</v>
      </c>
      <c r="P522" s="29">
        <v>25</v>
      </c>
    </row>
    <row r="523" ht="15.55" customHeight="1">
      <c r="J523" t="s" s="27">
        <v>955</v>
      </c>
      <c r="N523" s="28">
        <v>3</v>
      </c>
      <c r="O523" s="29">
        <v>389.98</v>
      </c>
      <c r="P523" s="29">
        <v>429.97</v>
      </c>
    </row>
    <row r="524" ht="15.55" customHeight="1">
      <c r="J524" t="s" s="27">
        <v>867</v>
      </c>
      <c r="N524" s="28">
        <v>2</v>
      </c>
      <c r="O524" s="29">
        <v>49.99</v>
      </c>
      <c r="P524" s="29">
        <v>99.98</v>
      </c>
    </row>
    <row r="525" ht="15.55" customHeight="1">
      <c r="J525" t="s" s="27">
        <v>671</v>
      </c>
      <c r="N525" s="28">
        <v>1</v>
      </c>
      <c r="O525" s="29">
        <v>399.99</v>
      </c>
      <c r="P525" s="29">
        <v>399.99</v>
      </c>
    </row>
    <row r="526" ht="15.55" customHeight="1">
      <c r="J526" t="s" s="27">
        <v>812</v>
      </c>
      <c r="N526" s="28">
        <v>8</v>
      </c>
      <c r="O526" s="29">
        <v>959.97</v>
      </c>
      <c r="P526" s="29">
        <v>1569.95</v>
      </c>
    </row>
    <row r="527" ht="15.55" customHeight="1">
      <c r="J527" t="s" s="27">
        <v>1040</v>
      </c>
      <c r="N527" s="28">
        <v>2</v>
      </c>
      <c r="O527" s="29">
        <v>349.99</v>
      </c>
      <c r="P527" s="29">
        <v>699.98</v>
      </c>
    </row>
    <row r="528" ht="15.55" customHeight="1">
      <c r="J528" t="s" s="27">
        <v>848</v>
      </c>
      <c r="N528" s="28">
        <v>2</v>
      </c>
      <c r="O528" s="29">
        <v>59.99</v>
      </c>
      <c r="P528" s="29">
        <v>119.98</v>
      </c>
    </row>
    <row r="529" ht="15.55" customHeight="1">
      <c r="J529" t="s" s="27">
        <v>967</v>
      </c>
      <c r="N529" s="28">
        <v>4</v>
      </c>
      <c r="O529" s="29">
        <v>589.96</v>
      </c>
      <c r="P529" s="29">
        <v>589.96</v>
      </c>
    </row>
    <row r="530" ht="15.55" customHeight="1">
      <c r="J530" t="s" s="27">
        <v>702</v>
      </c>
      <c r="N530" s="28">
        <v>1</v>
      </c>
      <c r="O530" s="29">
        <v>45</v>
      </c>
      <c r="P530" s="29">
        <v>45</v>
      </c>
    </row>
    <row r="531" ht="15.55" customHeight="1">
      <c r="J531" t="s" s="27">
        <v>927</v>
      </c>
      <c r="N531" s="28">
        <v>2</v>
      </c>
      <c r="O531" s="29">
        <v>49.99</v>
      </c>
      <c r="P531" s="29">
        <v>99.98</v>
      </c>
    </row>
    <row r="532" ht="15.55" customHeight="1">
      <c r="J532" t="s" s="27">
        <v>939</v>
      </c>
      <c r="N532" s="28">
        <v>1</v>
      </c>
      <c r="O532" s="29">
        <v>79.98999999999999</v>
      </c>
      <c r="P532" s="29">
        <v>79.98999999999999</v>
      </c>
    </row>
    <row r="533" ht="15.55" customHeight="1">
      <c r="J533" t="s" s="27">
        <v>653</v>
      </c>
      <c r="N533" s="28">
        <v>2</v>
      </c>
      <c r="O533" s="29">
        <v>149.99</v>
      </c>
      <c r="P533" s="29">
        <v>299.98</v>
      </c>
    </row>
    <row r="534" ht="15.55" customHeight="1">
      <c r="J534" t="s" s="27">
        <v>545</v>
      </c>
      <c r="N534" s="28">
        <v>13</v>
      </c>
      <c r="O534" s="29">
        <v>1454.93</v>
      </c>
      <c r="P534" s="29">
        <v>2114.89</v>
      </c>
    </row>
    <row r="535" ht="15.55" customHeight="1">
      <c r="J535" t="s" s="27">
        <v>792</v>
      </c>
      <c r="N535" s="28">
        <v>1</v>
      </c>
      <c r="O535" s="29">
        <v>399.99</v>
      </c>
      <c r="P535" s="29">
        <v>399.99</v>
      </c>
    </row>
    <row r="536" ht="15.55" customHeight="1">
      <c r="J536" t="s" s="27">
        <v>688</v>
      </c>
      <c r="N536" s="28">
        <v>1</v>
      </c>
      <c r="O536" s="29">
        <v>549.99</v>
      </c>
      <c r="P536" s="29">
        <v>549.99</v>
      </c>
    </row>
    <row r="537" ht="15.55" customHeight="1">
      <c r="J537" t="s" s="27">
        <v>1130</v>
      </c>
      <c r="N537" s="28">
        <v>1</v>
      </c>
      <c r="O537" s="29">
        <v>399.99</v>
      </c>
      <c r="P537" s="29">
        <v>399.99</v>
      </c>
    </row>
    <row r="538" ht="15.55" customHeight="1">
      <c r="J538" t="s" s="27">
        <v>1118</v>
      </c>
      <c r="N538" s="28">
        <v>1</v>
      </c>
      <c r="O538" s="29">
        <v>349.99</v>
      </c>
      <c r="P538" s="29">
        <v>349.99</v>
      </c>
    </row>
    <row r="539" ht="15.55" customHeight="1">
      <c r="J539" t="s" s="27">
        <v>846</v>
      </c>
      <c r="N539" s="28">
        <v>49</v>
      </c>
      <c r="O539" s="29">
        <v>111.96</v>
      </c>
      <c r="P539" s="29">
        <v>869.51</v>
      </c>
    </row>
    <row r="540" ht="15.55" customHeight="1">
      <c r="J540" t="s" s="27">
        <v>741</v>
      </c>
      <c r="N540" s="28">
        <v>12</v>
      </c>
      <c r="O540" s="29">
        <v>519.98</v>
      </c>
      <c r="P540" s="29">
        <v>1999.88</v>
      </c>
    </row>
    <row r="541" ht="15.55" customHeight="1">
      <c r="J541" t="s" s="27">
        <v>922</v>
      </c>
      <c r="N541" s="28">
        <v>2</v>
      </c>
      <c r="O541" s="29">
        <v>639.98</v>
      </c>
      <c r="P541" s="29">
        <v>639.98</v>
      </c>
    </row>
    <row r="542" ht="15.55" customHeight="1">
      <c r="J542" t="s" s="27">
        <v>929</v>
      </c>
      <c r="N542" s="28">
        <v>7</v>
      </c>
      <c r="O542" s="29">
        <v>1349.98</v>
      </c>
      <c r="P542" s="29">
        <v>1399.97</v>
      </c>
    </row>
    <row r="543" ht="15.55" customHeight="1">
      <c r="J543" t="s" s="27">
        <v>510</v>
      </c>
      <c r="N543" s="28">
        <v>2</v>
      </c>
      <c r="O543" s="29">
        <v>549.99</v>
      </c>
      <c r="P543" s="29">
        <v>1099.98</v>
      </c>
    </row>
    <row r="544" ht="15.55" customHeight="1">
      <c r="J544" t="s" s="27">
        <v>1021</v>
      </c>
      <c r="N544" s="28">
        <v>8</v>
      </c>
      <c r="O544" s="29">
        <v>621.95</v>
      </c>
      <c r="P544" s="29">
        <v>627.92</v>
      </c>
    </row>
    <row r="545" ht="15.55" customHeight="1">
      <c r="J545" t="s" s="27">
        <v>815</v>
      </c>
      <c r="N545" s="28">
        <v>29</v>
      </c>
      <c r="O545" s="29">
        <v>4059.97</v>
      </c>
      <c r="P545" s="29">
        <v>8319.91</v>
      </c>
    </row>
    <row r="546" ht="15.55" customHeight="1">
      <c r="J546" t="s" s="27">
        <v>1060</v>
      </c>
      <c r="N546" s="28">
        <v>2</v>
      </c>
      <c r="O546" s="29">
        <v>1149.98</v>
      </c>
      <c r="P546" s="29">
        <v>1149.98</v>
      </c>
    </row>
    <row r="547" ht="15.55" customHeight="1">
      <c r="J547" t="s" s="27">
        <v>879</v>
      </c>
      <c r="N547" s="28">
        <v>1</v>
      </c>
      <c r="O547" s="29">
        <v>399.99</v>
      </c>
      <c r="P547" s="29">
        <v>399.99</v>
      </c>
    </row>
    <row r="548" ht="15.55" customHeight="1">
      <c r="J548" t="s" s="27">
        <v>805</v>
      </c>
      <c r="N548" s="28">
        <v>2</v>
      </c>
      <c r="O548" s="29">
        <v>349.99</v>
      </c>
      <c r="P548" s="29">
        <v>349.99</v>
      </c>
    </row>
    <row r="549" ht="15.55" customHeight="1">
      <c r="J549" t="s" s="27">
        <v>869</v>
      </c>
      <c r="N549" s="28">
        <v>1</v>
      </c>
      <c r="O549" s="29">
        <v>29.99</v>
      </c>
      <c r="P549" s="29">
        <v>29.99</v>
      </c>
    </row>
    <row r="550" ht="15.55" customHeight="1">
      <c r="J550" t="s" s="27">
        <v>1019</v>
      </c>
      <c r="N550" s="28">
        <v>1</v>
      </c>
      <c r="O550" s="29">
        <v>399.99</v>
      </c>
      <c r="P550" s="29">
        <v>399.99</v>
      </c>
    </row>
    <row r="551" ht="15.55" customHeight="1">
      <c r="J551" t="s" s="27">
        <v>1035</v>
      </c>
      <c r="N551" s="28">
        <v>3</v>
      </c>
      <c r="O551" s="29">
        <v>389.98</v>
      </c>
      <c r="P551" s="29">
        <v>429.97</v>
      </c>
    </row>
    <row r="552" ht="15.55" customHeight="1">
      <c r="J552" t="s" s="27">
        <v>1124</v>
      </c>
      <c r="N552" s="28">
        <v>2</v>
      </c>
      <c r="O552" s="29">
        <v>519.98</v>
      </c>
      <c r="P552" s="29">
        <v>519.98</v>
      </c>
    </row>
    <row r="553" ht="15.55" customHeight="1">
      <c r="J553" t="s" s="27">
        <v>831</v>
      </c>
      <c r="N553" s="28">
        <v>3</v>
      </c>
      <c r="O553" s="29">
        <v>0</v>
      </c>
      <c r="P553" s="29">
        <v>0</v>
      </c>
    </row>
    <row r="554" ht="15.55" customHeight="1">
      <c r="J554" t="s" s="27">
        <v>1120</v>
      </c>
      <c r="N554" s="28">
        <v>1</v>
      </c>
      <c r="O554" s="29">
        <v>49.99</v>
      </c>
      <c r="P554" s="29">
        <v>49.99</v>
      </c>
    </row>
    <row r="555" ht="15.55" customHeight="1">
      <c r="J555" t="s" s="27">
        <v>677</v>
      </c>
      <c r="N555" s="28">
        <v>6</v>
      </c>
      <c r="O555" s="29">
        <v>72.98</v>
      </c>
      <c r="P555" s="29">
        <v>191.94</v>
      </c>
    </row>
    <row r="556" ht="15.55" customHeight="1">
      <c r="J556" t="s" s="27">
        <v>391</v>
      </c>
      <c r="N556" s="28">
        <v>83</v>
      </c>
      <c r="O556" s="29">
        <v>1530.155</v>
      </c>
      <c r="P556" s="29">
        <v>6603.71</v>
      </c>
    </row>
    <row r="557" ht="15.55" customHeight="1">
      <c r="J557" t="s" s="27">
        <v>911</v>
      </c>
      <c r="N557" s="28">
        <v>56</v>
      </c>
      <c r="O557" s="29">
        <v>2110.95</v>
      </c>
      <c r="P557" s="29">
        <v>10819.54</v>
      </c>
    </row>
    <row r="558" ht="15.55" customHeight="1">
      <c r="J558" t="s" s="27">
        <v>709</v>
      </c>
      <c r="N558" s="28">
        <v>1</v>
      </c>
      <c r="O558" s="29">
        <v>349.99</v>
      </c>
      <c r="P558" s="29">
        <v>349.99</v>
      </c>
    </row>
    <row r="559" ht="15.55" customHeight="1">
      <c r="J559" t="s" s="27">
        <v>212</v>
      </c>
      <c r="N559" s="28">
        <v>7.5</v>
      </c>
      <c r="O559" s="29">
        <v>176.588696</v>
      </c>
      <c r="P559" s="29">
        <v>190.667392</v>
      </c>
    </row>
    <row r="560" ht="15.55" customHeight="1">
      <c r="J560" t="s" s="27">
        <v>731</v>
      </c>
      <c r="N560" s="28">
        <v>1</v>
      </c>
      <c r="O560" s="29">
        <v>0</v>
      </c>
      <c r="P560" s="29">
        <v>0</v>
      </c>
    </row>
    <row r="561" ht="15.55" customHeight="1">
      <c r="J561" t="s" s="27">
        <v>924</v>
      </c>
      <c r="N561" s="28">
        <v>1</v>
      </c>
      <c r="O561" s="29">
        <v>109.99</v>
      </c>
      <c r="P561" s="29">
        <v>109.99</v>
      </c>
    </row>
    <row r="562" ht="15.55" customHeight="1">
      <c r="J562" t="s" s="27">
        <v>415</v>
      </c>
      <c r="N562" s="28">
        <v>21</v>
      </c>
      <c r="O562" s="29">
        <v>2055.97</v>
      </c>
      <c r="P562" s="29">
        <v>4623.91</v>
      </c>
    </row>
    <row r="563" ht="15.55" customHeight="1">
      <c r="J563" t="s" s="27">
        <v>747</v>
      </c>
      <c r="N563" s="28">
        <v>2</v>
      </c>
      <c r="O563" s="29">
        <v>599.99</v>
      </c>
      <c r="P563" s="29">
        <v>1199.98</v>
      </c>
    </row>
    <row r="564" ht="15.55" customHeight="1">
      <c r="J564" t="s" s="27">
        <v>1088</v>
      </c>
      <c r="N564" s="28">
        <v>1</v>
      </c>
      <c r="O564" s="29">
        <v>1199.99</v>
      </c>
      <c r="P564" s="29">
        <v>1199.99</v>
      </c>
    </row>
    <row r="565" ht="15.55" customHeight="1">
      <c r="J565" t="s" s="27">
        <v>555</v>
      </c>
      <c r="N565" s="28">
        <v>7</v>
      </c>
      <c r="O565" s="29">
        <v>3923.185</v>
      </c>
      <c r="P565" s="29">
        <v>5423.1625</v>
      </c>
    </row>
    <row r="566" ht="15.55" customHeight="1">
      <c r="J566" t="s" s="27">
        <v>69</v>
      </c>
      <c r="N566" s="28">
        <v>55</v>
      </c>
      <c r="O566" s="29">
        <v>259.2925</v>
      </c>
      <c r="P566" s="29">
        <v>821.77</v>
      </c>
    </row>
    <row r="567" ht="15.55" customHeight="1">
      <c r="J567" t="s" s="27">
        <v>506</v>
      </c>
      <c r="N567" s="28">
        <v>1</v>
      </c>
      <c r="O567" s="29">
        <v>219.99</v>
      </c>
      <c r="P567" s="29">
        <v>219.99</v>
      </c>
    </row>
    <row r="568" ht="15.55" customHeight="1">
      <c r="J568" t="s" s="27">
        <v>946</v>
      </c>
      <c r="N568" s="28">
        <v>3</v>
      </c>
      <c r="O568" s="29">
        <v>365.835</v>
      </c>
      <c r="P568" s="29">
        <v>365.835</v>
      </c>
    </row>
    <row r="569" ht="15.55" customHeight="1">
      <c r="J569" t="s" s="27">
        <v>937</v>
      </c>
      <c r="N569" s="28">
        <v>1</v>
      </c>
      <c r="O569" s="29">
        <v>49.99</v>
      </c>
      <c r="P569" s="29">
        <v>49.99</v>
      </c>
    </row>
    <row r="570" ht="15.55" customHeight="1">
      <c r="J570" t="s" s="27">
        <v>625</v>
      </c>
      <c r="N570" s="28">
        <v>1</v>
      </c>
      <c r="O570" s="29">
        <v>349.99</v>
      </c>
      <c r="P570" s="29">
        <v>349.99</v>
      </c>
    </row>
    <row r="571" ht="15.55" customHeight="1">
      <c r="J571" t="s" s="27">
        <v>188</v>
      </c>
      <c r="N571" s="28">
        <v>8</v>
      </c>
      <c r="O571" s="29">
        <v>3219.98</v>
      </c>
      <c r="P571" s="29">
        <v>3279.95</v>
      </c>
    </row>
    <row r="572" ht="15.55" customHeight="1">
      <c r="J572" t="s" s="27">
        <v>628</v>
      </c>
      <c r="N572" s="28">
        <v>1</v>
      </c>
      <c r="O572" s="29">
        <v>349.99</v>
      </c>
      <c r="P572" s="29">
        <v>349.99</v>
      </c>
    </row>
    <row r="573" ht="15.55" customHeight="1">
      <c r="J573" t="s" s="27">
        <v>1033</v>
      </c>
      <c r="N573" s="28">
        <v>4</v>
      </c>
      <c r="O573" s="29">
        <v>449.98</v>
      </c>
      <c r="P573" s="29">
        <v>899.96</v>
      </c>
    </row>
    <row r="574" ht="15.55" customHeight="1">
      <c r="J574" t="s" s="27">
        <v>563</v>
      </c>
      <c r="N574" s="28">
        <v>3</v>
      </c>
      <c r="O574" s="29">
        <v>518.2925</v>
      </c>
      <c r="P574" s="29">
        <v>930.785</v>
      </c>
    </row>
    <row r="575" ht="15.55" customHeight="1">
      <c r="J575" t="s" s="27">
        <v>697</v>
      </c>
      <c r="N575" s="28">
        <v>5</v>
      </c>
      <c r="O575" s="29">
        <v>3199.99</v>
      </c>
      <c r="P575" s="29">
        <v>3199.99</v>
      </c>
    </row>
    <row r="576" ht="15.55" customHeight="1">
      <c r="J576" t="s" s="27">
        <v>1074</v>
      </c>
      <c r="N576" s="28">
        <v>1</v>
      </c>
      <c r="O576" s="29">
        <v>219.99</v>
      </c>
      <c r="P576" s="29">
        <v>219.99</v>
      </c>
    </row>
    <row r="577" ht="15.55" customHeight="1">
      <c r="J577" t="s" s="27">
        <v>1002</v>
      </c>
      <c r="N577" s="28">
        <v>12</v>
      </c>
      <c r="O577" s="29">
        <v>912.85</v>
      </c>
      <c r="P577" s="29">
        <v>1678.79</v>
      </c>
    </row>
    <row r="578" ht="15.55" customHeight="1">
      <c r="J578" t="s" s="27">
        <v>610</v>
      </c>
      <c r="N578" s="28">
        <v>1</v>
      </c>
      <c r="O578" s="29">
        <v>324.99</v>
      </c>
      <c r="P578" s="29">
        <v>324.99</v>
      </c>
    </row>
    <row r="579" ht="15.55" customHeight="1">
      <c r="J579" t="s" s="27">
        <v>749</v>
      </c>
      <c r="N579" s="28">
        <v>2</v>
      </c>
      <c r="O579" s="29">
        <v>439.98</v>
      </c>
      <c r="P579" s="29">
        <v>439.98</v>
      </c>
    </row>
    <row r="580" ht="15.55" customHeight="1">
      <c r="J580" t="s" s="27">
        <v>789</v>
      </c>
      <c r="N580" s="28">
        <v>4</v>
      </c>
      <c r="O580" s="29">
        <v>49.98</v>
      </c>
      <c r="P580" s="29">
        <v>99.95999999999999</v>
      </c>
    </row>
    <row r="581" ht="15.55" customHeight="1">
      <c r="J581" t="s" s="27">
        <v>1066</v>
      </c>
      <c r="N581" s="28">
        <v>4</v>
      </c>
      <c r="O581" s="29">
        <v>7.49</v>
      </c>
      <c r="P581" s="29">
        <v>29.96</v>
      </c>
    </row>
    <row r="582" ht="15.55" customHeight="1">
      <c r="J582" t="s" s="27">
        <v>735</v>
      </c>
      <c r="N582" s="28">
        <v>1</v>
      </c>
      <c r="O582" s="29">
        <v>599.99</v>
      </c>
      <c r="P582" s="29">
        <v>599.99</v>
      </c>
    </row>
    <row r="583" ht="15.55" customHeight="1">
      <c r="J583" t="s" s="27">
        <v>634</v>
      </c>
      <c r="N583" s="28">
        <v>1</v>
      </c>
      <c r="O583" s="29">
        <v>49.99</v>
      </c>
      <c r="P583" s="29">
        <v>49.99</v>
      </c>
    </row>
    <row r="584" ht="15.55" customHeight="1">
      <c r="J584" t="s" s="27">
        <v>1108</v>
      </c>
      <c r="N584" s="28">
        <v>2</v>
      </c>
      <c r="O584" s="29">
        <v>49.99</v>
      </c>
      <c r="P584" s="29">
        <v>99.98</v>
      </c>
    </row>
    <row r="585" ht="15.55" customHeight="1">
      <c r="J585" t="s" s="27">
        <v>797</v>
      </c>
      <c r="N585" s="28">
        <v>3</v>
      </c>
      <c r="O585" s="29">
        <v>59.98</v>
      </c>
      <c r="P585" s="29">
        <v>109.97</v>
      </c>
    </row>
    <row r="586" ht="15.55" customHeight="1">
      <c r="J586" t="s" s="27">
        <v>432</v>
      </c>
      <c r="N586" s="28">
        <v>2</v>
      </c>
      <c r="O586" s="29">
        <v>399.99</v>
      </c>
      <c r="P586" s="29">
        <v>399.99</v>
      </c>
    </row>
    <row r="587" ht="15.55" customHeight="1">
      <c r="J587" t="s" s="27">
        <v>865</v>
      </c>
      <c r="N587" s="28">
        <v>1</v>
      </c>
      <c r="O587" s="29">
        <v>549.99</v>
      </c>
      <c r="P587" s="29">
        <v>549.99</v>
      </c>
    </row>
    <row r="588" ht="15.55" customHeight="1">
      <c r="J588" t="s" s="27">
        <v>675</v>
      </c>
      <c r="N588" s="28">
        <v>1</v>
      </c>
      <c r="O588" s="29">
        <v>49.99</v>
      </c>
      <c r="P588" s="29">
        <v>49.99</v>
      </c>
    </row>
    <row r="589" ht="28.55" customHeight="1">
      <c r="J589" t="s" s="27">
        <v>784</v>
      </c>
      <c r="N589" s="28">
        <v>17</v>
      </c>
      <c r="O589" s="29">
        <v>2049.98</v>
      </c>
      <c r="P589" s="29">
        <v>4599.95</v>
      </c>
    </row>
    <row r="590" ht="15.55" customHeight="1">
      <c r="J590" t="s" s="27">
        <v>368</v>
      </c>
      <c r="N590" s="28">
        <v>10</v>
      </c>
      <c r="O590" s="29">
        <v>1.99</v>
      </c>
      <c r="P590" s="29">
        <v>19.9</v>
      </c>
    </row>
    <row r="591" ht="15.55" customHeight="1">
      <c r="J591" t="s" s="27">
        <v>476</v>
      </c>
      <c r="N591" s="28">
        <v>55</v>
      </c>
      <c r="O591" s="29">
        <v>8207.307500000001</v>
      </c>
      <c r="P591" s="29">
        <v>11616.38</v>
      </c>
    </row>
    <row r="592" ht="15.55" customHeight="1">
      <c r="J592" t="s" s="27">
        <v>896</v>
      </c>
      <c r="N592" s="28">
        <v>19</v>
      </c>
      <c r="O592" s="29">
        <v>3172.485</v>
      </c>
      <c r="P592" s="29">
        <v>5047.4475</v>
      </c>
    </row>
    <row r="593" ht="15.55" customHeight="1">
      <c r="J593" t="s" s="27">
        <v>745</v>
      </c>
      <c r="N593" s="28">
        <v>1</v>
      </c>
      <c r="O593" s="29">
        <v>399.99</v>
      </c>
      <c r="P593" s="29">
        <v>399.99</v>
      </c>
    </row>
    <row r="594" ht="15.55" customHeight="1">
      <c r="J594" t="s" s="27">
        <v>818</v>
      </c>
      <c r="N594" s="28">
        <v>2</v>
      </c>
      <c r="O594" s="29">
        <v>549.99</v>
      </c>
      <c r="P594" s="29">
        <v>549.99</v>
      </c>
    </row>
    <row r="595" ht="15.55" customHeight="1">
      <c r="J595" t="s" s="27">
        <v>679</v>
      </c>
      <c r="N595" s="28">
        <v>4</v>
      </c>
      <c r="O595" s="29">
        <v>69.98</v>
      </c>
      <c r="P595" s="29">
        <v>139.96</v>
      </c>
    </row>
    <row r="596" ht="15.55" customHeight="1">
      <c r="J596" t="s" s="27">
        <v>1062</v>
      </c>
      <c r="N596" s="28">
        <v>1</v>
      </c>
      <c r="O596" s="29">
        <v>399.99</v>
      </c>
      <c r="P596" s="29">
        <v>399.99</v>
      </c>
    </row>
    <row r="597" ht="15.55" customHeight="1">
      <c r="J597" t="s" s="27">
        <v>794</v>
      </c>
      <c r="N597" s="28">
        <v>1</v>
      </c>
      <c r="O597" s="29">
        <v>49.99</v>
      </c>
      <c r="P597" s="29">
        <v>49.99</v>
      </c>
    </row>
    <row r="598" ht="15.55" customHeight="1">
      <c r="J598" t="s" s="27">
        <v>1058</v>
      </c>
      <c r="N598" s="28">
        <v>1</v>
      </c>
      <c r="O598" s="29">
        <v>29.99</v>
      </c>
      <c r="P598" s="29">
        <v>29.99</v>
      </c>
    </row>
    <row r="599" ht="15.55" customHeight="1">
      <c r="J599" t="s" s="27">
        <v>737</v>
      </c>
      <c r="N599" s="28">
        <v>2</v>
      </c>
      <c r="O599" s="29">
        <v>79.98999999999999</v>
      </c>
      <c r="P599" s="29">
        <v>159.98</v>
      </c>
    </row>
    <row r="600" ht="15.55" customHeight="1">
      <c r="J600" t="s" s="27">
        <v>858</v>
      </c>
      <c r="N600" s="28">
        <v>2</v>
      </c>
      <c r="O600" s="29">
        <v>19.98</v>
      </c>
      <c r="P600" s="29">
        <v>19.98</v>
      </c>
    </row>
    <row r="601" ht="15.55" customHeight="1">
      <c r="J601" t="s" s="27">
        <v>844</v>
      </c>
      <c r="N601" s="28">
        <v>2</v>
      </c>
      <c r="O601" s="29">
        <v>199.99</v>
      </c>
      <c r="P601" s="29">
        <v>399.98</v>
      </c>
    </row>
    <row r="602" ht="15.55" customHeight="1">
      <c r="J602" t="s" s="27">
        <v>885</v>
      </c>
      <c r="N602" s="28">
        <v>9</v>
      </c>
      <c r="O602" s="29">
        <v>1069.97</v>
      </c>
      <c r="P602" s="29">
        <v>2139.94</v>
      </c>
    </row>
    <row r="603" ht="15.55" customHeight="1">
      <c r="J603" t="s" s="27">
        <v>931</v>
      </c>
      <c r="N603" s="28">
        <v>1</v>
      </c>
      <c r="O603" s="29">
        <v>399.99</v>
      </c>
      <c r="P603" s="29">
        <v>399.99</v>
      </c>
    </row>
    <row r="604" ht="15.55" customHeight="1">
      <c r="J604" t="s" s="27">
        <v>1017</v>
      </c>
      <c r="N604" s="28">
        <v>2</v>
      </c>
      <c r="O604" s="29">
        <v>49.99</v>
      </c>
      <c r="P604" s="29">
        <v>99.98</v>
      </c>
    </row>
    <row r="605" ht="15.55" customHeight="1">
      <c r="J605" t="s" s="27">
        <v>715</v>
      </c>
      <c r="N605" s="28">
        <v>8</v>
      </c>
      <c r="O605" s="29">
        <v>849.99</v>
      </c>
      <c r="P605" s="29">
        <v>1699.98</v>
      </c>
    </row>
    <row r="606" ht="15.55" customHeight="1">
      <c r="J606" t="s" s="27">
        <v>808</v>
      </c>
      <c r="N606" s="28">
        <v>3</v>
      </c>
      <c r="O606" s="29">
        <v>49.99</v>
      </c>
      <c r="P606" s="29">
        <v>99.98</v>
      </c>
    </row>
    <row r="607" ht="15.55" customHeight="1">
      <c r="J607" t="s" s="27">
        <v>1043</v>
      </c>
      <c r="N607" s="28">
        <v>25</v>
      </c>
      <c r="O607" s="29">
        <v>1199.99</v>
      </c>
      <c r="P607" s="29">
        <v>1199.99</v>
      </c>
    </row>
    <row r="608" ht="15.55" customHeight="1">
      <c r="J608" t="s" s="27">
        <v>681</v>
      </c>
      <c r="N608" s="28">
        <v>10</v>
      </c>
      <c r="O608" s="29">
        <v>569.97</v>
      </c>
      <c r="P608" s="29">
        <v>1539.9</v>
      </c>
    </row>
    <row r="609" ht="15.55" customHeight="1">
      <c r="J609" t="s" s="27">
        <v>941</v>
      </c>
      <c r="N609" s="28">
        <v>7</v>
      </c>
      <c r="O609" s="29">
        <v>34.0925</v>
      </c>
      <c r="P609" s="29">
        <v>120.305</v>
      </c>
    </row>
    <row r="610" ht="15.55" customHeight="1">
      <c r="J610" t="s" s="27">
        <v>969</v>
      </c>
      <c r="N610" s="28">
        <v>1</v>
      </c>
      <c r="O610" s="29">
        <v>29.99</v>
      </c>
      <c r="P610" s="29">
        <v>29.99</v>
      </c>
    </row>
    <row r="611" ht="15.55" customHeight="1">
      <c r="J611" t="s" s="27">
        <v>973</v>
      </c>
      <c r="N611" s="28">
        <v>1</v>
      </c>
      <c r="O611" s="29">
        <v>119.99</v>
      </c>
      <c r="P611" s="29">
        <v>119.99</v>
      </c>
    </row>
    <row r="612" ht="15.55" customHeight="1">
      <c r="J612" t="s" s="27">
        <v>1090</v>
      </c>
      <c r="N612" s="28">
        <v>1</v>
      </c>
      <c r="O612" s="29">
        <v>79.98999999999999</v>
      </c>
      <c r="P612" s="29">
        <v>79.98999999999999</v>
      </c>
    </row>
    <row r="613" ht="15.55" customHeight="1">
      <c r="J613" t="s" s="27">
        <v>1027</v>
      </c>
      <c r="N613" s="28">
        <v>32</v>
      </c>
      <c r="O613" s="29">
        <v>499.99</v>
      </c>
      <c r="P613" s="29">
        <v>7999.84</v>
      </c>
    </row>
    <row r="614" ht="15.55" customHeight="1">
      <c r="J614" t="s" s="27">
        <v>651</v>
      </c>
      <c r="N614" s="28">
        <v>5</v>
      </c>
      <c r="O614" s="29">
        <v>9.99</v>
      </c>
      <c r="P614" s="29">
        <v>49.95</v>
      </c>
    </row>
    <row r="615" ht="15.55" customHeight="1">
      <c r="J615" t="s" s="27">
        <v>605</v>
      </c>
      <c r="N615" s="28">
        <v>1</v>
      </c>
      <c r="O615" s="29">
        <v>79.98999999999999</v>
      </c>
      <c r="P615" s="29">
        <v>79.98999999999999</v>
      </c>
    </row>
    <row r="616" ht="15.55" customHeight="1">
      <c r="J616" t="s" s="27">
        <v>959</v>
      </c>
      <c r="N616" s="28">
        <v>1</v>
      </c>
      <c r="O616" s="29">
        <v>49.99</v>
      </c>
      <c r="P616" s="29">
        <v>49.99</v>
      </c>
    </row>
    <row r="617" ht="15.55" customHeight="1">
      <c r="J617" t="s" s="27">
        <v>842</v>
      </c>
      <c r="N617" s="28">
        <v>1</v>
      </c>
      <c r="O617" s="29">
        <v>29.99</v>
      </c>
      <c r="P617" s="29">
        <v>29.99</v>
      </c>
    </row>
    <row r="618" ht="15.55" customHeight="1">
      <c r="J618" t="s" s="27">
        <v>1025</v>
      </c>
      <c r="N618" s="28">
        <v>2</v>
      </c>
      <c r="O618" s="29">
        <v>399.98</v>
      </c>
      <c r="P618" s="29">
        <v>399.98</v>
      </c>
    </row>
    <row r="619" ht="15.55" customHeight="1">
      <c r="J619" t="s" s="27">
        <v>1064</v>
      </c>
      <c r="N619" s="28">
        <v>18</v>
      </c>
      <c r="O619" s="29">
        <v>969.98</v>
      </c>
      <c r="P619" s="29">
        <v>2899.88</v>
      </c>
    </row>
    <row r="620" ht="15.55" customHeight="1">
      <c r="J620" t="s" s="27">
        <v>632</v>
      </c>
      <c r="N620" s="28">
        <v>1</v>
      </c>
      <c r="O620" s="29">
        <v>549.99</v>
      </c>
      <c r="P620" s="29">
        <v>549.99</v>
      </c>
    </row>
    <row r="621" ht="15.55" customHeight="1">
      <c r="J621" t="s" s="27">
        <v>810</v>
      </c>
      <c r="N621" s="28">
        <v>7</v>
      </c>
      <c r="O621" s="29">
        <v>9.99</v>
      </c>
      <c r="P621" s="29">
        <v>59.94</v>
      </c>
    </row>
    <row r="622" ht="15.55" customHeight="1">
      <c r="J622" t="s" s="27">
        <v>717</v>
      </c>
      <c r="N622" s="28">
        <v>1</v>
      </c>
      <c r="O622" s="29">
        <v>399.99</v>
      </c>
      <c r="P622" s="29">
        <v>399.99</v>
      </c>
    </row>
    <row r="623" ht="15.55" customHeight="1">
      <c r="J623" t="s" s="27">
        <v>1113</v>
      </c>
      <c r="N623" s="28">
        <v>1</v>
      </c>
      <c r="O623" s="29">
        <v>599.99</v>
      </c>
      <c r="P623" s="29">
        <v>599.99</v>
      </c>
    </row>
    <row r="624" ht="15.55" customHeight="1">
      <c r="J624" t="s" s="27">
        <v>840</v>
      </c>
      <c r="N624" s="28">
        <v>4</v>
      </c>
      <c r="O624" s="29">
        <v>799.99</v>
      </c>
      <c r="P624" s="29">
        <v>3199.96</v>
      </c>
    </row>
    <row r="625" ht="15.55" customHeight="1">
      <c r="J625" t="s" s="27">
        <v>856</v>
      </c>
      <c r="N625" s="28">
        <v>2</v>
      </c>
      <c r="O625" s="29">
        <v>359.98</v>
      </c>
      <c r="P625" s="29">
        <v>359.98</v>
      </c>
    </row>
    <row r="626" ht="15.55" customHeight="1">
      <c r="J626" t="s" s="27">
        <v>465</v>
      </c>
      <c r="N626" s="28">
        <v>3</v>
      </c>
      <c r="O626" s="29">
        <v>258.5925</v>
      </c>
      <c r="P626" s="29">
        <v>483.585</v>
      </c>
    </row>
    <row r="627" ht="15.55" customHeight="1">
      <c r="J627" t="s" s="27">
        <v>751</v>
      </c>
      <c r="N627" s="28">
        <v>2</v>
      </c>
      <c r="O627" s="29">
        <v>349.99</v>
      </c>
      <c r="P627" s="29">
        <v>699.98</v>
      </c>
    </row>
    <row r="628" ht="15.55" customHeight="1">
      <c r="J628" t="s" s="27">
        <v>873</v>
      </c>
      <c r="N628" s="28">
        <v>2</v>
      </c>
      <c r="O628" s="29">
        <v>109.98</v>
      </c>
      <c r="P628" s="29">
        <v>109.98</v>
      </c>
    </row>
    <row r="629" ht="15.55" customHeight="1">
      <c r="J629" t="s" s="27">
        <v>743</v>
      </c>
      <c r="N629" s="28">
        <v>4</v>
      </c>
      <c r="O629" s="29">
        <v>49.99</v>
      </c>
      <c r="P629" s="29">
        <v>199.96</v>
      </c>
    </row>
    <row r="630" ht="15.55" customHeight="1">
      <c r="J630" t="s" s="27">
        <v>659</v>
      </c>
      <c r="N630" s="28">
        <v>22</v>
      </c>
      <c r="O630" s="29">
        <v>1285.96</v>
      </c>
      <c r="P630" s="29">
        <v>3147.87</v>
      </c>
    </row>
    <row r="631" ht="15.55" customHeight="1">
      <c r="J631" t="s" s="27">
        <v>353</v>
      </c>
      <c r="N631" s="28">
        <v>4</v>
      </c>
      <c r="O631" s="29">
        <v>154.85</v>
      </c>
      <c r="P631" s="29">
        <v>154.85</v>
      </c>
    </row>
    <row r="632" ht="15.55" customHeight="1">
      <c r="J632" t="s" s="27">
        <v>657</v>
      </c>
      <c r="N632" s="28">
        <v>3</v>
      </c>
      <c r="O632" s="29">
        <v>119.98</v>
      </c>
      <c r="P632" s="29">
        <v>179.97</v>
      </c>
    </row>
    <row r="633" ht="15.55" customHeight="1">
      <c r="J633" t="s" s="27">
        <v>649</v>
      </c>
      <c r="N633" s="28">
        <v>2</v>
      </c>
      <c r="O633" s="29">
        <v>399.99</v>
      </c>
      <c r="P633" s="29">
        <v>799.98</v>
      </c>
    </row>
    <row r="634" ht="15.55" customHeight="1">
      <c r="J634" t="s" s="27">
        <v>673</v>
      </c>
      <c r="N634" s="28">
        <v>1</v>
      </c>
      <c r="O634" s="29">
        <v>549.99</v>
      </c>
      <c r="P634" s="29">
        <v>549.99</v>
      </c>
    </row>
    <row r="635" ht="15.55" customHeight="1">
      <c r="J635" t="s" s="27">
        <v>875</v>
      </c>
      <c r="N635" s="28">
        <v>1</v>
      </c>
      <c r="O635" s="29">
        <v>79.98999999999999</v>
      </c>
      <c r="P635" s="29">
        <v>79.98999999999999</v>
      </c>
    </row>
    <row r="636" ht="15.55" customHeight="1">
      <c r="J636" t="s" s="27">
        <v>669</v>
      </c>
      <c r="N636" s="28">
        <v>27</v>
      </c>
      <c r="O636" s="29">
        <v>1952.87</v>
      </c>
      <c r="P636" s="29">
        <v>2398.77</v>
      </c>
    </row>
    <row r="637" ht="15.55" customHeight="1">
      <c r="J637" t="s" s="27">
        <v>827</v>
      </c>
      <c r="N637" s="28">
        <v>21</v>
      </c>
      <c r="O637" s="29">
        <v>1180.98</v>
      </c>
      <c r="P637" s="29">
        <v>4048.92</v>
      </c>
    </row>
    <row r="638" ht="15.55" customHeight="1">
      <c r="J638" t="s" s="27">
        <v>1015</v>
      </c>
      <c r="N638" s="28">
        <v>1</v>
      </c>
      <c r="O638" s="29">
        <v>79.98999999999999</v>
      </c>
      <c r="P638" s="29">
        <v>79.98999999999999</v>
      </c>
    </row>
    <row r="639" ht="15.55" customHeight="1">
      <c r="J639" t="s" s="27">
        <v>787</v>
      </c>
      <c r="N639" s="28">
        <v>2</v>
      </c>
      <c r="O639" s="29">
        <v>179.99</v>
      </c>
      <c r="P639" s="29">
        <v>359.98</v>
      </c>
    </row>
    <row r="640" ht="15.55" customHeight="1">
      <c r="J640" t="s" s="27">
        <v>755</v>
      </c>
      <c r="N640" s="28">
        <v>2</v>
      </c>
      <c r="O640" s="29">
        <v>19.98</v>
      </c>
      <c r="P640" s="29">
        <v>19.98</v>
      </c>
    </row>
    <row r="641" ht="15.55" customHeight="1">
      <c r="J641" t="s" s="27">
        <v>713</v>
      </c>
      <c r="N641" s="28">
        <v>1</v>
      </c>
      <c r="O641" s="29">
        <v>219.99</v>
      </c>
      <c r="P641" s="29">
        <v>219.99</v>
      </c>
    </row>
    <row r="642" ht="15.55" customHeight="1">
      <c r="J642" t="s" s="27">
        <v>852</v>
      </c>
      <c r="N642" s="28">
        <v>1</v>
      </c>
      <c r="O642" s="29">
        <v>399.99</v>
      </c>
      <c r="P642" s="29">
        <v>399.99</v>
      </c>
    </row>
    <row r="643" ht="15.55" customHeight="1">
      <c r="J643" t="s" s="27">
        <v>366</v>
      </c>
      <c r="N643" s="28">
        <v>4</v>
      </c>
      <c r="O643" s="29">
        <v>189.97</v>
      </c>
      <c r="P643" s="29">
        <v>219.96</v>
      </c>
    </row>
    <row r="644" ht="15.55" customHeight="1">
      <c r="J644" t="s" s="27">
        <v>803</v>
      </c>
      <c r="N644" s="28">
        <v>3</v>
      </c>
      <c r="O644" s="29">
        <v>0</v>
      </c>
      <c r="P644" s="29">
        <v>0</v>
      </c>
    </row>
    <row r="645" ht="15.55" customHeight="1">
      <c r="J645" t="s" s="27">
        <v>704</v>
      </c>
      <c r="N645" s="28">
        <v>17</v>
      </c>
      <c r="O645" s="29">
        <v>2474.955</v>
      </c>
      <c r="P645" s="29">
        <v>4874.925</v>
      </c>
    </row>
    <row r="646" ht="15.55" customHeight="1">
      <c r="J646" t="s" s="27">
        <v>961</v>
      </c>
      <c r="N646" s="28">
        <v>2</v>
      </c>
      <c r="O646" s="29">
        <v>9.99</v>
      </c>
      <c r="P646" s="29">
        <v>19.98</v>
      </c>
    </row>
    <row r="647" ht="15.55" customHeight="1">
      <c r="J647" t="s" s="27">
        <v>707</v>
      </c>
      <c r="N647" s="28">
        <v>1</v>
      </c>
      <c r="O647" s="29">
        <v>349.99</v>
      </c>
      <c r="P647" s="29">
        <v>349.99</v>
      </c>
    </row>
    <row r="648" ht="15.55" customHeight="1">
      <c r="J648" t="s" s="27">
        <v>636</v>
      </c>
      <c r="N648" s="28">
        <v>86</v>
      </c>
      <c r="O648" s="29">
        <v>2696.415</v>
      </c>
      <c r="P648" s="29">
        <v>12371.37</v>
      </c>
    </row>
    <row r="649" ht="15.55" customHeight="1">
      <c r="J649" t="s" s="27">
        <v>860</v>
      </c>
      <c r="N649" s="28">
        <v>3</v>
      </c>
      <c r="O649" s="29">
        <v>704.99</v>
      </c>
      <c r="P649" s="29">
        <v>1304.98</v>
      </c>
    </row>
    <row r="650" ht="15.55" customHeight="1">
      <c r="J650" t="s" s="27">
        <v>1006</v>
      </c>
      <c r="N650" s="28">
        <v>4</v>
      </c>
      <c r="O650" s="29">
        <v>79.98999999999999</v>
      </c>
      <c r="P650" s="29">
        <v>109.98</v>
      </c>
    </row>
    <row r="651" ht="15.55" customHeight="1">
      <c r="J651" t="s" s="27">
        <v>1116</v>
      </c>
      <c r="N651" s="28">
        <v>1</v>
      </c>
      <c r="O651" s="29">
        <v>149.99</v>
      </c>
      <c r="P651" s="29">
        <v>149.99</v>
      </c>
    </row>
    <row r="652" ht="15.55" customHeight="1">
      <c r="J652" t="s" s="27">
        <v>871</v>
      </c>
      <c r="N652" s="28">
        <v>2</v>
      </c>
      <c r="O652" s="29">
        <v>49.99</v>
      </c>
      <c r="P652" s="29">
        <v>99.98</v>
      </c>
    </row>
    <row r="653" ht="15.55" customHeight="1">
      <c r="J653" t="s" s="27">
        <v>1072</v>
      </c>
      <c r="N653" s="28">
        <v>2</v>
      </c>
      <c r="O653" s="29">
        <v>119.99</v>
      </c>
      <c r="P653" s="29">
        <v>239.98</v>
      </c>
    </row>
    <row r="654" ht="15.55" customHeight="1">
      <c r="J654" t="s" s="27">
        <v>971</v>
      </c>
      <c r="N654" s="28">
        <v>6</v>
      </c>
      <c r="O654" s="29">
        <v>969.98</v>
      </c>
      <c r="P654" s="29">
        <v>1089.97</v>
      </c>
    </row>
    <row r="655" ht="15.55" customHeight="1">
      <c r="J655" t="s" s="27">
        <v>951</v>
      </c>
      <c r="N655" s="28">
        <v>1</v>
      </c>
      <c r="O655" s="29">
        <v>49.99</v>
      </c>
      <c r="P655" s="29">
        <v>49.99</v>
      </c>
    </row>
    <row r="656" ht="15.55" customHeight="1">
      <c r="J656" t="s" s="27">
        <v>72</v>
      </c>
      <c r="N656" s="28">
        <v>1</v>
      </c>
      <c r="O656" s="29">
        <v>399.99</v>
      </c>
      <c r="P656" s="29">
        <v>399.99</v>
      </c>
    </row>
    <row r="657" ht="15.55" customHeight="1">
      <c r="J657" t="s" s="27">
        <v>1102</v>
      </c>
      <c r="N657" s="28">
        <v>3</v>
      </c>
      <c r="O657" s="29">
        <v>49.99</v>
      </c>
      <c r="P657" s="29">
        <v>149.97</v>
      </c>
    </row>
    <row r="658" ht="15.55" customHeight="1">
      <c r="J658" t="s" s="27">
        <v>473</v>
      </c>
      <c r="N658" s="28">
        <v>11</v>
      </c>
      <c r="O658" s="29">
        <v>876.9825</v>
      </c>
      <c r="P658" s="29">
        <v>1811.9275</v>
      </c>
    </row>
    <row r="659" ht="15.55" customHeight="1">
      <c r="J659" t="s" s="27">
        <v>850</v>
      </c>
      <c r="N659" s="28">
        <v>1</v>
      </c>
      <c r="O659" s="29">
        <v>399.99</v>
      </c>
      <c r="P659" s="29">
        <v>399.99</v>
      </c>
    </row>
    <row r="660" ht="15.55" customHeight="1">
      <c r="J660" t="s" s="27">
        <v>1023</v>
      </c>
      <c r="N660" s="28">
        <v>1</v>
      </c>
      <c r="O660" s="29">
        <v>599.99</v>
      </c>
      <c r="P660" s="29">
        <v>599.99</v>
      </c>
    </row>
    <row r="661" ht="15.55" customHeight="1">
      <c r="J661" t="s" s="27">
        <v>739</v>
      </c>
      <c r="N661" s="28">
        <v>4</v>
      </c>
      <c r="O661" s="29">
        <v>139.97</v>
      </c>
      <c r="P661" s="29">
        <v>259.96</v>
      </c>
    </row>
    <row r="662" ht="15.55" customHeight="1">
      <c r="J662" t="s" s="27">
        <v>685</v>
      </c>
      <c r="N662" s="28">
        <v>12</v>
      </c>
      <c r="O662" s="29">
        <v>1054.98</v>
      </c>
      <c r="P662" s="29">
        <v>2169.94</v>
      </c>
    </row>
    <row r="663" ht="15.55" customHeight="1">
      <c r="J663" t="s" s="27">
        <v>854</v>
      </c>
      <c r="N663" s="28">
        <v>1</v>
      </c>
      <c r="O663" s="29">
        <v>399.99</v>
      </c>
      <c r="P663" s="29">
        <v>399.99</v>
      </c>
    </row>
    <row r="664" ht="15.55" customHeight="1">
      <c r="J664" t="s" s="27">
        <v>1086</v>
      </c>
      <c r="N664" s="28">
        <v>4</v>
      </c>
      <c r="O664" s="29">
        <v>169.96</v>
      </c>
      <c r="P664" s="29">
        <v>169.96</v>
      </c>
    </row>
    <row r="665" ht="28.55" customHeight="1">
      <c r="J665" t="s" s="27">
        <v>719</v>
      </c>
      <c r="N665" s="28">
        <v>1</v>
      </c>
      <c r="O665" s="29">
        <v>399.99</v>
      </c>
      <c r="P665" s="29">
        <v>399.99</v>
      </c>
    </row>
    <row r="666" ht="15.55" customHeight="1">
      <c r="J666" t="s" s="27">
        <v>1013</v>
      </c>
      <c r="N666" s="28">
        <v>1</v>
      </c>
      <c r="O666" s="29">
        <v>399.99</v>
      </c>
      <c r="P666" s="29">
        <v>399.99</v>
      </c>
    </row>
    <row r="667" ht="15.55" customHeight="1">
      <c r="J667" t="s" s="27">
        <v>991</v>
      </c>
      <c r="N667" s="28">
        <v>3</v>
      </c>
      <c r="O667" s="29">
        <v>129.98</v>
      </c>
      <c r="P667" s="29">
        <v>159.97</v>
      </c>
    </row>
    <row r="668" ht="15.55" customHeight="1">
      <c r="J668" t="s" s="27">
        <v>721</v>
      </c>
      <c r="N668" s="28">
        <v>92</v>
      </c>
      <c r="O668" s="29">
        <v>4141.81</v>
      </c>
      <c r="P668" s="29">
        <v>19891.52</v>
      </c>
    </row>
    <row r="669" ht="15.55" customHeight="1">
      <c r="J669" t="s" s="27">
        <v>1053</v>
      </c>
      <c r="N669" s="28">
        <v>24</v>
      </c>
      <c r="O669" s="29">
        <v>759.4625</v>
      </c>
      <c r="P669" s="29">
        <v>2409.3275</v>
      </c>
    </row>
    <row r="670" ht="15.55" customHeight="1">
      <c r="J670" t="s" s="27">
        <v>877</v>
      </c>
      <c r="N670" s="28">
        <v>4</v>
      </c>
      <c r="O670" s="29">
        <v>299.98</v>
      </c>
      <c r="P670" s="29">
        <v>599.96</v>
      </c>
    </row>
    <row r="671" ht="15.55" customHeight="1">
      <c r="J671" t="s" s="27">
        <v>122</v>
      </c>
      <c r="N671" s="28">
        <v>5</v>
      </c>
      <c r="O671" s="29">
        <v>72.5</v>
      </c>
      <c r="P671" s="29">
        <v>72.5</v>
      </c>
    </row>
    <row r="672" ht="15.55" customHeight="1">
      <c r="J672" t="s" s="27">
        <v>890</v>
      </c>
      <c r="N672" s="28">
        <v>1</v>
      </c>
      <c r="O672" s="29">
        <v>349.99</v>
      </c>
      <c r="P672" s="29">
        <v>349.99</v>
      </c>
    </row>
    <row r="673" ht="15.55" customHeight="1">
      <c r="J673" t="s" s="27">
        <v>964</v>
      </c>
      <c r="N673" s="28">
        <v>40</v>
      </c>
      <c r="O673" s="29">
        <v>26.991</v>
      </c>
      <c r="P673" s="29">
        <v>1079.64</v>
      </c>
    </row>
    <row r="674" ht="15.55" customHeight="1">
      <c r="J674" t="s" s="27">
        <v>757</v>
      </c>
      <c r="N674" s="28">
        <v>1</v>
      </c>
      <c r="O674" s="29">
        <v>399.99</v>
      </c>
      <c r="P674" s="29">
        <v>399.99</v>
      </c>
    </row>
    <row r="675" ht="15.55" customHeight="1">
      <c r="J675" t="s" s="27">
        <v>777</v>
      </c>
      <c r="N675" s="28">
        <v>6</v>
      </c>
      <c r="O675" s="29">
        <v>471.87</v>
      </c>
      <c r="P675" s="29">
        <v>471.87</v>
      </c>
    </row>
    <row r="676" ht="15.55" customHeight="1">
      <c r="J676" t="s" s="27">
        <v>667</v>
      </c>
      <c r="N676" s="28">
        <v>1</v>
      </c>
      <c r="O676" s="29">
        <v>349.99</v>
      </c>
      <c r="P676" s="29">
        <v>349.99</v>
      </c>
    </row>
    <row r="677" ht="15.55" customHeight="1">
      <c r="J677" t="s" s="27">
        <v>801</v>
      </c>
      <c r="N677" s="28">
        <v>1</v>
      </c>
      <c r="O677" s="29">
        <v>349.99</v>
      </c>
      <c r="P677" s="29">
        <v>349.99</v>
      </c>
    </row>
    <row r="678" ht="15.55" customHeight="1">
      <c r="J678" t="s" s="27">
        <v>1104</v>
      </c>
      <c r="N678" s="28">
        <v>9</v>
      </c>
      <c r="O678" s="29">
        <v>1269.98</v>
      </c>
      <c r="P678" s="29">
        <v>2139.97</v>
      </c>
    </row>
    <row r="679" ht="15.55" customHeight="1">
      <c r="J679" t="s" s="27">
        <v>985</v>
      </c>
      <c r="N679" s="28">
        <v>16</v>
      </c>
      <c r="O679" s="29">
        <v>511.9825</v>
      </c>
      <c r="P679" s="29">
        <v>4095.86</v>
      </c>
    </row>
    <row r="680" ht="15.55" customHeight="1">
      <c r="J680" t="s" s="27">
        <v>943</v>
      </c>
      <c r="N680" s="28">
        <v>37</v>
      </c>
      <c r="O680" s="29">
        <v>4868.7145</v>
      </c>
      <c r="P680" s="29">
        <v>8657.438</v>
      </c>
    </row>
    <row r="681" ht="15.55" customHeight="1">
      <c r="J681" t="s" s="27">
        <v>512</v>
      </c>
      <c r="N681" s="28">
        <v>37</v>
      </c>
      <c r="O681" s="29">
        <v>3768.1755</v>
      </c>
      <c r="P681" s="29">
        <v>13218.0855</v>
      </c>
    </row>
    <row r="682" ht="15.55" customHeight="1">
      <c r="J682" t="s" s="27">
        <v>236</v>
      </c>
      <c r="N682" s="28">
        <v>2</v>
      </c>
      <c r="O682" s="29">
        <v>29.99</v>
      </c>
      <c r="P682" s="29">
        <v>59.98</v>
      </c>
    </row>
    <row r="683" ht="15.55" customHeight="1">
      <c r="J683" t="s" s="27">
        <v>838</v>
      </c>
      <c r="N683" s="28">
        <v>2</v>
      </c>
      <c r="O683" s="29">
        <v>749.98</v>
      </c>
      <c r="P683" s="29">
        <v>749.98</v>
      </c>
    </row>
    <row r="684" ht="15.55" customHeight="1">
      <c r="J684" t="s" s="27">
        <v>663</v>
      </c>
      <c r="N684" s="28">
        <v>3</v>
      </c>
      <c r="O684" s="29">
        <v>169.98</v>
      </c>
      <c r="P684" s="29">
        <v>219.97</v>
      </c>
    </row>
    <row r="685" ht="15.55" customHeight="1">
      <c r="J685" t="s" s="27">
        <v>597</v>
      </c>
      <c r="N685" s="28">
        <v>4</v>
      </c>
      <c r="O685" s="29">
        <v>159.98</v>
      </c>
      <c r="P685" s="29">
        <v>319.96</v>
      </c>
    </row>
    <row r="686" ht="15.55" customHeight="1">
      <c r="J686" t="s" s="27">
        <v>881</v>
      </c>
      <c r="N686" s="28">
        <v>33</v>
      </c>
      <c r="O686" s="29">
        <v>1367.1475</v>
      </c>
      <c r="P686" s="29">
        <v>3208.24</v>
      </c>
    </row>
    <row r="687" ht="15.4" customHeight="1">
      <c r="J687" t="s" s="30">
        <v>987</v>
      </c>
      <c r="N687" s="31">
        <v>16</v>
      </c>
      <c r="O687" s="32">
        <v>1348.92</v>
      </c>
      <c r="P687" s="32">
        <v>1468.8</v>
      </c>
    </row>
    <row r="688" ht="13.1" customHeight="1">
      <c r="J688" t="s" s="33">
        <v>620</v>
      </c>
      <c r="N688" s="34">
        <v>1409.5</v>
      </c>
      <c r="O688" s="35">
        <v>116947.017196</v>
      </c>
      <c r="P688" s="35">
        <v>232922.543392</v>
      </c>
    </row>
    <row r="690" ht="15.55" customHeight="1">
      <c r="Q690" t="s" s="2">
        <v>1136</v>
      </c>
      <c r="R690" s="2"/>
    </row>
    <row r="691" ht="13.1" customHeight="1">
      <c r="Q691" t="s" s="37">
        <v>4</v>
      </c>
      <c r="R691" t="s" s="23">
        <v>617</v>
      </c>
    </row>
    <row r="692" ht="13.1" customHeight="1">
      <c r="Q692" t="s" s="38">
        <v>115</v>
      </c>
      <c r="R692" s="39">
        <v>23</v>
      </c>
    </row>
    <row r="693" ht="12.9" customHeight="1">
      <c r="Q693" t="s" s="40">
        <v>1046</v>
      </c>
      <c r="R693" s="41">
        <v>8</v>
      </c>
    </row>
    <row r="694" ht="12.9" customHeight="1">
      <c r="Q694" t="s" s="40">
        <v>904</v>
      </c>
      <c r="R694" s="41">
        <v>6</v>
      </c>
    </row>
    <row r="695" ht="12.9" customHeight="1">
      <c r="Q695" t="s" s="40">
        <v>832</v>
      </c>
      <c r="R695" s="41">
        <v>1</v>
      </c>
    </row>
    <row r="696" ht="12.9" customHeight="1">
      <c r="Q696" t="s" s="40">
        <v>775</v>
      </c>
      <c r="R696" s="41">
        <v>1</v>
      </c>
    </row>
    <row r="697" ht="12.9" customHeight="1">
      <c r="Q697" t="s" s="40">
        <v>902</v>
      </c>
      <c r="R697" s="41">
        <v>8</v>
      </c>
    </row>
    <row r="698" ht="12.9" customHeight="1">
      <c r="Q698" t="s" s="40">
        <v>780</v>
      </c>
      <c r="R698" s="41">
        <v>1</v>
      </c>
    </row>
    <row r="699" ht="12.9" customHeight="1">
      <c r="Q699" t="s" s="40">
        <v>781</v>
      </c>
      <c r="R699" s="41">
        <v>3</v>
      </c>
    </row>
    <row r="700" ht="12.9" customHeight="1">
      <c r="Q700" t="s" s="40">
        <v>1007</v>
      </c>
      <c r="R700" s="41">
        <v>1</v>
      </c>
    </row>
    <row r="701" ht="12.9" customHeight="1">
      <c r="Q701" t="s" s="40">
        <v>778</v>
      </c>
      <c r="R701" s="41">
        <v>11</v>
      </c>
    </row>
    <row r="702" ht="12.9" customHeight="1">
      <c r="Q702" t="s" s="40">
        <v>1095</v>
      </c>
      <c r="R702" s="41">
        <v>1</v>
      </c>
    </row>
    <row r="703" ht="12.9" customHeight="1">
      <c r="Q703" t="s" s="40">
        <v>906</v>
      </c>
      <c r="R703" s="41">
        <v>24</v>
      </c>
    </row>
    <row r="704" ht="12.9" customHeight="1">
      <c r="Q704" t="s" s="40">
        <v>123</v>
      </c>
      <c r="R704" s="41">
        <v>10</v>
      </c>
    </row>
    <row r="705" ht="12.9" customHeight="1">
      <c r="Q705" t="s" s="40">
        <v>982</v>
      </c>
      <c r="R705" s="41">
        <v>4</v>
      </c>
    </row>
    <row r="706" ht="12.9" customHeight="1">
      <c r="Q706" t="s" s="40">
        <v>165</v>
      </c>
      <c r="R706" s="41">
        <v>2</v>
      </c>
    </row>
    <row r="707" ht="12.9" customHeight="1">
      <c r="Q707" t="s" s="40">
        <v>19</v>
      </c>
      <c r="R707" s="41">
        <v>40</v>
      </c>
    </row>
    <row r="708" ht="12.9" customHeight="1">
      <c r="Q708" t="s" s="40">
        <v>227</v>
      </c>
      <c r="R708" s="41">
        <v>19</v>
      </c>
    </row>
    <row r="709" ht="12.9" customHeight="1">
      <c r="Q709" t="s" s="40">
        <v>167</v>
      </c>
      <c r="R709" s="41">
        <v>12</v>
      </c>
    </row>
    <row r="710" ht="12.9" customHeight="1">
      <c r="Q710" t="s" s="40">
        <v>341</v>
      </c>
      <c r="R710" s="41">
        <v>10</v>
      </c>
    </row>
    <row r="711" ht="12.9" customHeight="1">
      <c r="Q711" t="s" s="40">
        <v>54</v>
      </c>
      <c r="R711" s="41">
        <v>82</v>
      </c>
    </row>
    <row r="712" ht="12.9" customHeight="1">
      <c r="Q712" t="s" s="40">
        <v>139</v>
      </c>
      <c r="R712" s="41">
        <v>7</v>
      </c>
    </row>
    <row r="713" ht="12.9" customHeight="1">
      <c r="Q713" t="s" s="40">
        <v>887</v>
      </c>
      <c r="R713" s="41">
        <v>4</v>
      </c>
    </row>
    <row r="714" ht="12.9" customHeight="1">
      <c r="Q714" t="s" s="40">
        <v>57</v>
      </c>
      <c r="R714" s="41">
        <v>17</v>
      </c>
    </row>
    <row r="715" ht="12.9" customHeight="1">
      <c r="Q715" t="s" s="40">
        <v>84</v>
      </c>
      <c r="R715" s="41">
        <v>36</v>
      </c>
    </row>
    <row r="716" ht="12.9" customHeight="1">
      <c r="Q716" t="s" s="40">
        <v>660</v>
      </c>
      <c r="R716" s="41">
        <v>11</v>
      </c>
    </row>
    <row r="717" ht="12.9" customHeight="1">
      <c r="Q717" t="s" s="40">
        <v>179</v>
      </c>
      <c r="R717" s="41">
        <v>30</v>
      </c>
    </row>
    <row r="718" ht="12.9" customHeight="1">
      <c r="Q718" t="s" s="40">
        <v>412</v>
      </c>
      <c r="R718" s="41">
        <v>20</v>
      </c>
    </row>
    <row r="719" ht="12.9" customHeight="1">
      <c r="Q719" t="s" s="40">
        <v>119</v>
      </c>
      <c r="R719" s="41">
        <v>67</v>
      </c>
    </row>
    <row r="720" ht="12.9" customHeight="1">
      <c r="Q720" t="s" s="40">
        <v>589</v>
      </c>
      <c r="R720" s="41">
        <v>4</v>
      </c>
    </row>
    <row r="721" ht="12.9" customHeight="1">
      <c r="Q721" t="s" s="40">
        <v>345</v>
      </c>
      <c r="R721" s="41">
        <v>3</v>
      </c>
    </row>
    <row r="722" ht="12.9" customHeight="1">
      <c r="Q722" t="s" s="40">
        <v>225</v>
      </c>
      <c r="R722" s="41">
        <v>21</v>
      </c>
    </row>
    <row r="723" ht="12.9" customHeight="1">
      <c r="Q723" t="s" s="40">
        <v>585</v>
      </c>
      <c r="R723" s="41">
        <v>6</v>
      </c>
    </row>
    <row r="724" ht="12.9" customHeight="1">
      <c r="Q724" t="s" s="40">
        <v>598</v>
      </c>
      <c r="R724" s="41">
        <v>1</v>
      </c>
    </row>
    <row r="725" ht="12.9" customHeight="1">
      <c r="Q725" t="s" s="40">
        <v>125</v>
      </c>
      <c r="R725" s="41">
        <v>2</v>
      </c>
    </row>
    <row r="726" ht="12.9" customHeight="1">
      <c r="Q726" t="s" s="40">
        <v>299</v>
      </c>
      <c r="R726" s="41">
        <v>8</v>
      </c>
    </row>
    <row r="727" ht="12.9" customHeight="1">
      <c r="Q727" t="s" s="40">
        <v>1069</v>
      </c>
      <c r="R727" s="41">
        <v>1</v>
      </c>
    </row>
    <row r="728" ht="12.9" customHeight="1">
      <c r="Q728" t="s" s="40">
        <v>882</v>
      </c>
      <c r="R728" s="41">
        <v>11</v>
      </c>
    </row>
    <row r="729" ht="12.9" customHeight="1">
      <c r="Q729" t="s" s="40">
        <v>239</v>
      </c>
      <c r="R729" s="41">
        <v>4</v>
      </c>
    </row>
    <row r="730" ht="12.9" customHeight="1">
      <c r="Q730" t="s" s="40">
        <v>487</v>
      </c>
      <c r="R730" s="41">
        <v>1</v>
      </c>
    </row>
    <row r="731" ht="12.9" customHeight="1">
      <c r="Q731" t="s" s="40">
        <v>39</v>
      </c>
      <c r="R731" s="41">
        <v>9</v>
      </c>
    </row>
    <row r="732" ht="12.9" customHeight="1">
      <c r="Q732" t="s" s="40">
        <v>213</v>
      </c>
      <c r="R732" s="41">
        <v>8</v>
      </c>
    </row>
    <row r="733" ht="12.9" customHeight="1">
      <c r="Q733" t="s" s="40">
        <v>1054</v>
      </c>
      <c r="R733" s="41">
        <v>7</v>
      </c>
    </row>
    <row r="734" ht="12.9" customHeight="1">
      <c r="Q734" t="s" s="40">
        <v>354</v>
      </c>
      <c r="R734" s="41">
        <v>4</v>
      </c>
    </row>
    <row r="735" ht="12.9" customHeight="1">
      <c r="Q735" t="s" s="40">
        <v>23</v>
      </c>
      <c r="R735" s="41">
        <v>86</v>
      </c>
    </row>
    <row r="736" ht="12.9" customHeight="1">
      <c r="Q736" t="s" s="40">
        <v>462</v>
      </c>
      <c r="R736" s="41">
        <v>25</v>
      </c>
    </row>
    <row r="737" ht="12.9" customHeight="1">
      <c r="Q737" t="s" s="40">
        <v>133</v>
      </c>
      <c r="R737" s="41">
        <v>7</v>
      </c>
    </row>
    <row r="738" ht="12.9" customHeight="1">
      <c r="Q738" t="s" s="40">
        <v>682</v>
      </c>
      <c r="R738" s="41">
        <v>2</v>
      </c>
    </row>
    <row r="739" ht="12.9" customHeight="1">
      <c r="Q739" t="s" s="40">
        <v>470</v>
      </c>
      <c r="R739" s="41">
        <v>11</v>
      </c>
    </row>
    <row r="740" ht="12.9" customHeight="1">
      <c r="Q740" t="s" s="40">
        <v>602</v>
      </c>
      <c r="R740" s="41">
        <v>13</v>
      </c>
    </row>
    <row r="741" ht="12.9" customHeight="1">
      <c r="Q741" t="s" s="40">
        <v>948</v>
      </c>
      <c r="R741" s="41">
        <v>3</v>
      </c>
    </row>
    <row r="742" ht="12.9" customHeight="1">
      <c r="Q742" t="s" s="40">
        <v>102</v>
      </c>
      <c r="R742" s="41">
        <v>1</v>
      </c>
    </row>
    <row r="743" ht="12.9" customHeight="1">
      <c r="Q743" t="s" s="40">
        <v>35</v>
      </c>
      <c r="R743" s="41">
        <v>52</v>
      </c>
    </row>
    <row r="744" ht="12.9" customHeight="1">
      <c r="Q744" t="s" s="40">
        <v>89</v>
      </c>
      <c r="R744" s="41">
        <v>16</v>
      </c>
    </row>
    <row r="745" ht="12.9" customHeight="1">
      <c r="Q745" t="s" s="40">
        <v>52</v>
      </c>
      <c r="R745" s="41">
        <v>22</v>
      </c>
    </row>
    <row r="746" ht="12.9" customHeight="1">
      <c r="Q746" t="s" s="40">
        <v>359</v>
      </c>
      <c r="R746" s="41">
        <v>28</v>
      </c>
    </row>
    <row r="747" ht="12.9" customHeight="1">
      <c r="Q747" t="s" s="40">
        <v>77</v>
      </c>
      <c r="R747" s="41">
        <v>26</v>
      </c>
    </row>
    <row r="748" ht="12.9" customHeight="1">
      <c r="Q748" t="s" s="40">
        <v>146</v>
      </c>
      <c r="R748" s="41">
        <v>12</v>
      </c>
    </row>
    <row r="749" ht="12.9" customHeight="1">
      <c r="Q749" t="s" s="40">
        <v>258</v>
      </c>
      <c r="R749" s="41">
        <v>4</v>
      </c>
    </row>
    <row r="750" ht="12.9" customHeight="1">
      <c r="Q750" t="s" s="40">
        <v>95</v>
      </c>
      <c r="R750" s="41">
        <v>30</v>
      </c>
    </row>
    <row r="751" ht="12.9" customHeight="1">
      <c r="Q751" t="s" s="40">
        <v>171</v>
      </c>
      <c r="R751" s="41">
        <v>11</v>
      </c>
    </row>
    <row r="752" ht="12.9" customHeight="1">
      <c r="Q752" t="s" s="40">
        <v>11</v>
      </c>
      <c r="R752" s="41">
        <v>17</v>
      </c>
    </row>
    <row r="753" ht="12.9" customHeight="1">
      <c r="Q753" t="s" s="40">
        <v>31</v>
      </c>
      <c r="R753" s="41">
        <v>13</v>
      </c>
    </row>
    <row r="754" ht="12.9" customHeight="1">
      <c r="Q754" t="s" s="40">
        <v>81</v>
      </c>
      <c r="R754" s="41">
        <v>29</v>
      </c>
    </row>
    <row r="755" ht="12.9" customHeight="1">
      <c r="Q755" t="s" s="40">
        <v>722</v>
      </c>
      <c r="R755" s="41">
        <v>14</v>
      </c>
    </row>
    <row r="756" ht="12.9" customHeight="1">
      <c r="Q756" t="s" s="40">
        <v>50</v>
      </c>
      <c r="R756" s="41">
        <v>140</v>
      </c>
    </row>
    <row r="757" ht="12.9" customHeight="1">
      <c r="Q757" t="s" s="40">
        <v>977</v>
      </c>
      <c r="R757" s="41">
        <v>2</v>
      </c>
    </row>
    <row r="758" ht="12.9" customHeight="1">
      <c r="Q758" t="s" s="40">
        <v>979</v>
      </c>
      <c r="R758" s="41">
        <v>3</v>
      </c>
    </row>
    <row r="759" ht="12.9" customHeight="1">
      <c r="Q759" t="s" s="40">
        <v>48</v>
      </c>
      <c r="R759" s="41">
        <v>10</v>
      </c>
    </row>
    <row r="760" ht="12.9" customHeight="1">
      <c r="Q760" t="s" s="40">
        <v>998</v>
      </c>
      <c r="R760" s="41">
        <v>4</v>
      </c>
    </row>
    <row r="761" ht="12.9" customHeight="1">
      <c r="Q761" t="s" s="40">
        <v>933</v>
      </c>
      <c r="R761" s="41">
        <v>10</v>
      </c>
    </row>
    <row r="762" ht="12.9" customHeight="1">
      <c r="Q762" t="s" s="40">
        <v>468</v>
      </c>
      <c r="R762" s="41">
        <v>8</v>
      </c>
    </row>
    <row r="763" ht="12.9" customHeight="1">
      <c r="Q763" t="s" s="40">
        <v>821</v>
      </c>
      <c r="R763" s="41">
        <v>6</v>
      </c>
    </row>
    <row r="764" ht="12.9" customHeight="1">
      <c r="Q764" t="s" s="40">
        <v>489</v>
      </c>
      <c r="R764" s="41">
        <v>4</v>
      </c>
    </row>
    <row r="765" ht="12.9" customHeight="1">
      <c r="Q765" t="s" s="40">
        <v>491</v>
      </c>
      <c r="R765" s="41">
        <v>6</v>
      </c>
    </row>
    <row r="766" ht="12.9" customHeight="1">
      <c r="Q766" t="s" s="40">
        <v>824</v>
      </c>
      <c r="R766" s="41">
        <v>2</v>
      </c>
    </row>
    <row r="767" ht="12.9" customHeight="1">
      <c r="Q767" t="s" s="40">
        <v>493</v>
      </c>
      <c r="R767" s="41">
        <v>4</v>
      </c>
    </row>
    <row r="768" ht="12.9" customHeight="1">
      <c r="Q768" t="s" s="40">
        <v>143</v>
      </c>
      <c r="R768" s="41">
        <v>6</v>
      </c>
    </row>
    <row r="769" ht="12.9" customHeight="1">
      <c r="Q769" t="s" s="40">
        <v>59</v>
      </c>
      <c r="R769" s="41">
        <v>9</v>
      </c>
    </row>
    <row r="770" ht="12.9" customHeight="1">
      <c r="Q770" t="s" s="40">
        <v>897</v>
      </c>
      <c r="R770" s="41">
        <v>1</v>
      </c>
    </row>
    <row r="771" ht="12.9" customHeight="1">
      <c r="Q771" t="s" s="40">
        <v>899</v>
      </c>
      <c r="R771" s="41">
        <v>1</v>
      </c>
    </row>
    <row r="772" ht="12.9" customHeight="1">
      <c r="Q772" t="s" s="40">
        <v>698</v>
      </c>
      <c r="R772" s="41">
        <v>8</v>
      </c>
    </row>
    <row r="773" ht="12.9" customHeight="1">
      <c r="Q773" t="s" s="40">
        <v>694</v>
      </c>
      <c r="R773" s="41">
        <v>1</v>
      </c>
    </row>
    <row r="774" ht="12.9" customHeight="1">
      <c r="Q774" t="s" s="40">
        <v>73</v>
      </c>
      <c r="R774" s="41">
        <v>17</v>
      </c>
    </row>
    <row r="775" ht="12.9" customHeight="1">
      <c r="Q775" t="s" s="40">
        <v>27</v>
      </c>
      <c r="R775" s="41">
        <v>11</v>
      </c>
    </row>
    <row r="776" ht="12.9" customHeight="1">
      <c r="Q776" t="s" s="40">
        <v>15</v>
      </c>
      <c r="R776" s="41">
        <v>34</v>
      </c>
    </row>
    <row r="777" ht="12.9" customHeight="1">
      <c r="Q777" t="s" s="40">
        <v>1030</v>
      </c>
      <c r="R777" s="41">
        <v>1</v>
      </c>
    </row>
    <row r="778" ht="12.9" customHeight="1">
      <c r="Q778" t="s" s="40">
        <v>207</v>
      </c>
      <c r="R778" s="41">
        <v>13</v>
      </c>
    </row>
    <row r="779" ht="12.9" customHeight="1">
      <c r="Q779" t="s" s="40">
        <v>772</v>
      </c>
      <c r="R779" s="41">
        <v>2</v>
      </c>
    </row>
    <row r="780" ht="12.9" customHeight="1">
      <c r="Q780" t="s" s="40">
        <v>1044</v>
      </c>
      <c r="R780" s="41">
        <v>8</v>
      </c>
    </row>
    <row r="781" ht="12.9" customHeight="1">
      <c r="Q781" t="s" s="40">
        <v>724</v>
      </c>
      <c r="R781" s="41">
        <v>4</v>
      </c>
    </row>
    <row r="782" ht="12.9" customHeight="1">
      <c r="Q782" t="s" s="40">
        <v>908</v>
      </c>
      <c r="R782" s="41">
        <v>24</v>
      </c>
    </row>
    <row r="783" ht="12.9" customHeight="1">
      <c r="Q783" t="s" s="40">
        <v>1097</v>
      </c>
      <c r="R783" s="41">
        <v>1</v>
      </c>
    </row>
    <row r="784" ht="12.9" customHeight="1">
      <c r="Q784" t="s" s="40">
        <v>766</v>
      </c>
      <c r="R784" s="41">
        <v>1</v>
      </c>
    </row>
    <row r="785" ht="12.9" customHeight="1">
      <c r="Q785" t="s" s="40">
        <v>764</v>
      </c>
      <c r="R785" s="41">
        <v>1</v>
      </c>
    </row>
    <row r="786" ht="12.9" customHeight="1">
      <c r="Q786" t="s" s="40">
        <v>43</v>
      </c>
      <c r="R786" s="41">
        <v>3</v>
      </c>
    </row>
    <row r="787" ht="12.9" customHeight="1">
      <c r="Q787" t="s" s="40">
        <v>402</v>
      </c>
      <c r="R787" s="41">
        <v>8</v>
      </c>
    </row>
    <row r="788" ht="12.9" customHeight="1">
      <c r="Q788" t="s" s="40">
        <v>443</v>
      </c>
      <c r="R788" s="41">
        <v>4</v>
      </c>
    </row>
    <row r="789" ht="12.9" customHeight="1">
      <c r="Q789" t="s" s="40">
        <v>892</v>
      </c>
      <c r="R789" s="41">
        <v>7</v>
      </c>
    </row>
    <row r="790" ht="12.9" customHeight="1">
      <c r="Q790" t="s" s="40">
        <v>445</v>
      </c>
      <c r="R790" s="41">
        <v>1</v>
      </c>
    </row>
    <row r="791" ht="12.9" customHeight="1">
      <c r="Q791" t="s" s="40">
        <v>250</v>
      </c>
      <c r="R791" s="41">
        <v>2</v>
      </c>
    </row>
    <row r="792" ht="12.9" customHeight="1">
      <c r="Q792" t="s" s="40">
        <v>645</v>
      </c>
      <c r="R792" s="41">
        <v>1</v>
      </c>
    </row>
    <row r="793" ht="12.9" customHeight="1">
      <c r="Q793" t="s" s="40">
        <v>1132</v>
      </c>
      <c r="R793" s="41">
        <v>2</v>
      </c>
    </row>
    <row r="794" ht="12.9" customHeight="1">
      <c r="Q794" t="s" s="40">
        <v>1048</v>
      </c>
      <c r="R794" s="41">
        <v>8</v>
      </c>
    </row>
    <row r="795" ht="12.9" customHeight="1">
      <c r="Q795" t="s" s="40">
        <v>691</v>
      </c>
      <c r="R795" s="41">
        <v>1</v>
      </c>
    </row>
    <row r="796" ht="12.9" customHeight="1">
      <c r="Q796" t="s" s="40">
        <v>834</v>
      </c>
      <c r="R796" s="41">
        <v>2</v>
      </c>
    </row>
    <row r="797" ht="12.9" customHeight="1">
      <c r="Q797" t="s" s="40">
        <v>640</v>
      </c>
      <c r="R797" s="41">
        <v>4</v>
      </c>
    </row>
    <row r="798" ht="12.9" customHeight="1">
      <c r="Q798" t="s" s="40">
        <v>642</v>
      </c>
      <c r="R798" s="41">
        <v>2</v>
      </c>
    </row>
    <row r="799" ht="12.9" customHeight="1">
      <c r="Q799" t="s" s="40">
        <v>254</v>
      </c>
      <c r="R799" s="41">
        <v>4.5</v>
      </c>
    </row>
    <row r="800" ht="12.9" customHeight="1">
      <c r="Q800" t="s" s="40">
        <v>63</v>
      </c>
      <c r="R800" s="41">
        <v>20</v>
      </c>
    </row>
    <row r="801" ht="12.9" customHeight="1">
      <c r="Q801" t="s" s="40">
        <v>47</v>
      </c>
      <c r="R801" s="41">
        <v>10</v>
      </c>
    </row>
    <row r="802" ht="12.9" customHeight="1">
      <c r="Q802" t="s" s="40">
        <v>806</v>
      </c>
      <c r="R802" s="41">
        <v>10</v>
      </c>
    </row>
    <row r="803" ht="12.9" customHeight="1">
      <c r="Q803" t="s" s="40">
        <v>861</v>
      </c>
      <c r="R803" s="41">
        <v>1</v>
      </c>
    </row>
    <row r="804" ht="12.9" customHeight="1">
      <c r="Q804" t="s" s="40">
        <v>556</v>
      </c>
      <c r="R804" s="41">
        <v>3</v>
      </c>
    </row>
    <row r="805" ht="12.9" customHeight="1">
      <c r="Q805" t="s" s="40">
        <v>762</v>
      </c>
      <c r="R805" s="41">
        <v>1</v>
      </c>
    </row>
    <row r="806" ht="12.9" customHeight="1">
      <c r="Q806" t="s" s="40">
        <v>726</v>
      </c>
      <c r="R806" s="41">
        <v>1</v>
      </c>
    </row>
    <row r="807" ht="13.1" customHeight="1">
      <c r="Q807" t="s" s="42">
        <v>1079</v>
      </c>
      <c r="R807" s="43">
        <v>1</v>
      </c>
    </row>
    <row r="808" ht="13.1" customHeight="1">
      <c r="Q808" t="s" s="44">
        <v>620</v>
      </c>
      <c r="R808" s="34">
        <v>1409.5</v>
      </c>
    </row>
    <row r="810" ht="15.55" customHeight="1">
      <c r="S810" t="s" s="2">
        <v>1137</v>
      </c>
      <c r="T810" s="2"/>
    </row>
    <row r="811" ht="13.1" customHeight="1">
      <c r="S811" t="s" s="37">
        <v>4</v>
      </c>
      <c r="T811" t="s" s="23">
        <v>619</v>
      </c>
    </row>
    <row r="812" ht="13.1" customHeight="1">
      <c r="S812" t="s" s="38">
        <v>115</v>
      </c>
      <c r="T812" s="56">
        <v>494.285</v>
      </c>
    </row>
    <row r="813" ht="12.9" customHeight="1">
      <c r="S813" t="s" s="40">
        <v>1046</v>
      </c>
      <c r="T813" s="57">
        <v>0</v>
      </c>
    </row>
    <row r="814" ht="12.9" customHeight="1">
      <c r="S814" t="s" s="40">
        <v>904</v>
      </c>
      <c r="T814" s="57">
        <v>2249.955</v>
      </c>
    </row>
    <row r="815" ht="12.9" customHeight="1">
      <c r="S815" t="s" s="40">
        <v>832</v>
      </c>
      <c r="T815" s="57">
        <v>0</v>
      </c>
    </row>
    <row r="816" ht="12.9" customHeight="1">
      <c r="S816" t="s" s="40">
        <v>775</v>
      </c>
      <c r="T816" s="57">
        <v>49.99</v>
      </c>
    </row>
    <row r="817" ht="12.9" customHeight="1">
      <c r="S817" t="s" s="40">
        <v>902</v>
      </c>
      <c r="T817" s="57">
        <v>899.9400000000001</v>
      </c>
    </row>
    <row r="818" ht="12.9" customHeight="1">
      <c r="S818" t="s" s="40">
        <v>780</v>
      </c>
      <c r="T818" s="57">
        <v>0</v>
      </c>
    </row>
    <row r="819" ht="12.9" customHeight="1">
      <c r="S819" t="s" s="40">
        <v>781</v>
      </c>
      <c r="T819" s="57">
        <v>0</v>
      </c>
    </row>
    <row r="820" ht="12.9" customHeight="1">
      <c r="S820" t="s" s="40">
        <v>1007</v>
      </c>
      <c r="T820" s="57">
        <v>0</v>
      </c>
    </row>
    <row r="821" ht="12.9" customHeight="1">
      <c r="S821" t="s" s="40">
        <v>778</v>
      </c>
      <c r="T821" s="57">
        <v>2174.915</v>
      </c>
    </row>
    <row r="822" ht="12.9" customHeight="1">
      <c r="S822" t="s" s="40">
        <v>1095</v>
      </c>
      <c r="T822" s="57">
        <v>96.5</v>
      </c>
    </row>
    <row r="823" ht="12.9" customHeight="1">
      <c r="S823" t="s" s="40">
        <v>906</v>
      </c>
      <c r="T823" s="57">
        <v>0</v>
      </c>
    </row>
    <row r="824" ht="12.9" customHeight="1">
      <c r="S824" t="s" s="40">
        <v>123</v>
      </c>
      <c r="T824" s="57">
        <v>1529.915</v>
      </c>
    </row>
    <row r="825" ht="12.9" customHeight="1">
      <c r="S825" t="s" s="40">
        <v>982</v>
      </c>
      <c r="T825" s="57">
        <v>749.97</v>
      </c>
    </row>
    <row r="826" ht="12.9" customHeight="1">
      <c r="S826" t="s" s="40">
        <v>165</v>
      </c>
      <c r="T826" s="57">
        <v>59.98</v>
      </c>
    </row>
    <row r="827" ht="12.9" customHeight="1">
      <c r="S827" t="s" s="40">
        <v>19</v>
      </c>
      <c r="T827" s="57">
        <v>4739.605</v>
      </c>
    </row>
    <row r="828" ht="12.9" customHeight="1">
      <c r="S828" t="s" s="40">
        <v>227</v>
      </c>
      <c r="T828" s="57">
        <v>0</v>
      </c>
    </row>
    <row r="829" ht="12.9" customHeight="1">
      <c r="S829" t="s" s="40">
        <v>167</v>
      </c>
      <c r="T829" s="57">
        <v>89.97</v>
      </c>
    </row>
    <row r="830" ht="12.9" customHeight="1">
      <c r="S830" t="s" s="40">
        <v>341</v>
      </c>
      <c r="T830" s="57">
        <v>299.9</v>
      </c>
    </row>
    <row r="831" ht="12.9" customHeight="1">
      <c r="S831" t="s" s="40">
        <v>54</v>
      </c>
      <c r="T831" s="57">
        <v>299.66</v>
      </c>
    </row>
    <row r="832" ht="12.9" customHeight="1">
      <c r="S832" t="s" s="40">
        <v>139</v>
      </c>
      <c r="T832" s="57">
        <v>349.93</v>
      </c>
    </row>
    <row r="833" ht="12.9" customHeight="1">
      <c r="S833" t="s" s="40">
        <v>887</v>
      </c>
      <c r="T833" s="57">
        <v>174.965</v>
      </c>
    </row>
    <row r="834" ht="12.9" customHeight="1">
      <c r="S834" t="s" s="40">
        <v>57</v>
      </c>
      <c r="T834" s="57">
        <v>12719.841</v>
      </c>
    </row>
    <row r="835" ht="12.9" customHeight="1">
      <c r="S835" t="s" s="40">
        <v>84</v>
      </c>
      <c r="T835" s="57">
        <v>0</v>
      </c>
    </row>
    <row r="836" ht="12.9" customHeight="1">
      <c r="S836" t="s" s="40">
        <v>660</v>
      </c>
      <c r="T836" s="57">
        <v>65.89</v>
      </c>
    </row>
    <row r="837" ht="12.9" customHeight="1">
      <c r="S837" t="s" s="40">
        <v>179</v>
      </c>
      <c r="T837" s="57">
        <v>1199.76</v>
      </c>
    </row>
    <row r="838" ht="12.9" customHeight="1">
      <c r="S838" t="s" s="40">
        <v>412</v>
      </c>
      <c r="T838" s="57">
        <v>0</v>
      </c>
    </row>
    <row r="839" ht="12.9" customHeight="1">
      <c r="S839" t="s" s="40">
        <v>119</v>
      </c>
      <c r="T839" s="57">
        <v>67.66</v>
      </c>
    </row>
    <row r="840" ht="12.9" customHeight="1">
      <c r="S840" t="s" s="40">
        <v>589</v>
      </c>
      <c r="T840" s="57">
        <v>29.96</v>
      </c>
    </row>
    <row r="841" ht="12.9" customHeight="1">
      <c r="S841" t="s" s="40">
        <v>345</v>
      </c>
      <c r="T841" s="57">
        <v>659.97</v>
      </c>
    </row>
    <row r="842" ht="12.9" customHeight="1">
      <c r="S842" t="s" s="40">
        <v>225</v>
      </c>
      <c r="T842" s="57">
        <v>10399.79</v>
      </c>
    </row>
    <row r="843" ht="12.9" customHeight="1">
      <c r="S843" t="s" s="40">
        <v>585</v>
      </c>
      <c r="T843" s="57">
        <v>2249.955</v>
      </c>
    </row>
    <row r="844" ht="12.9" customHeight="1">
      <c r="S844" t="s" s="40">
        <v>598</v>
      </c>
      <c r="T844" s="57">
        <v>45</v>
      </c>
    </row>
    <row r="845" ht="12.9" customHeight="1">
      <c r="S845" t="s" s="40">
        <v>125</v>
      </c>
      <c r="T845" s="57">
        <v>97.485</v>
      </c>
    </row>
    <row r="846" ht="12.9" customHeight="1">
      <c r="S846" t="s" s="40">
        <v>299</v>
      </c>
      <c r="T846" s="57">
        <v>419.94</v>
      </c>
    </row>
    <row r="847" ht="12.9" customHeight="1">
      <c r="S847" t="s" s="40">
        <v>1069</v>
      </c>
      <c r="T847" s="57">
        <v>99.98999999999999</v>
      </c>
    </row>
    <row r="848" ht="12.9" customHeight="1">
      <c r="S848" t="s" s="40">
        <v>882</v>
      </c>
      <c r="T848" s="57">
        <v>704.91</v>
      </c>
    </row>
    <row r="849" ht="12.9" customHeight="1">
      <c r="S849" t="s" s="40">
        <v>239</v>
      </c>
      <c r="T849" s="57">
        <v>399.96</v>
      </c>
    </row>
    <row r="850" ht="12.9" customHeight="1">
      <c r="S850" t="s" s="40">
        <v>487</v>
      </c>
      <c r="T850" s="57">
        <v>109.99</v>
      </c>
    </row>
    <row r="851" ht="12.9" customHeight="1">
      <c r="S851" t="s" s="40">
        <v>39</v>
      </c>
      <c r="T851" s="57">
        <v>929.91</v>
      </c>
    </row>
    <row r="852" ht="12.9" customHeight="1">
      <c r="S852" t="s" s="40">
        <v>213</v>
      </c>
      <c r="T852" s="57">
        <v>3959.928</v>
      </c>
    </row>
    <row r="853" ht="12.9" customHeight="1">
      <c r="S853" t="s" s="40">
        <v>1054</v>
      </c>
      <c r="T853" s="57">
        <v>724.955</v>
      </c>
    </row>
    <row r="854" ht="12.9" customHeight="1">
      <c r="S854" t="s" s="40">
        <v>354</v>
      </c>
      <c r="T854" s="57">
        <v>524.965</v>
      </c>
    </row>
    <row r="855" ht="12.9" customHeight="1">
      <c r="S855" t="s" s="40">
        <v>23</v>
      </c>
      <c r="T855" s="57">
        <v>1784.881</v>
      </c>
    </row>
    <row r="856" ht="12.9" customHeight="1">
      <c r="S856" t="s" s="40">
        <v>462</v>
      </c>
      <c r="T856" s="57">
        <v>1099.99</v>
      </c>
    </row>
    <row r="857" ht="12.9" customHeight="1">
      <c r="S857" t="s" s="40">
        <v>133</v>
      </c>
      <c r="T857" s="57">
        <v>749.97</v>
      </c>
    </row>
    <row r="858" ht="12.9" customHeight="1">
      <c r="S858" t="s" s="40">
        <v>682</v>
      </c>
      <c r="T858" s="57">
        <v>499.98</v>
      </c>
    </row>
    <row r="859" ht="12.9" customHeight="1">
      <c r="S859" t="s" s="40">
        <v>470</v>
      </c>
      <c r="T859" s="57">
        <v>1674.955</v>
      </c>
    </row>
    <row r="860" ht="12.9" customHeight="1">
      <c r="S860" t="s" s="40">
        <v>602</v>
      </c>
      <c r="T860" s="57">
        <v>2672.4325</v>
      </c>
    </row>
    <row r="861" ht="12.9" customHeight="1">
      <c r="S861" t="s" s="40">
        <v>948</v>
      </c>
      <c r="T861" s="57">
        <v>370.7225</v>
      </c>
    </row>
    <row r="862" ht="12.9" customHeight="1">
      <c r="S862" t="s" s="40">
        <v>102</v>
      </c>
      <c r="T862" s="57">
        <v>82.49250000000001</v>
      </c>
    </row>
    <row r="863" ht="12.9" customHeight="1">
      <c r="S863" t="s" s="40">
        <v>35</v>
      </c>
      <c r="T863" s="57">
        <v>2459.49</v>
      </c>
    </row>
    <row r="864" ht="12.9" customHeight="1">
      <c r="S864" t="s" s="40">
        <v>89</v>
      </c>
      <c r="T864" s="57">
        <v>899.85</v>
      </c>
    </row>
    <row r="865" ht="12.9" customHeight="1">
      <c r="S865" t="s" s="40">
        <v>52</v>
      </c>
      <c r="T865" s="57">
        <v>79.95999999999999</v>
      </c>
    </row>
    <row r="866" ht="12.9" customHeight="1">
      <c r="S866" t="s" s="40">
        <v>359</v>
      </c>
      <c r="T866" s="57">
        <v>839.72</v>
      </c>
    </row>
    <row r="867" ht="12.9" customHeight="1">
      <c r="S867" t="s" s="40">
        <v>77</v>
      </c>
      <c r="T867" s="57">
        <v>415.792</v>
      </c>
    </row>
    <row r="868" ht="12.9" customHeight="1">
      <c r="S868" t="s" s="40">
        <v>146</v>
      </c>
      <c r="T868" s="57">
        <v>199.9</v>
      </c>
    </row>
    <row r="869" ht="12.9" customHeight="1">
      <c r="S869" t="s" s="40">
        <v>258</v>
      </c>
      <c r="T869" s="57">
        <v>59.96</v>
      </c>
    </row>
    <row r="870" ht="12.9" customHeight="1">
      <c r="S870" t="s" s="40">
        <v>95</v>
      </c>
      <c r="T870" s="57">
        <v>10124.71</v>
      </c>
    </row>
    <row r="871" ht="12.9" customHeight="1">
      <c r="S871" t="s" s="40">
        <v>171</v>
      </c>
      <c r="T871" s="57">
        <v>5774.895</v>
      </c>
    </row>
    <row r="872" ht="12.9" customHeight="1">
      <c r="S872" t="s" s="40">
        <v>11</v>
      </c>
      <c r="T872" s="57">
        <v>6799.83</v>
      </c>
    </row>
    <row r="873" ht="12.9" customHeight="1">
      <c r="S873" t="s" s="40">
        <v>31</v>
      </c>
      <c r="T873" s="57">
        <v>7799.87</v>
      </c>
    </row>
    <row r="874" ht="12.9" customHeight="1">
      <c r="S874" t="s" s="40">
        <v>81</v>
      </c>
      <c r="T874" s="57">
        <v>24649.71</v>
      </c>
    </row>
    <row r="875" ht="12.9" customHeight="1">
      <c r="S875" t="s" s="40">
        <v>722</v>
      </c>
      <c r="T875" s="57">
        <v>9554.870000000001</v>
      </c>
    </row>
    <row r="876" ht="12.9" customHeight="1">
      <c r="S876" t="s" s="40">
        <v>50</v>
      </c>
      <c r="T876" s="57">
        <v>1716.9275</v>
      </c>
    </row>
    <row r="877" ht="12.9" customHeight="1">
      <c r="S877" t="s" s="40">
        <v>977</v>
      </c>
      <c r="T877" s="57">
        <v>119.98</v>
      </c>
    </row>
    <row r="878" ht="12.9" customHeight="1">
      <c r="S878" t="s" s="40">
        <v>979</v>
      </c>
      <c r="T878" s="57">
        <v>299.97</v>
      </c>
    </row>
    <row r="879" ht="12.9" customHeight="1">
      <c r="S879" t="s" s="40">
        <v>48</v>
      </c>
      <c r="T879" s="57">
        <v>12749.9</v>
      </c>
    </row>
    <row r="880" ht="12.9" customHeight="1">
      <c r="S880" t="s" s="40">
        <v>998</v>
      </c>
      <c r="T880" s="57">
        <v>3749.985</v>
      </c>
    </row>
    <row r="881" ht="12.9" customHeight="1">
      <c r="S881" t="s" s="40">
        <v>933</v>
      </c>
      <c r="T881" s="57">
        <v>10919.916</v>
      </c>
    </row>
    <row r="882" ht="12.9" customHeight="1">
      <c r="S882" t="s" s="40">
        <v>468</v>
      </c>
      <c r="T882" s="57">
        <v>15749.937</v>
      </c>
    </row>
    <row r="883" ht="12.9" customHeight="1">
      <c r="S883" t="s" s="40">
        <v>821</v>
      </c>
      <c r="T883" s="57">
        <v>11249.955</v>
      </c>
    </row>
    <row r="884" ht="12.9" customHeight="1">
      <c r="S884" t="s" s="40">
        <v>489</v>
      </c>
      <c r="T884" s="57">
        <v>4799.97</v>
      </c>
    </row>
    <row r="885" ht="12.9" customHeight="1">
      <c r="S885" t="s" s="40">
        <v>491</v>
      </c>
      <c r="T885" s="57">
        <v>0</v>
      </c>
    </row>
    <row r="886" ht="12.9" customHeight="1">
      <c r="S886" t="s" s="40">
        <v>824</v>
      </c>
      <c r="T886" s="57">
        <v>0</v>
      </c>
    </row>
    <row r="887" ht="12.9" customHeight="1">
      <c r="S887" t="s" s="40">
        <v>493</v>
      </c>
      <c r="T887" s="57">
        <v>0</v>
      </c>
    </row>
    <row r="888" ht="12.9" customHeight="1">
      <c r="S888" t="s" s="40">
        <v>143</v>
      </c>
      <c r="T888" s="57">
        <v>16899.945</v>
      </c>
    </row>
    <row r="889" ht="12.9" customHeight="1">
      <c r="S889" t="s" s="40">
        <v>59</v>
      </c>
      <c r="T889" s="57">
        <v>10079.916</v>
      </c>
    </row>
    <row r="890" ht="12.9" customHeight="1">
      <c r="S890" t="s" s="40">
        <v>897</v>
      </c>
      <c r="T890" s="57">
        <v>0</v>
      </c>
    </row>
    <row r="891" ht="12.9" customHeight="1">
      <c r="S891" t="s" s="40">
        <v>899</v>
      </c>
      <c r="T891" s="57">
        <v>0</v>
      </c>
    </row>
    <row r="892" ht="12.9" customHeight="1">
      <c r="S892" t="s" s="40">
        <v>698</v>
      </c>
      <c r="T892" s="57">
        <v>79.95999999999999</v>
      </c>
    </row>
    <row r="893" ht="12.9" customHeight="1">
      <c r="S893" t="s" s="40">
        <v>694</v>
      </c>
      <c r="T893" s="57">
        <v>59.99</v>
      </c>
    </row>
    <row r="894" ht="12.9" customHeight="1">
      <c r="S894" t="s" s="40">
        <v>73</v>
      </c>
      <c r="T894" s="57">
        <v>6374.84</v>
      </c>
    </row>
    <row r="895" ht="12.9" customHeight="1">
      <c r="S895" t="s" s="40">
        <v>27</v>
      </c>
      <c r="T895" s="57">
        <v>799.9</v>
      </c>
    </row>
    <row r="896" ht="12.9" customHeight="1">
      <c r="S896" t="s" s="40">
        <v>15</v>
      </c>
      <c r="T896" s="57">
        <v>329.67</v>
      </c>
    </row>
    <row r="897" ht="12.9" customHeight="1">
      <c r="S897" t="s" s="40">
        <v>1030</v>
      </c>
      <c r="T897" s="57">
        <v>0</v>
      </c>
    </row>
    <row r="898" ht="12.9" customHeight="1">
      <c r="S898" t="s" s="40">
        <v>207</v>
      </c>
      <c r="T898" s="57">
        <v>0</v>
      </c>
    </row>
    <row r="899" ht="12.9" customHeight="1">
      <c r="S899" t="s" s="40">
        <v>772</v>
      </c>
      <c r="T899" s="57">
        <v>33.217392</v>
      </c>
    </row>
    <row r="900" ht="12.9" customHeight="1">
      <c r="S900" t="s" s="40">
        <v>1044</v>
      </c>
      <c r="T900" s="57">
        <v>0</v>
      </c>
    </row>
    <row r="901" ht="12.9" customHeight="1">
      <c r="S901" t="s" s="40">
        <v>724</v>
      </c>
      <c r="T901" s="57">
        <v>749.97</v>
      </c>
    </row>
    <row r="902" ht="12.9" customHeight="1">
      <c r="S902" t="s" s="40">
        <v>908</v>
      </c>
      <c r="T902" s="57">
        <v>270</v>
      </c>
    </row>
    <row r="903" ht="12.9" customHeight="1">
      <c r="S903" t="s" s="40">
        <v>1097</v>
      </c>
      <c r="T903" s="57">
        <v>11.5</v>
      </c>
    </row>
    <row r="904" ht="12.9" customHeight="1">
      <c r="S904" t="s" s="40">
        <v>766</v>
      </c>
      <c r="T904" s="57">
        <v>0</v>
      </c>
    </row>
    <row r="905" ht="12.9" customHeight="1">
      <c r="S905" t="s" s="40">
        <v>764</v>
      </c>
      <c r="T905" s="57">
        <v>0</v>
      </c>
    </row>
    <row r="906" ht="12.9" customHeight="1">
      <c r="S906" t="s" s="40">
        <v>43</v>
      </c>
      <c r="T906" s="57">
        <v>0</v>
      </c>
    </row>
    <row r="907" ht="12.9" customHeight="1">
      <c r="S907" t="s" s="40">
        <v>402</v>
      </c>
      <c r="T907" s="57">
        <v>0</v>
      </c>
    </row>
    <row r="908" ht="12.9" customHeight="1">
      <c r="S908" t="s" s="40">
        <v>443</v>
      </c>
      <c r="T908" s="57">
        <v>10.5</v>
      </c>
    </row>
    <row r="909" ht="12.9" customHeight="1">
      <c r="S909" t="s" s="40">
        <v>892</v>
      </c>
      <c r="T909" s="57">
        <v>157.4475</v>
      </c>
    </row>
    <row r="910" ht="12.9" customHeight="1">
      <c r="S910" t="s" s="40">
        <v>445</v>
      </c>
      <c r="T910" s="57">
        <v>149.99</v>
      </c>
    </row>
    <row r="911" ht="12.9" customHeight="1">
      <c r="S911" t="s" s="40">
        <v>250</v>
      </c>
      <c r="T911" s="57">
        <v>1599.98</v>
      </c>
    </row>
    <row r="912" ht="12.9" customHeight="1">
      <c r="S912" t="s" s="40">
        <v>645</v>
      </c>
      <c r="T912" s="57">
        <v>675</v>
      </c>
    </row>
    <row r="913" ht="12.9" customHeight="1">
      <c r="S913" t="s" s="40">
        <v>1132</v>
      </c>
      <c r="T913" s="57">
        <v>0</v>
      </c>
    </row>
    <row r="914" ht="12.9" customHeight="1">
      <c r="S914" t="s" s="40">
        <v>1048</v>
      </c>
      <c r="T914" s="57">
        <v>0</v>
      </c>
    </row>
    <row r="915" ht="12.9" customHeight="1">
      <c r="S915" t="s" s="40">
        <v>691</v>
      </c>
      <c r="T915" s="57">
        <v>299.99</v>
      </c>
    </row>
    <row r="916" ht="12.9" customHeight="1">
      <c r="S916" t="s" s="40">
        <v>834</v>
      </c>
      <c r="T916" s="57">
        <v>5</v>
      </c>
    </row>
    <row r="917" ht="12.9" customHeight="1">
      <c r="S917" t="s" s="40">
        <v>640</v>
      </c>
      <c r="T917" s="57">
        <v>0</v>
      </c>
    </row>
    <row r="918" ht="12.9" customHeight="1">
      <c r="S918" t="s" s="40">
        <v>642</v>
      </c>
      <c r="T918" s="57">
        <v>0</v>
      </c>
    </row>
    <row r="919" ht="12.9" customHeight="1">
      <c r="S919" t="s" s="40">
        <v>254</v>
      </c>
      <c r="T919" s="57">
        <v>122.5</v>
      </c>
    </row>
    <row r="920" ht="12.9" customHeight="1">
      <c r="S920" t="s" s="40">
        <v>63</v>
      </c>
      <c r="T920" s="57">
        <v>1976.68</v>
      </c>
    </row>
    <row r="921" ht="12.9" customHeight="1">
      <c r="S921" t="s" s="40">
        <v>47</v>
      </c>
      <c r="T921" s="57">
        <v>1311.71</v>
      </c>
    </row>
    <row r="922" ht="12.9" customHeight="1">
      <c r="S922" t="s" s="40">
        <v>806</v>
      </c>
      <c r="T922" s="57">
        <v>0</v>
      </c>
    </row>
    <row r="923" ht="12.9" customHeight="1">
      <c r="S923" t="s" s="40">
        <v>861</v>
      </c>
      <c r="T923" s="57">
        <v>105</v>
      </c>
    </row>
    <row r="924" ht="12.9" customHeight="1">
      <c r="S924" t="s" s="40">
        <v>556</v>
      </c>
      <c r="T924" s="57">
        <v>899.9775</v>
      </c>
    </row>
    <row r="925" ht="12.9" customHeight="1">
      <c r="S925" t="s" s="40">
        <v>762</v>
      </c>
      <c r="T925" s="57">
        <v>0</v>
      </c>
    </row>
    <row r="926" ht="12.9" customHeight="1">
      <c r="S926" t="s" s="40">
        <v>726</v>
      </c>
      <c r="T926" s="57">
        <v>0</v>
      </c>
    </row>
    <row r="927" ht="13.1" customHeight="1">
      <c r="S927" t="s" s="42">
        <v>1079</v>
      </c>
      <c r="T927" s="58">
        <v>300</v>
      </c>
    </row>
    <row r="928" ht="13.1" customHeight="1">
      <c r="S928" t="s" s="44">
        <v>620</v>
      </c>
      <c r="T928" s="59">
        <v>232922.543392</v>
      </c>
    </row>
  </sheetData>
  <mergeCells count="4">
    <mergeCell ref="B1:I1"/>
    <mergeCell ref="J500:P500"/>
    <mergeCell ref="Q690:R690"/>
    <mergeCell ref="S810:T810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sheetPr>
    <pageSetUpPr fitToPage="1"/>
  </sheetPr>
  <dimension ref="B2:T1453"/>
  <sheetViews>
    <sheetView workbookViewId="0" showGridLines="0" defaultGridColor="1">
      <pane topLeftCell="C3" xSplit="2" ySplit="2" activePane="bottomRight" state="frozen"/>
    </sheetView>
  </sheetViews>
  <sheetFormatPr defaultColWidth="16.3333" defaultRowHeight="15.4" customHeight="1" outlineLevelRow="0" outlineLevelCol="0"/>
  <cols>
    <col min="1" max="1" width="33.3516" style="60" customWidth="1"/>
    <col min="2" max="2" width="16.3516" style="60" customWidth="1"/>
    <col min="3" max="3" width="24.7656" style="60" customWidth="1"/>
    <col min="4" max="4" width="16.3516" style="60" customWidth="1"/>
    <col min="5" max="5" width="30.7578" style="60" customWidth="1"/>
    <col min="6" max="6" width="58.1797" style="60" customWidth="1"/>
    <col min="7" max="9" width="16.3516" style="60" customWidth="1"/>
    <col min="10" max="10" width="37.2344" style="61" customWidth="1"/>
    <col min="11" max="11" width="9.5" style="61" customWidth="1"/>
    <col min="12" max="12" width="15.1719" style="61" customWidth="1"/>
    <col min="13" max="13" width="12.8516" style="61" customWidth="1"/>
    <col min="14" max="14" width="17.3516" style="61" customWidth="1"/>
    <col min="15" max="15" width="13.3516" style="61" customWidth="1"/>
    <col min="16" max="16" width="18.1719" style="61" customWidth="1"/>
    <col min="17" max="17" width="39.5" style="92" customWidth="1"/>
    <col min="18" max="18" width="18.3516" style="92" customWidth="1"/>
    <col min="19" max="19" width="39.5" style="93" customWidth="1"/>
    <col min="20" max="20" width="17.3516" style="93" customWidth="1"/>
    <col min="21" max="16384" width="16.3516" style="93" customWidth="1"/>
  </cols>
  <sheetData>
    <row r="1" ht="15.55" customHeight="1">
      <c r="B1" t="s" s="2">
        <v>1138</v>
      </c>
      <c r="C1" s="2"/>
      <c r="D1" s="2"/>
      <c r="E1" s="2"/>
      <c r="F1" s="2"/>
      <c r="G1" s="2"/>
      <c r="H1" s="2"/>
      <c r="I1" s="2"/>
    </row>
    <row r="2" ht="13.1" customHeight="1">
      <c r="B2" t="s" s="3">
        <v>1</v>
      </c>
      <c r="C2" t="s" s="3">
        <v>2</v>
      </c>
      <c r="D2" t="s" s="3">
        <v>3</v>
      </c>
      <c r="E2" t="s" s="3">
        <v>4</v>
      </c>
      <c r="F2" t="s" s="3">
        <v>5</v>
      </c>
      <c r="G2" t="s" s="3">
        <v>6</v>
      </c>
      <c r="H2" t="s" s="3">
        <v>7</v>
      </c>
      <c r="I2" t="s" s="3">
        <v>8</v>
      </c>
    </row>
    <row r="3" ht="13.1" customHeight="1">
      <c r="B3" t="s" s="4">
        <v>1139</v>
      </c>
      <c r="C3" t="s" s="5">
        <v>1140</v>
      </c>
      <c r="D3" s="6">
        <v>45504.8923040162</v>
      </c>
      <c r="E3" t="s" s="7">
        <v>48</v>
      </c>
      <c r="F3" t="s" s="7">
        <v>49</v>
      </c>
      <c r="G3" s="8">
        <v>2</v>
      </c>
      <c r="H3" s="9">
        <v>1299.99</v>
      </c>
      <c r="I3" s="9">
        <v>2599.98</v>
      </c>
    </row>
    <row r="4" ht="12.9" customHeight="1">
      <c r="B4" t="s" s="10">
        <v>1139</v>
      </c>
      <c r="C4" t="s" s="11">
        <v>1140</v>
      </c>
      <c r="D4" s="12">
        <v>45504.8923040162</v>
      </c>
      <c r="E4" t="s" s="13">
        <v>50</v>
      </c>
      <c r="F4" t="s" s="13">
        <v>83</v>
      </c>
      <c r="G4" s="14">
        <v>2</v>
      </c>
      <c r="H4" s="15">
        <v>0</v>
      </c>
      <c r="I4" s="15">
        <v>0</v>
      </c>
    </row>
    <row r="5" ht="12.9" customHeight="1">
      <c r="B5" t="s" s="10">
        <v>1139</v>
      </c>
      <c r="C5" t="s" s="11">
        <v>1140</v>
      </c>
      <c r="D5" s="12">
        <v>45504.8923040162</v>
      </c>
      <c r="E5" t="s" s="13">
        <v>52</v>
      </c>
      <c r="F5" t="s" s="13">
        <v>321</v>
      </c>
      <c r="G5" s="14">
        <v>2</v>
      </c>
      <c r="H5" s="15">
        <v>0</v>
      </c>
      <c r="I5" s="15">
        <v>0</v>
      </c>
    </row>
    <row r="6" ht="12.9" customHeight="1">
      <c r="B6" t="s" s="10">
        <v>1139</v>
      </c>
      <c r="C6" t="s" s="11">
        <v>1140</v>
      </c>
      <c r="D6" s="12">
        <v>45504.8923040162</v>
      </c>
      <c r="E6" t="s" s="13">
        <v>84</v>
      </c>
      <c r="F6" t="s" s="13">
        <v>85</v>
      </c>
      <c r="G6" s="14">
        <v>2</v>
      </c>
      <c r="H6" s="15">
        <v>0</v>
      </c>
      <c r="I6" s="15">
        <v>0</v>
      </c>
    </row>
    <row r="7" ht="12.9" customHeight="1">
      <c r="B7" t="s" s="10">
        <v>1139</v>
      </c>
      <c r="C7" t="s" s="11">
        <v>1140</v>
      </c>
      <c r="D7" s="12">
        <v>45504.8923040162</v>
      </c>
      <c r="E7" t="s" s="13">
        <v>470</v>
      </c>
      <c r="F7" t="s" s="13">
        <v>517</v>
      </c>
      <c r="G7" s="14">
        <v>2</v>
      </c>
      <c r="H7" s="15">
        <v>100</v>
      </c>
      <c r="I7" s="15">
        <v>200</v>
      </c>
    </row>
    <row r="8" ht="12.9" customHeight="1">
      <c r="B8" t="s" s="10">
        <v>1139</v>
      </c>
      <c r="C8" t="s" s="11">
        <v>1140</v>
      </c>
      <c r="D8" s="12">
        <v>45504.8923040162</v>
      </c>
      <c r="E8" t="s" s="13">
        <v>1141</v>
      </c>
      <c r="F8" t="s" s="13">
        <v>58</v>
      </c>
      <c r="G8" s="14">
        <v>2</v>
      </c>
      <c r="H8" s="15">
        <v>799.99</v>
      </c>
      <c r="I8" s="15">
        <v>1599.98</v>
      </c>
    </row>
    <row r="9" ht="12.9" customHeight="1">
      <c r="B9" t="s" s="10">
        <v>1139</v>
      </c>
      <c r="C9" t="s" s="11">
        <v>1140</v>
      </c>
      <c r="D9" s="12">
        <v>45504.8923040162</v>
      </c>
      <c r="E9" t="s" s="13">
        <v>1141</v>
      </c>
      <c r="F9" t="s" s="13">
        <v>58</v>
      </c>
      <c r="G9" s="14">
        <v>4</v>
      </c>
      <c r="H9" s="15">
        <v>799.99</v>
      </c>
      <c r="I9" s="15">
        <v>3199.96</v>
      </c>
    </row>
    <row r="10" ht="12.9" customHeight="1">
      <c r="B10" t="s" s="10">
        <v>1142</v>
      </c>
      <c r="C10" t="s" s="11">
        <v>995</v>
      </c>
      <c r="D10" s="12">
        <v>45504.864102534724</v>
      </c>
      <c r="E10" t="s" s="13">
        <v>23</v>
      </c>
      <c r="F10" t="s" s="13">
        <v>24</v>
      </c>
      <c r="G10" s="14">
        <v>1</v>
      </c>
      <c r="H10" s="15">
        <v>149.99</v>
      </c>
      <c r="I10" s="15">
        <v>149.99</v>
      </c>
    </row>
    <row r="11" ht="12.9" customHeight="1">
      <c r="B11" t="s" s="10">
        <v>1143</v>
      </c>
      <c r="C11" t="s" s="11">
        <v>1144</v>
      </c>
      <c r="D11" s="12">
        <v>45504.829928148145</v>
      </c>
      <c r="E11" t="s" s="13">
        <v>35</v>
      </c>
      <c r="F11" t="s" s="13">
        <v>36</v>
      </c>
      <c r="G11" s="14">
        <v>5</v>
      </c>
      <c r="H11" s="15">
        <v>49.99</v>
      </c>
      <c r="I11" s="15">
        <v>249.95</v>
      </c>
    </row>
    <row r="12" ht="12.9" customHeight="1">
      <c r="B12" t="s" s="10">
        <v>1145</v>
      </c>
      <c r="C12" t="s" s="11">
        <v>1102</v>
      </c>
      <c r="D12" s="12">
        <v>45504.786497650464</v>
      </c>
      <c r="E12" t="s" s="13">
        <v>171</v>
      </c>
      <c r="F12" t="s" s="13">
        <v>172</v>
      </c>
      <c r="G12" s="14">
        <v>1</v>
      </c>
      <c r="H12" s="15">
        <v>549.99</v>
      </c>
      <c r="I12" s="15">
        <v>549.99</v>
      </c>
    </row>
    <row r="13" ht="12.9" customHeight="1">
      <c r="B13" t="s" s="10">
        <v>1145</v>
      </c>
      <c r="C13" t="s" s="11">
        <v>1102</v>
      </c>
      <c r="D13" s="12">
        <v>45504.786497650464</v>
      </c>
      <c r="E13" t="s" s="13">
        <v>35</v>
      </c>
      <c r="F13" t="s" s="13">
        <v>36</v>
      </c>
      <c r="G13" s="14">
        <v>1</v>
      </c>
      <c r="H13" s="15">
        <v>39.99</v>
      </c>
      <c r="I13" s="15">
        <v>39.99</v>
      </c>
    </row>
    <row r="14" ht="12.9" customHeight="1">
      <c r="B14" t="s" s="10">
        <v>1146</v>
      </c>
      <c r="C14" t="s" s="11">
        <v>1147</v>
      </c>
      <c r="D14" s="12">
        <v>45504.536063668980</v>
      </c>
      <c r="E14" t="s" s="13">
        <v>89</v>
      </c>
      <c r="F14" t="s" s="13">
        <v>90</v>
      </c>
      <c r="G14" s="14">
        <v>1</v>
      </c>
      <c r="H14" s="15">
        <v>59.99</v>
      </c>
      <c r="I14" s="15">
        <v>59.99</v>
      </c>
    </row>
    <row r="15" ht="12.9" customHeight="1">
      <c r="B15" t="s" s="10">
        <v>1148</v>
      </c>
      <c r="C15" t="s" s="11">
        <v>1149</v>
      </c>
      <c r="D15" s="12">
        <v>45504.445139027775</v>
      </c>
      <c r="E15" t="s" s="13">
        <v>345</v>
      </c>
      <c r="F15" t="s" s="13">
        <v>346</v>
      </c>
      <c r="G15" s="14">
        <v>1</v>
      </c>
      <c r="H15" s="15">
        <v>219.99</v>
      </c>
      <c r="I15" s="15">
        <v>219.99</v>
      </c>
    </row>
    <row r="16" ht="12.9" customHeight="1">
      <c r="B16" t="s" s="10">
        <v>1148</v>
      </c>
      <c r="C16" t="s" s="11">
        <v>1149</v>
      </c>
      <c r="D16" s="12">
        <v>45504.445139027775</v>
      </c>
      <c r="E16" t="s" s="13">
        <v>95</v>
      </c>
      <c r="F16" t="s" s="13">
        <v>12</v>
      </c>
      <c r="G16" s="14">
        <v>1</v>
      </c>
      <c r="H16" s="15">
        <v>349.99</v>
      </c>
      <c r="I16" s="15">
        <v>349.99</v>
      </c>
    </row>
    <row r="17" ht="12.9" customHeight="1">
      <c r="B17" t="s" s="10">
        <v>1148</v>
      </c>
      <c r="C17" t="s" s="11">
        <v>1149</v>
      </c>
      <c r="D17" s="12">
        <v>45504.445139027775</v>
      </c>
      <c r="E17" t="s" s="13">
        <v>35</v>
      </c>
      <c r="F17" t="s" s="13">
        <v>36</v>
      </c>
      <c r="G17" s="14">
        <v>1</v>
      </c>
      <c r="H17" s="15">
        <v>39.99</v>
      </c>
      <c r="I17" s="15">
        <v>39.99</v>
      </c>
    </row>
    <row r="18" ht="12.9" customHeight="1">
      <c r="B18" t="s" s="10">
        <v>1150</v>
      </c>
      <c r="C18" t="s" s="11">
        <v>1151</v>
      </c>
      <c r="D18" s="12">
        <v>45504.171828240738</v>
      </c>
      <c r="E18" t="s" s="13">
        <v>35</v>
      </c>
      <c r="F18" t="s" s="13">
        <v>36</v>
      </c>
      <c r="G18" s="14">
        <v>1</v>
      </c>
      <c r="H18" s="15">
        <v>49.99</v>
      </c>
      <c r="I18" s="15">
        <v>49.99</v>
      </c>
    </row>
    <row r="19" ht="12.9" customHeight="1">
      <c r="B19" t="s" s="10">
        <v>1152</v>
      </c>
      <c r="C19" t="s" s="11">
        <v>1153</v>
      </c>
      <c r="D19" s="12">
        <v>45504.023150844907</v>
      </c>
      <c r="E19" t="s" s="13">
        <v>95</v>
      </c>
      <c r="F19" t="s" s="13">
        <v>12</v>
      </c>
      <c r="G19" s="14">
        <v>1</v>
      </c>
      <c r="H19" s="15">
        <v>349.99</v>
      </c>
      <c r="I19" s="15">
        <v>349.99</v>
      </c>
    </row>
    <row r="20" ht="12.9" customHeight="1">
      <c r="B20" t="s" s="10">
        <v>1154</v>
      </c>
      <c r="C20" t="s" s="11">
        <v>161</v>
      </c>
      <c r="D20" s="12">
        <v>45504</v>
      </c>
      <c r="E20" t="s" s="13">
        <v>47</v>
      </c>
      <c r="F20" s="16"/>
      <c r="G20" s="14">
        <v>1</v>
      </c>
      <c r="H20" s="15">
        <v>185.8</v>
      </c>
      <c r="I20" s="15">
        <v>185.8</v>
      </c>
    </row>
    <row r="21" ht="12.9" customHeight="1">
      <c r="B21" t="s" s="10">
        <v>1154</v>
      </c>
      <c r="C21" t="s" s="11">
        <v>161</v>
      </c>
      <c r="D21" s="12">
        <v>45504</v>
      </c>
      <c r="E21" t="s" s="13">
        <v>1155</v>
      </c>
      <c r="F21" t="s" s="13">
        <v>1156</v>
      </c>
      <c r="G21" s="14">
        <v>4</v>
      </c>
      <c r="H21" s="15">
        <v>1874.9925</v>
      </c>
      <c r="I21" s="15">
        <v>7499.97</v>
      </c>
    </row>
    <row r="22" ht="12.9" customHeight="1">
      <c r="B22" t="s" s="10">
        <v>1154</v>
      </c>
      <c r="C22" t="s" s="11">
        <v>161</v>
      </c>
      <c r="D22" s="12">
        <v>45504</v>
      </c>
      <c r="E22" t="s" s="13">
        <v>50</v>
      </c>
      <c r="F22" t="s" s="13">
        <v>51</v>
      </c>
      <c r="G22" s="14">
        <v>4</v>
      </c>
      <c r="H22" s="15">
        <v>0</v>
      </c>
      <c r="I22" s="15">
        <v>0</v>
      </c>
    </row>
    <row r="23" ht="12.9" customHeight="1">
      <c r="B23" t="s" s="10">
        <v>1154</v>
      </c>
      <c r="C23" t="s" s="11">
        <v>161</v>
      </c>
      <c r="D23" s="12">
        <v>45504</v>
      </c>
      <c r="E23" t="s" s="13">
        <v>1157</v>
      </c>
      <c r="F23" t="s" s="13">
        <v>1158</v>
      </c>
      <c r="G23" s="14">
        <v>16</v>
      </c>
      <c r="H23" s="15">
        <v>0</v>
      </c>
      <c r="I23" s="15">
        <v>0</v>
      </c>
    </row>
    <row r="24" ht="12.9" customHeight="1">
      <c r="B24" t="s" s="10">
        <v>1154</v>
      </c>
      <c r="C24" t="s" s="11">
        <v>161</v>
      </c>
      <c r="D24" s="12">
        <v>45504</v>
      </c>
      <c r="E24" t="s" s="13">
        <v>1157</v>
      </c>
      <c r="F24" t="s" s="13">
        <v>1159</v>
      </c>
      <c r="G24" s="14">
        <v>18</v>
      </c>
      <c r="H24" s="15">
        <v>47.2425</v>
      </c>
      <c r="I24" s="15">
        <v>850.365</v>
      </c>
    </row>
    <row r="25" ht="12.9" customHeight="1">
      <c r="B25" t="s" s="10">
        <v>1154</v>
      </c>
      <c r="C25" t="s" s="11">
        <v>161</v>
      </c>
      <c r="D25" s="12">
        <v>45504</v>
      </c>
      <c r="E25" t="s" s="13">
        <v>341</v>
      </c>
      <c r="F25" t="s" s="13">
        <v>342</v>
      </c>
      <c r="G25" s="14">
        <v>6</v>
      </c>
      <c r="H25" s="15">
        <v>22.4925</v>
      </c>
      <c r="I25" s="15">
        <v>134.955</v>
      </c>
    </row>
    <row r="26" ht="12.9" customHeight="1">
      <c r="B26" t="s" s="10">
        <v>1154</v>
      </c>
      <c r="C26" t="s" s="11">
        <v>161</v>
      </c>
      <c r="D26" s="12">
        <v>45504</v>
      </c>
      <c r="E26" t="s" s="13">
        <v>1160</v>
      </c>
      <c r="F26" t="s" s="13">
        <v>1161</v>
      </c>
      <c r="G26" s="14">
        <v>16</v>
      </c>
      <c r="H26" s="15">
        <v>32.495</v>
      </c>
      <c r="I26" s="15">
        <v>519.92</v>
      </c>
    </row>
    <row r="27" ht="12.9" customHeight="1">
      <c r="B27" t="s" s="10">
        <v>1154</v>
      </c>
      <c r="C27" t="s" s="11">
        <v>161</v>
      </c>
      <c r="D27" s="12">
        <v>45504</v>
      </c>
      <c r="E27" t="s" s="13">
        <v>497</v>
      </c>
      <c r="F27" t="s" s="13">
        <v>498</v>
      </c>
      <c r="G27" s="14">
        <v>8</v>
      </c>
      <c r="H27" s="15">
        <v>18.7425</v>
      </c>
      <c r="I27" s="15">
        <v>149.94</v>
      </c>
    </row>
    <row r="28" ht="12.9" customHeight="1">
      <c r="B28" t="s" s="10">
        <v>1154</v>
      </c>
      <c r="C28" t="s" s="11">
        <v>161</v>
      </c>
      <c r="D28" s="12">
        <v>45504</v>
      </c>
      <c r="E28" t="s" s="13">
        <v>1162</v>
      </c>
      <c r="F28" t="s" s="13">
        <v>1163</v>
      </c>
      <c r="G28" s="14">
        <v>8</v>
      </c>
      <c r="H28" s="15">
        <v>6.95000025</v>
      </c>
      <c r="I28" s="15">
        <v>55.600002</v>
      </c>
    </row>
    <row r="29" ht="12.9" customHeight="1">
      <c r="B29" t="s" s="10">
        <v>1154</v>
      </c>
      <c r="C29" t="s" s="11">
        <v>161</v>
      </c>
      <c r="D29" s="12">
        <v>45504</v>
      </c>
      <c r="E29" t="s" s="13">
        <v>824</v>
      </c>
      <c r="F29" t="s" s="13">
        <v>1164</v>
      </c>
      <c r="G29" s="14">
        <v>1</v>
      </c>
      <c r="H29" s="15">
        <v>224.9925</v>
      </c>
      <c r="I29" s="15">
        <v>224.9925</v>
      </c>
    </row>
    <row r="30" ht="12.9" customHeight="1">
      <c r="B30" t="s" s="10">
        <v>1165</v>
      </c>
      <c r="C30" t="s" s="11">
        <v>1166</v>
      </c>
      <c r="D30" s="12">
        <v>45503.849513414352</v>
      </c>
      <c r="E30" t="s" s="13">
        <v>73</v>
      </c>
      <c r="F30" t="s" s="13">
        <v>74</v>
      </c>
      <c r="G30" s="14">
        <v>1</v>
      </c>
      <c r="H30" s="15">
        <v>399.99</v>
      </c>
      <c r="I30" s="15">
        <v>399.99</v>
      </c>
    </row>
    <row r="31" ht="12.9" customHeight="1">
      <c r="B31" t="s" s="10">
        <v>1167</v>
      </c>
      <c r="C31" t="s" s="11">
        <v>1168</v>
      </c>
      <c r="D31" s="12">
        <v>45503.843733622685</v>
      </c>
      <c r="E31" t="s" s="13">
        <v>95</v>
      </c>
      <c r="F31" t="s" s="13">
        <v>12</v>
      </c>
      <c r="G31" s="14">
        <v>1</v>
      </c>
      <c r="H31" s="15">
        <v>349.99</v>
      </c>
      <c r="I31" s="15">
        <v>349.99</v>
      </c>
    </row>
    <row r="32" ht="12.9" customHeight="1">
      <c r="B32" t="s" s="10">
        <v>1167</v>
      </c>
      <c r="C32" t="s" s="11">
        <v>1168</v>
      </c>
      <c r="D32" s="12">
        <v>45503.843733622685</v>
      </c>
      <c r="E32" t="s" s="13">
        <v>81</v>
      </c>
      <c r="F32" t="s" s="13">
        <v>82</v>
      </c>
      <c r="G32" s="14">
        <v>2</v>
      </c>
      <c r="H32" s="15">
        <v>849.99</v>
      </c>
      <c r="I32" s="15">
        <v>1699.98</v>
      </c>
    </row>
    <row r="33" ht="12.9" customHeight="1">
      <c r="B33" t="s" s="10">
        <v>1167</v>
      </c>
      <c r="C33" t="s" s="11">
        <v>1168</v>
      </c>
      <c r="D33" s="12">
        <v>45503.843733622685</v>
      </c>
      <c r="E33" t="s" s="13">
        <v>23</v>
      </c>
      <c r="F33" t="s" s="13">
        <v>24</v>
      </c>
      <c r="G33" s="14">
        <v>2</v>
      </c>
      <c r="H33" s="15">
        <v>0</v>
      </c>
      <c r="I33" s="15">
        <v>0</v>
      </c>
    </row>
    <row r="34" ht="12.9" customHeight="1">
      <c r="B34" t="s" s="10">
        <v>1167</v>
      </c>
      <c r="C34" t="s" s="11">
        <v>1168</v>
      </c>
      <c r="D34" s="12">
        <v>45503.843733622685</v>
      </c>
      <c r="E34" t="s" s="13">
        <v>50</v>
      </c>
      <c r="F34" t="s" s="13">
        <v>83</v>
      </c>
      <c r="G34" s="14">
        <v>2</v>
      </c>
      <c r="H34" s="15">
        <v>0</v>
      </c>
      <c r="I34" s="15">
        <v>0</v>
      </c>
    </row>
    <row r="35" ht="12.9" customHeight="1">
      <c r="B35" t="s" s="10">
        <v>1167</v>
      </c>
      <c r="C35" t="s" s="11">
        <v>1168</v>
      </c>
      <c r="D35" s="12">
        <v>45503.843733622685</v>
      </c>
      <c r="E35" t="s" s="13">
        <v>84</v>
      </c>
      <c r="F35" t="s" s="13">
        <v>85</v>
      </c>
      <c r="G35" s="14">
        <v>2</v>
      </c>
      <c r="H35" s="15">
        <v>0</v>
      </c>
      <c r="I35" s="15">
        <v>0</v>
      </c>
    </row>
    <row r="36" ht="12.9" customHeight="1">
      <c r="B36" t="s" s="10">
        <v>1167</v>
      </c>
      <c r="C36" t="s" s="11">
        <v>1168</v>
      </c>
      <c r="D36" s="12">
        <v>45503.843733622685</v>
      </c>
      <c r="E36" t="s" s="13">
        <v>73</v>
      </c>
      <c r="F36" t="s" s="13">
        <v>74</v>
      </c>
      <c r="G36" s="14">
        <v>1</v>
      </c>
      <c r="H36" s="15">
        <v>399.99</v>
      </c>
      <c r="I36" s="15">
        <v>399.99</v>
      </c>
    </row>
    <row r="37" ht="12.9" customHeight="1">
      <c r="B37" t="s" s="10">
        <v>1167</v>
      </c>
      <c r="C37" t="s" s="11">
        <v>1168</v>
      </c>
      <c r="D37" s="12">
        <v>45503.843733622685</v>
      </c>
      <c r="E37" t="s" s="13">
        <v>35</v>
      </c>
      <c r="F37" t="s" s="13">
        <v>36</v>
      </c>
      <c r="G37" s="14">
        <v>1</v>
      </c>
      <c r="H37" s="15">
        <v>39.99</v>
      </c>
      <c r="I37" s="15">
        <v>39.99</v>
      </c>
    </row>
    <row r="38" ht="12.9" customHeight="1">
      <c r="B38" t="s" s="10">
        <v>1169</v>
      </c>
      <c r="C38" t="s" s="11">
        <v>1170</v>
      </c>
      <c r="D38" s="12">
        <v>45503.797020347221</v>
      </c>
      <c r="E38" t="s" s="13">
        <v>19</v>
      </c>
      <c r="F38" t="s" s="13">
        <v>20</v>
      </c>
      <c r="G38" s="14">
        <v>1</v>
      </c>
      <c r="H38" s="15">
        <v>119.99</v>
      </c>
      <c r="I38" s="15">
        <v>119.99</v>
      </c>
    </row>
    <row r="39" ht="12.9" customHeight="1">
      <c r="B39" t="s" s="10">
        <v>1171</v>
      </c>
      <c r="C39" t="s" s="11">
        <v>1172</v>
      </c>
      <c r="D39" s="12">
        <v>45503.780100324075</v>
      </c>
      <c r="E39" t="s" s="13">
        <v>722</v>
      </c>
      <c r="F39" t="s" s="13">
        <v>82</v>
      </c>
      <c r="G39" s="14">
        <v>4</v>
      </c>
      <c r="H39" s="15">
        <v>869.99</v>
      </c>
      <c r="I39" s="15">
        <v>3479.96</v>
      </c>
    </row>
    <row r="40" ht="12.9" customHeight="1">
      <c r="B40" t="s" s="10">
        <v>1171</v>
      </c>
      <c r="C40" t="s" s="11">
        <v>1172</v>
      </c>
      <c r="D40" s="12">
        <v>45503.780100324075</v>
      </c>
      <c r="E40" t="s" s="13">
        <v>23</v>
      </c>
      <c r="F40" t="s" s="13">
        <v>24</v>
      </c>
      <c r="G40" s="14">
        <v>4</v>
      </c>
      <c r="H40" s="15">
        <v>0</v>
      </c>
      <c r="I40" s="15">
        <v>0</v>
      </c>
    </row>
    <row r="41" ht="12.9" customHeight="1">
      <c r="B41" t="s" s="10">
        <v>1171</v>
      </c>
      <c r="C41" t="s" s="11">
        <v>1172</v>
      </c>
      <c r="D41" s="12">
        <v>45503.780100324075</v>
      </c>
      <c r="E41" t="s" s="13">
        <v>50</v>
      </c>
      <c r="F41" t="s" s="13">
        <v>83</v>
      </c>
      <c r="G41" s="14">
        <v>4</v>
      </c>
      <c r="H41" s="15">
        <v>0</v>
      </c>
      <c r="I41" s="15">
        <v>0</v>
      </c>
    </row>
    <row r="42" ht="12.9" customHeight="1">
      <c r="B42" t="s" s="10">
        <v>1171</v>
      </c>
      <c r="C42" t="s" s="11">
        <v>1172</v>
      </c>
      <c r="D42" s="12">
        <v>45503.780100324075</v>
      </c>
      <c r="E42" t="s" s="13">
        <v>84</v>
      </c>
      <c r="F42" t="s" s="13">
        <v>85</v>
      </c>
      <c r="G42" s="14">
        <v>4</v>
      </c>
      <c r="H42" s="15">
        <v>0</v>
      </c>
      <c r="I42" s="15">
        <v>0</v>
      </c>
    </row>
    <row r="43" ht="12.9" customHeight="1">
      <c r="B43" t="s" s="10">
        <v>1173</v>
      </c>
      <c r="C43" t="s" s="11">
        <v>1174</v>
      </c>
      <c r="D43" s="12">
        <v>45503.765620914353</v>
      </c>
      <c r="E43" t="s" s="13">
        <v>35</v>
      </c>
      <c r="F43" t="s" s="13">
        <v>36</v>
      </c>
      <c r="G43" s="14">
        <v>1</v>
      </c>
      <c r="H43" s="15">
        <v>49.99</v>
      </c>
      <c r="I43" s="15">
        <v>49.99</v>
      </c>
    </row>
    <row r="44" ht="12.9" customHeight="1">
      <c r="B44" t="s" s="10">
        <v>1175</v>
      </c>
      <c r="C44" t="s" s="11">
        <v>1176</v>
      </c>
      <c r="D44" s="12">
        <v>45503.616115162040</v>
      </c>
      <c r="E44" t="s" s="13">
        <v>19</v>
      </c>
      <c r="F44" t="s" s="13">
        <v>20</v>
      </c>
      <c r="G44" s="14">
        <v>2</v>
      </c>
      <c r="H44" s="15">
        <v>119.99</v>
      </c>
      <c r="I44" s="15">
        <v>239.98</v>
      </c>
    </row>
    <row r="45" ht="12.9" customHeight="1">
      <c r="B45" t="s" s="10">
        <v>1177</v>
      </c>
      <c r="C45" t="s" s="11">
        <v>1178</v>
      </c>
      <c r="D45" s="12">
        <v>45503.530454629632</v>
      </c>
      <c r="E45" t="s" s="13">
        <v>89</v>
      </c>
      <c r="F45" t="s" s="13">
        <v>90</v>
      </c>
      <c r="G45" s="14">
        <v>2</v>
      </c>
      <c r="H45" s="15">
        <v>59.99</v>
      </c>
      <c r="I45" s="15">
        <v>119.98</v>
      </c>
    </row>
    <row r="46" ht="12.9" customHeight="1">
      <c r="B46" t="s" s="10">
        <v>1179</v>
      </c>
      <c r="C46" t="s" s="11">
        <v>1180</v>
      </c>
      <c r="D46" s="12">
        <v>45503.078803518518</v>
      </c>
      <c r="E46" t="s" s="13">
        <v>59</v>
      </c>
      <c r="F46" t="s" s="13">
        <v>60</v>
      </c>
      <c r="G46" s="14">
        <v>1</v>
      </c>
      <c r="H46" s="15">
        <v>1199.99</v>
      </c>
      <c r="I46" s="15">
        <v>1199.99</v>
      </c>
    </row>
    <row r="47" ht="12.9" customHeight="1">
      <c r="B47" t="s" s="10">
        <v>1179</v>
      </c>
      <c r="C47" t="s" s="11">
        <v>1180</v>
      </c>
      <c r="D47" s="12">
        <v>45503.078803518518</v>
      </c>
      <c r="E47" t="s" s="13">
        <v>73</v>
      </c>
      <c r="F47" t="s" s="13">
        <v>74</v>
      </c>
      <c r="G47" s="14">
        <v>1</v>
      </c>
      <c r="H47" s="15">
        <v>399.99</v>
      </c>
      <c r="I47" s="15">
        <v>399.99</v>
      </c>
    </row>
    <row r="48" ht="12.9" customHeight="1">
      <c r="B48" t="s" s="10">
        <v>1181</v>
      </c>
      <c r="C48" t="s" s="11">
        <v>1108</v>
      </c>
      <c r="D48" s="12">
        <v>45503</v>
      </c>
      <c r="E48" t="s" s="13">
        <v>225</v>
      </c>
      <c r="F48" t="s" s="13">
        <v>226</v>
      </c>
      <c r="G48" s="14">
        <v>2</v>
      </c>
      <c r="H48" s="15">
        <v>499.99</v>
      </c>
      <c r="I48" s="15">
        <v>999.98</v>
      </c>
    </row>
    <row r="49" ht="12.9" customHeight="1">
      <c r="B49" t="s" s="10">
        <v>1181</v>
      </c>
      <c r="C49" t="s" s="11">
        <v>1108</v>
      </c>
      <c r="D49" s="12">
        <v>45503</v>
      </c>
      <c r="E49" t="s" s="13">
        <v>167</v>
      </c>
      <c r="F49" t="s" s="13">
        <v>495</v>
      </c>
      <c r="G49" s="14">
        <v>2</v>
      </c>
      <c r="H49" s="15">
        <v>0</v>
      </c>
      <c r="I49" s="15">
        <v>0</v>
      </c>
    </row>
    <row r="50" ht="12.9" customHeight="1">
      <c r="B50" t="s" s="10">
        <v>1181</v>
      </c>
      <c r="C50" t="s" s="11">
        <v>1108</v>
      </c>
      <c r="D50" s="12">
        <v>45503</v>
      </c>
      <c r="E50" t="s" s="13">
        <v>23</v>
      </c>
      <c r="F50" t="s" s="13">
        <v>24</v>
      </c>
      <c r="G50" s="14">
        <v>2</v>
      </c>
      <c r="H50" s="15">
        <v>149.99</v>
      </c>
      <c r="I50" s="15">
        <v>299.98</v>
      </c>
    </row>
    <row r="51" ht="12.9" customHeight="1">
      <c r="B51" t="s" s="10">
        <v>1181</v>
      </c>
      <c r="C51" t="s" s="11">
        <v>1108</v>
      </c>
      <c r="D51" s="12">
        <v>45503</v>
      </c>
      <c r="E51" t="s" s="13">
        <v>54</v>
      </c>
      <c r="F51" t="s" s="13">
        <v>565</v>
      </c>
      <c r="G51" s="14">
        <v>2</v>
      </c>
      <c r="H51" s="15">
        <v>0</v>
      </c>
      <c r="I51" s="15">
        <v>0</v>
      </c>
    </row>
    <row r="52" ht="12.9" customHeight="1">
      <c r="B52" t="s" s="10">
        <v>1182</v>
      </c>
      <c r="C52" t="s" s="11">
        <v>563</v>
      </c>
      <c r="D52" s="12">
        <v>45503</v>
      </c>
      <c r="E52" t="s" s="13">
        <v>63</v>
      </c>
      <c r="F52" s="16"/>
      <c r="G52" s="14">
        <v>1</v>
      </c>
      <c r="H52" s="15">
        <v>18.6</v>
      </c>
      <c r="I52" s="15">
        <v>18.6</v>
      </c>
    </row>
    <row r="53" ht="12.9" customHeight="1">
      <c r="B53" t="s" s="10">
        <v>1182</v>
      </c>
      <c r="C53" t="s" s="11">
        <v>563</v>
      </c>
      <c r="D53" s="12">
        <v>45503</v>
      </c>
      <c r="E53" t="s" s="13">
        <v>133</v>
      </c>
      <c r="F53" t="s" s="13">
        <v>134</v>
      </c>
      <c r="G53" s="14">
        <v>1</v>
      </c>
      <c r="H53" s="15">
        <v>149.9925</v>
      </c>
      <c r="I53" s="15">
        <v>149.9925</v>
      </c>
    </row>
    <row r="54" ht="12.9" customHeight="1">
      <c r="B54" t="s" s="10">
        <v>1183</v>
      </c>
      <c r="C54" t="s" s="11">
        <v>1184</v>
      </c>
      <c r="D54" s="12">
        <v>45503</v>
      </c>
      <c r="E54" t="s" s="13">
        <v>861</v>
      </c>
      <c r="F54" s="16"/>
      <c r="G54" s="14">
        <v>1</v>
      </c>
      <c r="H54" s="15">
        <v>44.09</v>
      </c>
      <c r="I54" s="15">
        <v>44.09</v>
      </c>
    </row>
    <row r="55" ht="12.9" customHeight="1">
      <c r="B55" t="s" s="10">
        <v>1183</v>
      </c>
      <c r="C55" t="s" s="11">
        <v>1184</v>
      </c>
      <c r="D55" s="12">
        <v>45503</v>
      </c>
      <c r="E55" t="s" s="13">
        <v>254</v>
      </c>
      <c r="F55" t="s" s="13">
        <v>1185</v>
      </c>
      <c r="G55" s="14">
        <v>1</v>
      </c>
      <c r="H55" s="15">
        <v>120</v>
      </c>
      <c r="I55" s="15">
        <v>120</v>
      </c>
    </row>
    <row r="56" ht="12.9" customHeight="1">
      <c r="B56" t="s" s="10">
        <v>1183</v>
      </c>
      <c r="C56" t="s" s="11">
        <v>1184</v>
      </c>
      <c r="D56" s="12">
        <v>45503</v>
      </c>
      <c r="E56" t="s" s="13">
        <v>52</v>
      </c>
      <c r="F56" t="s" s="13">
        <v>53</v>
      </c>
      <c r="G56" s="14">
        <v>4</v>
      </c>
      <c r="H56" s="15">
        <v>17.99</v>
      </c>
      <c r="I56" s="15">
        <v>71.95999999999999</v>
      </c>
    </row>
    <row r="57" ht="12.9" customHeight="1">
      <c r="B57" t="s" s="10">
        <v>1183</v>
      </c>
      <c r="C57" t="s" s="11">
        <v>1184</v>
      </c>
      <c r="D57" s="12">
        <v>45503</v>
      </c>
      <c r="E57" t="s" s="13">
        <v>1186</v>
      </c>
      <c r="F57" t="s" s="13">
        <v>1186</v>
      </c>
      <c r="G57" s="14">
        <v>4</v>
      </c>
      <c r="H57" s="15">
        <v>0</v>
      </c>
      <c r="I57" s="15">
        <v>0</v>
      </c>
    </row>
    <row r="58" ht="12.9" customHeight="1">
      <c r="B58" t="s" s="10">
        <v>1183</v>
      </c>
      <c r="C58" t="s" s="11">
        <v>1184</v>
      </c>
      <c r="D58" s="12">
        <v>45503</v>
      </c>
      <c r="E58" t="s" s="13">
        <v>1187</v>
      </c>
      <c r="F58" t="s" s="13">
        <v>1187</v>
      </c>
      <c r="G58" s="14">
        <v>2</v>
      </c>
      <c r="H58" s="15">
        <v>0</v>
      </c>
      <c r="I58" s="15">
        <v>0</v>
      </c>
    </row>
    <row r="59" ht="12.9" customHeight="1">
      <c r="B59" t="s" s="10">
        <v>1183</v>
      </c>
      <c r="C59" t="s" s="11">
        <v>1184</v>
      </c>
      <c r="D59" s="12">
        <v>45503</v>
      </c>
      <c r="E59" t="s" s="13">
        <v>19</v>
      </c>
      <c r="F59" t="s" s="13">
        <v>20</v>
      </c>
      <c r="G59" s="14">
        <v>4</v>
      </c>
      <c r="H59" s="15">
        <v>107.991</v>
      </c>
      <c r="I59" s="15">
        <v>431.964</v>
      </c>
    </row>
    <row r="60" ht="12.9" customHeight="1">
      <c r="B60" t="s" s="10">
        <v>1188</v>
      </c>
      <c r="C60" t="s" s="11">
        <v>1189</v>
      </c>
      <c r="D60" s="12">
        <v>45502.7742947338</v>
      </c>
      <c r="E60" t="s" s="13">
        <v>95</v>
      </c>
      <c r="F60" t="s" s="13">
        <v>12</v>
      </c>
      <c r="G60" s="14">
        <v>1</v>
      </c>
      <c r="H60" s="15">
        <v>349.99</v>
      </c>
      <c r="I60" s="15">
        <v>349.99</v>
      </c>
    </row>
    <row r="61" ht="12.9" customHeight="1">
      <c r="B61" t="s" s="10">
        <v>1190</v>
      </c>
      <c r="C61" t="s" s="11">
        <v>1191</v>
      </c>
      <c r="D61" s="12">
        <v>45502.724923194444</v>
      </c>
      <c r="E61" t="s" s="13">
        <v>89</v>
      </c>
      <c r="F61" t="s" s="13">
        <v>90</v>
      </c>
      <c r="G61" s="14">
        <v>3</v>
      </c>
      <c r="H61" s="15">
        <v>59.99</v>
      </c>
      <c r="I61" s="15">
        <v>179.97</v>
      </c>
    </row>
    <row r="62" ht="12.9" customHeight="1">
      <c r="B62" t="s" s="10">
        <v>1192</v>
      </c>
      <c r="C62" t="s" s="11">
        <v>1193</v>
      </c>
      <c r="D62" s="12">
        <v>45502.702721203706</v>
      </c>
      <c r="E62" t="s" s="13">
        <v>35</v>
      </c>
      <c r="F62" t="s" s="13">
        <v>36</v>
      </c>
      <c r="G62" s="14">
        <v>2</v>
      </c>
      <c r="H62" s="15">
        <v>49.99</v>
      </c>
      <c r="I62" s="15">
        <v>99.98</v>
      </c>
    </row>
    <row r="63" ht="12.9" customHeight="1">
      <c r="B63" t="s" s="10">
        <v>1194</v>
      </c>
      <c r="C63" t="s" s="11">
        <v>1195</v>
      </c>
      <c r="D63" s="12">
        <v>45502.648910879630</v>
      </c>
      <c r="E63" t="s" s="13">
        <v>345</v>
      </c>
      <c r="F63" t="s" s="13">
        <v>346</v>
      </c>
      <c r="G63" s="14">
        <v>2</v>
      </c>
      <c r="H63" s="15">
        <v>219.99</v>
      </c>
      <c r="I63" s="15">
        <v>439.98</v>
      </c>
    </row>
    <row r="64" ht="12.9" customHeight="1">
      <c r="B64" t="s" s="10">
        <v>1196</v>
      </c>
      <c r="C64" t="s" s="11">
        <v>1147</v>
      </c>
      <c r="D64" s="12">
        <v>45502.551955486109</v>
      </c>
      <c r="E64" t="s" s="13">
        <v>15</v>
      </c>
      <c r="F64" t="s" s="13">
        <v>16</v>
      </c>
      <c r="G64" s="14">
        <v>1</v>
      </c>
      <c r="H64" s="15">
        <v>9.99</v>
      </c>
      <c r="I64" s="15">
        <v>9.99</v>
      </c>
    </row>
    <row r="65" ht="12.9" customHeight="1">
      <c r="B65" t="s" s="10">
        <v>1196</v>
      </c>
      <c r="C65" t="s" s="11">
        <v>1147</v>
      </c>
      <c r="D65" s="12">
        <v>45502.551955486109</v>
      </c>
      <c r="E65" t="s" s="13">
        <v>54</v>
      </c>
      <c r="F65" t="s" s="13">
        <v>93</v>
      </c>
      <c r="G65" s="14">
        <v>2</v>
      </c>
      <c r="H65" s="15">
        <v>9.99</v>
      </c>
      <c r="I65" s="15">
        <v>19.98</v>
      </c>
    </row>
    <row r="66" ht="12.9" customHeight="1">
      <c r="B66" t="s" s="10">
        <v>1196</v>
      </c>
      <c r="C66" t="s" s="11">
        <v>1147</v>
      </c>
      <c r="D66" s="12">
        <v>45502.551955486109</v>
      </c>
      <c r="E66" t="s" s="13">
        <v>35</v>
      </c>
      <c r="F66" t="s" s="13">
        <v>36</v>
      </c>
      <c r="G66" s="14">
        <v>2</v>
      </c>
      <c r="H66" s="15">
        <v>49.99</v>
      </c>
      <c r="I66" s="15">
        <v>99.98</v>
      </c>
    </row>
    <row r="67" ht="12.9" customHeight="1">
      <c r="B67" t="s" s="10">
        <v>1196</v>
      </c>
      <c r="C67" t="s" s="11">
        <v>1147</v>
      </c>
      <c r="D67" s="12">
        <v>45502.551955486109</v>
      </c>
      <c r="E67" t="s" s="13">
        <v>89</v>
      </c>
      <c r="F67" t="s" s="13">
        <v>90</v>
      </c>
      <c r="G67" s="14">
        <v>1</v>
      </c>
      <c r="H67" s="15">
        <v>59.99</v>
      </c>
      <c r="I67" s="15">
        <v>59.99</v>
      </c>
    </row>
    <row r="68" ht="12.9" customHeight="1">
      <c r="B68" t="s" s="10">
        <v>1197</v>
      </c>
      <c r="C68" t="s" s="11">
        <v>1198</v>
      </c>
      <c r="D68" s="12">
        <v>45502.133175081020</v>
      </c>
      <c r="E68" t="s" s="13">
        <v>27</v>
      </c>
      <c r="F68" t="s" s="13">
        <v>28</v>
      </c>
      <c r="G68" s="14">
        <v>4</v>
      </c>
      <c r="H68" s="15">
        <v>79.98999999999999</v>
      </c>
      <c r="I68" s="15">
        <v>319.96</v>
      </c>
    </row>
    <row r="69" ht="12.9" customHeight="1">
      <c r="B69" t="s" s="10">
        <v>1199</v>
      </c>
      <c r="C69" t="s" s="11">
        <v>1200</v>
      </c>
      <c r="D69" s="12">
        <v>45502</v>
      </c>
      <c r="E69" t="s" s="13">
        <v>442</v>
      </c>
      <c r="F69" s="16"/>
      <c r="G69" s="14">
        <v>1</v>
      </c>
      <c r="H69" s="15">
        <v>-325.57</v>
      </c>
      <c r="I69" s="15">
        <v>-325.57</v>
      </c>
    </row>
    <row r="70" ht="12.9" customHeight="1">
      <c r="B70" t="s" s="10">
        <v>1199</v>
      </c>
      <c r="C70" t="s" s="11">
        <v>1200</v>
      </c>
      <c r="D70" s="12">
        <v>45502</v>
      </c>
      <c r="E70" t="s" s="13">
        <v>724</v>
      </c>
      <c r="F70" t="s" s="13">
        <v>1201</v>
      </c>
      <c r="G70" s="14">
        <v>2</v>
      </c>
      <c r="H70" s="15">
        <v>0</v>
      </c>
      <c r="I70" s="15">
        <v>0</v>
      </c>
    </row>
    <row r="71" ht="12.9" customHeight="1">
      <c r="B71" t="s" s="10">
        <v>1199</v>
      </c>
      <c r="C71" t="s" s="11">
        <v>1200</v>
      </c>
      <c r="D71" s="12">
        <v>45502</v>
      </c>
      <c r="E71" t="s" s="13">
        <v>1202</v>
      </c>
      <c r="F71" t="s" s="13">
        <v>1203</v>
      </c>
      <c r="G71" s="14">
        <v>2</v>
      </c>
      <c r="H71" s="15">
        <v>99.98999999999999</v>
      </c>
      <c r="I71" s="15">
        <v>199.98</v>
      </c>
    </row>
    <row r="72" ht="12.9" customHeight="1">
      <c r="B72" t="s" s="10">
        <v>1199</v>
      </c>
      <c r="C72" t="s" s="11">
        <v>1200</v>
      </c>
      <c r="D72" s="12">
        <v>45502</v>
      </c>
      <c r="E72" t="s" s="13">
        <v>1204</v>
      </c>
      <c r="F72" t="s" s="13">
        <v>1205</v>
      </c>
      <c r="G72" s="14">
        <v>2</v>
      </c>
      <c r="H72" s="15">
        <v>0</v>
      </c>
      <c r="I72" s="15">
        <v>0</v>
      </c>
    </row>
    <row r="73" ht="12.9" customHeight="1">
      <c r="B73" t="s" s="10">
        <v>1199</v>
      </c>
      <c r="C73" t="s" s="11">
        <v>1200</v>
      </c>
      <c r="D73" s="12">
        <v>45502</v>
      </c>
      <c r="E73" t="s" s="13">
        <v>1069</v>
      </c>
      <c r="F73" t="s" s="13">
        <v>1070</v>
      </c>
      <c r="G73" s="14">
        <v>1</v>
      </c>
      <c r="H73" s="15">
        <v>99.98999999999999</v>
      </c>
      <c r="I73" s="15">
        <v>99.98999999999999</v>
      </c>
    </row>
    <row r="74" ht="12.9" customHeight="1">
      <c r="B74" t="s" s="10">
        <v>1199</v>
      </c>
      <c r="C74" t="s" s="11">
        <v>1200</v>
      </c>
      <c r="D74" s="12">
        <v>45502</v>
      </c>
      <c r="E74" t="s" s="13">
        <v>115</v>
      </c>
      <c r="F74" t="s" s="13">
        <v>116</v>
      </c>
      <c r="G74" s="14">
        <v>1</v>
      </c>
      <c r="H74" s="15">
        <v>22.99</v>
      </c>
      <c r="I74" s="15">
        <v>22.99</v>
      </c>
    </row>
    <row r="75" ht="12.9" customHeight="1">
      <c r="B75" t="s" s="10">
        <v>1199</v>
      </c>
      <c r="C75" t="s" s="11">
        <v>1200</v>
      </c>
      <c r="D75" s="12">
        <v>45502</v>
      </c>
      <c r="E75" t="s" s="13">
        <v>1206</v>
      </c>
      <c r="F75" t="s" s="13">
        <v>1207</v>
      </c>
      <c r="G75" s="14">
        <v>4</v>
      </c>
      <c r="H75" s="15">
        <v>0.652174</v>
      </c>
      <c r="I75" s="15">
        <v>2.608696</v>
      </c>
    </row>
    <row r="76" ht="12.9" customHeight="1">
      <c r="B76" t="s" s="10">
        <v>1208</v>
      </c>
      <c r="C76" t="s" s="11">
        <v>1209</v>
      </c>
      <c r="D76" s="12">
        <v>45499.7793603125</v>
      </c>
      <c r="E76" t="s" s="13">
        <v>95</v>
      </c>
      <c r="F76" t="s" s="13">
        <v>12</v>
      </c>
      <c r="G76" s="14">
        <v>1</v>
      </c>
      <c r="H76" s="15">
        <v>349.99</v>
      </c>
      <c r="I76" s="15">
        <v>349.99</v>
      </c>
    </row>
    <row r="77" ht="12.9" customHeight="1">
      <c r="B77" t="s" s="10">
        <v>1210</v>
      </c>
      <c r="C77" t="s" s="11">
        <v>1193</v>
      </c>
      <c r="D77" s="12">
        <v>45499.715044965276</v>
      </c>
      <c r="E77" t="s" s="13">
        <v>139</v>
      </c>
      <c r="F77" t="s" s="13">
        <v>140</v>
      </c>
      <c r="G77" s="14">
        <v>1</v>
      </c>
      <c r="H77" s="15">
        <v>49.99</v>
      </c>
      <c r="I77" s="15">
        <v>49.99</v>
      </c>
    </row>
    <row r="78" ht="12.9" customHeight="1">
      <c r="B78" t="s" s="10">
        <v>1211</v>
      </c>
      <c r="C78" t="s" s="11">
        <v>1212</v>
      </c>
      <c r="D78" s="12">
        <v>45499.695249756944</v>
      </c>
      <c r="E78" t="s" s="13">
        <v>77</v>
      </c>
      <c r="F78" t="s" s="13">
        <v>78</v>
      </c>
      <c r="G78" s="14">
        <v>2</v>
      </c>
      <c r="H78" s="15">
        <v>19.99</v>
      </c>
      <c r="I78" s="15">
        <v>39.98</v>
      </c>
    </row>
    <row r="79" ht="12.9" customHeight="1">
      <c r="B79" t="s" s="10">
        <v>1211</v>
      </c>
      <c r="C79" t="s" s="11">
        <v>1212</v>
      </c>
      <c r="D79" s="12">
        <v>45499.695249756944</v>
      </c>
      <c r="E79" t="s" s="13">
        <v>48</v>
      </c>
      <c r="F79" t="s" s="13">
        <v>49</v>
      </c>
      <c r="G79" s="14">
        <v>2</v>
      </c>
      <c r="H79" s="15">
        <v>1299.99</v>
      </c>
      <c r="I79" s="15">
        <v>2599.98</v>
      </c>
    </row>
    <row r="80" ht="12.9" customHeight="1">
      <c r="B80" t="s" s="10">
        <v>1211</v>
      </c>
      <c r="C80" t="s" s="11">
        <v>1212</v>
      </c>
      <c r="D80" s="12">
        <v>45499.695249756944</v>
      </c>
      <c r="E80" t="s" s="13">
        <v>50</v>
      </c>
      <c r="F80" t="s" s="13">
        <v>83</v>
      </c>
      <c r="G80" s="14">
        <v>2</v>
      </c>
      <c r="H80" s="15">
        <v>0</v>
      </c>
      <c r="I80" s="15">
        <v>0</v>
      </c>
    </row>
    <row r="81" ht="12.9" customHeight="1">
      <c r="B81" t="s" s="10">
        <v>1211</v>
      </c>
      <c r="C81" t="s" s="11">
        <v>1212</v>
      </c>
      <c r="D81" s="12">
        <v>45499.695249756944</v>
      </c>
      <c r="E81" t="s" s="13">
        <v>52</v>
      </c>
      <c r="F81" t="s" s="13">
        <v>321</v>
      </c>
      <c r="G81" s="14">
        <v>2</v>
      </c>
      <c r="H81" s="15">
        <v>0</v>
      </c>
      <c r="I81" s="15">
        <v>0</v>
      </c>
    </row>
    <row r="82" ht="12.9" customHeight="1">
      <c r="B82" t="s" s="10">
        <v>1211</v>
      </c>
      <c r="C82" t="s" s="11">
        <v>1212</v>
      </c>
      <c r="D82" s="12">
        <v>45499.695249756944</v>
      </c>
      <c r="E82" t="s" s="13">
        <v>84</v>
      </c>
      <c r="F82" t="s" s="13">
        <v>85</v>
      </c>
      <c r="G82" s="14">
        <v>2</v>
      </c>
      <c r="H82" s="15">
        <v>0</v>
      </c>
      <c r="I82" s="15">
        <v>0</v>
      </c>
    </row>
    <row r="83" ht="12.9" customHeight="1">
      <c r="B83" t="s" s="10">
        <v>1211</v>
      </c>
      <c r="C83" t="s" s="11">
        <v>1212</v>
      </c>
      <c r="D83" s="12">
        <v>45499.695249756944</v>
      </c>
      <c r="E83" t="s" s="13">
        <v>470</v>
      </c>
      <c r="F83" t="s" s="13">
        <v>517</v>
      </c>
      <c r="G83" s="14">
        <v>2</v>
      </c>
      <c r="H83" s="15">
        <v>100</v>
      </c>
      <c r="I83" s="15">
        <v>200</v>
      </c>
    </row>
    <row r="84" ht="12.9" customHeight="1">
      <c r="B84" t="s" s="10">
        <v>1213</v>
      </c>
      <c r="C84" t="s" s="11">
        <v>721</v>
      </c>
      <c r="D84" s="12">
        <v>45499</v>
      </c>
      <c r="E84" t="s" s="13">
        <v>63</v>
      </c>
      <c r="F84" s="16"/>
      <c r="G84" s="14">
        <v>1</v>
      </c>
      <c r="H84" s="15">
        <v>41.5</v>
      </c>
      <c r="I84" s="15">
        <v>41.5</v>
      </c>
    </row>
    <row r="85" ht="12.9" customHeight="1">
      <c r="B85" t="s" s="10">
        <v>1213</v>
      </c>
      <c r="C85" t="s" s="11">
        <v>721</v>
      </c>
      <c r="D85" s="12">
        <v>45499</v>
      </c>
      <c r="E85" t="s" s="13">
        <v>73</v>
      </c>
      <c r="F85" t="s" s="13">
        <v>74</v>
      </c>
      <c r="G85" s="14">
        <v>2</v>
      </c>
      <c r="H85" s="15">
        <v>299.9925</v>
      </c>
      <c r="I85" s="15">
        <v>599.985</v>
      </c>
    </row>
    <row r="86" ht="12.9" customHeight="1">
      <c r="B86" t="s" s="10">
        <v>1213</v>
      </c>
      <c r="C86" t="s" s="11">
        <v>721</v>
      </c>
      <c r="D86" s="12">
        <v>45499</v>
      </c>
      <c r="E86" t="s" s="13">
        <v>589</v>
      </c>
      <c r="F86" t="s" s="13">
        <v>590</v>
      </c>
      <c r="G86" s="14">
        <v>5</v>
      </c>
      <c r="H86" s="15">
        <v>5.6175</v>
      </c>
      <c r="I86" s="15">
        <v>28.0875</v>
      </c>
    </row>
    <row r="87" ht="12.9" customHeight="1">
      <c r="B87" t="s" s="10">
        <v>1214</v>
      </c>
      <c r="C87" t="s" s="11">
        <v>1215</v>
      </c>
      <c r="D87" s="12">
        <v>45498.862244814816</v>
      </c>
      <c r="E87" t="s" s="13">
        <v>146</v>
      </c>
      <c r="F87" t="s" s="13">
        <v>147</v>
      </c>
      <c r="G87" s="14">
        <v>1</v>
      </c>
      <c r="H87" s="15">
        <v>19.99</v>
      </c>
      <c r="I87" s="15">
        <v>19.99</v>
      </c>
    </row>
    <row r="88" ht="12.9" customHeight="1">
      <c r="B88" t="s" s="10">
        <v>1216</v>
      </c>
      <c r="C88" t="s" s="11">
        <v>1217</v>
      </c>
      <c r="D88" s="12">
        <v>45498.761807835646</v>
      </c>
      <c r="E88" t="s" s="13">
        <v>35</v>
      </c>
      <c r="F88" t="s" s="13">
        <v>36</v>
      </c>
      <c r="G88" s="14">
        <v>1</v>
      </c>
      <c r="H88" s="15">
        <v>49.99</v>
      </c>
      <c r="I88" s="15">
        <v>49.99</v>
      </c>
    </row>
    <row r="89" ht="12.9" customHeight="1">
      <c r="B89" t="s" s="10">
        <v>1218</v>
      </c>
      <c r="C89" t="s" s="11">
        <v>1219</v>
      </c>
      <c r="D89" s="12">
        <v>45498.620022199073</v>
      </c>
      <c r="E89" t="s" s="13">
        <v>31</v>
      </c>
      <c r="F89" t="s" s="13">
        <v>32</v>
      </c>
      <c r="G89" s="14">
        <v>1</v>
      </c>
      <c r="H89" s="15">
        <v>599.99</v>
      </c>
      <c r="I89" s="15">
        <v>599.99</v>
      </c>
    </row>
    <row r="90" ht="12.9" customHeight="1">
      <c r="B90" t="s" s="10">
        <v>1220</v>
      </c>
      <c r="C90" t="s" s="11">
        <v>1221</v>
      </c>
      <c r="D90" s="12">
        <v>45497.876887037040</v>
      </c>
      <c r="E90" t="s" s="13">
        <v>73</v>
      </c>
      <c r="F90" t="s" s="13">
        <v>74</v>
      </c>
      <c r="G90" s="14">
        <v>1</v>
      </c>
      <c r="H90" s="15">
        <v>399.99</v>
      </c>
      <c r="I90" s="15">
        <v>399.99</v>
      </c>
    </row>
    <row r="91" ht="12.9" customHeight="1">
      <c r="B91" t="s" s="10">
        <v>1222</v>
      </c>
      <c r="C91" t="s" s="11">
        <v>42</v>
      </c>
      <c r="D91" s="12">
        <v>45497</v>
      </c>
      <c r="E91" t="s" s="13">
        <v>47</v>
      </c>
      <c r="F91" s="16"/>
      <c r="G91" s="14">
        <v>1</v>
      </c>
      <c r="H91" s="15">
        <v>200</v>
      </c>
      <c r="I91" s="15">
        <v>200</v>
      </c>
    </row>
    <row r="92" ht="12.9" customHeight="1">
      <c r="B92" t="s" s="10">
        <v>1222</v>
      </c>
      <c r="C92" t="s" s="11">
        <v>42</v>
      </c>
      <c r="D92" s="12">
        <v>45497</v>
      </c>
      <c r="E92" t="s" s="13">
        <v>1223</v>
      </c>
      <c r="F92" t="s" s="13">
        <v>1224</v>
      </c>
      <c r="G92" s="14">
        <v>100</v>
      </c>
      <c r="H92" s="15">
        <v>2</v>
      </c>
      <c r="I92" s="15">
        <v>200</v>
      </c>
    </row>
    <row r="93" ht="12.9" customHeight="1">
      <c r="B93" t="s" s="10">
        <v>1222</v>
      </c>
      <c r="C93" t="s" s="11">
        <v>42</v>
      </c>
      <c r="D93" s="12">
        <v>45497</v>
      </c>
      <c r="E93" t="s" s="13">
        <v>1225</v>
      </c>
      <c r="F93" t="s" s="13">
        <v>1224</v>
      </c>
      <c r="G93" s="14">
        <v>150</v>
      </c>
      <c r="H93" s="15">
        <v>2</v>
      </c>
      <c r="I93" s="15">
        <v>300</v>
      </c>
    </row>
    <row r="94" ht="12.9" customHeight="1">
      <c r="B94" t="s" s="10">
        <v>1222</v>
      </c>
      <c r="C94" t="s" s="11">
        <v>42</v>
      </c>
      <c r="D94" s="12">
        <v>45497</v>
      </c>
      <c r="E94" t="s" s="13">
        <v>1226</v>
      </c>
      <c r="F94" t="s" s="13">
        <v>1224</v>
      </c>
      <c r="G94" s="14">
        <v>150</v>
      </c>
      <c r="H94" s="15">
        <v>2</v>
      </c>
      <c r="I94" s="15">
        <v>300</v>
      </c>
    </row>
    <row r="95" ht="12.9" customHeight="1">
      <c r="B95" t="s" s="10">
        <v>1222</v>
      </c>
      <c r="C95" t="s" s="11">
        <v>42</v>
      </c>
      <c r="D95" s="12">
        <v>45497</v>
      </c>
      <c r="E95" t="s" s="13">
        <v>1227</v>
      </c>
      <c r="F95" t="s" s="13">
        <v>1224</v>
      </c>
      <c r="G95" s="14">
        <v>350</v>
      </c>
      <c r="H95" s="15">
        <v>2</v>
      </c>
      <c r="I95" s="15">
        <v>700</v>
      </c>
    </row>
    <row r="96" ht="12.9" customHeight="1">
      <c r="B96" t="s" s="10">
        <v>1222</v>
      </c>
      <c r="C96" t="s" s="11">
        <v>42</v>
      </c>
      <c r="D96" s="12">
        <v>45497</v>
      </c>
      <c r="E96" t="s" s="13">
        <v>1228</v>
      </c>
      <c r="F96" t="s" s="13">
        <v>1224</v>
      </c>
      <c r="G96" s="14">
        <v>150</v>
      </c>
      <c r="H96" s="15">
        <v>2</v>
      </c>
      <c r="I96" s="15">
        <v>300</v>
      </c>
    </row>
    <row r="97" ht="12.9" customHeight="1">
      <c r="B97" t="s" s="10">
        <v>1222</v>
      </c>
      <c r="C97" t="s" s="11">
        <v>42</v>
      </c>
      <c r="D97" s="12">
        <v>45497</v>
      </c>
      <c r="E97" t="s" s="13">
        <v>1229</v>
      </c>
      <c r="F97" t="s" s="13">
        <v>1224</v>
      </c>
      <c r="G97" s="14">
        <v>200</v>
      </c>
      <c r="H97" s="15">
        <v>2</v>
      </c>
      <c r="I97" s="15">
        <v>400</v>
      </c>
    </row>
    <row r="98" ht="12.9" customHeight="1">
      <c r="B98" t="s" s="10">
        <v>1222</v>
      </c>
      <c r="C98" t="s" s="11">
        <v>42</v>
      </c>
      <c r="D98" s="12">
        <v>45497</v>
      </c>
      <c r="E98" t="s" s="13">
        <v>1230</v>
      </c>
      <c r="F98" t="s" s="13">
        <v>1224</v>
      </c>
      <c r="G98" s="14">
        <v>200</v>
      </c>
      <c r="H98" s="15">
        <v>2</v>
      </c>
      <c r="I98" s="15">
        <v>400</v>
      </c>
    </row>
    <row r="99" ht="12.9" customHeight="1">
      <c r="B99" t="s" s="10">
        <v>1222</v>
      </c>
      <c r="C99" t="s" s="11">
        <v>42</v>
      </c>
      <c r="D99" s="12">
        <v>45497</v>
      </c>
      <c r="E99" t="s" s="13">
        <v>1231</v>
      </c>
      <c r="F99" t="s" s="13">
        <v>1224</v>
      </c>
      <c r="G99" s="14">
        <v>500</v>
      </c>
      <c r="H99" s="15">
        <v>2</v>
      </c>
      <c r="I99" s="15">
        <v>1000</v>
      </c>
    </row>
    <row r="100" ht="12.9" customHeight="1">
      <c r="B100" t="s" s="10">
        <v>1222</v>
      </c>
      <c r="C100" t="s" s="11">
        <v>42</v>
      </c>
      <c r="D100" s="12">
        <v>45497</v>
      </c>
      <c r="E100" t="s" s="13">
        <v>1232</v>
      </c>
      <c r="F100" t="s" s="13">
        <v>1224</v>
      </c>
      <c r="G100" s="14">
        <v>433</v>
      </c>
      <c r="H100" s="15">
        <v>2</v>
      </c>
      <c r="I100" s="15">
        <v>866</v>
      </c>
    </row>
    <row r="101" ht="12.9" customHeight="1">
      <c r="B101" t="s" s="10">
        <v>1222</v>
      </c>
      <c r="C101" t="s" s="11">
        <v>42</v>
      </c>
      <c r="D101" s="12">
        <v>45497</v>
      </c>
      <c r="E101" t="s" s="13">
        <v>1233</v>
      </c>
      <c r="F101" t="s" s="13">
        <v>1224</v>
      </c>
      <c r="G101" s="14">
        <v>120</v>
      </c>
      <c r="H101" s="15">
        <v>2</v>
      </c>
      <c r="I101" s="15">
        <v>240</v>
      </c>
    </row>
    <row r="102" ht="12.9" customHeight="1">
      <c r="B102" t="s" s="10">
        <v>1234</v>
      </c>
      <c r="C102" t="s" s="11">
        <v>1235</v>
      </c>
      <c r="D102" s="12">
        <v>45497</v>
      </c>
      <c r="E102" t="s" s="13">
        <v>762</v>
      </c>
      <c r="F102" t="s" s="13">
        <v>763</v>
      </c>
      <c r="G102" s="14">
        <v>1</v>
      </c>
      <c r="H102" s="15">
        <v>0</v>
      </c>
      <c r="I102" s="15">
        <v>0</v>
      </c>
    </row>
    <row r="103" ht="12.9" customHeight="1">
      <c r="B103" t="s" s="10">
        <v>1234</v>
      </c>
      <c r="C103" t="s" s="11">
        <v>1235</v>
      </c>
      <c r="D103" s="12">
        <v>45497</v>
      </c>
      <c r="E103" t="s" s="13">
        <v>1236</v>
      </c>
      <c r="F103" t="s" s="13">
        <v>1237</v>
      </c>
      <c r="G103" s="14">
        <v>1</v>
      </c>
      <c r="H103" s="15">
        <v>0</v>
      </c>
      <c r="I103" s="15">
        <v>0</v>
      </c>
    </row>
    <row r="104" ht="12.9" customHeight="1">
      <c r="B104" t="s" s="10">
        <v>1238</v>
      </c>
      <c r="C104" t="s" s="11">
        <v>939</v>
      </c>
      <c r="D104" s="12">
        <v>45496.845702928244</v>
      </c>
      <c r="E104" t="s" s="13">
        <v>27</v>
      </c>
      <c r="F104" t="s" s="13">
        <v>28</v>
      </c>
      <c r="G104" s="14">
        <v>8</v>
      </c>
      <c r="H104" s="15">
        <v>79.98999999999999</v>
      </c>
      <c r="I104" s="15">
        <v>639.92</v>
      </c>
    </row>
    <row r="105" ht="12.9" customHeight="1">
      <c r="B105" t="s" s="10">
        <v>1239</v>
      </c>
      <c r="C105" t="s" s="11">
        <v>1035</v>
      </c>
      <c r="D105" s="12">
        <v>45496.815544039353</v>
      </c>
      <c r="E105" t="s" s="13">
        <v>95</v>
      </c>
      <c r="F105" t="s" s="13">
        <v>12</v>
      </c>
      <c r="G105" s="14">
        <v>1</v>
      </c>
      <c r="H105" s="15">
        <v>349.99</v>
      </c>
      <c r="I105" s="15">
        <v>349.99</v>
      </c>
    </row>
    <row r="106" ht="12.9" customHeight="1">
      <c r="B106" t="s" s="10">
        <v>1240</v>
      </c>
      <c r="C106" t="s" s="11">
        <v>1241</v>
      </c>
      <c r="D106" s="12">
        <v>45496.737295335646</v>
      </c>
      <c r="E106" t="s" s="13">
        <v>89</v>
      </c>
      <c r="F106" t="s" s="13">
        <v>90</v>
      </c>
      <c r="G106" s="14">
        <v>4</v>
      </c>
      <c r="H106" s="15">
        <v>59.99</v>
      </c>
      <c r="I106" s="15">
        <v>239.96</v>
      </c>
    </row>
    <row r="107" ht="12.9" customHeight="1">
      <c r="B107" t="s" s="10">
        <v>1242</v>
      </c>
      <c r="C107" t="s" s="11">
        <v>946</v>
      </c>
      <c r="D107" s="12">
        <v>45496</v>
      </c>
      <c r="E107" t="s" s="13">
        <v>1243</v>
      </c>
      <c r="F107" t="s" s="13">
        <v>1244</v>
      </c>
      <c r="G107" s="14">
        <v>4</v>
      </c>
      <c r="H107" s="15">
        <v>58.333333</v>
      </c>
      <c r="I107" s="15">
        <v>233.333332</v>
      </c>
    </row>
    <row r="108" ht="12.9" customHeight="1">
      <c r="B108" t="s" s="10">
        <v>1242</v>
      </c>
      <c r="C108" t="s" s="11">
        <v>946</v>
      </c>
      <c r="D108" s="12">
        <v>45496</v>
      </c>
      <c r="E108" t="s" s="13">
        <v>1245</v>
      </c>
      <c r="F108" t="s" s="13">
        <v>1246</v>
      </c>
      <c r="G108" s="14">
        <v>4</v>
      </c>
      <c r="H108" s="15">
        <v>30.833333</v>
      </c>
      <c r="I108" s="15">
        <v>123.333332</v>
      </c>
    </row>
    <row r="109" ht="12.9" customHeight="1">
      <c r="B109" t="s" s="10">
        <v>1242</v>
      </c>
      <c r="C109" t="s" s="11">
        <v>946</v>
      </c>
      <c r="D109" s="12">
        <v>45496</v>
      </c>
      <c r="E109" t="s" s="13">
        <v>1247</v>
      </c>
      <c r="F109" t="s" s="13">
        <v>1248</v>
      </c>
      <c r="G109" s="14">
        <v>12</v>
      </c>
      <c r="H109" s="15">
        <v>0.08695700000000001</v>
      </c>
      <c r="I109" s="15">
        <v>1.043484</v>
      </c>
    </row>
    <row r="110" ht="12.9" customHeight="1">
      <c r="B110" t="s" s="10">
        <v>1249</v>
      </c>
      <c r="C110" t="s" s="11">
        <v>1250</v>
      </c>
      <c r="D110" s="12">
        <v>45495.783797719909</v>
      </c>
      <c r="E110" t="s" s="13">
        <v>139</v>
      </c>
      <c r="F110" t="s" s="13">
        <v>140</v>
      </c>
      <c r="G110" s="14">
        <v>1</v>
      </c>
      <c r="H110" s="15">
        <v>49.99</v>
      </c>
      <c r="I110" s="15">
        <v>49.99</v>
      </c>
    </row>
    <row r="111" ht="12.9" customHeight="1">
      <c r="B111" t="s" s="10">
        <v>1251</v>
      </c>
      <c r="C111" t="s" s="11">
        <v>1252</v>
      </c>
      <c r="D111" s="12">
        <v>45495.687012673610</v>
      </c>
      <c r="E111" t="s" s="13">
        <v>95</v>
      </c>
      <c r="F111" t="s" s="13">
        <v>12</v>
      </c>
      <c r="G111" s="14">
        <v>2</v>
      </c>
      <c r="H111" s="15">
        <v>349.99</v>
      </c>
      <c r="I111" s="15">
        <v>699.98</v>
      </c>
    </row>
    <row r="112" ht="12.9" customHeight="1">
      <c r="B112" t="s" s="10">
        <v>1253</v>
      </c>
      <c r="C112" t="s" s="11">
        <v>1254</v>
      </c>
      <c r="D112" s="12">
        <v>45495.050517314812</v>
      </c>
      <c r="E112" t="s" s="13">
        <v>139</v>
      </c>
      <c r="F112" t="s" s="13">
        <v>140</v>
      </c>
      <c r="G112" s="14">
        <v>5</v>
      </c>
      <c r="H112" s="15">
        <v>49.99</v>
      </c>
      <c r="I112" s="15">
        <v>249.95</v>
      </c>
    </row>
    <row r="113" ht="12.9" customHeight="1">
      <c r="B113" t="s" s="10">
        <v>1255</v>
      </c>
      <c r="C113" t="s" s="11">
        <v>1256</v>
      </c>
      <c r="D113" s="12">
        <v>45495</v>
      </c>
      <c r="E113" t="s" s="13">
        <v>1257</v>
      </c>
      <c r="F113" t="s" s="13">
        <v>1258</v>
      </c>
      <c r="G113" s="14">
        <v>2</v>
      </c>
      <c r="H113" s="15">
        <v>300</v>
      </c>
      <c r="I113" s="15">
        <v>600</v>
      </c>
    </row>
    <row r="114" ht="12.9" customHeight="1">
      <c r="B114" t="s" s="10">
        <v>1255</v>
      </c>
      <c r="C114" t="s" s="11">
        <v>1256</v>
      </c>
      <c r="D114" s="12">
        <v>45495</v>
      </c>
      <c r="E114" t="s" s="13">
        <v>73</v>
      </c>
      <c r="F114" t="s" s="13">
        <v>74</v>
      </c>
      <c r="G114" s="14">
        <v>1</v>
      </c>
      <c r="H114" s="15">
        <v>399.99</v>
      </c>
      <c r="I114" s="15">
        <v>399.99</v>
      </c>
    </row>
    <row r="115" ht="12.9" customHeight="1">
      <c r="B115" t="s" s="10">
        <v>1255</v>
      </c>
      <c r="C115" t="s" s="11">
        <v>1256</v>
      </c>
      <c r="D115" s="12">
        <v>45495</v>
      </c>
      <c r="E115" t="s" s="13">
        <v>81</v>
      </c>
      <c r="F115" t="s" s="13">
        <v>82</v>
      </c>
      <c r="G115" s="14">
        <v>2</v>
      </c>
      <c r="H115" s="15">
        <v>849.99</v>
      </c>
      <c r="I115" s="15">
        <v>1699.98</v>
      </c>
    </row>
    <row r="116" ht="12.9" customHeight="1">
      <c r="B116" t="s" s="10">
        <v>1255</v>
      </c>
      <c r="C116" t="s" s="11">
        <v>1256</v>
      </c>
      <c r="D116" s="12">
        <v>45495</v>
      </c>
      <c r="E116" t="s" s="13">
        <v>50</v>
      </c>
      <c r="F116" t="s" s="13">
        <v>83</v>
      </c>
      <c r="G116" s="14">
        <v>2</v>
      </c>
      <c r="H116" s="15">
        <v>0</v>
      </c>
      <c r="I116" s="15">
        <v>0</v>
      </c>
    </row>
    <row r="117" ht="12.9" customHeight="1">
      <c r="B117" t="s" s="10">
        <v>1259</v>
      </c>
      <c r="C117" t="s" s="11">
        <v>704</v>
      </c>
      <c r="D117" s="12">
        <v>45495</v>
      </c>
      <c r="E117" t="s" s="13">
        <v>602</v>
      </c>
      <c r="F117" t="s" s="13">
        <v>686</v>
      </c>
      <c r="G117" s="14">
        <v>8</v>
      </c>
      <c r="H117" s="15">
        <v>224.9925</v>
      </c>
      <c r="I117" s="15">
        <v>1799.94</v>
      </c>
    </row>
    <row r="118" ht="12.9" customHeight="1">
      <c r="B118" t="s" s="10">
        <v>1260</v>
      </c>
      <c r="C118" t="s" s="11">
        <v>1261</v>
      </c>
      <c r="D118" s="12">
        <v>45495</v>
      </c>
      <c r="E118" t="s" s="13">
        <v>31</v>
      </c>
      <c r="F118" t="s" s="13">
        <v>1262</v>
      </c>
      <c r="G118" s="14">
        <v>2</v>
      </c>
      <c r="H118" s="15">
        <v>0</v>
      </c>
      <c r="I118" s="15">
        <v>0</v>
      </c>
    </row>
    <row r="119" ht="12.9" customHeight="1">
      <c r="B119" t="s" s="10">
        <v>1263</v>
      </c>
      <c r="C119" t="s" s="11">
        <v>161</v>
      </c>
      <c r="D119" s="12">
        <v>45495</v>
      </c>
      <c r="E119" t="s" s="13">
        <v>63</v>
      </c>
      <c r="F119" s="16"/>
      <c r="G119" s="14">
        <v>1</v>
      </c>
      <c r="H119" s="15">
        <v>65.83</v>
      </c>
      <c r="I119" s="15">
        <v>65.83</v>
      </c>
    </row>
    <row r="120" ht="12.9" customHeight="1">
      <c r="B120" t="s" s="10">
        <v>1263</v>
      </c>
      <c r="C120" t="s" s="11">
        <v>161</v>
      </c>
      <c r="D120" s="12">
        <v>45495</v>
      </c>
      <c r="E120" t="s" s="13">
        <v>585</v>
      </c>
      <c r="F120" t="s" s="13">
        <v>586</v>
      </c>
      <c r="G120" s="14">
        <v>8</v>
      </c>
      <c r="H120" s="15">
        <v>374.9925</v>
      </c>
      <c r="I120" s="15">
        <v>2999.94</v>
      </c>
    </row>
    <row r="121" ht="12.9" customHeight="1">
      <c r="B121" t="s" s="10">
        <v>1263</v>
      </c>
      <c r="C121" t="s" s="11">
        <v>161</v>
      </c>
      <c r="D121" s="12">
        <v>45495</v>
      </c>
      <c r="E121" t="s" s="13">
        <v>167</v>
      </c>
      <c r="F121" t="s" s="13">
        <v>495</v>
      </c>
      <c r="G121" s="14">
        <v>8</v>
      </c>
      <c r="H121" s="15">
        <v>0</v>
      </c>
      <c r="I121" s="15">
        <v>0</v>
      </c>
    </row>
    <row r="122" ht="12.9" customHeight="1">
      <c r="B122" t="s" s="10">
        <v>1263</v>
      </c>
      <c r="C122" t="s" s="11">
        <v>161</v>
      </c>
      <c r="D122" s="12">
        <v>45495</v>
      </c>
      <c r="E122" t="s" s="13">
        <v>165</v>
      </c>
      <c r="F122" t="s" s="13">
        <v>392</v>
      </c>
      <c r="G122" s="14">
        <v>8</v>
      </c>
      <c r="H122" s="15">
        <v>22.4925</v>
      </c>
      <c r="I122" s="15">
        <v>179.94</v>
      </c>
    </row>
    <row r="123" ht="12.9" customHeight="1">
      <c r="B123" t="s" s="10">
        <v>1263</v>
      </c>
      <c r="C123" t="s" s="11">
        <v>161</v>
      </c>
      <c r="D123" s="12">
        <v>45495</v>
      </c>
      <c r="E123" t="s" s="13">
        <v>1264</v>
      </c>
      <c r="F123" t="s" s="13">
        <v>1265</v>
      </c>
      <c r="G123" s="14">
        <v>4</v>
      </c>
      <c r="H123" s="15">
        <v>104.9925</v>
      </c>
      <c r="I123" s="15">
        <v>419.97</v>
      </c>
    </row>
    <row r="124" ht="12.9" customHeight="1">
      <c r="B124" t="s" s="10">
        <v>1266</v>
      </c>
      <c r="C124" t="s" s="11">
        <v>42</v>
      </c>
      <c r="D124" s="12">
        <v>45495</v>
      </c>
      <c r="E124" t="s" s="13">
        <v>63</v>
      </c>
      <c r="F124" s="16"/>
      <c r="G124" s="14">
        <v>1</v>
      </c>
      <c r="H124" s="15">
        <v>15</v>
      </c>
      <c r="I124" s="15">
        <v>15</v>
      </c>
    </row>
    <row r="125" ht="12.9" customHeight="1">
      <c r="B125" t="s" s="10">
        <v>1266</v>
      </c>
      <c r="C125" t="s" s="11">
        <v>42</v>
      </c>
      <c r="D125" s="12">
        <v>45495</v>
      </c>
      <c r="E125" t="s" s="13">
        <v>559</v>
      </c>
      <c r="F125" t="s" s="13">
        <v>1267</v>
      </c>
      <c r="G125" s="14">
        <v>3000</v>
      </c>
      <c r="H125" s="15">
        <v>0.1875</v>
      </c>
      <c r="I125" s="15">
        <v>562.5</v>
      </c>
    </row>
    <row r="126" ht="12.9" customHeight="1">
      <c r="B126" t="s" s="10">
        <v>1268</v>
      </c>
      <c r="C126" t="s" s="11">
        <v>1269</v>
      </c>
      <c r="D126" s="12">
        <v>45494.077362025462</v>
      </c>
      <c r="E126" t="s" s="13">
        <v>39</v>
      </c>
      <c r="F126" t="s" s="13">
        <v>40</v>
      </c>
      <c r="G126" s="14">
        <v>1</v>
      </c>
      <c r="H126" s="15">
        <v>109.99</v>
      </c>
      <c r="I126" s="15">
        <v>109.99</v>
      </c>
    </row>
    <row r="127" ht="12.9" customHeight="1">
      <c r="B127" t="s" s="10">
        <v>1270</v>
      </c>
      <c r="C127" t="s" s="11">
        <v>1271</v>
      </c>
      <c r="D127" s="12">
        <v>45493.846220601852</v>
      </c>
      <c r="E127" t="s" s="13">
        <v>19</v>
      </c>
      <c r="F127" t="s" s="13">
        <v>20</v>
      </c>
      <c r="G127" s="14">
        <v>2</v>
      </c>
      <c r="H127" s="15">
        <v>119.99</v>
      </c>
      <c r="I127" s="15">
        <v>239.98</v>
      </c>
    </row>
    <row r="128" ht="12.9" customHeight="1">
      <c r="B128" t="s" s="10">
        <v>1272</v>
      </c>
      <c r="C128" t="s" s="11">
        <v>1273</v>
      </c>
      <c r="D128" s="12">
        <v>45492.716189710649</v>
      </c>
      <c r="E128" t="s" s="13">
        <v>11</v>
      </c>
      <c r="F128" t="s" s="13">
        <v>12</v>
      </c>
      <c r="G128" s="14">
        <v>2</v>
      </c>
      <c r="H128" s="15">
        <v>399.99</v>
      </c>
      <c r="I128" s="15">
        <v>799.98</v>
      </c>
    </row>
    <row r="129" ht="12.9" customHeight="1">
      <c r="B129" t="s" s="10">
        <v>1274</v>
      </c>
      <c r="C129" t="s" s="11">
        <v>1271</v>
      </c>
      <c r="D129" s="12">
        <v>45492.695141759257</v>
      </c>
      <c r="E129" t="s" s="13">
        <v>31</v>
      </c>
      <c r="F129" t="s" s="13">
        <v>32</v>
      </c>
      <c r="G129" s="14">
        <v>2</v>
      </c>
      <c r="H129" s="15">
        <v>599.99</v>
      </c>
      <c r="I129" s="15">
        <v>1199.98</v>
      </c>
    </row>
    <row r="130" ht="12.9" customHeight="1">
      <c r="B130" t="s" s="10">
        <v>1274</v>
      </c>
      <c r="C130" t="s" s="11">
        <v>1271</v>
      </c>
      <c r="D130" s="12">
        <v>45492.695141759257</v>
      </c>
      <c r="E130" t="s" s="13">
        <v>54</v>
      </c>
      <c r="F130" t="s" s="13">
        <v>93</v>
      </c>
      <c r="G130" s="14">
        <v>1</v>
      </c>
      <c r="H130" s="15">
        <v>9.99</v>
      </c>
      <c r="I130" s="15">
        <v>9.99</v>
      </c>
    </row>
    <row r="131" ht="12.9" customHeight="1">
      <c r="B131" t="s" s="10">
        <v>1275</v>
      </c>
      <c r="C131" t="s" s="11">
        <v>72</v>
      </c>
      <c r="D131" s="12">
        <v>45492.572846979165</v>
      </c>
      <c r="E131" t="s" s="13">
        <v>354</v>
      </c>
      <c r="F131" t="s" s="13">
        <v>355</v>
      </c>
      <c r="G131" s="14">
        <v>2</v>
      </c>
      <c r="H131" s="15">
        <v>149.99</v>
      </c>
      <c r="I131" s="15">
        <v>299.98</v>
      </c>
    </row>
    <row r="132" ht="12.9" customHeight="1">
      <c r="B132" t="s" s="10">
        <v>1276</v>
      </c>
      <c r="C132" t="s" s="11">
        <v>1277</v>
      </c>
      <c r="D132" s="12">
        <v>45492.501788229165</v>
      </c>
      <c r="E132" t="s" s="13">
        <v>95</v>
      </c>
      <c r="F132" t="s" s="13">
        <v>12</v>
      </c>
      <c r="G132" s="14">
        <v>1</v>
      </c>
      <c r="H132" s="15">
        <v>349.99</v>
      </c>
      <c r="I132" s="15">
        <v>349.99</v>
      </c>
    </row>
    <row r="133" ht="12.9" customHeight="1">
      <c r="B133" t="s" s="10">
        <v>1278</v>
      </c>
      <c r="C133" t="s" s="11">
        <v>1254</v>
      </c>
      <c r="D133" s="12">
        <v>45492.09364875</v>
      </c>
      <c r="E133" t="s" s="13">
        <v>146</v>
      </c>
      <c r="F133" t="s" s="13">
        <v>147</v>
      </c>
      <c r="G133" s="14">
        <v>5</v>
      </c>
      <c r="H133" s="15">
        <v>19.99</v>
      </c>
      <c r="I133" s="15">
        <v>99.95</v>
      </c>
    </row>
    <row r="134" ht="12.9" customHeight="1">
      <c r="B134" t="s" s="10">
        <v>1278</v>
      </c>
      <c r="C134" t="s" s="11">
        <v>1254</v>
      </c>
      <c r="D134" s="12">
        <v>45492.09364875</v>
      </c>
      <c r="E134" t="s" s="13">
        <v>19</v>
      </c>
      <c r="F134" t="s" s="13">
        <v>20</v>
      </c>
      <c r="G134" s="14">
        <v>4</v>
      </c>
      <c r="H134" s="15">
        <v>119.99</v>
      </c>
      <c r="I134" s="15">
        <v>479.96</v>
      </c>
    </row>
    <row r="135" ht="12.9" customHeight="1">
      <c r="B135" t="s" s="10">
        <v>1279</v>
      </c>
      <c r="C135" t="s" s="11">
        <v>1280</v>
      </c>
      <c r="D135" s="12">
        <v>45492.084220081022</v>
      </c>
      <c r="E135" t="s" s="13">
        <v>95</v>
      </c>
      <c r="F135" t="s" s="13">
        <v>12</v>
      </c>
      <c r="G135" s="14">
        <v>1</v>
      </c>
      <c r="H135" s="15">
        <v>349.99</v>
      </c>
      <c r="I135" s="15">
        <v>349.99</v>
      </c>
    </row>
    <row r="136" ht="12.9" customHeight="1">
      <c r="B136" t="s" s="10">
        <v>1281</v>
      </c>
      <c r="C136" t="s" s="11">
        <v>476</v>
      </c>
      <c r="D136" s="12">
        <v>45492</v>
      </c>
      <c r="E136" t="s" s="13">
        <v>254</v>
      </c>
      <c r="F136" t="s" s="13">
        <v>1282</v>
      </c>
      <c r="G136" s="14">
        <v>1</v>
      </c>
      <c r="H136" s="15">
        <v>0</v>
      </c>
      <c r="I136" s="15">
        <v>0</v>
      </c>
    </row>
    <row r="137" ht="12.9" customHeight="1">
      <c r="B137" t="s" s="10">
        <v>1283</v>
      </c>
      <c r="C137" t="s" s="11">
        <v>1284</v>
      </c>
      <c r="D137" s="12">
        <v>45491.8856215162</v>
      </c>
      <c r="E137" t="s" s="13">
        <v>602</v>
      </c>
      <c r="F137" t="s" s="13">
        <v>686</v>
      </c>
      <c r="G137" s="14">
        <v>2</v>
      </c>
      <c r="H137" s="15">
        <v>299.99</v>
      </c>
      <c r="I137" s="15">
        <v>599.98</v>
      </c>
    </row>
    <row r="138" ht="12.9" customHeight="1">
      <c r="B138" t="s" s="10">
        <v>1285</v>
      </c>
      <c r="C138" t="s" s="11">
        <v>1286</v>
      </c>
      <c r="D138" s="12">
        <v>45491.517271307872</v>
      </c>
      <c r="E138" t="s" s="13">
        <v>139</v>
      </c>
      <c r="F138" t="s" s="13">
        <v>140</v>
      </c>
      <c r="G138" s="14">
        <v>2</v>
      </c>
      <c r="H138" s="15">
        <v>49.99</v>
      </c>
      <c r="I138" s="15">
        <v>99.98</v>
      </c>
    </row>
    <row r="139" ht="12.9" customHeight="1">
      <c r="B139" t="s" s="10">
        <v>1287</v>
      </c>
      <c r="C139" t="s" s="11">
        <v>1288</v>
      </c>
      <c r="D139" s="12">
        <v>45491.346972326392</v>
      </c>
      <c r="E139" t="s" s="13">
        <v>95</v>
      </c>
      <c r="F139" t="s" s="13">
        <v>12</v>
      </c>
      <c r="G139" s="14">
        <v>2</v>
      </c>
      <c r="H139" s="15">
        <v>337.49</v>
      </c>
      <c r="I139" s="15">
        <v>674.98</v>
      </c>
    </row>
    <row r="140" ht="12.9" customHeight="1">
      <c r="B140" t="s" s="10">
        <v>1289</v>
      </c>
      <c r="C140" t="s" s="11">
        <v>473</v>
      </c>
      <c r="D140" s="12">
        <v>45491</v>
      </c>
      <c r="E140" t="s" s="13">
        <v>1290</v>
      </c>
      <c r="F140" t="s" s="13">
        <v>1291</v>
      </c>
      <c r="G140" s="14">
        <v>1</v>
      </c>
      <c r="H140" s="15">
        <v>8459.290000000001</v>
      </c>
      <c r="I140" s="15">
        <v>8459.290000000001</v>
      </c>
    </row>
    <row r="141" ht="12.9" customHeight="1">
      <c r="B141" t="s" s="10">
        <v>1289</v>
      </c>
      <c r="C141" t="s" s="11">
        <v>473</v>
      </c>
      <c r="D141" s="12">
        <v>45491</v>
      </c>
      <c r="E141" t="s" s="13">
        <v>1292</v>
      </c>
      <c r="F141" t="s" s="13">
        <v>1293</v>
      </c>
      <c r="G141" s="14">
        <v>20</v>
      </c>
      <c r="H141" s="15">
        <v>3850</v>
      </c>
      <c r="I141" s="15">
        <v>77000</v>
      </c>
    </row>
    <row r="142" ht="12.9" customHeight="1">
      <c r="B142" t="s" s="10">
        <v>1289</v>
      </c>
      <c r="C142" t="s" s="11">
        <v>473</v>
      </c>
      <c r="D142" s="12">
        <v>45491</v>
      </c>
      <c r="E142" t="s" s="13">
        <v>1294</v>
      </c>
      <c r="F142" t="s" s="13">
        <v>1295</v>
      </c>
      <c r="G142" s="14">
        <v>20</v>
      </c>
      <c r="H142" s="15">
        <v>249</v>
      </c>
      <c r="I142" s="15">
        <v>4980</v>
      </c>
    </row>
    <row r="143" ht="12.9" customHeight="1">
      <c r="B143" t="s" s="10">
        <v>1289</v>
      </c>
      <c r="C143" t="s" s="11">
        <v>473</v>
      </c>
      <c r="D143" s="12">
        <v>45491</v>
      </c>
      <c r="E143" t="s" s="13">
        <v>1296</v>
      </c>
      <c r="F143" t="s" s="13">
        <v>1297</v>
      </c>
      <c r="G143" s="14">
        <v>20</v>
      </c>
      <c r="H143" s="15">
        <v>125</v>
      </c>
      <c r="I143" s="15">
        <v>2500</v>
      </c>
    </row>
    <row r="144" ht="12.9" customHeight="1">
      <c r="B144" t="s" s="10">
        <v>1289</v>
      </c>
      <c r="C144" t="s" s="11">
        <v>473</v>
      </c>
      <c r="D144" s="12">
        <v>45491</v>
      </c>
      <c r="E144" t="s" s="13">
        <v>1298</v>
      </c>
      <c r="F144" t="s" s="13">
        <v>1299</v>
      </c>
      <c r="G144" s="14">
        <v>1</v>
      </c>
      <c r="H144" s="15">
        <v>52.95</v>
      </c>
      <c r="I144" s="15">
        <v>52.95</v>
      </c>
    </row>
    <row r="145" ht="12.9" customHeight="1">
      <c r="B145" t="s" s="10">
        <v>1289</v>
      </c>
      <c r="C145" t="s" s="11">
        <v>473</v>
      </c>
      <c r="D145" s="12">
        <v>45491</v>
      </c>
      <c r="E145" t="s" s="13">
        <v>1300</v>
      </c>
      <c r="F145" t="s" s="13">
        <v>1301</v>
      </c>
      <c r="G145" s="14">
        <v>1</v>
      </c>
      <c r="H145" s="15">
        <v>59.95</v>
      </c>
      <c r="I145" s="15">
        <v>59.95</v>
      </c>
    </row>
    <row r="146" ht="12.9" customHeight="1">
      <c r="B146" t="s" s="10">
        <v>1302</v>
      </c>
      <c r="C146" t="s" s="11">
        <v>941</v>
      </c>
      <c r="D146" s="12">
        <v>45491</v>
      </c>
      <c r="E146" t="s" s="13">
        <v>63</v>
      </c>
      <c r="F146" s="16"/>
      <c r="G146" s="14">
        <v>1</v>
      </c>
      <c r="H146" s="15">
        <v>15.6</v>
      </c>
      <c r="I146" s="15">
        <v>15.6</v>
      </c>
    </row>
    <row r="147" ht="12.9" customHeight="1">
      <c r="B147" t="s" s="10">
        <v>1302</v>
      </c>
      <c r="C147" t="s" s="11">
        <v>941</v>
      </c>
      <c r="D147" s="12">
        <v>45491</v>
      </c>
      <c r="E147" t="s" s="13">
        <v>59</v>
      </c>
      <c r="F147" t="s" s="13">
        <v>60</v>
      </c>
      <c r="G147" s="14">
        <v>1</v>
      </c>
      <c r="H147" s="15">
        <v>899.9924999999999</v>
      </c>
      <c r="I147" s="15">
        <v>899.9924999999999</v>
      </c>
    </row>
    <row r="148" ht="12.9" customHeight="1">
      <c r="B148" t="s" s="10">
        <v>1303</v>
      </c>
      <c r="C148" t="s" s="11">
        <v>42</v>
      </c>
      <c r="D148" s="12">
        <v>45491</v>
      </c>
      <c r="E148" t="s" s="13">
        <v>1304</v>
      </c>
      <c r="F148" t="s" s="13">
        <v>1305</v>
      </c>
      <c r="G148" s="14">
        <v>1</v>
      </c>
      <c r="H148" s="15">
        <v>0</v>
      </c>
      <c r="I148" s="15">
        <v>0</v>
      </c>
    </row>
    <row r="149" ht="12.9" customHeight="1">
      <c r="B149" t="s" s="10">
        <v>1303</v>
      </c>
      <c r="C149" t="s" s="11">
        <v>42</v>
      </c>
      <c r="D149" s="12">
        <v>45491</v>
      </c>
      <c r="E149" t="s" s="13">
        <v>1306</v>
      </c>
      <c r="F149" t="s" s="13">
        <v>1307</v>
      </c>
      <c r="G149" s="14">
        <v>1</v>
      </c>
      <c r="H149" s="15">
        <v>0</v>
      </c>
      <c r="I149" s="15">
        <v>0</v>
      </c>
    </row>
    <row r="150" ht="12.9" customHeight="1">
      <c r="B150" t="s" s="10">
        <v>1303</v>
      </c>
      <c r="C150" t="s" s="11">
        <v>42</v>
      </c>
      <c r="D150" s="12">
        <v>45491</v>
      </c>
      <c r="E150" t="s" s="13">
        <v>1308</v>
      </c>
      <c r="F150" t="s" s="13">
        <v>1309</v>
      </c>
      <c r="G150" s="14">
        <v>2</v>
      </c>
      <c r="H150" s="15">
        <v>0</v>
      </c>
      <c r="I150" s="15">
        <v>0</v>
      </c>
    </row>
    <row r="151" ht="12.9" customHeight="1">
      <c r="B151" t="s" s="10">
        <v>1310</v>
      </c>
      <c r="C151" t="s" s="11">
        <v>1311</v>
      </c>
      <c r="D151" s="12">
        <v>45491</v>
      </c>
      <c r="E151" t="s" s="13">
        <v>497</v>
      </c>
      <c r="F151" t="s" s="13">
        <v>498</v>
      </c>
      <c r="G151" s="14">
        <v>10</v>
      </c>
      <c r="H151" s="15">
        <v>0</v>
      </c>
      <c r="I151" s="15">
        <v>0</v>
      </c>
    </row>
    <row r="152" ht="12.9" customHeight="1">
      <c r="B152" t="s" s="10">
        <v>1312</v>
      </c>
      <c r="C152" t="s" s="11">
        <v>101</v>
      </c>
      <c r="D152" s="12">
        <v>45491</v>
      </c>
      <c r="E152" t="s" s="13">
        <v>111</v>
      </c>
      <c r="F152" t="s" s="13">
        <v>112</v>
      </c>
      <c r="G152" s="14">
        <v>2</v>
      </c>
      <c r="H152" s="15">
        <v>49.5</v>
      </c>
      <c r="I152" s="15">
        <v>99</v>
      </c>
    </row>
    <row r="153" ht="12.9" customHeight="1">
      <c r="B153" t="s" s="10">
        <v>1313</v>
      </c>
      <c r="C153" t="s" s="11">
        <v>1314</v>
      </c>
      <c r="D153" s="12">
        <v>45490.9714083912</v>
      </c>
      <c r="E153" t="s" s="13">
        <v>27</v>
      </c>
      <c r="F153" t="s" s="13">
        <v>28</v>
      </c>
      <c r="G153" s="14">
        <v>1</v>
      </c>
      <c r="H153" s="15">
        <v>79.98999999999999</v>
      </c>
      <c r="I153" s="15">
        <v>79.98999999999999</v>
      </c>
    </row>
    <row r="154" ht="12.9" customHeight="1">
      <c r="B154" t="s" s="10">
        <v>1315</v>
      </c>
      <c r="C154" t="s" s="11">
        <v>1316</v>
      </c>
      <c r="D154" s="12">
        <v>45490.861139305554</v>
      </c>
      <c r="E154" t="s" s="13">
        <v>133</v>
      </c>
      <c r="F154" t="s" s="13">
        <v>134</v>
      </c>
      <c r="G154" s="14">
        <v>1</v>
      </c>
      <c r="H154" s="15">
        <v>199.99</v>
      </c>
      <c r="I154" s="15">
        <v>199.99</v>
      </c>
    </row>
    <row r="155" ht="12.9" customHeight="1">
      <c r="B155" t="s" s="10">
        <v>1315</v>
      </c>
      <c r="C155" t="s" s="11">
        <v>1316</v>
      </c>
      <c r="D155" s="12">
        <v>45490.861139305554</v>
      </c>
      <c r="E155" t="s" s="13">
        <v>354</v>
      </c>
      <c r="F155" t="s" s="13">
        <v>355</v>
      </c>
      <c r="G155" s="14">
        <v>1</v>
      </c>
      <c r="H155" s="15">
        <v>149.99</v>
      </c>
      <c r="I155" s="15">
        <v>149.99</v>
      </c>
    </row>
    <row r="156" ht="12.9" customHeight="1">
      <c r="B156" t="s" s="10">
        <v>1315</v>
      </c>
      <c r="C156" t="s" s="11">
        <v>1316</v>
      </c>
      <c r="D156" s="12">
        <v>45490.861139305554</v>
      </c>
      <c r="E156" t="s" s="13">
        <v>77</v>
      </c>
      <c r="F156" t="s" s="13">
        <v>78</v>
      </c>
      <c r="G156" s="14">
        <v>1</v>
      </c>
      <c r="H156" s="15">
        <v>19.99</v>
      </c>
      <c r="I156" s="15">
        <v>19.99</v>
      </c>
    </row>
    <row r="157" ht="12.9" customHeight="1">
      <c r="B157" t="s" s="10">
        <v>1317</v>
      </c>
      <c r="C157" t="s" s="11">
        <v>1318</v>
      </c>
      <c r="D157" s="12">
        <v>45490.775699166668</v>
      </c>
      <c r="E157" t="s" s="13">
        <v>35</v>
      </c>
      <c r="F157" t="s" s="13">
        <v>36</v>
      </c>
      <c r="G157" s="14">
        <v>1</v>
      </c>
      <c r="H157" s="15">
        <v>49.99</v>
      </c>
      <c r="I157" s="15">
        <v>49.99</v>
      </c>
    </row>
    <row r="158" ht="12.9" customHeight="1">
      <c r="B158" t="s" s="10">
        <v>1319</v>
      </c>
      <c r="C158" t="s" s="11">
        <v>1320</v>
      </c>
      <c r="D158" s="12">
        <v>45490.754399861115</v>
      </c>
      <c r="E158" t="s" s="13">
        <v>589</v>
      </c>
      <c r="F158" t="s" s="13">
        <v>590</v>
      </c>
      <c r="G158" s="14">
        <v>1</v>
      </c>
      <c r="H158" s="15">
        <v>7.49</v>
      </c>
      <c r="I158" s="15">
        <v>7.49</v>
      </c>
    </row>
    <row r="159" ht="12.9" customHeight="1">
      <c r="B159" t="s" s="10">
        <v>1321</v>
      </c>
      <c r="C159" t="s" s="11">
        <v>1322</v>
      </c>
      <c r="D159" s="12">
        <v>45490.638577210651</v>
      </c>
      <c r="E159" t="s" s="13">
        <v>81</v>
      </c>
      <c r="F159" t="s" s="13">
        <v>82</v>
      </c>
      <c r="G159" s="14">
        <v>2</v>
      </c>
      <c r="H159" s="15">
        <v>849.99</v>
      </c>
      <c r="I159" s="15">
        <v>1699.98</v>
      </c>
    </row>
    <row r="160" ht="12.9" customHeight="1">
      <c r="B160" t="s" s="10">
        <v>1321</v>
      </c>
      <c r="C160" t="s" s="11">
        <v>1322</v>
      </c>
      <c r="D160" s="12">
        <v>45490.638577210651</v>
      </c>
      <c r="E160" t="s" s="13">
        <v>23</v>
      </c>
      <c r="F160" t="s" s="13">
        <v>24</v>
      </c>
      <c r="G160" s="14">
        <v>2</v>
      </c>
      <c r="H160" s="15">
        <v>0</v>
      </c>
      <c r="I160" s="15">
        <v>0</v>
      </c>
    </row>
    <row r="161" ht="12.9" customHeight="1">
      <c r="B161" t="s" s="10">
        <v>1321</v>
      </c>
      <c r="C161" t="s" s="11">
        <v>1322</v>
      </c>
      <c r="D161" s="12">
        <v>45490.638577210651</v>
      </c>
      <c r="E161" t="s" s="13">
        <v>50</v>
      </c>
      <c r="F161" t="s" s="13">
        <v>83</v>
      </c>
      <c r="G161" s="14">
        <v>2</v>
      </c>
      <c r="H161" s="15">
        <v>0</v>
      </c>
      <c r="I161" s="15">
        <v>0</v>
      </c>
    </row>
    <row r="162" ht="12.9" customHeight="1">
      <c r="B162" t="s" s="10">
        <v>1321</v>
      </c>
      <c r="C162" t="s" s="11">
        <v>1322</v>
      </c>
      <c r="D162" s="12">
        <v>45490.638577210651</v>
      </c>
      <c r="E162" t="s" s="13">
        <v>84</v>
      </c>
      <c r="F162" t="s" s="13">
        <v>85</v>
      </c>
      <c r="G162" s="14">
        <v>2</v>
      </c>
      <c r="H162" s="15">
        <v>0</v>
      </c>
      <c r="I162" s="15">
        <v>0</v>
      </c>
    </row>
    <row r="163" ht="12.9" customHeight="1">
      <c r="B163" t="s" s="10">
        <v>1323</v>
      </c>
      <c r="C163" t="s" s="11">
        <v>1324</v>
      </c>
      <c r="D163" s="12">
        <v>45490.4570633912</v>
      </c>
      <c r="E163" t="s" s="13">
        <v>27</v>
      </c>
      <c r="F163" t="s" s="13">
        <v>28</v>
      </c>
      <c r="G163" s="14">
        <v>1</v>
      </c>
      <c r="H163" s="15">
        <v>79.98999999999999</v>
      </c>
      <c r="I163" s="15">
        <v>79.98999999999999</v>
      </c>
    </row>
    <row r="164" ht="12.9" customHeight="1">
      <c r="B164" t="s" s="10">
        <v>1325</v>
      </c>
      <c r="C164" t="s" s="11">
        <v>1326</v>
      </c>
      <c r="D164" s="12">
        <v>45490.207107164351</v>
      </c>
      <c r="E164" t="s" s="13">
        <v>239</v>
      </c>
      <c r="F164" t="s" s="13">
        <v>240</v>
      </c>
      <c r="G164" s="14">
        <v>1</v>
      </c>
      <c r="H164" s="15">
        <v>99.98999999999999</v>
      </c>
      <c r="I164" s="15">
        <v>99.98999999999999</v>
      </c>
    </row>
    <row r="165" ht="12.9" customHeight="1">
      <c r="B165" t="s" s="10">
        <v>1327</v>
      </c>
      <c r="C165" t="s" s="11">
        <v>597</v>
      </c>
      <c r="D165" s="12">
        <v>45490</v>
      </c>
      <c r="E165" t="s" s="13">
        <v>225</v>
      </c>
      <c r="F165" t="s" s="13">
        <v>226</v>
      </c>
      <c r="G165" s="14">
        <v>4</v>
      </c>
      <c r="H165" s="15">
        <v>499.99</v>
      </c>
      <c r="I165" s="15">
        <v>1999.96</v>
      </c>
    </row>
    <row r="166" ht="12.9" customHeight="1">
      <c r="B166" t="s" s="10">
        <v>1327</v>
      </c>
      <c r="C166" t="s" s="11">
        <v>597</v>
      </c>
      <c r="D166" s="12">
        <v>45490</v>
      </c>
      <c r="E166" t="s" s="13">
        <v>167</v>
      </c>
      <c r="F166" t="s" s="13">
        <v>495</v>
      </c>
      <c r="G166" s="14">
        <v>4</v>
      </c>
      <c r="H166" s="15">
        <v>0</v>
      </c>
      <c r="I166" s="15">
        <v>0</v>
      </c>
    </row>
    <row r="167" ht="12.9" customHeight="1">
      <c r="B167" t="s" s="10">
        <v>1327</v>
      </c>
      <c r="C167" t="s" s="11">
        <v>597</v>
      </c>
      <c r="D167" s="12">
        <v>45490</v>
      </c>
      <c r="E167" t="s" s="13">
        <v>165</v>
      </c>
      <c r="F167" t="s" s="13">
        <v>392</v>
      </c>
      <c r="G167" s="14">
        <v>4</v>
      </c>
      <c r="H167" s="15">
        <v>29.99</v>
      </c>
      <c r="I167" s="15">
        <v>119.96</v>
      </c>
    </row>
    <row r="168" ht="12.9" customHeight="1">
      <c r="B168" t="s" s="10">
        <v>1327</v>
      </c>
      <c r="C168" t="s" s="11">
        <v>597</v>
      </c>
      <c r="D168" s="12">
        <v>45490</v>
      </c>
      <c r="E168" t="s" s="13">
        <v>23</v>
      </c>
      <c r="F168" t="s" s="13">
        <v>24</v>
      </c>
      <c r="G168" s="14">
        <v>4</v>
      </c>
      <c r="H168" s="15">
        <v>149.99</v>
      </c>
      <c r="I168" s="15">
        <v>599.96</v>
      </c>
    </row>
    <row r="169" ht="12.9" customHeight="1">
      <c r="B169" t="s" s="10">
        <v>1327</v>
      </c>
      <c r="C169" t="s" s="11">
        <v>597</v>
      </c>
      <c r="D169" s="12">
        <v>45490</v>
      </c>
      <c r="E169" t="s" s="13">
        <v>445</v>
      </c>
      <c r="F169" t="s" s="13">
        <v>446</v>
      </c>
      <c r="G169" s="14">
        <v>2</v>
      </c>
      <c r="H169" s="15">
        <v>149.99</v>
      </c>
      <c r="I169" s="15">
        <v>299.98</v>
      </c>
    </row>
    <row r="170" ht="12.9" customHeight="1">
      <c r="B170" t="s" s="10">
        <v>1327</v>
      </c>
      <c r="C170" t="s" s="11">
        <v>597</v>
      </c>
      <c r="D170" s="12">
        <v>45490</v>
      </c>
      <c r="E170" t="s" s="13">
        <v>50</v>
      </c>
      <c r="F170" t="s" s="13">
        <v>1328</v>
      </c>
      <c r="G170" s="14">
        <v>2</v>
      </c>
      <c r="H170" s="15">
        <v>0</v>
      </c>
      <c r="I170" s="15">
        <v>0</v>
      </c>
    </row>
    <row r="171" ht="12.9" customHeight="1">
      <c r="B171" t="s" s="10">
        <v>1327</v>
      </c>
      <c r="C171" t="s" s="11">
        <v>597</v>
      </c>
      <c r="D171" s="12">
        <v>45490</v>
      </c>
      <c r="E171" t="s" s="13">
        <v>1329</v>
      </c>
      <c r="F171" t="s" s="13">
        <v>1330</v>
      </c>
      <c r="G171" s="14">
        <v>2</v>
      </c>
      <c r="H171" s="15">
        <v>159.99</v>
      </c>
      <c r="I171" s="15">
        <v>319.98</v>
      </c>
    </row>
    <row r="172" ht="12.9" customHeight="1">
      <c r="B172" t="s" s="10">
        <v>1327</v>
      </c>
      <c r="C172" t="s" s="11">
        <v>597</v>
      </c>
      <c r="D172" s="12">
        <v>45490</v>
      </c>
      <c r="E172" t="s" s="13">
        <v>887</v>
      </c>
      <c r="F172" t="s" s="13">
        <v>888</v>
      </c>
      <c r="G172" s="14">
        <v>2</v>
      </c>
      <c r="H172" s="15">
        <v>49.99</v>
      </c>
      <c r="I172" s="15">
        <v>99.98</v>
      </c>
    </row>
    <row r="173" ht="12.9" customHeight="1">
      <c r="B173" t="s" s="10">
        <v>1327</v>
      </c>
      <c r="C173" t="s" s="11">
        <v>597</v>
      </c>
      <c r="D173" s="12">
        <v>45490</v>
      </c>
      <c r="E173" t="s" s="13">
        <v>54</v>
      </c>
      <c r="F173" t="s" s="13">
        <v>93</v>
      </c>
      <c r="G173" s="14">
        <v>4</v>
      </c>
      <c r="H173" s="15">
        <v>0</v>
      </c>
      <c r="I173" s="15">
        <v>0</v>
      </c>
    </row>
    <row r="174" ht="12.9" customHeight="1">
      <c r="B174" t="s" s="10">
        <v>1331</v>
      </c>
      <c r="C174" t="s" s="11">
        <v>911</v>
      </c>
      <c r="D174" s="12">
        <v>45490</v>
      </c>
      <c r="E174" t="s" s="13">
        <v>1332</v>
      </c>
      <c r="F174" t="s" s="13">
        <v>1333</v>
      </c>
      <c r="G174" s="14">
        <v>16</v>
      </c>
      <c r="H174" s="15">
        <v>25.99</v>
      </c>
      <c r="I174" s="15">
        <v>415.84</v>
      </c>
    </row>
    <row r="175" ht="12.9" customHeight="1">
      <c r="B175" t="s" s="10">
        <v>1331</v>
      </c>
      <c r="C175" t="s" s="11">
        <v>911</v>
      </c>
      <c r="D175" s="12">
        <v>45490</v>
      </c>
      <c r="E175" t="s" s="13">
        <v>559</v>
      </c>
      <c r="F175" t="s" s="13">
        <v>560</v>
      </c>
      <c r="G175" s="14">
        <v>16</v>
      </c>
      <c r="H175" s="15">
        <v>0</v>
      </c>
      <c r="I175" s="15">
        <v>0</v>
      </c>
    </row>
    <row r="176" ht="12.9" customHeight="1">
      <c r="B176" t="s" s="10">
        <v>1334</v>
      </c>
      <c r="C176" t="s" s="11">
        <v>188</v>
      </c>
      <c r="D176" s="12">
        <v>45490</v>
      </c>
      <c r="E176" t="s" s="13">
        <v>63</v>
      </c>
      <c r="F176" s="16"/>
      <c r="G176" s="14">
        <v>1</v>
      </c>
      <c r="H176" s="15">
        <v>203.21</v>
      </c>
      <c r="I176" s="15">
        <v>203.21</v>
      </c>
    </row>
    <row r="177" ht="12.9" customHeight="1">
      <c r="B177" t="s" s="10">
        <v>1334</v>
      </c>
      <c r="C177" t="s" s="11">
        <v>188</v>
      </c>
      <c r="D177" s="12">
        <v>45490</v>
      </c>
      <c r="E177" t="s" s="13">
        <v>81</v>
      </c>
      <c r="F177" t="s" s="13">
        <v>82</v>
      </c>
      <c r="G177" s="14">
        <v>6</v>
      </c>
      <c r="H177" s="15">
        <v>849.99</v>
      </c>
      <c r="I177" s="15">
        <v>5099.94</v>
      </c>
    </row>
    <row r="178" ht="12.9" customHeight="1">
      <c r="B178" t="s" s="10">
        <v>1334</v>
      </c>
      <c r="C178" t="s" s="11">
        <v>188</v>
      </c>
      <c r="D178" s="12">
        <v>45490</v>
      </c>
      <c r="E178" t="s" s="13">
        <v>50</v>
      </c>
      <c r="F178" t="s" s="13">
        <v>51</v>
      </c>
      <c r="G178" s="14">
        <v>6</v>
      </c>
      <c r="H178" s="15">
        <v>0</v>
      </c>
      <c r="I178" s="15">
        <v>0</v>
      </c>
    </row>
    <row r="179" ht="12.9" customHeight="1">
      <c r="B179" t="s" s="10">
        <v>1334</v>
      </c>
      <c r="C179" t="s" s="11">
        <v>188</v>
      </c>
      <c r="D179" s="12">
        <v>45490</v>
      </c>
      <c r="E179" t="s" s="13">
        <v>84</v>
      </c>
      <c r="F179" t="s" s="13">
        <v>330</v>
      </c>
      <c r="G179" s="14">
        <v>6</v>
      </c>
      <c r="H179" s="15">
        <v>0</v>
      </c>
      <c r="I179" s="15">
        <v>0</v>
      </c>
    </row>
    <row r="180" ht="12.9" customHeight="1">
      <c r="B180" t="s" s="10">
        <v>1334</v>
      </c>
      <c r="C180" t="s" s="11">
        <v>188</v>
      </c>
      <c r="D180" s="12">
        <v>45490</v>
      </c>
      <c r="E180" t="s" s="13">
        <v>133</v>
      </c>
      <c r="F180" t="s" s="13">
        <v>134</v>
      </c>
      <c r="G180" s="14">
        <v>6</v>
      </c>
      <c r="H180" s="15">
        <v>50</v>
      </c>
      <c r="I180" s="15">
        <v>300</v>
      </c>
    </row>
    <row r="181" ht="12.9" customHeight="1">
      <c r="B181" t="s" s="10">
        <v>1335</v>
      </c>
      <c r="C181" t="s" s="11">
        <v>1336</v>
      </c>
      <c r="D181" s="12">
        <v>45489.847450497684</v>
      </c>
      <c r="E181" t="s" s="13">
        <v>31</v>
      </c>
      <c r="F181" t="s" s="13">
        <v>32</v>
      </c>
      <c r="G181" s="14">
        <v>2</v>
      </c>
      <c r="H181" s="15">
        <v>599.99</v>
      </c>
      <c r="I181" s="15">
        <v>1199.98</v>
      </c>
    </row>
    <row r="182" ht="12.9" customHeight="1">
      <c r="B182" t="s" s="10">
        <v>1335</v>
      </c>
      <c r="C182" t="s" s="11">
        <v>1336</v>
      </c>
      <c r="D182" s="12">
        <v>45489.847450497684</v>
      </c>
      <c r="E182" t="s" s="13">
        <v>35</v>
      </c>
      <c r="F182" t="s" s="13">
        <v>36</v>
      </c>
      <c r="G182" s="14">
        <v>2</v>
      </c>
      <c r="H182" s="15">
        <v>39.99</v>
      </c>
      <c r="I182" s="15">
        <v>79.98</v>
      </c>
    </row>
    <row r="183" ht="12.9" customHeight="1">
      <c r="B183" t="s" s="10">
        <v>1337</v>
      </c>
      <c r="C183" t="s" s="11">
        <v>1338</v>
      </c>
      <c r="D183" s="12">
        <v>45489.764093634258</v>
      </c>
      <c r="E183" t="s" s="13">
        <v>89</v>
      </c>
      <c r="F183" t="s" s="13">
        <v>90</v>
      </c>
      <c r="G183" s="14">
        <v>3</v>
      </c>
      <c r="H183" s="15">
        <v>59.99</v>
      </c>
      <c r="I183" s="15">
        <v>179.97</v>
      </c>
    </row>
    <row r="184" ht="12.9" customHeight="1">
      <c r="B184" t="s" s="10">
        <v>1339</v>
      </c>
      <c r="C184" t="s" s="11">
        <v>831</v>
      </c>
      <c r="D184" s="12">
        <v>45489</v>
      </c>
      <c r="E184" t="s" s="13">
        <v>254</v>
      </c>
      <c r="F184" t="s" s="13">
        <v>1340</v>
      </c>
      <c r="G184" s="14">
        <v>1</v>
      </c>
      <c r="H184" s="15">
        <v>0</v>
      </c>
      <c r="I184" s="15">
        <v>0</v>
      </c>
    </row>
    <row r="185" ht="12.9" customHeight="1">
      <c r="B185" t="s" s="10">
        <v>1339</v>
      </c>
      <c r="C185" t="s" s="11">
        <v>831</v>
      </c>
      <c r="D185" s="12">
        <v>45489</v>
      </c>
      <c r="E185" t="s" s="13">
        <v>254</v>
      </c>
      <c r="F185" t="s" s="13">
        <v>1341</v>
      </c>
      <c r="G185" s="14">
        <v>1</v>
      </c>
      <c r="H185" s="15">
        <v>0</v>
      </c>
      <c r="I185" s="15">
        <v>0</v>
      </c>
    </row>
    <row r="186" ht="12.9" customHeight="1">
      <c r="B186" t="s" s="10">
        <v>1339</v>
      </c>
      <c r="C186" t="s" s="11">
        <v>831</v>
      </c>
      <c r="D186" s="12">
        <v>45489</v>
      </c>
      <c r="E186" t="s" s="13">
        <v>402</v>
      </c>
      <c r="F186" t="s" s="13">
        <v>1342</v>
      </c>
      <c r="G186" s="14">
        <v>2</v>
      </c>
      <c r="H186" s="15">
        <v>0</v>
      </c>
      <c r="I186" s="15">
        <v>0</v>
      </c>
    </row>
    <row r="187" ht="12.9" customHeight="1">
      <c r="B187" t="s" s="10">
        <v>1343</v>
      </c>
      <c r="C187" t="s" s="11">
        <v>1336</v>
      </c>
      <c r="D187" s="12">
        <v>45489</v>
      </c>
      <c r="E187" t="s" s="13">
        <v>133</v>
      </c>
      <c r="F187" t="s" s="13">
        <v>1344</v>
      </c>
      <c r="G187" s="14">
        <v>2</v>
      </c>
      <c r="H187" s="15">
        <v>50</v>
      </c>
      <c r="I187" s="15">
        <v>100</v>
      </c>
    </row>
    <row r="188" ht="12.9" customHeight="1">
      <c r="B188" t="s" s="10">
        <v>1345</v>
      </c>
      <c r="C188" t="s" s="11">
        <v>1346</v>
      </c>
      <c r="D188" s="12">
        <v>45488.860015833336</v>
      </c>
      <c r="E188" t="s" s="13">
        <v>95</v>
      </c>
      <c r="F188" t="s" s="13">
        <v>12</v>
      </c>
      <c r="G188" s="14">
        <v>2</v>
      </c>
      <c r="H188" s="15">
        <v>349.99</v>
      </c>
      <c r="I188" s="15">
        <v>699.98</v>
      </c>
    </row>
    <row r="189" ht="12.9" customHeight="1">
      <c r="B189" t="s" s="10">
        <v>1347</v>
      </c>
      <c r="C189" t="s" s="11">
        <v>1348</v>
      </c>
      <c r="D189" s="12">
        <v>45488.762341550922</v>
      </c>
      <c r="E189" t="s" s="13">
        <v>133</v>
      </c>
      <c r="F189" t="s" s="13">
        <v>134</v>
      </c>
      <c r="G189" s="14">
        <v>1</v>
      </c>
      <c r="H189" s="15">
        <v>199.99</v>
      </c>
      <c r="I189" s="15">
        <v>199.99</v>
      </c>
    </row>
    <row r="190" ht="12.9" customHeight="1">
      <c r="B190" t="s" s="10">
        <v>1347</v>
      </c>
      <c r="C190" t="s" s="11">
        <v>1348</v>
      </c>
      <c r="D190" s="12">
        <v>45488.762341550922</v>
      </c>
      <c r="E190" t="s" s="13">
        <v>470</v>
      </c>
      <c r="F190" t="s" s="13">
        <v>517</v>
      </c>
      <c r="G190" s="14">
        <v>1</v>
      </c>
      <c r="H190" s="15">
        <v>249.99</v>
      </c>
      <c r="I190" s="15">
        <v>249.99</v>
      </c>
    </row>
    <row r="191" ht="12.9" customHeight="1">
      <c r="B191" t="s" s="10">
        <v>1349</v>
      </c>
      <c r="C191" t="s" s="11">
        <v>1350</v>
      </c>
      <c r="D191" s="12">
        <v>45488.649727314812</v>
      </c>
      <c r="E191" t="s" s="13">
        <v>48</v>
      </c>
      <c r="F191" t="s" s="13">
        <v>49</v>
      </c>
      <c r="G191" s="14">
        <v>2</v>
      </c>
      <c r="H191" s="15">
        <v>1299.99</v>
      </c>
      <c r="I191" s="15">
        <v>2599.98</v>
      </c>
    </row>
    <row r="192" ht="12.9" customHeight="1">
      <c r="B192" t="s" s="10">
        <v>1349</v>
      </c>
      <c r="C192" t="s" s="11">
        <v>1350</v>
      </c>
      <c r="D192" s="12">
        <v>45488.649727314812</v>
      </c>
      <c r="E192" t="s" s="13">
        <v>50</v>
      </c>
      <c r="F192" t="s" s="13">
        <v>83</v>
      </c>
      <c r="G192" s="14">
        <v>2</v>
      </c>
      <c r="H192" s="15">
        <v>0</v>
      </c>
      <c r="I192" s="15">
        <v>0</v>
      </c>
    </row>
    <row r="193" ht="12.9" customHeight="1">
      <c r="B193" t="s" s="10">
        <v>1349</v>
      </c>
      <c r="C193" t="s" s="11">
        <v>1350</v>
      </c>
      <c r="D193" s="12">
        <v>45488.649727314812</v>
      </c>
      <c r="E193" t="s" s="13">
        <v>52</v>
      </c>
      <c r="F193" t="s" s="13">
        <v>321</v>
      </c>
      <c r="G193" s="14">
        <v>2</v>
      </c>
      <c r="H193" s="15">
        <v>0</v>
      </c>
      <c r="I193" s="15">
        <v>0</v>
      </c>
    </row>
    <row r="194" ht="12.9" customHeight="1">
      <c r="B194" t="s" s="10">
        <v>1349</v>
      </c>
      <c r="C194" t="s" s="11">
        <v>1350</v>
      </c>
      <c r="D194" s="12">
        <v>45488.649727314812</v>
      </c>
      <c r="E194" t="s" s="13">
        <v>84</v>
      </c>
      <c r="F194" t="s" s="13">
        <v>85</v>
      </c>
      <c r="G194" s="14">
        <v>2</v>
      </c>
      <c r="H194" s="15">
        <v>0</v>
      </c>
      <c r="I194" s="15">
        <v>0</v>
      </c>
    </row>
    <row r="195" ht="12.9" customHeight="1">
      <c r="B195" t="s" s="10">
        <v>1349</v>
      </c>
      <c r="C195" t="s" s="11">
        <v>1350</v>
      </c>
      <c r="D195" s="12">
        <v>45488.649727314812</v>
      </c>
      <c r="E195" t="s" s="13">
        <v>23</v>
      </c>
      <c r="F195" t="s" s="13">
        <v>24</v>
      </c>
      <c r="G195" s="14">
        <v>2</v>
      </c>
      <c r="H195" s="15">
        <v>0</v>
      </c>
      <c r="I195" s="15">
        <v>0</v>
      </c>
    </row>
    <row r="196" ht="12.9" customHeight="1">
      <c r="B196" t="s" s="10">
        <v>1349</v>
      </c>
      <c r="C196" t="s" s="11">
        <v>1350</v>
      </c>
      <c r="D196" s="12">
        <v>45488.649727314812</v>
      </c>
      <c r="E196" t="s" s="13">
        <v>59</v>
      </c>
      <c r="F196" t="s" s="13">
        <v>60</v>
      </c>
      <c r="G196" s="14">
        <v>1</v>
      </c>
      <c r="H196" s="15">
        <v>1199.99</v>
      </c>
      <c r="I196" s="15">
        <v>1199.99</v>
      </c>
    </row>
    <row r="197" ht="12.9" customHeight="1">
      <c r="B197" t="s" s="10">
        <v>1351</v>
      </c>
      <c r="C197" t="s" s="11">
        <v>1352</v>
      </c>
      <c r="D197" s="12">
        <v>45488.581184629627</v>
      </c>
      <c r="E197" t="s" s="13">
        <v>11</v>
      </c>
      <c r="F197" t="s" s="13">
        <v>12</v>
      </c>
      <c r="G197" s="14">
        <v>1</v>
      </c>
      <c r="H197" s="15">
        <v>399.99</v>
      </c>
      <c r="I197" s="15">
        <v>399.99</v>
      </c>
    </row>
    <row r="198" ht="12.9" customHeight="1">
      <c r="B198" t="s" s="10">
        <v>1353</v>
      </c>
      <c r="C198" t="s" s="11">
        <v>476</v>
      </c>
      <c r="D198" s="12">
        <v>45488</v>
      </c>
      <c r="E198" t="s" s="13">
        <v>526</v>
      </c>
      <c r="F198" t="s" s="13">
        <v>1354</v>
      </c>
      <c r="G198" s="14">
        <v>4</v>
      </c>
      <c r="H198" s="15">
        <v>950</v>
      </c>
      <c r="I198" s="15">
        <v>3800</v>
      </c>
    </row>
    <row r="199" ht="12.9" customHeight="1">
      <c r="B199" t="s" s="10">
        <v>1353</v>
      </c>
      <c r="C199" t="s" s="11">
        <v>476</v>
      </c>
      <c r="D199" s="12">
        <v>45488</v>
      </c>
      <c r="E199" t="s" s="13">
        <v>1355</v>
      </c>
      <c r="F199" t="s" s="13">
        <v>535</v>
      </c>
      <c r="G199" s="14">
        <v>24</v>
      </c>
      <c r="H199" s="15">
        <v>14</v>
      </c>
      <c r="I199" s="15">
        <v>336</v>
      </c>
    </row>
    <row r="200" ht="12.9" customHeight="1">
      <c r="B200" t="s" s="10">
        <v>1353</v>
      </c>
      <c r="C200" t="s" s="11">
        <v>476</v>
      </c>
      <c r="D200" s="12">
        <v>45488</v>
      </c>
      <c r="E200" t="s" s="13">
        <v>645</v>
      </c>
      <c r="F200" t="s" s="13">
        <v>1356</v>
      </c>
      <c r="G200" s="14">
        <v>2</v>
      </c>
      <c r="H200" s="15">
        <v>0</v>
      </c>
      <c r="I200" s="15">
        <v>0</v>
      </c>
    </row>
    <row r="201" ht="12.9" customHeight="1">
      <c r="B201" t="s" s="10">
        <v>1353</v>
      </c>
      <c r="C201" t="s" s="11">
        <v>476</v>
      </c>
      <c r="D201" s="12">
        <v>45488</v>
      </c>
      <c r="E201" t="s" s="13">
        <v>598</v>
      </c>
      <c r="F201" t="s" s="13">
        <v>1357</v>
      </c>
      <c r="G201" s="14">
        <v>8</v>
      </c>
      <c r="H201" s="15">
        <v>0</v>
      </c>
      <c r="I201" s="15">
        <v>0</v>
      </c>
    </row>
    <row r="202" ht="12.9" customHeight="1">
      <c r="B202" t="s" s="10">
        <v>1358</v>
      </c>
      <c r="C202" t="s" s="11">
        <v>1359</v>
      </c>
      <c r="D202" s="12">
        <v>45488</v>
      </c>
      <c r="E202" t="s" s="13">
        <v>1360</v>
      </c>
      <c r="F202" s="16"/>
      <c r="G202" s="14">
        <v>1</v>
      </c>
      <c r="H202" s="15">
        <v>18.9</v>
      </c>
      <c r="I202" s="15">
        <v>18.9</v>
      </c>
    </row>
    <row r="203" ht="12.9" customHeight="1">
      <c r="B203" t="s" s="10">
        <v>1358</v>
      </c>
      <c r="C203" t="s" s="11">
        <v>1359</v>
      </c>
      <c r="D203" s="12">
        <v>45488</v>
      </c>
      <c r="E203" t="s" s="13">
        <v>254</v>
      </c>
      <c r="F203" t="s" s="13">
        <v>1361</v>
      </c>
      <c r="G203" s="14">
        <v>1</v>
      </c>
      <c r="H203" s="15">
        <v>0</v>
      </c>
      <c r="I203" s="15">
        <v>0</v>
      </c>
    </row>
    <row r="204" ht="12.9" customHeight="1">
      <c r="B204" t="s" s="10">
        <v>1358</v>
      </c>
      <c r="C204" t="s" s="11">
        <v>1359</v>
      </c>
      <c r="D204" s="12">
        <v>45488</v>
      </c>
      <c r="E204" t="s" s="13">
        <v>906</v>
      </c>
      <c r="F204" t="s" s="13">
        <v>907</v>
      </c>
      <c r="G204" s="14">
        <v>1</v>
      </c>
      <c r="H204" s="15">
        <v>0</v>
      </c>
      <c r="I204" s="15">
        <v>0</v>
      </c>
    </row>
    <row r="205" ht="12.9" customHeight="1">
      <c r="B205" t="s" s="10">
        <v>1358</v>
      </c>
      <c r="C205" t="s" s="11">
        <v>1359</v>
      </c>
      <c r="D205" s="12">
        <v>45488</v>
      </c>
      <c r="E205" t="s" s="13">
        <v>1362</v>
      </c>
      <c r="F205" t="s" s="13">
        <v>1363</v>
      </c>
      <c r="G205" s="14">
        <v>1</v>
      </c>
      <c r="H205" s="15">
        <v>0</v>
      </c>
      <c r="I205" s="15">
        <v>0</v>
      </c>
    </row>
    <row r="206" ht="12.9" customHeight="1">
      <c r="B206" t="s" s="10">
        <v>1358</v>
      </c>
      <c r="C206" t="s" s="11">
        <v>1359</v>
      </c>
      <c r="D206" s="12">
        <v>45488</v>
      </c>
      <c r="E206" t="s" s="13">
        <v>1364</v>
      </c>
      <c r="F206" t="s" s="13">
        <v>1365</v>
      </c>
      <c r="G206" s="14">
        <v>1</v>
      </c>
      <c r="H206" s="15">
        <v>0</v>
      </c>
      <c r="I206" s="15">
        <v>0</v>
      </c>
    </row>
    <row r="207" ht="12.9" customHeight="1">
      <c r="B207" t="s" s="10">
        <v>1366</v>
      </c>
      <c r="C207" t="s" s="11">
        <v>476</v>
      </c>
      <c r="D207" s="12">
        <v>45488</v>
      </c>
      <c r="E207" t="s" s="13">
        <v>63</v>
      </c>
      <c r="F207" s="16"/>
      <c r="G207" s="14">
        <v>1</v>
      </c>
      <c r="H207" s="15">
        <v>69.41</v>
      </c>
      <c r="I207" s="15">
        <v>69.41</v>
      </c>
    </row>
    <row r="208" ht="12.9" customHeight="1">
      <c r="B208" t="s" s="10">
        <v>1366</v>
      </c>
      <c r="C208" t="s" s="11">
        <v>476</v>
      </c>
      <c r="D208" s="12">
        <v>45488</v>
      </c>
      <c r="E208" t="s" s="13">
        <v>998</v>
      </c>
      <c r="F208" t="s" s="13">
        <v>1367</v>
      </c>
      <c r="G208" s="14">
        <v>6</v>
      </c>
      <c r="H208" s="15">
        <v>900</v>
      </c>
      <c r="I208" s="15">
        <v>5400</v>
      </c>
    </row>
    <row r="209" ht="12.9" customHeight="1">
      <c r="B209" t="s" s="10">
        <v>1366</v>
      </c>
      <c r="C209" t="s" s="11">
        <v>476</v>
      </c>
      <c r="D209" s="12">
        <v>45488</v>
      </c>
      <c r="E209" t="s" s="13">
        <v>50</v>
      </c>
      <c r="F209" t="s" s="13">
        <v>51</v>
      </c>
      <c r="G209" s="14">
        <v>6</v>
      </c>
      <c r="H209" s="15">
        <v>0</v>
      </c>
      <c r="I209" s="15">
        <v>0</v>
      </c>
    </row>
    <row r="210" ht="12.9" customHeight="1">
      <c r="B210" t="s" s="10">
        <v>1368</v>
      </c>
      <c r="C210" t="s" s="11">
        <v>476</v>
      </c>
      <c r="D210" s="12">
        <v>45488</v>
      </c>
      <c r="E210" t="s" s="13">
        <v>63</v>
      </c>
      <c r="F210" s="16"/>
      <c r="G210" s="14">
        <v>1</v>
      </c>
      <c r="H210" s="15">
        <v>152.8</v>
      </c>
      <c r="I210" s="15">
        <v>152.8</v>
      </c>
    </row>
    <row r="211" ht="12.9" customHeight="1">
      <c r="B211" t="s" s="10">
        <v>1368</v>
      </c>
      <c r="C211" t="s" s="11">
        <v>476</v>
      </c>
      <c r="D211" s="12">
        <v>45488</v>
      </c>
      <c r="E211" t="s" s="13">
        <v>998</v>
      </c>
      <c r="F211" t="s" s="13">
        <v>1369</v>
      </c>
      <c r="G211" s="14">
        <v>4</v>
      </c>
      <c r="H211" s="15">
        <v>900</v>
      </c>
      <c r="I211" s="15">
        <v>3600</v>
      </c>
    </row>
    <row r="212" ht="12.9" customHeight="1">
      <c r="B212" t="s" s="10">
        <v>1368</v>
      </c>
      <c r="C212" t="s" s="11">
        <v>476</v>
      </c>
      <c r="D212" s="12">
        <v>45488</v>
      </c>
      <c r="E212" t="s" s="13">
        <v>50</v>
      </c>
      <c r="F212" t="s" s="13">
        <v>51</v>
      </c>
      <c r="G212" s="14">
        <v>4</v>
      </c>
      <c r="H212" s="15">
        <v>0</v>
      </c>
      <c r="I212" s="15">
        <v>0</v>
      </c>
    </row>
    <row r="213" ht="12.9" customHeight="1">
      <c r="B213" t="s" s="10">
        <v>1370</v>
      </c>
      <c r="C213" t="s" s="11">
        <v>1371</v>
      </c>
      <c r="D213" s="12">
        <v>45488</v>
      </c>
      <c r="E213" t="s" s="13">
        <v>59</v>
      </c>
      <c r="F213" t="s" s="13">
        <v>60</v>
      </c>
      <c r="G213" s="14">
        <v>3</v>
      </c>
      <c r="H213" s="15">
        <v>63.46</v>
      </c>
      <c r="I213" s="15">
        <v>190.38</v>
      </c>
    </row>
    <row r="214" ht="12.9" customHeight="1">
      <c r="B214" t="s" s="10">
        <v>1372</v>
      </c>
      <c r="C214" t="s" s="11">
        <v>1373</v>
      </c>
      <c r="D214" s="12">
        <v>45487.736326504630</v>
      </c>
      <c r="E214" t="s" s="13">
        <v>95</v>
      </c>
      <c r="F214" t="s" s="13">
        <v>12</v>
      </c>
      <c r="G214" s="14">
        <v>1</v>
      </c>
      <c r="H214" s="15">
        <v>349.99</v>
      </c>
      <c r="I214" s="15">
        <v>349.99</v>
      </c>
    </row>
    <row r="215" ht="12.9" customHeight="1">
      <c r="B215" t="s" s="10">
        <v>1374</v>
      </c>
      <c r="C215" t="s" s="11">
        <v>1375</v>
      </c>
      <c r="D215" s="12">
        <v>45487.684895069448</v>
      </c>
      <c r="E215" t="s" s="13">
        <v>11</v>
      </c>
      <c r="F215" t="s" s="13">
        <v>12</v>
      </c>
      <c r="G215" s="14">
        <v>1</v>
      </c>
      <c r="H215" s="15">
        <v>399.99</v>
      </c>
      <c r="I215" s="15">
        <v>399.99</v>
      </c>
    </row>
    <row r="216" ht="12.9" customHeight="1">
      <c r="B216" t="s" s="10">
        <v>1376</v>
      </c>
      <c r="C216" t="s" s="11">
        <v>1377</v>
      </c>
      <c r="D216" s="12">
        <v>45487.357642442126</v>
      </c>
      <c r="E216" t="s" s="13">
        <v>31</v>
      </c>
      <c r="F216" t="s" s="13">
        <v>32</v>
      </c>
      <c r="G216" s="14">
        <v>1</v>
      </c>
      <c r="H216" s="15">
        <v>599.99</v>
      </c>
      <c r="I216" s="15">
        <v>599.99</v>
      </c>
    </row>
    <row r="217" ht="12.9" customHeight="1">
      <c r="B217" t="s" s="10">
        <v>1378</v>
      </c>
      <c r="C217" t="s" s="11">
        <v>1193</v>
      </c>
      <c r="D217" s="12">
        <v>45486.765650659720</v>
      </c>
      <c r="E217" t="s" s="13">
        <v>54</v>
      </c>
      <c r="F217" t="s" s="13">
        <v>93</v>
      </c>
      <c r="G217" s="14">
        <v>1</v>
      </c>
      <c r="H217" s="15">
        <v>9.99</v>
      </c>
      <c r="I217" s="15">
        <v>9.99</v>
      </c>
    </row>
    <row r="218" ht="12.9" customHeight="1">
      <c r="B218" t="s" s="10">
        <v>1378</v>
      </c>
      <c r="C218" t="s" s="11">
        <v>1193</v>
      </c>
      <c r="D218" s="12">
        <v>45486.765650659720</v>
      </c>
      <c r="E218" t="s" s="13">
        <v>139</v>
      </c>
      <c r="F218" t="s" s="13">
        <v>140</v>
      </c>
      <c r="G218" s="14">
        <v>1</v>
      </c>
      <c r="H218" s="15">
        <v>49.99</v>
      </c>
      <c r="I218" s="15">
        <v>49.99</v>
      </c>
    </row>
    <row r="219" ht="12.9" customHeight="1">
      <c r="B219" t="s" s="10">
        <v>1379</v>
      </c>
      <c r="C219" t="s" s="11">
        <v>1193</v>
      </c>
      <c r="D219" s="12">
        <v>45486.757660081021</v>
      </c>
      <c r="E219" t="s" s="13">
        <v>35</v>
      </c>
      <c r="F219" t="s" s="13">
        <v>36</v>
      </c>
      <c r="G219" s="14">
        <v>2</v>
      </c>
      <c r="H219" s="15">
        <v>49.99</v>
      </c>
      <c r="I219" s="15">
        <v>99.98</v>
      </c>
    </row>
    <row r="220" ht="12.9" customHeight="1">
      <c r="B220" t="s" s="10">
        <v>1380</v>
      </c>
      <c r="C220" t="s" s="11">
        <v>1371</v>
      </c>
      <c r="D220" s="12">
        <v>45486.048352569444</v>
      </c>
      <c r="E220" t="s" s="13">
        <v>143</v>
      </c>
      <c r="F220" t="s" s="13">
        <v>144</v>
      </c>
      <c r="G220" s="14">
        <v>1</v>
      </c>
      <c r="H220" s="15">
        <v>3199.99</v>
      </c>
      <c r="I220" s="15">
        <v>3199.99</v>
      </c>
    </row>
    <row r="221" ht="12.9" customHeight="1">
      <c r="B221" t="s" s="10">
        <v>1381</v>
      </c>
      <c r="C221" t="s" s="11">
        <v>1382</v>
      </c>
      <c r="D221" s="12">
        <v>45485.832985729168</v>
      </c>
      <c r="E221" t="s" s="13">
        <v>11</v>
      </c>
      <c r="F221" t="s" s="13">
        <v>12</v>
      </c>
      <c r="G221" s="14">
        <v>1</v>
      </c>
      <c r="H221" s="15">
        <v>399.99</v>
      </c>
      <c r="I221" s="15">
        <v>399.99</v>
      </c>
    </row>
    <row r="222" ht="12.9" customHeight="1">
      <c r="B222" t="s" s="10">
        <v>1383</v>
      </c>
      <c r="C222" t="s" s="11">
        <v>1382</v>
      </c>
      <c r="D222" s="12">
        <v>45485.813785277780</v>
      </c>
      <c r="E222" t="s" s="13">
        <v>95</v>
      </c>
      <c r="F222" t="s" s="13">
        <v>12</v>
      </c>
      <c r="G222" s="14">
        <v>1</v>
      </c>
      <c r="H222" s="15">
        <v>349.99</v>
      </c>
      <c r="I222" s="15">
        <v>349.99</v>
      </c>
    </row>
    <row r="223" ht="12.9" customHeight="1">
      <c r="B223" t="s" s="10">
        <v>1384</v>
      </c>
      <c r="C223" t="s" s="11">
        <v>1385</v>
      </c>
      <c r="D223" s="12">
        <v>45485.813380231484</v>
      </c>
      <c r="E223" t="s" s="13">
        <v>23</v>
      </c>
      <c r="F223" t="s" s="13">
        <v>24</v>
      </c>
      <c r="G223" s="14">
        <v>1</v>
      </c>
      <c r="H223" s="15">
        <v>149.99</v>
      </c>
      <c r="I223" s="15">
        <v>149.99</v>
      </c>
    </row>
    <row r="224" ht="12.9" customHeight="1">
      <c r="B224" t="s" s="10">
        <v>1386</v>
      </c>
      <c r="C224" t="s" s="11">
        <v>1387</v>
      </c>
      <c r="D224" s="12">
        <v>45485.803467951388</v>
      </c>
      <c r="E224" t="s" s="13">
        <v>15</v>
      </c>
      <c r="F224" t="s" s="13">
        <v>16</v>
      </c>
      <c r="G224" s="14">
        <v>2</v>
      </c>
      <c r="H224" s="15">
        <v>9.99</v>
      </c>
      <c r="I224" s="15">
        <v>19.98</v>
      </c>
    </row>
    <row r="225" ht="12.9" customHeight="1">
      <c r="B225" t="s" s="10">
        <v>1388</v>
      </c>
      <c r="C225" t="s" s="11">
        <v>122</v>
      </c>
      <c r="D225" s="12">
        <v>45485</v>
      </c>
      <c r="E225" t="s" s="13">
        <v>133</v>
      </c>
      <c r="F225" t="s" s="13">
        <v>134</v>
      </c>
      <c r="G225" s="14">
        <v>4</v>
      </c>
      <c r="H225" s="15">
        <v>149.9925</v>
      </c>
      <c r="I225" s="15">
        <v>599.97</v>
      </c>
    </row>
    <row r="226" ht="12.9" customHeight="1">
      <c r="B226" t="s" s="10">
        <v>1389</v>
      </c>
      <c r="C226" t="s" s="11">
        <v>1390</v>
      </c>
      <c r="D226" s="12">
        <v>45485</v>
      </c>
      <c r="E226" t="s" s="13">
        <v>1236</v>
      </c>
      <c r="F226" t="s" s="13">
        <v>1237</v>
      </c>
      <c r="G226" s="14">
        <v>1</v>
      </c>
      <c r="H226" s="15">
        <v>0</v>
      </c>
      <c r="I226" s="15">
        <v>0</v>
      </c>
    </row>
    <row r="227" ht="12.9" customHeight="1">
      <c r="B227" t="s" s="10">
        <v>1389</v>
      </c>
      <c r="C227" t="s" s="11">
        <v>1390</v>
      </c>
      <c r="D227" s="12">
        <v>45485</v>
      </c>
      <c r="E227" t="s" s="13">
        <v>762</v>
      </c>
      <c r="F227" t="s" s="13">
        <v>763</v>
      </c>
      <c r="G227" s="14">
        <v>1</v>
      </c>
      <c r="H227" s="15">
        <v>0</v>
      </c>
      <c r="I227" s="15">
        <v>0</v>
      </c>
    </row>
    <row r="228" ht="12.9" customHeight="1">
      <c r="B228" t="s" s="10">
        <v>1391</v>
      </c>
      <c r="C228" t="s" s="11">
        <v>1392</v>
      </c>
      <c r="D228" s="12">
        <v>45484.884945289348</v>
      </c>
      <c r="E228" t="s" s="13">
        <v>19</v>
      </c>
      <c r="F228" t="s" s="13">
        <v>20</v>
      </c>
      <c r="G228" s="14">
        <v>2</v>
      </c>
      <c r="H228" s="15">
        <v>119.99</v>
      </c>
      <c r="I228" s="15">
        <v>239.98</v>
      </c>
    </row>
    <row r="229" ht="12.9" customHeight="1">
      <c r="B229" t="s" s="10">
        <v>1393</v>
      </c>
      <c r="C229" t="s" s="11">
        <v>476</v>
      </c>
      <c r="D229" s="12">
        <v>45484</v>
      </c>
      <c r="E229" t="s" s="13">
        <v>1394</v>
      </c>
      <c r="F229" t="s" s="13">
        <v>1395</v>
      </c>
      <c r="G229" s="14">
        <v>1</v>
      </c>
      <c r="H229" s="15">
        <v>0</v>
      </c>
      <c r="I229" s="15">
        <v>0</v>
      </c>
    </row>
    <row r="230" ht="12.9" customHeight="1">
      <c r="B230" t="s" s="10">
        <v>1396</v>
      </c>
      <c r="C230" t="s" s="11">
        <v>1397</v>
      </c>
      <c r="D230" s="12">
        <v>45483.545271238429</v>
      </c>
      <c r="E230" t="s" s="13">
        <v>73</v>
      </c>
      <c r="F230" t="s" s="13">
        <v>74</v>
      </c>
      <c r="G230" s="14">
        <v>1</v>
      </c>
      <c r="H230" s="15">
        <v>399.99</v>
      </c>
      <c r="I230" s="15">
        <v>399.99</v>
      </c>
    </row>
    <row r="231" ht="12.9" customHeight="1">
      <c r="B231" t="s" s="10">
        <v>1398</v>
      </c>
      <c r="C231" t="s" s="11">
        <v>1399</v>
      </c>
      <c r="D231" s="12">
        <v>45483.010396909725</v>
      </c>
      <c r="E231" t="s" s="13">
        <v>95</v>
      </c>
      <c r="F231" t="s" s="13">
        <v>12</v>
      </c>
      <c r="G231" s="14">
        <v>1</v>
      </c>
      <c r="H231" s="15">
        <v>349.99</v>
      </c>
      <c r="I231" s="15">
        <v>349.99</v>
      </c>
    </row>
    <row r="232" ht="12.9" customHeight="1">
      <c r="B232" t="s" s="10">
        <v>1400</v>
      </c>
      <c r="C232" t="s" s="11">
        <v>1401</v>
      </c>
      <c r="D232" s="12">
        <v>45483</v>
      </c>
      <c r="E232" t="s" s="13">
        <v>63</v>
      </c>
      <c r="F232" s="16"/>
      <c r="G232" s="14">
        <v>1</v>
      </c>
      <c r="H232" s="15">
        <v>55.8</v>
      </c>
      <c r="I232" s="15">
        <v>55.8</v>
      </c>
    </row>
    <row r="233" ht="12.9" customHeight="1">
      <c r="B233" t="s" s="10">
        <v>1400</v>
      </c>
      <c r="C233" t="s" s="11">
        <v>1401</v>
      </c>
      <c r="D233" s="12">
        <v>45483</v>
      </c>
      <c r="E233" t="s" s="13">
        <v>81</v>
      </c>
      <c r="F233" t="s" s="13">
        <v>82</v>
      </c>
      <c r="G233" s="14">
        <v>4</v>
      </c>
      <c r="H233" s="15">
        <v>637.4924999999999</v>
      </c>
      <c r="I233" s="15">
        <v>2549.97</v>
      </c>
    </row>
    <row r="234" ht="12.9" customHeight="1">
      <c r="B234" t="s" s="10">
        <v>1400</v>
      </c>
      <c r="C234" t="s" s="11">
        <v>1401</v>
      </c>
      <c r="D234" s="12">
        <v>45483</v>
      </c>
      <c r="E234" t="s" s="13">
        <v>50</v>
      </c>
      <c r="F234" t="s" s="13">
        <v>51</v>
      </c>
      <c r="G234" s="14">
        <v>4</v>
      </c>
      <c r="H234" s="15">
        <v>0</v>
      </c>
      <c r="I234" s="15">
        <v>0</v>
      </c>
    </row>
    <row r="235" ht="12.9" customHeight="1">
      <c r="B235" t="s" s="10">
        <v>1400</v>
      </c>
      <c r="C235" t="s" s="11">
        <v>1401</v>
      </c>
      <c r="D235" s="12">
        <v>45483</v>
      </c>
      <c r="E235" t="s" s="13">
        <v>23</v>
      </c>
      <c r="F235" t="s" s="13">
        <v>56</v>
      </c>
      <c r="G235" s="14">
        <v>2</v>
      </c>
      <c r="H235" s="15">
        <v>0</v>
      </c>
      <c r="I235" s="15">
        <v>0</v>
      </c>
    </row>
    <row r="236" ht="12.9" customHeight="1">
      <c r="B236" t="s" s="10">
        <v>1400</v>
      </c>
      <c r="C236" t="s" s="11">
        <v>1401</v>
      </c>
      <c r="D236" s="12">
        <v>45483</v>
      </c>
      <c r="E236" t="s" s="13">
        <v>133</v>
      </c>
      <c r="F236" t="s" s="13">
        <v>1402</v>
      </c>
      <c r="G236" s="14">
        <v>2</v>
      </c>
      <c r="H236" s="15">
        <v>37.5</v>
      </c>
      <c r="I236" s="15">
        <v>75</v>
      </c>
    </row>
    <row r="237" ht="12.9" customHeight="1">
      <c r="B237" t="s" s="10">
        <v>1400</v>
      </c>
      <c r="C237" t="s" s="11">
        <v>1401</v>
      </c>
      <c r="D237" s="12">
        <v>45483</v>
      </c>
      <c r="E237" t="s" s="13">
        <v>84</v>
      </c>
      <c r="F237" t="s" s="13">
        <v>330</v>
      </c>
      <c r="G237" s="14">
        <v>4</v>
      </c>
      <c r="H237" s="15">
        <v>0</v>
      </c>
      <c r="I237" s="15">
        <v>0</v>
      </c>
    </row>
    <row r="238" ht="12.9" customHeight="1">
      <c r="B238" t="s" s="10">
        <v>1400</v>
      </c>
      <c r="C238" t="s" s="11">
        <v>1401</v>
      </c>
      <c r="D238" s="12">
        <v>45483</v>
      </c>
      <c r="E238" t="s" s="13">
        <v>73</v>
      </c>
      <c r="F238" t="s" s="13">
        <v>74</v>
      </c>
      <c r="G238" s="14">
        <v>2</v>
      </c>
      <c r="H238" s="15">
        <v>299.9925</v>
      </c>
      <c r="I238" s="15">
        <v>599.985</v>
      </c>
    </row>
    <row r="239" ht="12.9" customHeight="1">
      <c r="B239" t="s" s="10">
        <v>1403</v>
      </c>
      <c r="C239" t="s" s="11">
        <v>1404</v>
      </c>
      <c r="D239" s="12">
        <v>45483</v>
      </c>
      <c r="E239" t="s" s="13">
        <v>861</v>
      </c>
      <c r="F239" s="16"/>
      <c r="G239" s="14">
        <v>1</v>
      </c>
      <c r="H239" s="15">
        <v>105</v>
      </c>
      <c r="I239" s="15">
        <v>105</v>
      </c>
    </row>
    <row r="240" ht="12.9" customHeight="1">
      <c r="B240" t="s" s="10">
        <v>1403</v>
      </c>
      <c r="C240" t="s" s="11">
        <v>1404</v>
      </c>
      <c r="D240" s="12">
        <v>45483</v>
      </c>
      <c r="E240" t="s" s="13">
        <v>31</v>
      </c>
      <c r="F240" t="s" s="13">
        <v>32</v>
      </c>
      <c r="G240" s="14">
        <v>2</v>
      </c>
      <c r="H240" s="15">
        <v>599.99</v>
      </c>
      <c r="I240" s="15">
        <v>1199.98</v>
      </c>
    </row>
    <row r="241" ht="12.9" customHeight="1">
      <c r="B241" t="s" s="10">
        <v>1405</v>
      </c>
      <c r="C241" t="s" s="11">
        <v>1406</v>
      </c>
      <c r="D241" s="12">
        <v>45483</v>
      </c>
      <c r="E241" t="s" s="13">
        <v>1407</v>
      </c>
      <c r="F241" t="s" s="13">
        <v>1408</v>
      </c>
      <c r="G241" s="14">
        <v>3</v>
      </c>
      <c r="H241" s="15">
        <v>27.992</v>
      </c>
      <c r="I241" s="15">
        <v>83.976</v>
      </c>
    </row>
    <row r="242" ht="12.9" customHeight="1">
      <c r="B242" t="s" s="10">
        <v>1409</v>
      </c>
      <c r="C242" t="s" s="11">
        <v>1410</v>
      </c>
      <c r="D242" s="12">
        <v>45483</v>
      </c>
      <c r="E242" t="s" s="13">
        <v>861</v>
      </c>
      <c r="F242" s="16"/>
      <c r="G242" s="14">
        <v>1</v>
      </c>
      <c r="H242" s="15">
        <v>0</v>
      </c>
      <c r="I242" s="15">
        <v>0</v>
      </c>
    </row>
    <row r="243" ht="12.9" customHeight="1">
      <c r="B243" t="s" s="10">
        <v>1409</v>
      </c>
      <c r="C243" t="s" s="11">
        <v>1410</v>
      </c>
      <c r="D243" s="12">
        <v>45483</v>
      </c>
      <c r="E243" t="s" s="13">
        <v>84</v>
      </c>
      <c r="F243" t="s" s="13">
        <v>85</v>
      </c>
      <c r="G243" s="14">
        <v>1</v>
      </c>
      <c r="H243" s="15">
        <v>0</v>
      </c>
      <c r="I243" s="15">
        <v>0</v>
      </c>
    </row>
    <row r="244" ht="12.9" customHeight="1">
      <c r="B244" t="s" s="10">
        <v>1411</v>
      </c>
      <c r="C244" t="s" s="11">
        <v>1412</v>
      </c>
      <c r="D244" s="12">
        <v>45483</v>
      </c>
      <c r="E244" t="s" s="13">
        <v>119</v>
      </c>
      <c r="F244" t="s" s="13">
        <v>120</v>
      </c>
      <c r="G244" s="14">
        <v>3</v>
      </c>
      <c r="H244" s="15">
        <v>0</v>
      </c>
      <c r="I244" s="15">
        <v>0</v>
      </c>
    </row>
    <row r="245" ht="12.9" customHeight="1">
      <c r="B245" t="s" s="10">
        <v>1413</v>
      </c>
      <c r="C245" t="s" s="11">
        <v>1414</v>
      </c>
      <c r="D245" s="12">
        <v>45482.629209849540</v>
      </c>
      <c r="E245" t="s" s="13">
        <v>139</v>
      </c>
      <c r="F245" t="s" s="13">
        <v>140</v>
      </c>
      <c r="G245" s="14">
        <v>2</v>
      </c>
      <c r="H245" s="15">
        <v>49.99</v>
      </c>
      <c r="I245" s="15">
        <v>99.98</v>
      </c>
    </row>
    <row r="246" ht="12.9" customHeight="1">
      <c r="B246" t="s" s="10">
        <v>1415</v>
      </c>
      <c r="C246" t="s" s="11">
        <v>946</v>
      </c>
      <c r="D246" s="12">
        <v>45482</v>
      </c>
      <c r="E246" t="s" s="13">
        <v>63</v>
      </c>
      <c r="F246" s="16"/>
      <c r="G246" s="14">
        <v>1</v>
      </c>
      <c r="H246" s="15">
        <v>22.8</v>
      </c>
      <c r="I246" s="15">
        <v>22.8</v>
      </c>
    </row>
    <row r="247" ht="12.9" customHeight="1">
      <c r="B247" t="s" s="10">
        <v>1415</v>
      </c>
      <c r="C247" t="s" s="11">
        <v>946</v>
      </c>
      <c r="D247" s="12">
        <v>45482</v>
      </c>
      <c r="E247" t="s" s="13">
        <v>682</v>
      </c>
      <c r="F247" t="s" s="13">
        <v>683</v>
      </c>
      <c r="G247" s="14">
        <v>2</v>
      </c>
      <c r="H247" s="15">
        <v>187.4925</v>
      </c>
      <c r="I247" s="15">
        <v>374.985</v>
      </c>
    </row>
    <row r="248" ht="12.9" customHeight="1">
      <c r="B248" t="s" s="10">
        <v>1416</v>
      </c>
      <c r="C248" t="s" s="11">
        <v>1417</v>
      </c>
      <c r="D248" s="12">
        <v>45482</v>
      </c>
      <c r="E248" t="s" s="13">
        <v>47</v>
      </c>
      <c r="F248" s="16"/>
      <c r="G248" s="14">
        <v>1</v>
      </c>
      <c r="H248" s="15">
        <v>648.89</v>
      </c>
      <c r="I248" s="15">
        <v>648.89</v>
      </c>
    </row>
    <row r="249" ht="12.9" customHeight="1">
      <c r="B249" t="s" s="10">
        <v>1416</v>
      </c>
      <c r="C249" t="s" s="11">
        <v>1417</v>
      </c>
      <c r="D249" s="12">
        <v>45482</v>
      </c>
      <c r="E249" t="s" s="13">
        <v>48</v>
      </c>
      <c r="F249" t="s" s="13">
        <v>49</v>
      </c>
      <c r="G249" s="14">
        <v>6</v>
      </c>
      <c r="H249" s="15">
        <v>974.9924999999999</v>
      </c>
      <c r="I249" s="15">
        <v>5849.955</v>
      </c>
    </row>
    <row r="250" ht="12.9" customHeight="1">
      <c r="B250" t="s" s="10">
        <v>1416</v>
      </c>
      <c r="C250" t="s" s="11">
        <v>1417</v>
      </c>
      <c r="D250" s="12">
        <v>45482</v>
      </c>
      <c r="E250" t="s" s="13">
        <v>50</v>
      </c>
      <c r="F250" t="s" s="13">
        <v>51</v>
      </c>
      <c r="G250" s="14">
        <v>6</v>
      </c>
      <c r="H250" s="15">
        <v>0</v>
      </c>
      <c r="I250" s="15">
        <v>0</v>
      </c>
    </row>
    <row r="251" ht="12.9" customHeight="1">
      <c r="B251" t="s" s="10">
        <v>1416</v>
      </c>
      <c r="C251" t="s" s="11">
        <v>1417</v>
      </c>
      <c r="D251" s="12">
        <v>45482</v>
      </c>
      <c r="E251" t="s" s="13">
        <v>52</v>
      </c>
      <c r="F251" t="s" s="13">
        <v>53</v>
      </c>
      <c r="G251" s="14">
        <v>6</v>
      </c>
      <c r="H251" s="15">
        <v>0</v>
      </c>
      <c r="I251" s="15">
        <v>0</v>
      </c>
    </row>
    <row r="252" ht="12.9" customHeight="1">
      <c r="B252" t="s" s="10">
        <v>1416</v>
      </c>
      <c r="C252" t="s" s="11">
        <v>1417</v>
      </c>
      <c r="D252" s="12">
        <v>45482</v>
      </c>
      <c r="E252" t="s" s="13">
        <v>54</v>
      </c>
      <c r="F252" t="s" s="13">
        <v>55</v>
      </c>
      <c r="G252" s="14">
        <v>6</v>
      </c>
      <c r="H252" s="15">
        <v>0</v>
      </c>
      <c r="I252" s="15">
        <v>0</v>
      </c>
    </row>
    <row r="253" ht="12.9" customHeight="1">
      <c r="B253" t="s" s="10">
        <v>1416</v>
      </c>
      <c r="C253" t="s" s="11">
        <v>1417</v>
      </c>
      <c r="D253" s="12">
        <v>45482</v>
      </c>
      <c r="E253" t="s" s="13">
        <v>1054</v>
      </c>
      <c r="F253" t="s" s="13">
        <v>1418</v>
      </c>
      <c r="G253" s="14">
        <v>4</v>
      </c>
      <c r="H253" s="15">
        <v>0</v>
      </c>
      <c r="I253" s="15">
        <v>0</v>
      </c>
    </row>
    <row r="254" ht="12.9" customHeight="1">
      <c r="B254" t="s" s="10">
        <v>1416</v>
      </c>
      <c r="C254" t="s" s="11">
        <v>1417</v>
      </c>
      <c r="D254" s="12">
        <v>45482</v>
      </c>
      <c r="E254" t="s" s="13">
        <v>23</v>
      </c>
      <c r="F254" t="s" s="13">
        <v>56</v>
      </c>
      <c r="G254" s="14">
        <v>2</v>
      </c>
      <c r="H254" s="15">
        <v>0</v>
      </c>
      <c r="I254" s="15">
        <v>0</v>
      </c>
    </row>
    <row r="255" ht="12.9" customHeight="1">
      <c r="B255" t="s" s="10">
        <v>1416</v>
      </c>
      <c r="C255" t="s" s="11">
        <v>1417</v>
      </c>
      <c r="D255" s="12">
        <v>45482</v>
      </c>
      <c r="E255" t="s" s="13">
        <v>602</v>
      </c>
      <c r="F255" t="s" s="13">
        <v>686</v>
      </c>
      <c r="G255" s="14">
        <v>2</v>
      </c>
      <c r="H255" s="15">
        <v>224.9925</v>
      </c>
      <c r="I255" s="15">
        <v>449.985</v>
      </c>
    </row>
    <row r="256" ht="12.9" customHeight="1">
      <c r="B256" t="s" s="10">
        <v>1416</v>
      </c>
      <c r="C256" t="s" s="11">
        <v>1417</v>
      </c>
      <c r="D256" s="12">
        <v>45482</v>
      </c>
      <c r="E256" t="s" s="13">
        <v>470</v>
      </c>
      <c r="F256" t="s" s="13">
        <v>517</v>
      </c>
      <c r="G256" s="14">
        <v>2</v>
      </c>
      <c r="H256" s="15">
        <v>187.4925</v>
      </c>
      <c r="I256" s="15">
        <v>374.985</v>
      </c>
    </row>
    <row r="257" ht="12.9" customHeight="1">
      <c r="B257" t="s" s="10">
        <v>1416</v>
      </c>
      <c r="C257" t="s" s="11">
        <v>1417</v>
      </c>
      <c r="D257" s="12">
        <v>45482</v>
      </c>
      <c r="E257" t="s" s="13">
        <v>59</v>
      </c>
      <c r="F257" t="s" s="13">
        <v>60</v>
      </c>
      <c r="G257" s="14">
        <v>1</v>
      </c>
      <c r="H257" s="15">
        <v>899.9924999999999</v>
      </c>
      <c r="I257" s="15">
        <v>899.9924999999999</v>
      </c>
    </row>
    <row r="258" ht="12.9" customHeight="1">
      <c r="B258" t="s" s="10">
        <v>1416</v>
      </c>
      <c r="C258" t="s" s="11">
        <v>1417</v>
      </c>
      <c r="D258" s="12">
        <v>45482</v>
      </c>
      <c r="E258" t="s" s="13">
        <v>115</v>
      </c>
      <c r="F258" t="s" s="13">
        <v>1419</v>
      </c>
      <c r="G258" s="14">
        <v>4</v>
      </c>
      <c r="H258" s="15">
        <v>0</v>
      </c>
      <c r="I258" s="15">
        <v>0</v>
      </c>
    </row>
    <row r="259" ht="12.9" customHeight="1">
      <c r="B259" t="s" s="10">
        <v>1416</v>
      </c>
      <c r="C259" t="s" s="11">
        <v>1417</v>
      </c>
      <c r="D259" s="12">
        <v>45482</v>
      </c>
      <c r="E259" t="s" s="13">
        <v>489</v>
      </c>
      <c r="F259" t="s" s="13">
        <v>490</v>
      </c>
      <c r="G259" s="14">
        <v>1</v>
      </c>
      <c r="H259" s="15">
        <v>1199.9925</v>
      </c>
      <c r="I259" s="15">
        <v>1199.9925</v>
      </c>
    </row>
    <row r="260" ht="12.9" customHeight="1">
      <c r="B260" t="s" s="10">
        <v>1416</v>
      </c>
      <c r="C260" t="s" s="11">
        <v>1417</v>
      </c>
      <c r="D260" s="12">
        <v>45482</v>
      </c>
      <c r="E260" t="s" s="13">
        <v>491</v>
      </c>
      <c r="F260" t="s" s="13">
        <v>492</v>
      </c>
      <c r="G260" s="14">
        <v>3</v>
      </c>
      <c r="H260" s="15">
        <v>0</v>
      </c>
      <c r="I260" s="15">
        <v>0</v>
      </c>
    </row>
    <row r="261" ht="12.9" customHeight="1">
      <c r="B261" t="s" s="10">
        <v>1416</v>
      </c>
      <c r="C261" t="s" s="11">
        <v>1417</v>
      </c>
      <c r="D261" s="12">
        <v>45482</v>
      </c>
      <c r="E261" t="s" s="13">
        <v>493</v>
      </c>
      <c r="F261" t="s" s="13">
        <v>494</v>
      </c>
      <c r="G261" s="14">
        <v>1</v>
      </c>
      <c r="H261" s="15">
        <v>0</v>
      </c>
      <c r="I261" s="15">
        <v>0</v>
      </c>
    </row>
    <row r="262" ht="12.9" customHeight="1">
      <c r="B262" t="s" s="10">
        <v>1416</v>
      </c>
      <c r="C262" t="s" s="11">
        <v>1417</v>
      </c>
      <c r="D262" s="12">
        <v>45482</v>
      </c>
      <c r="E262" t="s" s="13">
        <v>19</v>
      </c>
      <c r="F262" t="s" s="13">
        <v>20</v>
      </c>
      <c r="G262" s="14">
        <v>10</v>
      </c>
      <c r="H262" s="15">
        <v>89.99250000000001</v>
      </c>
      <c r="I262" s="15">
        <v>899.925</v>
      </c>
    </row>
    <row r="263" ht="12.9" customHeight="1">
      <c r="B263" t="s" s="10">
        <v>1416</v>
      </c>
      <c r="C263" t="s" s="11">
        <v>1417</v>
      </c>
      <c r="D263" s="12">
        <v>45482</v>
      </c>
      <c r="E263" t="s" s="13">
        <v>139</v>
      </c>
      <c r="F263" t="s" s="13">
        <v>140</v>
      </c>
      <c r="G263" s="14">
        <v>2</v>
      </c>
      <c r="H263" s="15">
        <v>37.4925</v>
      </c>
      <c r="I263" s="15">
        <v>74.985</v>
      </c>
    </row>
    <row r="264" ht="12.9" customHeight="1">
      <c r="B264" t="s" s="10">
        <v>1416</v>
      </c>
      <c r="C264" t="s" s="11">
        <v>1417</v>
      </c>
      <c r="D264" s="12">
        <v>45482</v>
      </c>
      <c r="E264" t="s" s="13">
        <v>57</v>
      </c>
      <c r="F264" t="s" s="13">
        <v>58</v>
      </c>
      <c r="G264" s="14">
        <v>2</v>
      </c>
      <c r="H264" s="15">
        <v>599.9924999999999</v>
      </c>
      <c r="I264" s="15">
        <v>1199.985</v>
      </c>
    </row>
    <row r="265" ht="12.9" customHeight="1">
      <c r="B265" t="s" s="10">
        <v>1416</v>
      </c>
      <c r="C265" t="s" s="11">
        <v>1417</v>
      </c>
      <c r="D265" s="12">
        <v>45482</v>
      </c>
      <c r="E265" t="s" s="13">
        <v>73</v>
      </c>
      <c r="F265" t="s" s="13">
        <v>74</v>
      </c>
      <c r="G265" s="14">
        <v>1</v>
      </c>
      <c r="H265" s="15">
        <v>299.9925</v>
      </c>
      <c r="I265" s="15">
        <v>299.9925</v>
      </c>
    </row>
    <row r="266" ht="12.9" customHeight="1">
      <c r="B266" t="s" s="10">
        <v>1420</v>
      </c>
      <c r="C266" t="s" s="11">
        <v>563</v>
      </c>
      <c r="D266" s="12">
        <v>45482</v>
      </c>
      <c r="E266" t="s" s="13">
        <v>63</v>
      </c>
      <c r="F266" s="16"/>
      <c r="G266" s="14">
        <v>1</v>
      </c>
      <c r="H266" s="15">
        <v>19.5</v>
      </c>
      <c r="I266" s="15">
        <v>19.5</v>
      </c>
    </row>
    <row r="267" ht="12.9" customHeight="1">
      <c r="B267" t="s" s="10">
        <v>1420</v>
      </c>
      <c r="C267" t="s" s="11">
        <v>563</v>
      </c>
      <c r="D267" s="12">
        <v>45482</v>
      </c>
      <c r="E267" t="s" s="13">
        <v>59</v>
      </c>
      <c r="F267" t="s" s="13">
        <v>60</v>
      </c>
      <c r="G267" s="14">
        <v>1</v>
      </c>
      <c r="H267" s="15">
        <v>899.9924999999999</v>
      </c>
      <c r="I267" s="15">
        <v>899.9924999999999</v>
      </c>
    </row>
    <row r="268" ht="12.9" customHeight="1">
      <c r="B268" t="s" s="10">
        <v>1420</v>
      </c>
      <c r="C268" t="s" s="11">
        <v>563</v>
      </c>
      <c r="D268" s="12">
        <v>45482</v>
      </c>
      <c r="E268" t="s" s="13">
        <v>73</v>
      </c>
      <c r="F268" t="s" s="13">
        <v>74</v>
      </c>
      <c r="G268" s="14">
        <v>1</v>
      </c>
      <c r="H268" s="15">
        <v>299.9925</v>
      </c>
      <c r="I268" s="15">
        <v>299.9925</v>
      </c>
    </row>
    <row r="269" ht="12.9" customHeight="1">
      <c r="B269" t="s" s="10">
        <v>1421</v>
      </c>
      <c r="C269" t="s" s="11">
        <v>1422</v>
      </c>
      <c r="D269" s="12">
        <v>45481.782642615741</v>
      </c>
      <c r="E269" t="s" s="13">
        <v>95</v>
      </c>
      <c r="F269" t="s" s="13">
        <v>12</v>
      </c>
      <c r="G269" s="14">
        <v>2</v>
      </c>
      <c r="H269" s="15">
        <v>349.99</v>
      </c>
      <c r="I269" s="15">
        <v>699.98</v>
      </c>
    </row>
    <row r="270" ht="12.9" customHeight="1">
      <c r="B270" t="s" s="10">
        <v>1423</v>
      </c>
      <c r="C270" t="s" s="11">
        <v>1424</v>
      </c>
      <c r="D270" s="12">
        <v>45481.142985775463</v>
      </c>
      <c r="E270" t="s" s="13">
        <v>95</v>
      </c>
      <c r="F270" t="s" s="13">
        <v>12</v>
      </c>
      <c r="G270" s="14">
        <v>1</v>
      </c>
      <c r="H270" s="15">
        <v>349.99</v>
      </c>
      <c r="I270" s="15">
        <v>349.99</v>
      </c>
    </row>
    <row r="271" ht="12.9" customHeight="1">
      <c r="B271" t="s" s="10">
        <v>1425</v>
      </c>
      <c r="C271" t="s" s="11">
        <v>1426</v>
      </c>
      <c r="D271" s="12">
        <v>45481</v>
      </c>
      <c r="E271" t="s" s="13">
        <v>63</v>
      </c>
      <c r="F271" s="16"/>
      <c r="G271" s="14">
        <v>1</v>
      </c>
      <c r="H271" s="15">
        <v>185.6</v>
      </c>
      <c r="I271" s="15">
        <v>185.6</v>
      </c>
    </row>
    <row r="272" ht="12.9" customHeight="1">
      <c r="B272" t="s" s="10">
        <v>1425</v>
      </c>
      <c r="C272" t="s" s="11">
        <v>1426</v>
      </c>
      <c r="D272" s="12">
        <v>45481</v>
      </c>
      <c r="E272" t="s" s="13">
        <v>48</v>
      </c>
      <c r="F272" t="s" s="13">
        <v>49</v>
      </c>
      <c r="G272" s="14">
        <v>4</v>
      </c>
      <c r="H272" s="15">
        <v>974.9924999999999</v>
      </c>
      <c r="I272" s="15">
        <v>3899.97</v>
      </c>
    </row>
    <row r="273" ht="12.9" customHeight="1">
      <c r="B273" t="s" s="10">
        <v>1425</v>
      </c>
      <c r="C273" t="s" s="11">
        <v>1426</v>
      </c>
      <c r="D273" s="12">
        <v>45481</v>
      </c>
      <c r="E273" t="s" s="13">
        <v>50</v>
      </c>
      <c r="F273" t="s" s="13">
        <v>51</v>
      </c>
      <c r="G273" s="14">
        <v>4</v>
      </c>
      <c r="H273" s="15">
        <v>0</v>
      </c>
      <c r="I273" s="15">
        <v>0</v>
      </c>
    </row>
    <row r="274" ht="12.9" customHeight="1">
      <c r="B274" t="s" s="10">
        <v>1425</v>
      </c>
      <c r="C274" t="s" s="11">
        <v>1426</v>
      </c>
      <c r="D274" s="12">
        <v>45481</v>
      </c>
      <c r="E274" t="s" s="13">
        <v>52</v>
      </c>
      <c r="F274" t="s" s="13">
        <v>53</v>
      </c>
      <c r="G274" s="14">
        <v>4</v>
      </c>
      <c r="H274" s="15">
        <v>0</v>
      </c>
      <c r="I274" s="15">
        <v>0</v>
      </c>
    </row>
    <row r="275" ht="12.9" customHeight="1">
      <c r="B275" t="s" s="10">
        <v>1425</v>
      </c>
      <c r="C275" t="s" s="11">
        <v>1426</v>
      </c>
      <c r="D275" s="12">
        <v>45481</v>
      </c>
      <c r="E275" t="s" s="13">
        <v>133</v>
      </c>
      <c r="F275" t="s" s="13">
        <v>1402</v>
      </c>
      <c r="G275" s="14">
        <v>4</v>
      </c>
      <c r="H275" s="15">
        <v>37.5</v>
      </c>
      <c r="I275" s="15">
        <v>150</v>
      </c>
    </row>
    <row r="276" ht="12.9" customHeight="1">
      <c r="B276" t="s" s="10">
        <v>1425</v>
      </c>
      <c r="C276" t="s" s="11">
        <v>1426</v>
      </c>
      <c r="D276" s="12">
        <v>45481</v>
      </c>
      <c r="E276" t="s" s="13">
        <v>84</v>
      </c>
      <c r="F276" t="s" s="13">
        <v>330</v>
      </c>
      <c r="G276" s="14">
        <v>4</v>
      </c>
      <c r="H276" s="15">
        <v>0</v>
      </c>
      <c r="I276" s="15">
        <v>0</v>
      </c>
    </row>
    <row r="277" ht="12.9" customHeight="1">
      <c r="B277" t="s" s="10">
        <v>1427</v>
      </c>
      <c r="C277" t="s" s="11">
        <v>1406</v>
      </c>
      <c r="D277" s="12">
        <v>45481</v>
      </c>
      <c r="E277" t="s" s="13">
        <v>1428</v>
      </c>
      <c r="F277" t="s" s="13">
        <v>1429</v>
      </c>
      <c r="G277" s="14">
        <v>1</v>
      </c>
      <c r="H277" s="15">
        <v>17.7582</v>
      </c>
      <c r="I277" s="15">
        <v>17.7582</v>
      </c>
    </row>
    <row r="278" ht="12.9" customHeight="1">
      <c r="B278" t="s" s="10">
        <v>1427</v>
      </c>
      <c r="C278" t="s" s="11">
        <v>1406</v>
      </c>
      <c r="D278" s="12">
        <v>45481</v>
      </c>
      <c r="E278" t="s" s="13">
        <v>47</v>
      </c>
      <c r="F278" s="16"/>
      <c r="G278" s="14">
        <v>1</v>
      </c>
      <c r="H278" s="15">
        <v>12.5</v>
      </c>
      <c r="I278" s="15">
        <v>12.5</v>
      </c>
    </row>
    <row r="279" ht="12.9" customHeight="1">
      <c r="B279" t="s" s="10">
        <v>1427</v>
      </c>
      <c r="C279" t="s" s="11">
        <v>1406</v>
      </c>
      <c r="D279" s="12">
        <v>45481</v>
      </c>
      <c r="E279" t="s" s="13">
        <v>1054</v>
      </c>
      <c r="F279" t="s" s="13">
        <v>1055</v>
      </c>
      <c r="G279" s="14">
        <v>4</v>
      </c>
      <c r="H279" s="15">
        <v>119.992</v>
      </c>
      <c r="I279" s="15">
        <v>479.968</v>
      </c>
    </row>
    <row r="280" ht="12.9" customHeight="1">
      <c r="B280" t="s" s="10">
        <v>1427</v>
      </c>
      <c r="C280" t="s" s="11">
        <v>1406</v>
      </c>
      <c r="D280" s="12">
        <v>45481</v>
      </c>
      <c r="E280" t="s" s="13">
        <v>1407</v>
      </c>
      <c r="F280" t="s" s="13">
        <v>1408</v>
      </c>
      <c r="G280" s="14">
        <v>4</v>
      </c>
      <c r="H280" s="15">
        <v>27.992</v>
      </c>
      <c r="I280" s="15">
        <v>111.968</v>
      </c>
    </row>
    <row r="281" ht="12.9" customHeight="1">
      <c r="B281" t="s" s="10">
        <v>1430</v>
      </c>
      <c r="C281" t="s" s="11">
        <v>1431</v>
      </c>
      <c r="D281" s="12">
        <v>45481</v>
      </c>
      <c r="E281" t="s" s="13">
        <v>73</v>
      </c>
      <c r="F281" t="s" s="13">
        <v>74</v>
      </c>
      <c r="G281" s="14">
        <v>1</v>
      </c>
      <c r="H281" s="15">
        <v>0</v>
      </c>
      <c r="I281" s="15">
        <v>0</v>
      </c>
    </row>
    <row r="282" ht="12.9" customHeight="1">
      <c r="B282" t="s" s="10">
        <v>1432</v>
      </c>
      <c r="C282" t="s" s="11">
        <v>721</v>
      </c>
      <c r="D282" s="12">
        <v>45481</v>
      </c>
      <c r="E282" t="s" s="13">
        <v>63</v>
      </c>
      <c r="F282" s="16"/>
      <c r="G282" s="14">
        <v>1</v>
      </c>
      <c r="H282" s="15">
        <v>33.18</v>
      </c>
      <c r="I282" s="15">
        <v>33.18</v>
      </c>
    </row>
    <row r="283" ht="12.9" customHeight="1">
      <c r="B283" t="s" s="10">
        <v>1432</v>
      </c>
      <c r="C283" t="s" s="11">
        <v>721</v>
      </c>
      <c r="D283" s="12">
        <v>45481</v>
      </c>
      <c r="E283" t="s" s="13">
        <v>27</v>
      </c>
      <c r="F283" t="s" s="13">
        <v>28</v>
      </c>
      <c r="G283" s="14">
        <v>5</v>
      </c>
      <c r="H283" s="15">
        <v>59.9925</v>
      </c>
      <c r="I283" s="15">
        <v>299.9625</v>
      </c>
    </row>
    <row r="284" ht="12.9" customHeight="1">
      <c r="B284" t="s" s="10">
        <v>1433</v>
      </c>
      <c r="C284" t="s" s="11">
        <v>1406</v>
      </c>
      <c r="D284" s="12">
        <v>45481</v>
      </c>
      <c r="E284" t="s" s="13">
        <v>1407</v>
      </c>
      <c r="F284" t="s" s="13">
        <v>1408</v>
      </c>
      <c r="G284" s="14">
        <v>4</v>
      </c>
      <c r="H284" s="15">
        <v>0</v>
      </c>
      <c r="I284" s="15">
        <v>0</v>
      </c>
    </row>
    <row r="285" ht="12.9" customHeight="1">
      <c r="B285" t="s" s="10">
        <v>1434</v>
      </c>
      <c r="C285" t="s" s="11">
        <v>1426</v>
      </c>
      <c r="D285" s="12">
        <v>45481</v>
      </c>
      <c r="E285" t="s" s="13">
        <v>47</v>
      </c>
      <c r="F285" s="16"/>
      <c r="G285" s="14">
        <v>1</v>
      </c>
      <c r="H285" s="15">
        <v>65.45</v>
      </c>
      <c r="I285" s="15">
        <v>65.45</v>
      </c>
    </row>
    <row r="286" ht="12.9" customHeight="1">
      <c r="B286" t="s" s="10">
        <v>1434</v>
      </c>
      <c r="C286" t="s" s="11">
        <v>1426</v>
      </c>
      <c r="D286" s="12">
        <v>45481</v>
      </c>
      <c r="E286" t="s" s="13">
        <v>57</v>
      </c>
      <c r="F286" t="s" s="13">
        <v>58</v>
      </c>
      <c r="G286" s="14">
        <v>4</v>
      </c>
      <c r="H286" s="15">
        <v>599.9924999999999</v>
      </c>
      <c r="I286" s="15">
        <v>2399.97</v>
      </c>
    </row>
    <row r="287" ht="12.9" customHeight="1">
      <c r="B287" t="s" s="10">
        <v>1435</v>
      </c>
      <c r="C287" t="s" s="11">
        <v>1390</v>
      </c>
      <c r="D287" s="12">
        <v>45480.847910868055</v>
      </c>
      <c r="E287" t="s" s="13">
        <v>139</v>
      </c>
      <c r="F287" t="s" s="13">
        <v>140</v>
      </c>
      <c r="G287" s="14">
        <v>1</v>
      </c>
      <c r="H287" s="15">
        <v>49.99</v>
      </c>
      <c r="I287" s="15">
        <v>49.99</v>
      </c>
    </row>
    <row r="288" ht="12.9" customHeight="1">
      <c r="B288" t="s" s="10">
        <v>1436</v>
      </c>
      <c r="C288" t="s" s="11">
        <v>1437</v>
      </c>
      <c r="D288" s="12">
        <v>45480.014454097225</v>
      </c>
      <c r="E288" t="s" s="13">
        <v>59</v>
      </c>
      <c r="F288" t="s" s="13">
        <v>60</v>
      </c>
      <c r="G288" s="14">
        <v>1</v>
      </c>
      <c r="H288" s="15">
        <v>1199.99</v>
      </c>
      <c r="I288" s="15">
        <v>1199.99</v>
      </c>
    </row>
    <row r="289" ht="12.9" customHeight="1">
      <c r="B289" t="s" s="10">
        <v>1438</v>
      </c>
      <c r="C289" t="s" s="11">
        <v>1439</v>
      </c>
      <c r="D289" s="12">
        <v>45479.841815914355</v>
      </c>
      <c r="E289" t="s" s="13">
        <v>50</v>
      </c>
      <c r="F289" t="s" s="13">
        <v>83</v>
      </c>
      <c r="G289" s="14">
        <v>3</v>
      </c>
      <c r="H289" s="15">
        <v>29.99</v>
      </c>
      <c r="I289" s="15">
        <v>89.97</v>
      </c>
    </row>
    <row r="290" ht="12.9" customHeight="1">
      <c r="B290" t="s" s="10">
        <v>1440</v>
      </c>
      <c r="C290" t="s" s="11">
        <v>1441</v>
      </c>
      <c r="D290" s="12">
        <v>45478.811441365739</v>
      </c>
      <c r="E290" t="s" s="13">
        <v>27</v>
      </c>
      <c r="F290" t="s" s="13">
        <v>28</v>
      </c>
      <c r="G290" s="14">
        <v>1</v>
      </c>
      <c r="H290" s="15">
        <v>79.98999999999999</v>
      </c>
      <c r="I290" s="15">
        <v>79.98999999999999</v>
      </c>
    </row>
    <row r="291" ht="12.9" customHeight="1">
      <c r="B291" t="s" s="10">
        <v>1442</v>
      </c>
      <c r="C291" t="s" s="11">
        <v>1443</v>
      </c>
      <c r="D291" s="12">
        <v>45478.767475243054</v>
      </c>
      <c r="E291" t="s" s="13">
        <v>73</v>
      </c>
      <c r="F291" t="s" s="13">
        <v>74</v>
      </c>
      <c r="G291" s="14">
        <v>1</v>
      </c>
      <c r="H291" s="15">
        <v>399.99</v>
      </c>
      <c r="I291" s="15">
        <v>399.99</v>
      </c>
    </row>
    <row r="292" ht="12.9" customHeight="1">
      <c r="B292" t="s" s="10">
        <v>1444</v>
      </c>
      <c r="C292" t="s" s="11">
        <v>1445</v>
      </c>
      <c r="D292" s="12">
        <v>45478.745391956021</v>
      </c>
      <c r="E292" t="s" s="13">
        <v>50</v>
      </c>
      <c r="F292" t="s" s="13">
        <v>83</v>
      </c>
      <c r="G292" s="14">
        <v>2</v>
      </c>
      <c r="H292" s="15">
        <v>29.99</v>
      </c>
      <c r="I292" s="15">
        <v>59.98</v>
      </c>
    </row>
    <row r="293" ht="12.9" customHeight="1">
      <c r="B293" t="s" s="10">
        <v>1444</v>
      </c>
      <c r="C293" t="s" s="11">
        <v>1445</v>
      </c>
      <c r="D293" s="12">
        <v>45478.745391956021</v>
      </c>
      <c r="E293" t="s" s="13">
        <v>977</v>
      </c>
      <c r="F293" t="s" s="13">
        <v>978</v>
      </c>
      <c r="G293" s="14">
        <v>2</v>
      </c>
      <c r="H293" s="15">
        <v>54.99</v>
      </c>
      <c r="I293" s="15">
        <v>109.98</v>
      </c>
    </row>
    <row r="294" ht="12.9" customHeight="1">
      <c r="B294" t="s" s="10">
        <v>1446</v>
      </c>
      <c r="C294" t="s" s="11">
        <v>1447</v>
      </c>
      <c r="D294" s="12">
        <v>45478.681039976851</v>
      </c>
      <c r="E294" t="s" s="13">
        <v>19</v>
      </c>
      <c r="F294" t="s" s="13">
        <v>20</v>
      </c>
      <c r="G294" s="14">
        <v>4</v>
      </c>
      <c r="H294" s="15">
        <v>119.99</v>
      </c>
      <c r="I294" s="15">
        <v>479.96</v>
      </c>
    </row>
    <row r="295" ht="12.9" customHeight="1">
      <c r="B295" t="s" s="10">
        <v>1448</v>
      </c>
      <c r="C295" t="s" s="11">
        <v>1449</v>
      </c>
      <c r="D295" s="12">
        <v>45478.677388229167</v>
      </c>
      <c r="E295" t="s" s="13">
        <v>31</v>
      </c>
      <c r="F295" t="s" s="13">
        <v>32</v>
      </c>
      <c r="G295" s="14">
        <v>1</v>
      </c>
      <c r="H295" s="15">
        <v>599.99</v>
      </c>
      <c r="I295" s="15">
        <v>599.99</v>
      </c>
    </row>
    <row r="296" ht="12.9" customHeight="1">
      <c r="B296" t="s" s="10">
        <v>1450</v>
      </c>
      <c r="C296" t="s" s="11">
        <v>1451</v>
      </c>
      <c r="D296" s="12">
        <v>45478.610659236110</v>
      </c>
      <c r="E296" t="s" s="13">
        <v>95</v>
      </c>
      <c r="F296" t="s" s="13">
        <v>12</v>
      </c>
      <c r="G296" s="14">
        <v>1</v>
      </c>
      <c r="H296" s="15">
        <v>349.99</v>
      </c>
      <c r="I296" s="15">
        <v>349.99</v>
      </c>
    </row>
    <row r="297" ht="12.9" customHeight="1">
      <c r="B297" t="s" s="10">
        <v>1452</v>
      </c>
      <c r="C297" t="s" s="11">
        <v>1453</v>
      </c>
      <c r="D297" s="12">
        <v>45478</v>
      </c>
      <c r="E297" t="s" s="13">
        <v>47</v>
      </c>
      <c r="F297" s="16"/>
      <c r="G297" s="14">
        <v>1</v>
      </c>
      <c r="H297" s="15">
        <v>35.8</v>
      </c>
      <c r="I297" s="15">
        <v>35.8</v>
      </c>
    </row>
    <row r="298" ht="12.9" customHeight="1">
      <c r="B298" t="s" s="10">
        <v>1452</v>
      </c>
      <c r="C298" t="s" s="11">
        <v>1453</v>
      </c>
      <c r="D298" s="12">
        <v>45478</v>
      </c>
      <c r="E298" t="s" s="13">
        <v>1454</v>
      </c>
      <c r="F298" t="s" s="13">
        <v>1455</v>
      </c>
      <c r="G298" s="14">
        <v>1</v>
      </c>
      <c r="H298" s="15">
        <v>22.99</v>
      </c>
      <c r="I298" s="15">
        <v>22.99</v>
      </c>
    </row>
    <row r="299" ht="12.9" customHeight="1">
      <c r="B299" t="s" s="10">
        <v>1452</v>
      </c>
      <c r="C299" t="s" s="11">
        <v>1453</v>
      </c>
      <c r="D299" s="12">
        <v>45478</v>
      </c>
      <c r="E299" t="s" s="13">
        <v>1456</v>
      </c>
      <c r="F299" t="s" s="13">
        <v>1457</v>
      </c>
      <c r="G299" s="14">
        <v>1</v>
      </c>
      <c r="H299" s="15">
        <v>12.99</v>
      </c>
      <c r="I299" s="15">
        <v>12.99</v>
      </c>
    </row>
    <row r="300" ht="12.9" customHeight="1">
      <c r="B300" t="s" s="10">
        <v>1458</v>
      </c>
      <c r="C300" t="s" s="11">
        <v>1074</v>
      </c>
      <c r="D300" s="12">
        <v>45476.679217488425</v>
      </c>
      <c r="E300" t="s" s="13">
        <v>35</v>
      </c>
      <c r="F300" t="s" s="13">
        <v>36</v>
      </c>
      <c r="G300" s="14">
        <v>2</v>
      </c>
      <c r="H300" s="15">
        <v>49.99</v>
      </c>
      <c r="I300" s="15">
        <v>99.98</v>
      </c>
    </row>
    <row r="301" ht="12.9" customHeight="1">
      <c r="B301" t="s" s="10">
        <v>1458</v>
      </c>
      <c r="C301" t="s" s="11">
        <v>1074</v>
      </c>
      <c r="D301" s="12">
        <v>45476.679217488425</v>
      </c>
      <c r="E301" t="s" s="13">
        <v>19</v>
      </c>
      <c r="F301" t="s" s="13">
        <v>20</v>
      </c>
      <c r="G301" s="14">
        <v>1</v>
      </c>
      <c r="H301" s="15">
        <v>119.99</v>
      </c>
      <c r="I301" s="15">
        <v>119.99</v>
      </c>
    </row>
    <row r="302" ht="12.9" customHeight="1">
      <c r="B302" t="s" s="10">
        <v>1459</v>
      </c>
      <c r="C302" t="s" s="11">
        <v>1460</v>
      </c>
      <c r="D302" s="12">
        <v>45476.029876180553</v>
      </c>
      <c r="E302" t="s" s="13">
        <v>95</v>
      </c>
      <c r="F302" t="s" s="13">
        <v>12</v>
      </c>
      <c r="G302" s="14">
        <v>1</v>
      </c>
      <c r="H302" s="15">
        <v>324.99</v>
      </c>
      <c r="I302" s="15">
        <v>324.99</v>
      </c>
    </row>
    <row r="303" ht="12.9" customHeight="1">
      <c r="B303" t="s" s="10">
        <v>1461</v>
      </c>
      <c r="C303" t="s" s="11">
        <v>1431</v>
      </c>
      <c r="D303" s="12">
        <v>45476</v>
      </c>
      <c r="E303" t="s" s="13">
        <v>254</v>
      </c>
      <c r="F303" t="s" s="13">
        <v>1462</v>
      </c>
      <c r="G303" s="14">
        <v>1</v>
      </c>
      <c r="H303" s="15">
        <v>0</v>
      </c>
      <c r="I303" s="15">
        <v>0</v>
      </c>
    </row>
    <row r="304" ht="12.9" customHeight="1">
      <c r="B304" t="s" s="10">
        <v>1461</v>
      </c>
      <c r="C304" t="s" s="11">
        <v>1431</v>
      </c>
      <c r="D304" s="12">
        <v>45476</v>
      </c>
      <c r="E304" t="s" s="13">
        <v>726</v>
      </c>
      <c r="F304" t="s" s="13">
        <v>726</v>
      </c>
      <c r="G304" s="14">
        <v>1</v>
      </c>
      <c r="H304" s="15">
        <v>0</v>
      </c>
      <c r="I304" s="15">
        <v>0</v>
      </c>
    </row>
    <row r="305" ht="12.9" customHeight="1">
      <c r="B305" t="s" s="10">
        <v>1461</v>
      </c>
      <c r="C305" t="s" s="11">
        <v>1431</v>
      </c>
      <c r="D305" s="12">
        <v>45476</v>
      </c>
      <c r="E305" t="s" s="13">
        <v>402</v>
      </c>
      <c r="F305" t="s" s="13">
        <v>403</v>
      </c>
      <c r="G305" s="14">
        <v>1</v>
      </c>
      <c r="H305" s="15">
        <v>0</v>
      </c>
      <c r="I305" s="15">
        <v>0</v>
      </c>
    </row>
    <row r="306" ht="12.9" customHeight="1">
      <c r="B306" t="s" s="10">
        <v>1463</v>
      </c>
      <c r="C306" t="s" s="11">
        <v>704</v>
      </c>
      <c r="D306" s="12">
        <v>45476</v>
      </c>
      <c r="E306" t="s" s="13">
        <v>31</v>
      </c>
      <c r="F306" t="s" s="13">
        <v>32</v>
      </c>
      <c r="G306" s="14">
        <v>3</v>
      </c>
      <c r="H306" s="15">
        <v>449.9925</v>
      </c>
      <c r="I306" s="15">
        <v>1349.9775</v>
      </c>
    </row>
    <row r="307" ht="12.9" customHeight="1">
      <c r="B307" t="s" s="10">
        <v>1463</v>
      </c>
      <c r="C307" t="s" s="11">
        <v>704</v>
      </c>
      <c r="D307" s="12">
        <v>45476</v>
      </c>
      <c r="E307" t="s" s="13">
        <v>602</v>
      </c>
      <c r="F307" t="s" s="13">
        <v>686</v>
      </c>
      <c r="G307" s="14">
        <v>3</v>
      </c>
      <c r="H307" s="15">
        <v>224.9925</v>
      </c>
      <c r="I307" s="15">
        <v>674.9775</v>
      </c>
    </row>
    <row r="308" ht="12.9" customHeight="1">
      <c r="B308" t="s" s="10">
        <v>1464</v>
      </c>
      <c r="C308" t="s" s="11">
        <v>1465</v>
      </c>
      <c r="D308" s="12">
        <v>45476</v>
      </c>
      <c r="E308" t="s" s="13">
        <v>1466</v>
      </c>
      <c r="F308" t="s" s="13">
        <v>1467</v>
      </c>
      <c r="G308" s="14">
        <v>1</v>
      </c>
      <c r="H308" s="15">
        <v>429.99</v>
      </c>
      <c r="I308" s="15">
        <v>429.99</v>
      </c>
    </row>
    <row r="309" ht="12.9" customHeight="1">
      <c r="B309" t="s" s="10">
        <v>1468</v>
      </c>
      <c r="C309" t="s" s="11">
        <v>1469</v>
      </c>
      <c r="D309" s="12">
        <v>45475.966679270830</v>
      </c>
      <c r="E309" t="s" s="13">
        <v>31</v>
      </c>
      <c r="F309" t="s" s="13">
        <v>32</v>
      </c>
      <c r="G309" s="14">
        <v>1</v>
      </c>
      <c r="H309" s="15">
        <v>599.99</v>
      </c>
      <c r="I309" s="15">
        <v>599.99</v>
      </c>
    </row>
    <row r="310" ht="12.9" customHeight="1">
      <c r="B310" t="s" s="10">
        <v>1470</v>
      </c>
      <c r="C310" t="s" s="11">
        <v>1471</v>
      </c>
      <c r="D310" s="12">
        <v>45475.789518449077</v>
      </c>
      <c r="E310" t="s" s="13">
        <v>81</v>
      </c>
      <c r="F310" t="s" s="13">
        <v>82</v>
      </c>
      <c r="G310" s="14">
        <v>2</v>
      </c>
      <c r="H310" s="15">
        <v>849.99</v>
      </c>
      <c r="I310" s="15">
        <v>1699.98</v>
      </c>
    </row>
    <row r="311" ht="12.9" customHeight="1">
      <c r="B311" t="s" s="10">
        <v>1470</v>
      </c>
      <c r="C311" t="s" s="11">
        <v>1471</v>
      </c>
      <c r="D311" s="12">
        <v>45475.789518449077</v>
      </c>
      <c r="E311" t="s" s="13">
        <v>23</v>
      </c>
      <c r="F311" t="s" s="13">
        <v>24</v>
      </c>
      <c r="G311" s="14">
        <v>2</v>
      </c>
      <c r="H311" s="15">
        <v>0</v>
      </c>
      <c r="I311" s="15">
        <v>0</v>
      </c>
    </row>
    <row r="312" ht="12.9" customHeight="1">
      <c r="B312" t="s" s="10">
        <v>1470</v>
      </c>
      <c r="C312" t="s" s="11">
        <v>1471</v>
      </c>
      <c r="D312" s="12">
        <v>45475.789518449077</v>
      </c>
      <c r="E312" t="s" s="13">
        <v>50</v>
      </c>
      <c r="F312" t="s" s="13">
        <v>83</v>
      </c>
      <c r="G312" s="14">
        <v>2</v>
      </c>
      <c r="H312" s="15">
        <v>0</v>
      </c>
      <c r="I312" s="15">
        <v>0</v>
      </c>
    </row>
    <row r="313" ht="12.9" customHeight="1">
      <c r="B313" t="s" s="10">
        <v>1470</v>
      </c>
      <c r="C313" t="s" s="11">
        <v>1471</v>
      </c>
      <c r="D313" s="12">
        <v>45475.789518449077</v>
      </c>
      <c r="E313" t="s" s="13">
        <v>84</v>
      </c>
      <c r="F313" t="s" s="13">
        <v>85</v>
      </c>
      <c r="G313" s="14">
        <v>2</v>
      </c>
      <c r="H313" s="15">
        <v>0</v>
      </c>
      <c r="I313" s="15">
        <v>0</v>
      </c>
    </row>
    <row r="314" ht="12.9" customHeight="1">
      <c r="B314" t="s" s="10">
        <v>1472</v>
      </c>
      <c r="C314" t="s" s="11">
        <v>1473</v>
      </c>
      <c r="D314" s="12">
        <v>45475.511697650465</v>
      </c>
      <c r="E314" t="s" s="13">
        <v>15</v>
      </c>
      <c r="F314" t="s" s="13">
        <v>16</v>
      </c>
      <c r="G314" s="14">
        <v>3</v>
      </c>
      <c r="H314" s="15">
        <v>9.99</v>
      </c>
      <c r="I314" s="15">
        <v>29.97</v>
      </c>
    </row>
    <row r="315" ht="12.9" customHeight="1">
      <c r="B315" t="s" s="10">
        <v>1472</v>
      </c>
      <c r="C315" t="s" s="11">
        <v>1473</v>
      </c>
      <c r="D315" s="12">
        <v>45475.511697650465</v>
      </c>
      <c r="E315" t="s" s="13">
        <v>179</v>
      </c>
      <c r="F315" t="s" s="13">
        <v>180</v>
      </c>
      <c r="G315" s="14">
        <v>2</v>
      </c>
      <c r="H315" s="15">
        <v>49.99</v>
      </c>
      <c r="I315" s="15">
        <v>99.98</v>
      </c>
    </row>
    <row r="316" ht="12.9" customHeight="1">
      <c r="B316" t="s" s="10">
        <v>1474</v>
      </c>
      <c r="C316" t="s" s="11">
        <v>563</v>
      </c>
      <c r="D316" s="12">
        <v>45475</v>
      </c>
      <c r="E316" t="s" s="13">
        <v>47</v>
      </c>
      <c r="F316" s="16"/>
      <c r="G316" s="14">
        <v>1</v>
      </c>
      <c r="H316" s="15">
        <v>123.5</v>
      </c>
      <c r="I316" s="15">
        <v>123.5</v>
      </c>
    </row>
    <row r="317" ht="12.9" customHeight="1">
      <c r="B317" t="s" s="10">
        <v>1474</v>
      </c>
      <c r="C317" t="s" s="11">
        <v>563</v>
      </c>
      <c r="D317" s="12">
        <v>45475</v>
      </c>
      <c r="E317" t="s" s="13">
        <v>81</v>
      </c>
      <c r="F317" t="s" s="13">
        <v>1475</v>
      </c>
      <c r="G317" s="14">
        <v>6</v>
      </c>
      <c r="H317" s="15">
        <v>562.4924999999999</v>
      </c>
      <c r="I317" s="15">
        <v>3374.955</v>
      </c>
    </row>
    <row r="318" ht="12.9" customHeight="1">
      <c r="B318" t="s" s="10">
        <v>1474</v>
      </c>
      <c r="C318" t="s" s="11">
        <v>563</v>
      </c>
      <c r="D318" s="12">
        <v>45475</v>
      </c>
      <c r="E318" t="s" s="13">
        <v>50</v>
      </c>
      <c r="F318" t="s" s="13">
        <v>51</v>
      </c>
      <c r="G318" s="14">
        <v>6</v>
      </c>
      <c r="H318" s="15">
        <v>0</v>
      </c>
      <c r="I318" s="15">
        <v>0</v>
      </c>
    </row>
    <row r="319" ht="12.9" customHeight="1">
      <c r="B319" t="s" s="10">
        <v>1474</v>
      </c>
      <c r="C319" t="s" s="11">
        <v>563</v>
      </c>
      <c r="D319" s="12">
        <v>45475</v>
      </c>
      <c r="E319" t="s" s="13">
        <v>470</v>
      </c>
      <c r="F319" t="s" s="13">
        <v>1476</v>
      </c>
      <c r="G319" s="14">
        <v>2</v>
      </c>
      <c r="H319" s="15">
        <v>187.4925</v>
      </c>
      <c r="I319" s="15">
        <v>374.985</v>
      </c>
    </row>
    <row r="320" ht="12.9" customHeight="1">
      <c r="B320" t="s" s="10">
        <v>1474</v>
      </c>
      <c r="C320" t="s" s="11">
        <v>563</v>
      </c>
      <c r="D320" s="12">
        <v>45475</v>
      </c>
      <c r="E320" t="s" s="13">
        <v>462</v>
      </c>
      <c r="F320" t="s" s="13">
        <v>463</v>
      </c>
      <c r="G320" s="14">
        <v>1</v>
      </c>
      <c r="H320" s="15">
        <v>149.9925</v>
      </c>
      <c r="I320" s="15">
        <v>149.9925</v>
      </c>
    </row>
    <row r="321" ht="12.9" customHeight="1">
      <c r="B321" t="s" s="10">
        <v>1474</v>
      </c>
      <c r="C321" t="s" s="11">
        <v>563</v>
      </c>
      <c r="D321" s="12">
        <v>45475</v>
      </c>
      <c r="E321" t="s" s="13">
        <v>1257</v>
      </c>
      <c r="F321" t="s" s="13">
        <v>1477</v>
      </c>
      <c r="G321" s="14">
        <v>2</v>
      </c>
      <c r="H321" s="15">
        <v>254.9925</v>
      </c>
      <c r="I321" s="15">
        <v>509.985</v>
      </c>
    </row>
    <row r="322" ht="12.9" customHeight="1">
      <c r="B322" t="s" s="10">
        <v>1474</v>
      </c>
      <c r="C322" t="s" s="11">
        <v>563</v>
      </c>
      <c r="D322" s="12">
        <v>45475</v>
      </c>
      <c r="E322" t="s" s="13">
        <v>1257</v>
      </c>
      <c r="F322" t="s" s="13">
        <v>1478</v>
      </c>
      <c r="G322" s="14">
        <v>1</v>
      </c>
      <c r="H322" s="15">
        <v>344.9925</v>
      </c>
      <c r="I322" s="15">
        <v>344.9925</v>
      </c>
    </row>
    <row r="323" ht="12.9" customHeight="1">
      <c r="B323" t="s" s="10">
        <v>1474</v>
      </c>
      <c r="C323" t="s" s="11">
        <v>563</v>
      </c>
      <c r="D323" s="12">
        <v>45475</v>
      </c>
      <c r="E323" t="s" s="13">
        <v>1479</v>
      </c>
      <c r="F323" t="s" s="13">
        <v>1480</v>
      </c>
      <c r="G323" s="14">
        <v>1</v>
      </c>
      <c r="H323" s="15">
        <v>224.9925</v>
      </c>
      <c r="I323" s="15">
        <v>224.9925</v>
      </c>
    </row>
    <row r="324" ht="12.9" customHeight="1">
      <c r="B324" t="s" s="10">
        <v>1474</v>
      </c>
      <c r="C324" t="s" s="11">
        <v>563</v>
      </c>
      <c r="D324" s="12">
        <v>45475</v>
      </c>
      <c r="E324" t="s" s="13">
        <v>73</v>
      </c>
      <c r="F324" t="s" s="13">
        <v>74</v>
      </c>
      <c r="G324" s="14">
        <v>1</v>
      </c>
      <c r="H324" s="15">
        <v>299.9925</v>
      </c>
      <c r="I324" s="15">
        <v>299.9925</v>
      </c>
    </row>
    <row r="325" ht="12.9" customHeight="1">
      <c r="B325" t="s" s="10">
        <v>1474</v>
      </c>
      <c r="C325" t="s" s="11">
        <v>563</v>
      </c>
      <c r="D325" s="12">
        <v>45475</v>
      </c>
      <c r="E325" t="s" s="13">
        <v>35</v>
      </c>
      <c r="F325" t="s" s="13">
        <v>36</v>
      </c>
      <c r="G325" s="14">
        <v>4</v>
      </c>
      <c r="H325" s="15">
        <v>37.4925</v>
      </c>
      <c r="I325" s="15">
        <v>149.97</v>
      </c>
    </row>
    <row r="326" ht="12.9" customHeight="1">
      <c r="B326" t="s" s="10">
        <v>1474</v>
      </c>
      <c r="C326" t="s" s="11">
        <v>563</v>
      </c>
      <c r="D326" s="12">
        <v>45475</v>
      </c>
      <c r="E326" t="s" s="13">
        <v>89</v>
      </c>
      <c r="F326" t="s" s="13">
        <v>90</v>
      </c>
      <c r="G326" s="14">
        <v>4</v>
      </c>
      <c r="H326" s="15">
        <v>44.9925</v>
      </c>
      <c r="I326" s="15">
        <v>179.97</v>
      </c>
    </row>
    <row r="327" ht="12.9" customHeight="1">
      <c r="B327" t="s" s="10">
        <v>1481</v>
      </c>
      <c r="C327" t="s" s="11">
        <v>555</v>
      </c>
      <c r="D327" s="12">
        <v>45475</v>
      </c>
      <c r="E327" t="s" s="13">
        <v>1482</v>
      </c>
      <c r="F327" t="s" s="13">
        <v>1483</v>
      </c>
      <c r="G327" s="14">
        <v>3</v>
      </c>
      <c r="H327" s="15">
        <v>0</v>
      </c>
      <c r="I327" s="15">
        <v>0</v>
      </c>
    </row>
    <row r="328" ht="12.9" customHeight="1">
      <c r="B328" t="s" s="10">
        <v>1481</v>
      </c>
      <c r="C328" t="s" s="11">
        <v>555</v>
      </c>
      <c r="D328" s="12">
        <v>45475</v>
      </c>
      <c r="E328" t="s" s="13">
        <v>406</v>
      </c>
      <c r="F328" t="s" s="13">
        <v>1484</v>
      </c>
      <c r="G328" s="14">
        <v>5</v>
      </c>
      <c r="H328" s="15">
        <v>0</v>
      </c>
      <c r="I328" s="15">
        <v>0</v>
      </c>
    </row>
    <row r="329" ht="12.9" customHeight="1">
      <c r="B329" t="s" s="10">
        <v>1485</v>
      </c>
      <c r="C329" t="s" s="11">
        <v>476</v>
      </c>
      <c r="D329" s="12">
        <v>45475</v>
      </c>
      <c r="E329" t="s" s="13">
        <v>63</v>
      </c>
      <c r="F329" s="16"/>
      <c r="G329" s="14">
        <v>1</v>
      </c>
      <c r="H329" s="15">
        <v>16.8</v>
      </c>
      <c r="I329" s="15">
        <v>16.8</v>
      </c>
    </row>
    <row r="330" ht="12.9" customHeight="1">
      <c r="B330" t="s" s="10">
        <v>1485</v>
      </c>
      <c r="C330" t="s" s="11">
        <v>476</v>
      </c>
      <c r="D330" s="12">
        <v>45475</v>
      </c>
      <c r="E330" t="s" s="13">
        <v>1486</v>
      </c>
      <c r="F330" t="s" s="13">
        <v>1487</v>
      </c>
      <c r="G330" s="14">
        <v>4</v>
      </c>
      <c r="H330" s="15">
        <v>48.75</v>
      </c>
      <c r="I330" s="15">
        <v>195</v>
      </c>
    </row>
    <row r="331" ht="12.9" customHeight="1">
      <c r="B331" t="s" s="10">
        <v>1488</v>
      </c>
      <c r="C331" t="s" s="11">
        <v>1471</v>
      </c>
      <c r="D331" s="12">
        <v>45475</v>
      </c>
      <c r="E331" t="s" s="13">
        <v>63</v>
      </c>
      <c r="F331" s="16"/>
      <c r="G331" s="14">
        <v>1</v>
      </c>
      <c r="H331" s="15">
        <v>43.2</v>
      </c>
      <c r="I331" s="15">
        <v>43.2</v>
      </c>
    </row>
    <row r="332" ht="12.9" customHeight="1">
      <c r="B332" t="s" s="10">
        <v>1488</v>
      </c>
      <c r="C332" t="s" s="11">
        <v>1471</v>
      </c>
      <c r="D332" s="12">
        <v>45475</v>
      </c>
      <c r="E332" t="s" s="13">
        <v>213</v>
      </c>
      <c r="F332" t="s" s="13">
        <v>214</v>
      </c>
      <c r="G332" s="14">
        <v>2</v>
      </c>
      <c r="H332" s="15">
        <v>425</v>
      </c>
      <c r="I332" s="15">
        <v>850</v>
      </c>
    </row>
    <row r="333" ht="12.9" customHeight="1">
      <c r="B333" t="s" s="10">
        <v>1489</v>
      </c>
      <c r="C333" t="s" s="11">
        <v>1490</v>
      </c>
      <c r="D333" s="12">
        <v>45474.745428530092</v>
      </c>
      <c r="E333" t="s" s="13">
        <v>682</v>
      </c>
      <c r="F333" t="s" s="13">
        <v>683</v>
      </c>
      <c r="G333" s="14">
        <v>1</v>
      </c>
      <c r="H333" s="15">
        <v>249.99</v>
      </c>
      <c r="I333" s="15">
        <v>249.99</v>
      </c>
    </row>
    <row r="334" ht="12.9" customHeight="1">
      <c r="B334" t="s" s="10">
        <v>1491</v>
      </c>
      <c r="C334" t="s" s="11">
        <v>1492</v>
      </c>
      <c r="D334" s="12">
        <v>45474.640945625</v>
      </c>
      <c r="E334" t="s" s="13">
        <v>59</v>
      </c>
      <c r="F334" t="s" s="13">
        <v>60</v>
      </c>
      <c r="G334" s="14">
        <v>1</v>
      </c>
      <c r="H334" s="15">
        <v>1199.99</v>
      </c>
      <c r="I334" s="15">
        <v>1199.99</v>
      </c>
    </row>
    <row r="335" ht="12.9" customHeight="1">
      <c r="B335" t="s" s="10">
        <v>1493</v>
      </c>
      <c r="C335" t="s" s="11">
        <v>1494</v>
      </c>
      <c r="D335" s="12">
        <v>45474.55003625</v>
      </c>
      <c r="E335" t="s" s="13">
        <v>345</v>
      </c>
      <c r="F335" t="s" s="13">
        <v>346</v>
      </c>
      <c r="G335" s="14">
        <v>2</v>
      </c>
      <c r="H335" s="15">
        <v>219.99</v>
      </c>
      <c r="I335" s="15">
        <v>439.98</v>
      </c>
    </row>
    <row r="336" ht="12.9" customHeight="1">
      <c r="B336" t="s" s="10">
        <v>1495</v>
      </c>
      <c r="C336" t="s" s="11">
        <v>1406</v>
      </c>
      <c r="D336" s="12">
        <v>45474</v>
      </c>
      <c r="E336" t="s" s="13">
        <v>47</v>
      </c>
      <c r="F336" s="16"/>
      <c r="G336" s="14">
        <v>1</v>
      </c>
      <c r="H336" s="15">
        <v>42.5</v>
      </c>
      <c r="I336" s="15">
        <v>42.5</v>
      </c>
    </row>
    <row r="337" ht="12.9" customHeight="1">
      <c r="B337" t="s" s="10">
        <v>1495</v>
      </c>
      <c r="C337" t="s" s="11">
        <v>1406</v>
      </c>
      <c r="D337" s="12">
        <v>45474</v>
      </c>
      <c r="E337" t="s" s="13">
        <v>19</v>
      </c>
      <c r="F337" t="s" s="13">
        <v>20</v>
      </c>
      <c r="G337" s="14">
        <v>4</v>
      </c>
      <c r="H337" s="15">
        <v>95.992</v>
      </c>
      <c r="I337" s="15">
        <v>383.968</v>
      </c>
    </row>
    <row r="338" ht="12.9" customHeight="1">
      <c r="B338" t="s" s="10">
        <v>1495</v>
      </c>
      <c r="C338" t="s" s="11">
        <v>1406</v>
      </c>
      <c r="D338" s="12">
        <v>45474</v>
      </c>
      <c r="E338" t="s" s="13">
        <v>115</v>
      </c>
      <c r="F338" t="s" s="13">
        <v>116</v>
      </c>
      <c r="G338" s="14">
        <v>4</v>
      </c>
      <c r="H338" s="15">
        <v>18.392</v>
      </c>
      <c r="I338" s="15">
        <v>73.568</v>
      </c>
    </row>
    <row r="339" ht="12.9" customHeight="1">
      <c r="B339" t="s" s="10">
        <v>1495</v>
      </c>
      <c r="C339" t="s" s="11">
        <v>1406</v>
      </c>
      <c r="D339" s="12">
        <v>45474</v>
      </c>
      <c r="E339" t="s" s="13">
        <v>77</v>
      </c>
      <c r="F339" t="s" s="13">
        <v>78</v>
      </c>
      <c r="G339" s="14">
        <v>5</v>
      </c>
      <c r="H339" s="15">
        <v>15.992</v>
      </c>
      <c r="I339" s="15">
        <v>79.95999999999999</v>
      </c>
    </row>
    <row r="340" ht="12.9" customHeight="1">
      <c r="B340" t="s" s="10">
        <v>1495</v>
      </c>
      <c r="C340" t="s" s="11">
        <v>1406</v>
      </c>
      <c r="D340" s="12">
        <v>45474</v>
      </c>
      <c r="E340" t="s" s="13">
        <v>179</v>
      </c>
      <c r="F340" t="s" s="13">
        <v>180</v>
      </c>
      <c r="G340" s="14">
        <v>4</v>
      </c>
      <c r="H340" s="15">
        <v>39.992</v>
      </c>
      <c r="I340" s="15">
        <v>159.968</v>
      </c>
    </row>
    <row r="341" ht="12.9" customHeight="1">
      <c r="B341" t="s" s="10">
        <v>1495</v>
      </c>
      <c r="C341" t="s" s="11">
        <v>1406</v>
      </c>
      <c r="D341" s="12">
        <v>45474</v>
      </c>
      <c r="E341" t="s" s="13">
        <v>1054</v>
      </c>
      <c r="F341" t="s" s="13">
        <v>1055</v>
      </c>
      <c r="G341" s="14">
        <v>1</v>
      </c>
      <c r="H341" s="15">
        <v>119.992</v>
      </c>
      <c r="I341" s="15">
        <v>119.992</v>
      </c>
    </row>
    <row r="342" ht="12.9" customHeight="1">
      <c r="B342" t="s" s="10">
        <v>1495</v>
      </c>
      <c r="C342" t="s" s="11">
        <v>1406</v>
      </c>
      <c r="D342" s="12">
        <v>45474</v>
      </c>
      <c r="E342" t="s" s="13">
        <v>133</v>
      </c>
      <c r="F342" t="s" s="13">
        <v>134</v>
      </c>
      <c r="G342" s="14">
        <v>2</v>
      </c>
      <c r="H342" s="15">
        <v>159.992</v>
      </c>
      <c r="I342" s="15">
        <v>319.984</v>
      </c>
    </row>
    <row r="343" ht="12.9" customHeight="1">
      <c r="B343" t="s" s="10">
        <v>1495</v>
      </c>
      <c r="C343" t="s" s="11">
        <v>1406</v>
      </c>
      <c r="D343" s="12">
        <v>45474</v>
      </c>
      <c r="E343" t="s" s="13">
        <v>602</v>
      </c>
      <c r="F343" t="s" s="13">
        <v>686</v>
      </c>
      <c r="G343" s="14">
        <v>4</v>
      </c>
      <c r="H343" s="15">
        <v>239.992</v>
      </c>
      <c r="I343" s="15">
        <v>959.968</v>
      </c>
    </row>
    <row r="344" ht="12.9" customHeight="1">
      <c r="B344" t="s" s="10">
        <v>1496</v>
      </c>
      <c r="C344" t="s" s="11">
        <v>1497</v>
      </c>
      <c r="D344" s="12">
        <v>45474</v>
      </c>
      <c r="E344" t="s" s="13">
        <v>497</v>
      </c>
      <c r="F344" t="s" s="13">
        <v>498</v>
      </c>
      <c r="G344" s="14">
        <v>1</v>
      </c>
      <c r="H344" s="15">
        <v>0</v>
      </c>
      <c r="I344" s="15">
        <v>0</v>
      </c>
    </row>
    <row r="345" ht="12.9" customHeight="1">
      <c r="B345" t="s" s="10">
        <v>1498</v>
      </c>
      <c r="C345" t="s" s="11">
        <v>1074</v>
      </c>
      <c r="D345" s="12">
        <v>45474</v>
      </c>
      <c r="E345" t="s" s="13">
        <v>497</v>
      </c>
      <c r="F345" t="s" s="13">
        <v>498</v>
      </c>
      <c r="G345" s="14">
        <v>1</v>
      </c>
      <c r="H345" s="15">
        <v>0</v>
      </c>
      <c r="I345" s="15">
        <v>0</v>
      </c>
    </row>
    <row r="346" ht="12.9" customHeight="1">
      <c r="B346" t="s" s="10">
        <v>1499</v>
      </c>
      <c r="C346" t="s" s="11">
        <v>1500</v>
      </c>
      <c r="D346" s="12">
        <v>45474</v>
      </c>
      <c r="E346" t="s" s="13">
        <v>404</v>
      </c>
      <c r="F346" t="s" s="13">
        <v>405</v>
      </c>
      <c r="G346" s="14">
        <v>1</v>
      </c>
      <c r="H346" s="15">
        <v>0</v>
      </c>
      <c r="I346" s="15">
        <v>0</v>
      </c>
    </row>
    <row r="347" ht="12.9" customHeight="1">
      <c r="B347" t="s" s="10">
        <v>1501</v>
      </c>
      <c r="C347" t="s" s="11">
        <v>964</v>
      </c>
      <c r="D347" s="12">
        <v>45474</v>
      </c>
      <c r="E347" t="s" s="13">
        <v>50</v>
      </c>
      <c r="F347" t="s" s="13">
        <v>83</v>
      </c>
      <c r="G347" s="14">
        <v>5</v>
      </c>
      <c r="H347" s="15">
        <v>26.991</v>
      </c>
      <c r="I347" s="15">
        <v>134.955</v>
      </c>
    </row>
    <row r="348" ht="12.9" customHeight="1">
      <c r="B348" t="s" s="10">
        <v>1502</v>
      </c>
      <c r="C348" t="s" s="11">
        <v>42</v>
      </c>
      <c r="D348" s="12">
        <v>45474</v>
      </c>
      <c r="E348" t="s" s="13">
        <v>207</v>
      </c>
      <c r="F348" t="s" s="13">
        <v>208</v>
      </c>
      <c r="G348" s="14">
        <v>10</v>
      </c>
      <c r="H348" s="15">
        <v>0</v>
      </c>
      <c r="I348" s="15">
        <v>0</v>
      </c>
    </row>
    <row r="349" ht="12.9" customHeight="1">
      <c r="B349" s="17"/>
      <c r="C349" s="18"/>
      <c r="D349" s="12"/>
      <c r="E349" s="16"/>
      <c r="F349" s="16"/>
      <c r="G349" s="16"/>
      <c r="H349" s="15"/>
      <c r="I349" s="15"/>
    </row>
    <row r="350" ht="12.9" customHeight="1">
      <c r="B350" s="17"/>
      <c r="C350" s="18"/>
      <c r="D350" s="12"/>
      <c r="E350" s="16"/>
      <c r="F350" s="16"/>
      <c r="G350" s="16"/>
      <c r="H350" s="15"/>
      <c r="I350" s="15"/>
    </row>
    <row r="351" ht="12.9" customHeight="1">
      <c r="B351" s="17"/>
      <c r="C351" s="18"/>
      <c r="D351" s="12"/>
      <c r="E351" s="16"/>
      <c r="F351" s="16"/>
      <c r="G351" s="16"/>
      <c r="H351" s="15"/>
      <c r="I351" s="15"/>
    </row>
    <row r="352" ht="12.9" customHeight="1">
      <c r="B352" s="17"/>
      <c r="C352" s="18"/>
      <c r="D352" s="12"/>
      <c r="E352" s="16"/>
      <c r="F352" s="16"/>
      <c r="G352" s="16"/>
      <c r="H352" s="15"/>
      <c r="I352" s="15"/>
    </row>
    <row r="353" ht="12.9" customHeight="1">
      <c r="B353" s="17"/>
      <c r="C353" s="18"/>
      <c r="D353" s="12"/>
      <c r="E353" s="16"/>
      <c r="F353" s="16"/>
      <c r="G353" s="16"/>
      <c r="H353" s="15"/>
      <c r="I353" s="15"/>
    </row>
    <row r="354" ht="12.9" customHeight="1">
      <c r="B354" s="17"/>
      <c r="C354" s="18"/>
      <c r="D354" s="12"/>
      <c r="E354" s="16"/>
      <c r="F354" s="16"/>
      <c r="G354" s="16"/>
      <c r="H354" s="15"/>
      <c r="I354" s="15"/>
    </row>
    <row r="355" ht="12.9" customHeight="1">
      <c r="B355" s="17"/>
      <c r="C355" s="18"/>
      <c r="D355" s="12"/>
      <c r="E355" s="16"/>
      <c r="F355" s="16"/>
      <c r="G355" s="16"/>
      <c r="H355" s="15"/>
      <c r="I355" s="15"/>
    </row>
    <row r="356" ht="12.9" customHeight="1">
      <c r="B356" s="17"/>
      <c r="C356" s="18"/>
      <c r="D356" s="12"/>
      <c r="E356" s="16"/>
      <c r="F356" s="16"/>
      <c r="G356" s="16"/>
      <c r="H356" s="15"/>
      <c r="I356" s="15"/>
    </row>
    <row r="357" ht="12.9" customHeight="1">
      <c r="B357" s="17"/>
      <c r="C357" s="18"/>
      <c r="D357" s="12"/>
      <c r="E357" s="16"/>
      <c r="F357" s="16"/>
      <c r="G357" s="16"/>
      <c r="H357" s="15"/>
      <c r="I357" s="15"/>
    </row>
    <row r="358" ht="12.9" customHeight="1">
      <c r="B358" s="17"/>
      <c r="C358" s="18"/>
      <c r="D358" s="12"/>
      <c r="E358" s="16"/>
      <c r="F358" s="16"/>
      <c r="G358" s="16"/>
      <c r="H358" s="15"/>
      <c r="I358" s="15"/>
    </row>
    <row r="359" ht="12.9" customHeight="1">
      <c r="B359" s="17"/>
      <c r="C359" s="18"/>
      <c r="D359" s="12"/>
      <c r="E359" s="16"/>
      <c r="F359" s="16"/>
      <c r="G359" s="16"/>
      <c r="H359" s="15"/>
      <c r="I359" s="15"/>
    </row>
    <row r="360" ht="12.9" customHeight="1">
      <c r="B360" s="17"/>
      <c r="C360" s="18"/>
      <c r="D360" s="12"/>
      <c r="E360" s="16"/>
      <c r="F360" s="16"/>
      <c r="G360" s="16"/>
      <c r="H360" s="15"/>
      <c r="I360" s="15"/>
    </row>
    <row r="361" ht="12.9" customHeight="1">
      <c r="B361" s="17"/>
      <c r="C361" s="18"/>
      <c r="D361" s="12"/>
      <c r="E361" s="16"/>
      <c r="F361" s="16"/>
      <c r="G361" s="16"/>
      <c r="H361" s="15"/>
      <c r="I361" s="15"/>
    </row>
    <row r="362" ht="12.9" customHeight="1">
      <c r="B362" s="17"/>
      <c r="C362" s="18"/>
      <c r="D362" s="12"/>
      <c r="E362" s="16"/>
      <c r="F362" s="16"/>
      <c r="G362" s="16"/>
      <c r="H362" s="15"/>
      <c r="I362" s="15"/>
    </row>
    <row r="363" ht="12.9" customHeight="1">
      <c r="B363" s="17"/>
      <c r="C363" s="18"/>
      <c r="D363" s="12"/>
      <c r="E363" s="16"/>
      <c r="F363" s="16"/>
      <c r="G363" s="16"/>
      <c r="H363" s="15"/>
      <c r="I363" s="15"/>
    </row>
    <row r="364" ht="12.9" customHeight="1">
      <c r="B364" s="17"/>
      <c r="C364" s="18"/>
      <c r="D364" s="12"/>
      <c r="E364" s="16"/>
      <c r="F364" s="16"/>
      <c r="G364" s="16"/>
      <c r="H364" s="15"/>
      <c r="I364" s="15"/>
    </row>
    <row r="365" ht="12.9" customHeight="1">
      <c r="B365" s="17"/>
      <c r="C365" s="18"/>
      <c r="D365" s="12"/>
      <c r="E365" s="16"/>
      <c r="F365" s="16"/>
      <c r="G365" s="16"/>
      <c r="H365" s="15"/>
      <c r="I365" s="15"/>
    </row>
    <row r="366" ht="12.9" customHeight="1">
      <c r="B366" s="17"/>
      <c r="C366" s="18"/>
      <c r="D366" s="12"/>
      <c r="E366" s="16"/>
      <c r="F366" s="16"/>
      <c r="G366" s="16"/>
      <c r="H366" s="15"/>
      <c r="I366" s="15"/>
    </row>
    <row r="367" ht="12.9" customHeight="1">
      <c r="B367" s="17"/>
      <c r="C367" s="18"/>
      <c r="D367" s="12"/>
      <c r="E367" s="16"/>
      <c r="F367" s="16"/>
      <c r="G367" s="16"/>
      <c r="H367" s="15"/>
      <c r="I367" s="15"/>
    </row>
    <row r="368" ht="12.9" customHeight="1">
      <c r="B368" s="17"/>
      <c r="C368" s="18"/>
      <c r="D368" s="12"/>
      <c r="E368" s="16"/>
      <c r="F368" s="16"/>
      <c r="G368" s="16"/>
      <c r="H368" s="15"/>
      <c r="I368" s="15"/>
    </row>
    <row r="369" ht="12.9" customHeight="1">
      <c r="B369" s="17"/>
      <c r="C369" s="18"/>
      <c r="D369" s="12"/>
      <c r="E369" s="16"/>
      <c r="F369" s="16"/>
      <c r="G369" s="16"/>
      <c r="H369" s="15"/>
      <c r="I369" s="15"/>
    </row>
    <row r="370" ht="12.9" customHeight="1">
      <c r="B370" s="17"/>
      <c r="C370" s="18"/>
      <c r="D370" s="12"/>
      <c r="E370" s="16"/>
      <c r="F370" s="16"/>
      <c r="G370" s="16"/>
      <c r="H370" s="15"/>
      <c r="I370" s="15"/>
    </row>
    <row r="371" ht="12.9" customHeight="1">
      <c r="B371" s="17"/>
      <c r="C371" s="18"/>
      <c r="D371" s="12"/>
      <c r="E371" s="16"/>
      <c r="F371" s="16"/>
      <c r="G371" s="16"/>
      <c r="H371" s="15"/>
      <c r="I371" s="15"/>
    </row>
    <row r="372" ht="12.9" customHeight="1">
      <c r="B372" s="17"/>
      <c r="C372" s="18"/>
      <c r="D372" s="12"/>
      <c r="E372" s="16"/>
      <c r="F372" s="16"/>
      <c r="G372" s="16"/>
      <c r="H372" s="15"/>
      <c r="I372" s="15"/>
    </row>
    <row r="373" ht="12.9" customHeight="1">
      <c r="B373" s="17"/>
      <c r="C373" s="18"/>
      <c r="D373" s="12"/>
      <c r="E373" s="16"/>
      <c r="F373" s="16"/>
      <c r="G373" s="16"/>
      <c r="H373" s="15"/>
      <c r="I373" s="15"/>
    </row>
    <row r="374" ht="12.9" customHeight="1">
      <c r="B374" s="17"/>
      <c r="C374" s="18"/>
      <c r="D374" s="12"/>
      <c r="E374" s="16"/>
      <c r="F374" s="16"/>
      <c r="G374" s="16"/>
      <c r="H374" s="15"/>
      <c r="I374" s="15"/>
    </row>
    <row r="375" ht="12.9" customHeight="1">
      <c r="B375" s="17"/>
      <c r="C375" s="18"/>
      <c r="D375" s="12"/>
      <c r="E375" s="16"/>
      <c r="F375" s="16"/>
      <c r="G375" s="16"/>
      <c r="H375" s="15"/>
      <c r="I375" s="15"/>
    </row>
    <row r="376" ht="12.9" customHeight="1">
      <c r="B376" s="17"/>
      <c r="C376" s="18"/>
      <c r="D376" s="12"/>
      <c r="E376" s="16"/>
      <c r="F376" s="16"/>
      <c r="G376" s="16"/>
      <c r="H376" s="15"/>
      <c r="I376" s="15"/>
    </row>
    <row r="377" ht="12.9" customHeight="1">
      <c r="B377" s="17"/>
      <c r="C377" s="18"/>
      <c r="D377" s="12"/>
      <c r="E377" s="16"/>
      <c r="F377" s="16"/>
      <c r="G377" s="16"/>
      <c r="H377" s="15"/>
      <c r="I377" s="15"/>
    </row>
    <row r="378" ht="12.9" customHeight="1">
      <c r="B378" s="17"/>
      <c r="C378" s="18"/>
      <c r="D378" s="12"/>
      <c r="E378" s="16"/>
      <c r="F378" s="16"/>
      <c r="G378" s="16"/>
      <c r="H378" s="15"/>
      <c r="I378" s="15"/>
    </row>
    <row r="379" ht="12.9" customHeight="1">
      <c r="B379" s="17"/>
      <c r="C379" s="18"/>
      <c r="D379" s="12"/>
      <c r="E379" s="16"/>
      <c r="F379" s="16"/>
      <c r="G379" s="16"/>
      <c r="H379" s="15"/>
      <c r="I379" s="15"/>
    </row>
    <row r="380" ht="12.9" customHeight="1">
      <c r="B380" s="17"/>
      <c r="C380" s="18"/>
      <c r="D380" s="12"/>
      <c r="E380" s="16"/>
      <c r="F380" s="16"/>
      <c r="G380" s="16"/>
      <c r="H380" s="15"/>
      <c r="I380" s="15"/>
    </row>
    <row r="381" ht="12.9" customHeight="1">
      <c r="B381" s="17"/>
      <c r="C381" s="18"/>
      <c r="D381" s="12"/>
      <c r="E381" s="16"/>
      <c r="F381" s="16"/>
      <c r="G381" s="16"/>
      <c r="H381" s="15"/>
      <c r="I381" s="15"/>
    </row>
    <row r="382" ht="12.9" customHeight="1">
      <c r="B382" s="17"/>
      <c r="C382" s="18"/>
      <c r="D382" s="12"/>
      <c r="E382" s="16"/>
      <c r="F382" s="16"/>
      <c r="G382" s="16"/>
      <c r="H382" s="15"/>
      <c r="I382" s="15"/>
    </row>
    <row r="383" ht="12.9" customHeight="1">
      <c r="B383" s="17"/>
      <c r="C383" s="18"/>
      <c r="D383" s="12"/>
      <c r="E383" s="16"/>
      <c r="F383" s="16"/>
      <c r="G383" s="16"/>
      <c r="H383" s="15"/>
      <c r="I383" s="15"/>
    </row>
    <row r="384" ht="12.9" customHeight="1">
      <c r="B384" s="17"/>
      <c r="C384" s="18"/>
      <c r="D384" s="12"/>
      <c r="E384" s="16"/>
      <c r="F384" s="16"/>
      <c r="G384" s="16"/>
      <c r="H384" s="15"/>
      <c r="I384" s="15"/>
    </row>
    <row r="385" ht="12.9" customHeight="1">
      <c r="B385" s="17"/>
      <c r="C385" s="18"/>
      <c r="D385" s="12"/>
      <c r="E385" s="16"/>
      <c r="F385" s="16"/>
      <c r="G385" s="16"/>
      <c r="H385" s="15"/>
      <c r="I385" s="15"/>
    </row>
    <row r="386" ht="12.9" customHeight="1">
      <c r="B386" s="17"/>
      <c r="C386" s="18"/>
      <c r="D386" s="12"/>
      <c r="E386" s="16"/>
      <c r="F386" s="16"/>
      <c r="G386" s="16"/>
      <c r="H386" s="15"/>
      <c r="I386" s="15"/>
    </row>
    <row r="387" ht="12.9" customHeight="1">
      <c r="B387" s="17"/>
      <c r="C387" s="18"/>
      <c r="D387" s="12"/>
      <c r="E387" s="16"/>
      <c r="F387" s="16"/>
      <c r="G387" s="16"/>
      <c r="H387" s="15"/>
      <c r="I387" s="15"/>
    </row>
    <row r="388" ht="12.9" customHeight="1">
      <c r="B388" s="17"/>
      <c r="C388" s="18"/>
      <c r="D388" s="12"/>
      <c r="E388" s="16"/>
      <c r="F388" s="16"/>
      <c r="G388" s="16"/>
      <c r="H388" s="15"/>
      <c r="I388" s="15"/>
    </row>
    <row r="389" ht="12.9" customHeight="1">
      <c r="B389" s="17"/>
      <c r="C389" s="18"/>
      <c r="D389" s="12"/>
      <c r="E389" s="16"/>
      <c r="F389" s="16"/>
      <c r="G389" s="16"/>
      <c r="H389" s="15"/>
      <c r="I389" s="15"/>
    </row>
    <row r="390" ht="12.9" customHeight="1">
      <c r="B390" s="17"/>
      <c r="C390" s="18"/>
      <c r="D390" s="12"/>
      <c r="E390" s="16"/>
      <c r="F390" s="16"/>
      <c r="G390" s="16"/>
      <c r="H390" s="15"/>
      <c r="I390" s="15"/>
    </row>
    <row r="391" ht="12.9" customHeight="1">
      <c r="B391" s="17"/>
      <c r="C391" s="18"/>
      <c r="D391" s="12"/>
      <c r="E391" s="16"/>
      <c r="F391" s="16"/>
      <c r="G391" s="16"/>
      <c r="H391" s="15"/>
      <c r="I391" s="15"/>
    </row>
    <row r="392" ht="12.9" customHeight="1">
      <c r="B392" s="17"/>
      <c r="C392" s="18"/>
      <c r="D392" s="12"/>
      <c r="E392" s="16"/>
      <c r="F392" s="16"/>
      <c r="G392" s="16"/>
      <c r="H392" s="15"/>
      <c r="I392" s="15"/>
    </row>
    <row r="393" ht="12.9" customHeight="1">
      <c r="B393" s="17"/>
      <c r="C393" s="18"/>
      <c r="D393" s="12"/>
      <c r="E393" s="16"/>
      <c r="F393" s="16"/>
      <c r="G393" s="16"/>
      <c r="H393" s="15"/>
      <c r="I393" s="15"/>
    </row>
    <row r="394" ht="12.9" customHeight="1">
      <c r="B394" s="17"/>
      <c r="C394" s="18"/>
      <c r="D394" s="12"/>
      <c r="E394" s="16"/>
      <c r="F394" s="16"/>
      <c r="G394" s="16"/>
      <c r="H394" s="15"/>
      <c r="I394" s="15"/>
    </row>
    <row r="395" ht="12.9" customHeight="1">
      <c r="B395" s="17"/>
      <c r="C395" s="18"/>
      <c r="D395" s="12"/>
      <c r="E395" s="16"/>
      <c r="F395" s="16"/>
      <c r="G395" s="16"/>
      <c r="H395" s="15"/>
      <c r="I395" s="15"/>
    </row>
    <row r="396" ht="12.9" customHeight="1">
      <c r="B396" s="17"/>
      <c r="C396" s="18"/>
      <c r="D396" s="12"/>
      <c r="E396" s="16"/>
      <c r="F396" s="16"/>
      <c r="G396" s="16"/>
      <c r="H396" s="15"/>
      <c r="I396" s="15"/>
    </row>
    <row r="397" ht="12.9" customHeight="1">
      <c r="B397" s="17"/>
      <c r="C397" s="18"/>
      <c r="D397" s="12"/>
      <c r="E397" s="16"/>
      <c r="F397" s="16"/>
      <c r="G397" s="16"/>
      <c r="H397" s="15"/>
      <c r="I397" s="15"/>
    </row>
    <row r="398" ht="12.9" customHeight="1">
      <c r="B398" s="17"/>
      <c r="C398" s="18"/>
      <c r="D398" s="12"/>
      <c r="E398" s="16"/>
      <c r="F398" s="16"/>
      <c r="G398" s="16"/>
      <c r="H398" s="15"/>
      <c r="I398" s="15"/>
    </row>
    <row r="399" ht="12.9" customHeight="1">
      <c r="B399" s="17"/>
      <c r="C399" s="18"/>
      <c r="D399" s="12"/>
      <c r="E399" s="16"/>
      <c r="F399" s="16"/>
      <c r="G399" s="16"/>
      <c r="H399" s="15"/>
      <c r="I399" s="15"/>
    </row>
    <row r="400" ht="12.9" customHeight="1">
      <c r="B400" s="17"/>
      <c r="C400" s="18"/>
      <c r="D400" s="12"/>
      <c r="E400" s="16"/>
      <c r="F400" s="16"/>
      <c r="G400" s="16"/>
      <c r="H400" s="15"/>
      <c r="I400" s="15"/>
    </row>
    <row r="401" ht="12.9" customHeight="1">
      <c r="B401" s="17"/>
      <c r="C401" s="18"/>
      <c r="D401" s="12"/>
      <c r="E401" s="16"/>
      <c r="F401" s="16"/>
      <c r="G401" s="16"/>
      <c r="H401" s="15"/>
      <c r="I401" s="15"/>
    </row>
    <row r="402" ht="12.9" customHeight="1">
      <c r="B402" s="17"/>
      <c r="C402" s="18"/>
      <c r="D402" s="12"/>
      <c r="E402" s="16"/>
      <c r="F402" s="16"/>
      <c r="G402" s="16"/>
      <c r="H402" s="15"/>
      <c r="I402" s="15"/>
    </row>
    <row r="403" ht="12.9" customHeight="1">
      <c r="B403" s="17"/>
      <c r="C403" s="18"/>
      <c r="D403" s="12"/>
      <c r="E403" s="16"/>
      <c r="F403" s="16"/>
      <c r="G403" s="16"/>
      <c r="H403" s="15"/>
      <c r="I403" s="15"/>
    </row>
    <row r="404" ht="12.9" customHeight="1">
      <c r="B404" s="17"/>
      <c r="C404" s="18"/>
      <c r="D404" s="12"/>
      <c r="E404" s="16"/>
      <c r="F404" s="16"/>
      <c r="G404" s="16"/>
      <c r="H404" s="15"/>
      <c r="I404" s="15"/>
    </row>
    <row r="405" ht="12.9" customHeight="1">
      <c r="B405" s="17"/>
      <c r="C405" s="18"/>
      <c r="D405" s="12"/>
      <c r="E405" s="16"/>
      <c r="F405" s="16"/>
      <c r="G405" s="16"/>
      <c r="H405" s="15"/>
      <c r="I405" s="15"/>
    </row>
    <row r="406" ht="12.9" customHeight="1">
      <c r="B406" s="17"/>
      <c r="C406" s="18"/>
      <c r="D406" s="12"/>
      <c r="E406" s="16"/>
      <c r="F406" s="16"/>
      <c r="G406" s="16"/>
      <c r="H406" s="15"/>
      <c r="I406" s="15"/>
    </row>
    <row r="407" ht="12.9" customHeight="1">
      <c r="B407" s="17"/>
      <c r="C407" s="18"/>
      <c r="D407" s="12"/>
      <c r="E407" s="16"/>
      <c r="F407" s="16"/>
      <c r="G407" s="16"/>
      <c r="H407" s="15"/>
      <c r="I407" s="15"/>
    </row>
    <row r="408" ht="12.9" customHeight="1">
      <c r="B408" s="17"/>
      <c r="C408" s="18"/>
      <c r="D408" s="12"/>
      <c r="E408" s="16"/>
      <c r="F408" s="16"/>
      <c r="G408" s="16"/>
      <c r="H408" s="15"/>
      <c r="I408" s="15"/>
    </row>
    <row r="409" ht="12.9" customHeight="1">
      <c r="B409" s="17"/>
      <c r="C409" s="18"/>
      <c r="D409" s="12"/>
      <c r="E409" s="16"/>
      <c r="F409" s="16"/>
      <c r="G409" s="16"/>
      <c r="H409" s="15"/>
      <c r="I409" s="15"/>
    </row>
    <row r="410" ht="12.9" customHeight="1">
      <c r="B410" s="17"/>
      <c r="C410" s="18"/>
      <c r="D410" s="12"/>
      <c r="E410" s="16"/>
      <c r="F410" s="16"/>
      <c r="G410" s="16"/>
      <c r="H410" s="15"/>
      <c r="I410" s="15"/>
    </row>
    <row r="411" ht="12.9" customHeight="1">
      <c r="B411" s="17"/>
      <c r="C411" s="18"/>
      <c r="D411" s="12"/>
      <c r="E411" s="16"/>
      <c r="F411" s="16"/>
      <c r="G411" s="16"/>
      <c r="H411" s="15"/>
      <c r="I411" s="15"/>
    </row>
    <row r="412" ht="12.9" customHeight="1">
      <c r="B412" s="17"/>
      <c r="C412" s="18"/>
      <c r="D412" s="12"/>
      <c r="E412" s="16"/>
      <c r="F412" s="16"/>
      <c r="G412" s="16"/>
      <c r="H412" s="15"/>
      <c r="I412" s="15"/>
    </row>
    <row r="413" ht="12.9" customHeight="1">
      <c r="B413" s="17"/>
      <c r="C413" s="18"/>
      <c r="D413" s="12"/>
      <c r="E413" s="16"/>
      <c r="F413" s="16"/>
      <c r="G413" s="16"/>
      <c r="H413" s="15"/>
      <c r="I413" s="15"/>
    </row>
    <row r="414" ht="12.9" customHeight="1">
      <c r="B414" s="17"/>
      <c r="C414" s="18"/>
      <c r="D414" s="12"/>
      <c r="E414" s="16"/>
      <c r="F414" s="16"/>
      <c r="G414" s="16"/>
      <c r="H414" s="15"/>
      <c r="I414" s="15"/>
    </row>
    <row r="415" ht="12.9" customHeight="1">
      <c r="B415" s="17"/>
      <c r="C415" s="18"/>
      <c r="D415" s="12"/>
      <c r="E415" s="16"/>
      <c r="F415" s="16"/>
      <c r="G415" s="16"/>
      <c r="H415" s="15"/>
      <c r="I415" s="15"/>
    </row>
    <row r="416" ht="12.9" customHeight="1">
      <c r="B416" s="17"/>
      <c r="C416" s="18"/>
      <c r="D416" s="12"/>
      <c r="E416" s="16"/>
      <c r="F416" s="16"/>
      <c r="G416" s="16"/>
      <c r="H416" s="15"/>
      <c r="I416" s="15"/>
    </row>
    <row r="417" ht="12.9" customHeight="1">
      <c r="B417" s="17"/>
      <c r="C417" s="18"/>
      <c r="D417" s="12"/>
      <c r="E417" s="16"/>
      <c r="F417" s="16"/>
      <c r="G417" s="16"/>
      <c r="H417" s="15"/>
      <c r="I417" s="15"/>
    </row>
    <row r="418" ht="12.9" customHeight="1">
      <c r="B418" s="17"/>
      <c r="C418" s="18"/>
      <c r="D418" s="12"/>
      <c r="E418" s="16"/>
      <c r="F418" s="16"/>
      <c r="G418" s="16"/>
      <c r="H418" s="15"/>
      <c r="I418" s="15"/>
    </row>
    <row r="419" ht="12.9" customHeight="1">
      <c r="B419" s="17"/>
      <c r="C419" s="18"/>
      <c r="D419" s="12"/>
      <c r="E419" s="16"/>
      <c r="F419" s="16"/>
      <c r="G419" s="16"/>
      <c r="H419" s="15"/>
      <c r="I419" s="15"/>
    </row>
    <row r="420" ht="12.9" customHeight="1">
      <c r="B420" s="17"/>
      <c r="C420" s="18"/>
      <c r="D420" s="12"/>
      <c r="E420" s="16"/>
      <c r="F420" s="16"/>
      <c r="G420" s="16"/>
      <c r="H420" s="15"/>
      <c r="I420" s="15"/>
    </row>
    <row r="421" ht="12.9" customHeight="1">
      <c r="B421" s="17"/>
      <c r="C421" s="18"/>
      <c r="D421" s="12"/>
      <c r="E421" s="16"/>
      <c r="F421" s="16"/>
      <c r="G421" s="16"/>
      <c r="H421" s="15"/>
      <c r="I421" s="15"/>
    </row>
    <row r="422" ht="12.9" customHeight="1">
      <c r="B422" s="17"/>
      <c r="C422" s="18"/>
      <c r="D422" s="12"/>
      <c r="E422" s="16"/>
      <c r="F422" s="16"/>
      <c r="G422" s="16"/>
      <c r="H422" s="15"/>
      <c r="I422" s="15"/>
    </row>
    <row r="423" ht="12.9" customHeight="1">
      <c r="B423" s="17"/>
      <c r="C423" s="18"/>
      <c r="D423" s="12"/>
      <c r="E423" s="16"/>
      <c r="F423" s="16"/>
      <c r="G423" s="16"/>
      <c r="H423" s="15"/>
      <c r="I423" s="15"/>
    </row>
    <row r="424" ht="12.9" customHeight="1">
      <c r="B424" s="17"/>
      <c r="C424" s="18"/>
      <c r="D424" s="12"/>
      <c r="E424" s="16"/>
      <c r="F424" s="16"/>
      <c r="G424" s="16"/>
      <c r="H424" s="15"/>
      <c r="I424" s="15"/>
    </row>
    <row r="425" ht="12.9" customHeight="1">
      <c r="B425" s="17"/>
      <c r="C425" s="18"/>
      <c r="D425" s="12"/>
      <c r="E425" s="16"/>
      <c r="F425" s="16"/>
      <c r="G425" s="16"/>
      <c r="H425" s="15"/>
      <c r="I425" s="15"/>
    </row>
    <row r="426" ht="12.9" customHeight="1">
      <c r="B426" s="17"/>
      <c r="C426" s="18"/>
      <c r="D426" s="12"/>
      <c r="E426" s="16"/>
      <c r="F426" s="16"/>
      <c r="G426" s="16"/>
      <c r="H426" s="15"/>
      <c r="I426" s="15"/>
    </row>
    <row r="427" ht="12.9" customHeight="1">
      <c r="B427" s="17"/>
      <c r="C427" s="18"/>
      <c r="D427" s="12"/>
      <c r="E427" s="16"/>
      <c r="F427" s="16"/>
      <c r="G427" s="16"/>
      <c r="H427" s="15"/>
      <c r="I427" s="15"/>
    </row>
    <row r="429" ht="15.55" customHeight="1">
      <c r="J429" t="s" s="2">
        <v>1503</v>
      </c>
      <c r="K429" s="2"/>
      <c r="L429" s="2"/>
      <c r="M429" s="2"/>
      <c r="N429" s="2"/>
      <c r="O429" s="2"/>
      <c r="P429" s="2"/>
    </row>
    <row r="430" ht="13.1" customHeight="1">
      <c r="J430" t="s" s="20">
        <v>2</v>
      </c>
      <c r="K430" t="s" s="21">
        <v>1</v>
      </c>
      <c r="L430" t="s" s="21">
        <v>1504</v>
      </c>
      <c r="M430" t="s" s="22">
        <v>4</v>
      </c>
      <c r="N430" t="s" s="23">
        <v>617</v>
      </c>
      <c r="O430" t="s" s="3">
        <v>618</v>
      </c>
      <c r="P430" t="s" s="3">
        <v>619</v>
      </c>
    </row>
    <row r="431" ht="8.75" customHeight="1" hidden="1">
      <c r="J431" s="62"/>
      <c r="K431" s="63"/>
      <c r="L431" s="63"/>
      <c r="M431" t="s" s="64">
        <v>95</v>
      </c>
      <c r="N431" s="65">
        <v>2</v>
      </c>
      <c r="O431" s="66">
        <v>337.49</v>
      </c>
      <c r="P431" s="66">
        <v>674.98</v>
      </c>
    </row>
    <row r="432" ht="8.75" customHeight="1" hidden="1">
      <c r="J432" s="67"/>
      <c r="K432" s="68"/>
      <c r="L432" s="69">
        <v>45474</v>
      </c>
      <c r="M432" s="70"/>
      <c r="N432" s="71">
        <v>2</v>
      </c>
      <c r="O432" s="72">
        <v>337.49</v>
      </c>
      <c r="P432" s="72">
        <v>674.98</v>
      </c>
    </row>
    <row r="433" ht="8.75" customHeight="1" hidden="1">
      <c r="J433" s="67"/>
      <c r="K433" t="s" s="73">
        <v>1287</v>
      </c>
      <c r="L433" s="74"/>
      <c r="M433" s="70"/>
      <c r="N433" s="71">
        <v>2</v>
      </c>
      <c r="O433" s="72">
        <v>337.49</v>
      </c>
      <c r="P433" s="72">
        <v>674.98</v>
      </c>
    </row>
    <row r="434" ht="15.4" customHeight="1">
      <c r="J434" t="s" s="24">
        <v>1288</v>
      </c>
      <c r="K434" s="75"/>
      <c r="L434" s="75"/>
      <c r="M434" s="76"/>
      <c r="N434" s="25">
        <v>2</v>
      </c>
      <c r="O434" s="26">
        <v>337.49</v>
      </c>
      <c r="P434" s="26">
        <v>674.98</v>
      </c>
    </row>
    <row r="435" ht="9" customHeight="1" hidden="1">
      <c r="J435" s="77"/>
      <c r="K435" s="78"/>
      <c r="L435" s="78"/>
      <c r="M435" t="s" s="79">
        <v>165</v>
      </c>
      <c r="N435" s="80">
        <v>8</v>
      </c>
      <c r="O435" s="81">
        <v>22.4925</v>
      </c>
      <c r="P435" s="81">
        <v>179.94</v>
      </c>
    </row>
    <row r="436" ht="9" customHeight="1" hidden="1">
      <c r="J436" s="77"/>
      <c r="K436" s="78"/>
      <c r="L436" s="78"/>
      <c r="M436" t="s" s="79">
        <v>167</v>
      </c>
      <c r="N436" s="80">
        <v>8</v>
      </c>
      <c r="O436" s="81">
        <v>0</v>
      </c>
      <c r="P436" s="81">
        <v>0</v>
      </c>
    </row>
    <row r="437" ht="9" customHeight="1" hidden="1">
      <c r="J437" s="77"/>
      <c r="K437" s="78"/>
      <c r="L437" s="78"/>
      <c r="M437" t="s" s="79">
        <v>585</v>
      </c>
      <c r="N437" s="80">
        <v>8</v>
      </c>
      <c r="O437" s="81">
        <v>374.9925</v>
      </c>
      <c r="P437" s="81">
        <v>2999.94</v>
      </c>
    </row>
    <row r="438" ht="9" customHeight="1" hidden="1">
      <c r="J438" s="77"/>
      <c r="K438" s="78"/>
      <c r="L438" s="78"/>
      <c r="M438" t="s" s="79">
        <v>1264</v>
      </c>
      <c r="N438" s="80">
        <v>4</v>
      </c>
      <c r="O438" s="81">
        <v>104.9925</v>
      </c>
      <c r="P438" s="81">
        <v>419.97</v>
      </c>
    </row>
    <row r="439" ht="9" customHeight="1" hidden="1">
      <c r="J439" s="77"/>
      <c r="K439" s="78"/>
      <c r="L439" s="78"/>
      <c r="M439" t="s" s="79">
        <v>63</v>
      </c>
      <c r="N439" s="80">
        <v>1</v>
      </c>
      <c r="O439" s="81">
        <v>65.83</v>
      </c>
      <c r="P439" s="81">
        <v>65.83</v>
      </c>
    </row>
    <row r="440" ht="9" customHeight="1" hidden="1">
      <c r="J440" s="82"/>
      <c r="K440" s="83"/>
      <c r="L440" s="84">
        <v>45474</v>
      </c>
      <c r="M440" s="85"/>
      <c r="N440" s="28">
        <v>29</v>
      </c>
      <c r="O440" s="29">
        <v>568.3075</v>
      </c>
      <c r="P440" s="29">
        <v>3665.68</v>
      </c>
    </row>
    <row r="441" ht="9" customHeight="1" hidden="1">
      <c r="J441" s="82"/>
      <c r="K441" t="s" s="86">
        <v>1263</v>
      </c>
      <c r="L441" s="87"/>
      <c r="M441" s="85"/>
      <c r="N441" s="28">
        <v>29</v>
      </c>
      <c r="O441" s="29">
        <v>568.3075</v>
      </c>
      <c r="P441" s="29">
        <v>3665.68</v>
      </c>
    </row>
    <row r="442" ht="9" customHeight="1" hidden="1">
      <c r="J442" s="77"/>
      <c r="K442" s="78"/>
      <c r="L442" s="78"/>
      <c r="M442" t="s" s="79">
        <v>1157</v>
      </c>
      <c r="N442" s="80">
        <v>34</v>
      </c>
      <c r="O442" s="81">
        <v>47.2425</v>
      </c>
      <c r="P442" s="81">
        <v>850.365</v>
      </c>
    </row>
    <row r="443" ht="9" customHeight="1" hidden="1">
      <c r="J443" s="77"/>
      <c r="K443" s="78"/>
      <c r="L443" s="78"/>
      <c r="M443" t="s" s="79">
        <v>341</v>
      </c>
      <c r="N443" s="80">
        <v>6</v>
      </c>
      <c r="O443" s="81">
        <v>22.4925</v>
      </c>
      <c r="P443" s="81">
        <v>134.955</v>
      </c>
    </row>
    <row r="444" ht="9" customHeight="1" hidden="1">
      <c r="J444" s="77"/>
      <c r="K444" s="78"/>
      <c r="L444" s="78"/>
      <c r="M444" t="s" s="79">
        <v>1160</v>
      </c>
      <c r="N444" s="80">
        <v>16</v>
      </c>
      <c r="O444" s="81">
        <v>32.495</v>
      </c>
      <c r="P444" s="81">
        <v>519.92</v>
      </c>
    </row>
    <row r="445" ht="9" customHeight="1" hidden="1">
      <c r="J445" s="77"/>
      <c r="K445" s="78"/>
      <c r="L445" s="78"/>
      <c r="M445" t="s" s="79">
        <v>497</v>
      </c>
      <c r="N445" s="80">
        <v>8</v>
      </c>
      <c r="O445" s="81">
        <v>18.7425</v>
      </c>
      <c r="P445" s="81">
        <v>149.94</v>
      </c>
    </row>
    <row r="446" ht="9" customHeight="1" hidden="1">
      <c r="J446" s="77"/>
      <c r="K446" s="78"/>
      <c r="L446" s="78"/>
      <c r="M446" t="s" s="79">
        <v>50</v>
      </c>
      <c r="N446" s="80">
        <v>4</v>
      </c>
      <c r="O446" s="81">
        <v>0</v>
      </c>
      <c r="P446" s="81">
        <v>0</v>
      </c>
    </row>
    <row r="447" ht="9" customHeight="1" hidden="1">
      <c r="J447" s="77"/>
      <c r="K447" s="78"/>
      <c r="L447" s="78"/>
      <c r="M447" t="s" s="79">
        <v>1155</v>
      </c>
      <c r="N447" s="80">
        <v>4</v>
      </c>
      <c r="O447" s="81">
        <v>1874.9925</v>
      </c>
      <c r="P447" s="81">
        <v>7499.97</v>
      </c>
    </row>
    <row r="448" ht="9" customHeight="1" hidden="1">
      <c r="J448" s="77"/>
      <c r="K448" s="78"/>
      <c r="L448" s="78"/>
      <c r="M448" t="s" s="79">
        <v>824</v>
      </c>
      <c r="N448" s="80">
        <v>1</v>
      </c>
      <c r="O448" s="81">
        <v>224.9925</v>
      </c>
      <c r="P448" s="81">
        <v>224.9925</v>
      </c>
    </row>
    <row r="449" ht="9" customHeight="1" hidden="1">
      <c r="J449" s="77"/>
      <c r="K449" s="78"/>
      <c r="L449" s="78"/>
      <c r="M449" t="s" s="79">
        <v>1162</v>
      </c>
      <c r="N449" s="80">
        <v>8</v>
      </c>
      <c r="O449" s="81">
        <v>6.95000025</v>
      </c>
      <c r="P449" s="81">
        <v>55.600002</v>
      </c>
    </row>
    <row r="450" ht="9" customHeight="1" hidden="1">
      <c r="J450" s="77"/>
      <c r="K450" s="78"/>
      <c r="L450" s="78"/>
      <c r="M450" t="s" s="79">
        <v>47</v>
      </c>
      <c r="N450" s="80">
        <v>1</v>
      </c>
      <c r="O450" s="81">
        <v>185.8</v>
      </c>
      <c r="P450" s="81">
        <v>185.8</v>
      </c>
    </row>
    <row r="451" ht="9" customHeight="1" hidden="1">
      <c r="J451" s="82"/>
      <c r="K451" s="83"/>
      <c r="L451" s="84">
        <v>45474</v>
      </c>
      <c r="M451" s="85"/>
      <c r="N451" s="28">
        <v>82</v>
      </c>
      <c r="O451" s="29">
        <v>2413.70750025</v>
      </c>
      <c r="P451" s="29">
        <v>9621.542502</v>
      </c>
    </row>
    <row r="452" ht="9" customHeight="1" hidden="1">
      <c r="J452" s="82"/>
      <c r="K452" t="s" s="86">
        <v>1154</v>
      </c>
      <c r="L452" s="87"/>
      <c r="M452" s="85"/>
      <c r="N452" s="28">
        <v>82</v>
      </c>
      <c r="O452" s="29">
        <v>2413.70750025</v>
      </c>
      <c r="P452" s="29">
        <v>9621.542502</v>
      </c>
    </row>
    <row r="453" ht="15.55" customHeight="1">
      <c r="J453" t="s" s="27">
        <v>161</v>
      </c>
      <c r="K453" s="87"/>
      <c r="L453" s="87"/>
      <c r="M453" s="85"/>
      <c r="N453" s="28">
        <v>111</v>
      </c>
      <c r="O453" s="29">
        <v>2982.01500025</v>
      </c>
      <c r="P453" s="29">
        <v>13287.222502</v>
      </c>
    </row>
    <row r="454" ht="9" customHeight="1" hidden="1">
      <c r="J454" s="77"/>
      <c r="K454" s="78"/>
      <c r="L454" s="78"/>
      <c r="M454" t="s" s="79">
        <v>95</v>
      </c>
      <c r="N454" s="80">
        <v>2</v>
      </c>
      <c r="O454" s="81">
        <v>349.99</v>
      </c>
      <c r="P454" s="81">
        <v>699.98</v>
      </c>
    </row>
    <row r="455" ht="9" customHeight="1" hidden="1">
      <c r="J455" s="82"/>
      <c r="K455" s="83"/>
      <c r="L455" s="84">
        <v>45474</v>
      </c>
      <c r="M455" s="85"/>
      <c r="N455" s="28">
        <v>2</v>
      </c>
      <c r="O455" s="29">
        <v>349.99</v>
      </c>
      <c r="P455" s="29">
        <v>699.98</v>
      </c>
    </row>
    <row r="456" ht="9" customHeight="1" hidden="1">
      <c r="J456" s="82"/>
      <c r="K456" t="s" s="86">
        <v>1345</v>
      </c>
      <c r="L456" s="87"/>
      <c r="M456" s="85"/>
      <c r="N456" s="28">
        <v>2</v>
      </c>
      <c r="O456" s="29">
        <v>349.99</v>
      </c>
      <c r="P456" s="29">
        <v>699.98</v>
      </c>
    </row>
    <row r="457" ht="15.55" customHeight="1">
      <c r="J457" t="s" s="27">
        <v>1346</v>
      </c>
      <c r="K457" s="87"/>
      <c r="L457" s="87"/>
      <c r="M457" s="85"/>
      <c r="N457" s="28">
        <v>2</v>
      </c>
      <c r="O457" s="29">
        <v>349.99</v>
      </c>
      <c r="P457" s="29">
        <v>699.98</v>
      </c>
    </row>
    <row r="458" ht="9" customHeight="1" hidden="1">
      <c r="J458" s="77"/>
      <c r="K458" s="78"/>
      <c r="L458" s="78"/>
      <c r="M458" t="s" s="79">
        <v>143</v>
      </c>
      <c r="N458" s="80">
        <v>1</v>
      </c>
      <c r="O458" s="81">
        <v>3199.99</v>
      </c>
      <c r="P458" s="81">
        <v>3199.99</v>
      </c>
    </row>
    <row r="459" ht="9" customHeight="1" hidden="1">
      <c r="J459" s="82"/>
      <c r="K459" s="83"/>
      <c r="L459" s="84">
        <v>45474</v>
      </c>
      <c r="M459" s="85"/>
      <c r="N459" s="28">
        <v>1</v>
      </c>
      <c r="O459" s="29">
        <v>3199.99</v>
      </c>
      <c r="P459" s="29">
        <v>3199.99</v>
      </c>
    </row>
    <row r="460" ht="9" customHeight="1" hidden="1">
      <c r="J460" s="82"/>
      <c r="K460" t="s" s="86">
        <v>1380</v>
      </c>
      <c r="L460" s="87"/>
      <c r="M460" s="85"/>
      <c r="N460" s="28">
        <v>1</v>
      </c>
      <c r="O460" s="29">
        <v>3199.99</v>
      </c>
      <c r="P460" s="29">
        <v>3199.99</v>
      </c>
    </row>
    <row r="461" ht="9" customHeight="1" hidden="1">
      <c r="J461" s="77"/>
      <c r="K461" s="78"/>
      <c r="L461" s="78"/>
      <c r="M461" t="s" s="79">
        <v>59</v>
      </c>
      <c r="N461" s="80">
        <v>3</v>
      </c>
      <c r="O461" s="81">
        <v>63.46</v>
      </c>
      <c r="P461" s="81">
        <v>190.38</v>
      </c>
    </row>
    <row r="462" ht="9" customHeight="1" hidden="1">
      <c r="J462" s="82"/>
      <c r="K462" s="83"/>
      <c r="L462" s="84">
        <v>45474</v>
      </c>
      <c r="M462" s="85"/>
      <c r="N462" s="28">
        <v>3</v>
      </c>
      <c r="O462" s="29">
        <v>63.46</v>
      </c>
      <c r="P462" s="29">
        <v>190.38</v>
      </c>
    </row>
    <row r="463" ht="9" customHeight="1" hidden="1">
      <c r="J463" s="82"/>
      <c r="K463" t="s" s="86">
        <v>1370</v>
      </c>
      <c r="L463" s="87"/>
      <c r="M463" s="85"/>
      <c r="N463" s="28">
        <v>3</v>
      </c>
      <c r="O463" s="29">
        <v>63.46</v>
      </c>
      <c r="P463" s="29">
        <v>190.38</v>
      </c>
    </row>
    <row r="464" ht="15.55" customHeight="1">
      <c r="J464" t="s" s="27">
        <v>1371</v>
      </c>
      <c r="K464" s="87"/>
      <c r="L464" s="87"/>
      <c r="M464" s="85"/>
      <c r="N464" s="28">
        <v>4</v>
      </c>
      <c r="O464" s="29">
        <v>3263.45</v>
      </c>
      <c r="P464" s="29">
        <v>3390.37</v>
      </c>
    </row>
    <row r="465" ht="9" customHeight="1" hidden="1">
      <c r="J465" s="77"/>
      <c r="K465" s="78"/>
      <c r="L465" s="78"/>
      <c r="M465" t="s" s="79">
        <v>1454</v>
      </c>
      <c r="N465" s="80">
        <v>1</v>
      </c>
      <c r="O465" s="81">
        <v>22.99</v>
      </c>
      <c r="P465" s="81">
        <v>22.99</v>
      </c>
    </row>
    <row r="466" ht="9" customHeight="1" hidden="1">
      <c r="J466" s="77"/>
      <c r="K466" s="78"/>
      <c r="L466" s="78"/>
      <c r="M466" t="s" s="79">
        <v>1456</v>
      </c>
      <c r="N466" s="80">
        <v>1</v>
      </c>
      <c r="O466" s="81">
        <v>12.99</v>
      </c>
      <c r="P466" s="81">
        <v>12.99</v>
      </c>
    </row>
    <row r="467" ht="9" customHeight="1" hidden="1">
      <c r="J467" s="77"/>
      <c r="K467" s="78"/>
      <c r="L467" s="78"/>
      <c r="M467" t="s" s="79">
        <v>47</v>
      </c>
      <c r="N467" s="80">
        <v>1</v>
      </c>
      <c r="O467" s="81">
        <v>35.8</v>
      </c>
      <c r="P467" s="81">
        <v>35.8</v>
      </c>
    </row>
    <row r="468" ht="9" customHeight="1" hidden="1">
      <c r="J468" s="82"/>
      <c r="K468" s="83"/>
      <c r="L468" s="84">
        <v>45474</v>
      </c>
      <c r="M468" s="85"/>
      <c r="N468" s="28">
        <v>3</v>
      </c>
      <c r="O468" s="29">
        <v>71.78</v>
      </c>
      <c r="P468" s="29">
        <v>71.78</v>
      </c>
    </row>
    <row r="469" ht="9" customHeight="1" hidden="1">
      <c r="J469" s="82"/>
      <c r="K469" t="s" s="86">
        <v>1452</v>
      </c>
      <c r="L469" s="87"/>
      <c r="M469" s="85"/>
      <c r="N469" s="28">
        <v>3</v>
      </c>
      <c r="O469" s="29">
        <v>71.78</v>
      </c>
      <c r="P469" s="29">
        <v>71.78</v>
      </c>
    </row>
    <row r="470" ht="15.55" customHeight="1">
      <c r="J470" t="s" s="27">
        <v>1453</v>
      </c>
      <c r="K470" s="87"/>
      <c r="L470" s="87"/>
      <c r="M470" s="85"/>
      <c r="N470" s="28">
        <v>3</v>
      </c>
      <c r="O470" s="29">
        <v>71.78</v>
      </c>
      <c r="P470" s="29">
        <v>71.78</v>
      </c>
    </row>
    <row r="471" ht="9" customHeight="1" hidden="1">
      <c r="J471" s="77"/>
      <c r="K471" s="78"/>
      <c r="L471" s="78"/>
      <c r="M471" t="s" s="79">
        <v>15</v>
      </c>
      <c r="N471" s="80">
        <v>2</v>
      </c>
      <c r="O471" s="81">
        <v>9.99</v>
      </c>
      <c r="P471" s="81">
        <v>19.98</v>
      </c>
    </row>
    <row r="472" ht="9" customHeight="1" hidden="1">
      <c r="J472" s="82"/>
      <c r="K472" s="83"/>
      <c r="L472" s="84">
        <v>45474</v>
      </c>
      <c r="M472" s="85"/>
      <c r="N472" s="28">
        <v>2</v>
      </c>
      <c r="O472" s="29">
        <v>9.99</v>
      </c>
      <c r="P472" s="29">
        <v>19.98</v>
      </c>
    </row>
    <row r="473" ht="9" customHeight="1" hidden="1">
      <c r="J473" s="82"/>
      <c r="K473" t="s" s="86">
        <v>1386</v>
      </c>
      <c r="L473" s="87"/>
      <c r="M473" s="85"/>
      <c r="N473" s="28">
        <v>2</v>
      </c>
      <c r="O473" s="29">
        <v>9.99</v>
      </c>
      <c r="P473" s="29">
        <v>19.98</v>
      </c>
    </row>
    <row r="474" ht="15.55" customHeight="1">
      <c r="J474" t="s" s="27">
        <v>1387</v>
      </c>
      <c r="K474" s="87"/>
      <c r="L474" s="87"/>
      <c r="M474" s="85"/>
      <c r="N474" s="28">
        <v>2</v>
      </c>
      <c r="O474" s="29">
        <v>9.99</v>
      </c>
      <c r="P474" s="29">
        <v>19.98</v>
      </c>
    </row>
    <row r="475" ht="9" customHeight="1" hidden="1">
      <c r="J475" s="77"/>
      <c r="K475" s="78"/>
      <c r="L475" s="78"/>
      <c r="M475" t="s" s="79">
        <v>31</v>
      </c>
      <c r="N475" s="80">
        <v>1</v>
      </c>
      <c r="O475" s="81">
        <v>599.99</v>
      </c>
      <c r="P475" s="81">
        <v>599.99</v>
      </c>
    </row>
    <row r="476" ht="9" customHeight="1" hidden="1">
      <c r="J476" s="82"/>
      <c r="K476" s="83"/>
      <c r="L476" s="84">
        <v>45474</v>
      </c>
      <c r="M476" s="85"/>
      <c r="N476" s="28">
        <v>1</v>
      </c>
      <c r="O476" s="29">
        <v>599.99</v>
      </c>
      <c r="P476" s="29">
        <v>599.99</v>
      </c>
    </row>
    <row r="477" ht="9" customHeight="1" hidden="1">
      <c r="J477" s="82"/>
      <c r="K477" t="s" s="86">
        <v>1468</v>
      </c>
      <c r="L477" s="87"/>
      <c r="M477" s="85"/>
      <c r="N477" s="28">
        <v>1</v>
      </c>
      <c r="O477" s="29">
        <v>599.99</v>
      </c>
      <c r="P477" s="29">
        <v>599.99</v>
      </c>
    </row>
    <row r="478" ht="15.55" customHeight="1">
      <c r="J478" t="s" s="27">
        <v>1469</v>
      </c>
      <c r="K478" s="87"/>
      <c r="L478" s="87"/>
      <c r="M478" s="85"/>
      <c r="N478" s="28">
        <v>1</v>
      </c>
      <c r="O478" s="29">
        <v>599.99</v>
      </c>
      <c r="P478" s="29">
        <v>599.99</v>
      </c>
    </row>
    <row r="479" ht="9" customHeight="1" hidden="1">
      <c r="J479" s="77"/>
      <c r="K479" s="78"/>
      <c r="L479" s="78"/>
      <c r="M479" t="s" s="79">
        <v>31</v>
      </c>
      <c r="N479" s="80">
        <v>2</v>
      </c>
      <c r="O479" s="81">
        <v>599.99</v>
      </c>
      <c r="P479" s="81">
        <v>1199.98</v>
      </c>
    </row>
    <row r="480" ht="9" customHeight="1" hidden="1">
      <c r="J480" s="77"/>
      <c r="K480" s="78"/>
      <c r="L480" s="78"/>
      <c r="M480" t="s" s="79">
        <v>861</v>
      </c>
      <c r="N480" s="80">
        <v>1</v>
      </c>
      <c r="O480" s="81">
        <v>105</v>
      </c>
      <c r="P480" s="81">
        <v>105</v>
      </c>
    </row>
    <row r="481" ht="9" customHeight="1" hidden="1">
      <c r="J481" s="82"/>
      <c r="K481" s="83"/>
      <c r="L481" s="84">
        <v>45474</v>
      </c>
      <c r="M481" s="85"/>
      <c r="N481" s="28">
        <v>3</v>
      </c>
      <c r="O481" s="29">
        <v>704.99</v>
      </c>
      <c r="P481" s="29">
        <v>1304.98</v>
      </c>
    </row>
    <row r="482" ht="9" customHeight="1" hidden="1">
      <c r="J482" s="82"/>
      <c r="K482" t="s" s="86">
        <v>1403</v>
      </c>
      <c r="L482" s="87"/>
      <c r="M482" s="85"/>
      <c r="N482" s="28">
        <v>3</v>
      </c>
      <c r="O482" s="29">
        <v>704.99</v>
      </c>
      <c r="P482" s="29">
        <v>1304.98</v>
      </c>
    </row>
    <row r="483" ht="15.55" customHeight="1">
      <c r="J483" t="s" s="27">
        <v>1404</v>
      </c>
      <c r="K483" s="87"/>
      <c r="L483" s="87"/>
      <c r="M483" s="85"/>
      <c r="N483" s="28">
        <v>3</v>
      </c>
      <c r="O483" s="29">
        <v>704.99</v>
      </c>
      <c r="P483" s="29">
        <v>1304.98</v>
      </c>
    </row>
    <row r="484" ht="9" customHeight="1" hidden="1">
      <c r="J484" s="77"/>
      <c r="K484" s="78"/>
      <c r="L484" s="78"/>
      <c r="M484" t="s" s="79">
        <v>11</v>
      </c>
      <c r="N484" s="80">
        <v>1</v>
      </c>
      <c r="O484" s="81">
        <v>399.99</v>
      </c>
      <c r="P484" s="81">
        <v>399.99</v>
      </c>
    </row>
    <row r="485" ht="9" customHeight="1" hidden="1">
      <c r="J485" s="82"/>
      <c r="K485" s="83"/>
      <c r="L485" s="84">
        <v>45474</v>
      </c>
      <c r="M485" s="85"/>
      <c r="N485" s="28">
        <v>1</v>
      </c>
      <c r="O485" s="29">
        <v>399.99</v>
      </c>
      <c r="P485" s="29">
        <v>399.99</v>
      </c>
    </row>
    <row r="486" ht="9" customHeight="1" hidden="1">
      <c r="J486" s="82"/>
      <c r="K486" t="s" s="86">
        <v>1351</v>
      </c>
      <c r="L486" s="87"/>
      <c r="M486" s="85"/>
      <c r="N486" s="28">
        <v>1</v>
      </c>
      <c r="O486" s="29">
        <v>399.99</v>
      </c>
      <c r="P486" s="29">
        <v>399.99</v>
      </c>
    </row>
    <row r="487" ht="15.55" customHeight="1">
      <c r="J487" t="s" s="27">
        <v>1352</v>
      </c>
      <c r="K487" s="87"/>
      <c r="L487" s="87"/>
      <c r="M487" s="85"/>
      <c r="N487" s="28">
        <v>1</v>
      </c>
      <c r="O487" s="29">
        <v>399.99</v>
      </c>
      <c r="P487" s="29">
        <v>399.99</v>
      </c>
    </row>
    <row r="488" ht="9" customHeight="1" hidden="1">
      <c r="J488" s="77"/>
      <c r="K488" s="78"/>
      <c r="L488" s="78"/>
      <c r="M488" t="s" s="79">
        <v>23</v>
      </c>
      <c r="N488" s="80">
        <v>1</v>
      </c>
      <c r="O488" s="81">
        <v>149.99</v>
      </c>
      <c r="P488" s="81">
        <v>149.99</v>
      </c>
    </row>
    <row r="489" ht="9" customHeight="1" hidden="1">
      <c r="J489" s="82"/>
      <c r="K489" s="83"/>
      <c r="L489" s="84">
        <v>45474</v>
      </c>
      <c r="M489" s="85"/>
      <c r="N489" s="28">
        <v>1</v>
      </c>
      <c r="O489" s="29">
        <v>149.99</v>
      </c>
      <c r="P489" s="29">
        <v>149.99</v>
      </c>
    </row>
    <row r="490" ht="9" customHeight="1" hidden="1">
      <c r="J490" s="82"/>
      <c r="K490" t="s" s="86">
        <v>1142</v>
      </c>
      <c r="L490" s="87"/>
      <c r="M490" s="85"/>
      <c r="N490" s="28">
        <v>1</v>
      </c>
      <c r="O490" s="29">
        <v>149.99</v>
      </c>
      <c r="P490" s="29">
        <v>149.99</v>
      </c>
    </row>
    <row r="491" ht="15.55" customHeight="1">
      <c r="J491" t="s" s="27">
        <v>995</v>
      </c>
      <c r="K491" s="87"/>
      <c r="L491" s="87"/>
      <c r="M491" s="85"/>
      <c r="N491" s="28">
        <v>1</v>
      </c>
      <c r="O491" s="29">
        <v>149.99</v>
      </c>
      <c r="P491" s="29">
        <v>149.99</v>
      </c>
    </row>
    <row r="492" ht="9" customHeight="1" hidden="1">
      <c r="J492" s="77"/>
      <c r="K492" s="78"/>
      <c r="L492" s="78"/>
      <c r="M492" t="s" s="79">
        <v>89</v>
      </c>
      <c r="N492" s="80">
        <v>4</v>
      </c>
      <c r="O492" s="81">
        <v>59.99</v>
      </c>
      <c r="P492" s="81">
        <v>239.96</v>
      </c>
    </row>
    <row r="493" ht="9" customHeight="1" hidden="1">
      <c r="J493" s="82"/>
      <c r="K493" s="83"/>
      <c r="L493" s="84">
        <v>45474</v>
      </c>
      <c r="M493" s="85"/>
      <c r="N493" s="28">
        <v>4</v>
      </c>
      <c r="O493" s="29">
        <v>59.99</v>
      </c>
      <c r="P493" s="29">
        <v>239.96</v>
      </c>
    </row>
    <row r="494" ht="9" customHeight="1" hidden="1">
      <c r="J494" s="82"/>
      <c r="K494" t="s" s="86">
        <v>1240</v>
      </c>
      <c r="L494" s="87"/>
      <c r="M494" s="85"/>
      <c r="N494" s="28">
        <v>4</v>
      </c>
      <c r="O494" s="29">
        <v>59.99</v>
      </c>
      <c r="P494" s="29">
        <v>239.96</v>
      </c>
    </row>
    <row r="495" ht="15.55" customHeight="1">
      <c r="J495" t="s" s="27">
        <v>1241</v>
      </c>
      <c r="K495" s="87"/>
      <c r="L495" s="87"/>
      <c r="M495" s="85"/>
      <c r="N495" s="28">
        <v>4</v>
      </c>
      <c r="O495" s="29">
        <v>59.99</v>
      </c>
      <c r="P495" s="29">
        <v>239.96</v>
      </c>
    </row>
    <row r="496" ht="9" customHeight="1" hidden="1">
      <c r="J496" s="77"/>
      <c r="K496" s="78"/>
      <c r="L496" s="78"/>
      <c r="M496" t="s" s="79">
        <v>31</v>
      </c>
      <c r="N496" s="80">
        <v>1</v>
      </c>
      <c r="O496" s="81">
        <v>599.99</v>
      </c>
      <c r="P496" s="81">
        <v>599.99</v>
      </c>
    </row>
    <row r="497" ht="9" customHeight="1" hidden="1">
      <c r="J497" s="82"/>
      <c r="K497" s="83"/>
      <c r="L497" s="84">
        <v>45474</v>
      </c>
      <c r="M497" s="85"/>
      <c r="N497" s="28">
        <v>1</v>
      </c>
      <c r="O497" s="29">
        <v>599.99</v>
      </c>
      <c r="P497" s="29">
        <v>599.99</v>
      </c>
    </row>
    <row r="498" ht="9" customHeight="1" hidden="1">
      <c r="J498" s="82"/>
      <c r="K498" t="s" s="86">
        <v>1376</v>
      </c>
      <c r="L498" s="87"/>
      <c r="M498" s="85"/>
      <c r="N498" s="28">
        <v>1</v>
      </c>
      <c r="O498" s="29">
        <v>599.99</v>
      </c>
      <c r="P498" s="29">
        <v>599.99</v>
      </c>
    </row>
    <row r="499" ht="15.55" customHeight="1">
      <c r="J499" t="s" s="27">
        <v>1377</v>
      </c>
      <c r="K499" s="87"/>
      <c r="L499" s="87"/>
      <c r="M499" s="85"/>
      <c r="N499" s="28">
        <v>1</v>
      </c>
      <c r="O499" s="29">
        <v>599.99</v>
      </c>
      <c r="P499" s="29">
        <v>599.99</v>
      </c>
    </row>
    <row r="500" ht="9" customHeight="1" hidden="1">
      <c r="J500" s="77"/>
      <c r="K500" s="78"/>
      <c r="L500" s="78"/>
      <c r="M500" t="s" s="79">
        <v>35</v>
      </c>
      <c r="N500" s="80">
        <v>1</v>
      </c>
      <c r="O500" s="81">
        <v>49.99</v>
      </c>
      <c r="P500" s="81">
        <v>49.99</v>
      </c>
    </row>
    <row r="501" ht="9" customHeight="1" hidden="1">
      <c r="J501" s="82"/>
      <c r="K501" s="83"/>
      <c r="L501" s="84">
        <v>45474</v>
      </c>
      <c r="M501" s="85"/>
      <c r="N501" s="28">
        <v>1</v>
      </c>
      <c r="O501" s="29">
        <v>49.99</v>
      </c>
      <c r="P501" s="29">
        <v>49.99</v>
      </c>
    </row>
    <row r="502" ht="9" customHeight="1" hidden="1">
      <c r="J502" s="82"/>
      <c r="K502" t="s" s="86">
        <v>1317</v>
      </c>
      <c r="L502" s="87"/>
      <c r="M502" s="85"/>
      <c r="N502" s="28">
        <v>1</v>
      </c>
      <c r="O502" s="29">
        <v>49.99</v>
      </c>
      <c r="P502" s="29">
        <v>49.99</v>
      </c>
    </row>
    <row r="503" ht="15.55" customHeight="1">
      <c r="J503" t="s" s="27">
        <v>1318</v>
      </c>
      <c r="K503" s="87"/>
      <c r="L503" s="87"/>
      <c r="M503" s="85"/>
      <c r="N503" s="28">
        <v>1</v>
      </c>
      <c r="O503" s="29">
        <v>49.99</v>
      </c>
      <c r="P503" s="29">
        <v>49.99</v>
      </c>
    </row>
    <row r="504" ht="9" customHeight="1" hidden="1">
      <c r="J504" s="77"/>
      <c r="K504" s="78"/>
      <c r="L504" s="78"/>
      <c r="M504" t="s" s="79">
        <v>50</v>
      </c>
      <c r="N504" s="80">
        <v>3</v>
      </c>
      <c r="O504" s="81">
        <v>29.99</v>
      </c>
      <c r="P504" s="81">
        <v>89.97</v>
      </c>
    </row>
    <row r="505" ht="9" customHeight="1" hidden="1">
      <c r="J505" s="82"/>
      <c r="K505" s="83"/>
      <c r="L505" s="84">
        <v>45474</v>
      </c>
      <c r="M505" s="85"/>
      <c r="N505" s="28">
        <v>3</v>
      </c>
      <c r="O505" s="29">
        <v>29.99</v>
      </c>
      <c r="P505" s="29">
        <v>89.97</v>
      </c>
    </row>
    <row r="506" ht="9" customHeight="1" hidden="1">
      <c r="J506" s="82"/>
      <c r="K506" t="s" s="86">
        <v>1438</v>
      </c>
      <c r="L506" s="87"/>
      <c r="M506" s="85"/>
      <c r="N506" s="28">
        <v>3</v>
      </c>
      <c r="O506" s="29">
        <v>29.99</v>
      </c>
      <c r="P506" s="29">
        <v>89.97</v>
      </c>
    </row>
    <row r="507" ht="15.55" customHeight="1">
      <c r="J507" t="s" s="27">
        <v>1439</v>
      </c>
      <c r="K507" s="87"/>
      <c r="L507" s="87"/>
      <c r="M507" s="85"/>
      <c r="N507" s="28">
        <v>3</v>
      </c>
      <c r="O507" s="29">
        <v>29.99</v>
      </c>
      <c r="P507" s="29">
        <v>89.97</v>
      </c>
    </row>
    <row r="508" ht="9" customHeight="1" hidden="1">
      <c r="J508" s="77"/>
      <c r="K508" s="78"/>
      <c r="L508" s="78"/>
      <c r="M508" t="s" s="79">
        <v>73</v>
      </c>
      <c r="N508" s="80">
        <v>1</v>
      </c>
      <c r="O508" s="81">
        <v>399.99</v>
      </c>
      <c r="P508" s="81">
        <v>399.99</v>
      </c>
    </row>
    <row r="509" ht="9" customHeight="1" hidden="1">
      <c r="J509" s="82"/>
      <c r="K509" s="83"/>
      <c r="L509" s="84">
        <v>45474</v>
      </c>
      <c r="M509" s="85"/>
      <c r="N509" s="28">
        <v>1</v>
      </c>
      <c r="O509" s="29">
        <v>399.99</v>
      </c>
      <c r="P509" s="29">
        <v>399.99</v>
      </c>
    </row>
    <row r="510" ht="9" customHeight="1" hidden="1">
      <c r="J510" s="82"/>
      <c r="K510" t="s" s="86">
        <v>1396</v>
      </c>
      <c r="L510" s="87"/>
      <c r="M510" s="85"/>
      <c r="N510" s="28">
        <v>1</v>
      </c>
      <c r="O510" s="29">
        <v>399.99</v>
      </c>
      <c r="P510" s="29">
        <v>399.99</v>
      </c>
    </row>
    <row r="511" ht="15.55" customHeight="1">
      <c r="J511" t="s" s="27">
        <v>1397</v>
      </c>
      <c r="K511" s="87"/>
      <c r="L511" s="87"/>
      <c r="M511" s="85"/>
      <c r="N511" s="28">
        <v>1</v>
      </c>
      <c r="O511" s="29">
        <v>399.99</v>
      </c>
      <c r="P511" s="29">
        <v>399.99</v>
      </c>
    </row>
    <row r="512" ht="9" customHeight="1" hidden="1">
      <c r="J512" s="77"/>
      <c r="K512" s="78"/>
      <c r="L512" s="78"/>
      <c r="M512" t="s" s="79">
        <v>1236</v>
      </c>
      <c r="N512" s="80">
        <v>1</v>
      </c>
      <c r="O512" s="81">
        <v>0</v>
      </c>
      <c r="P512" s="81">
        <v>0</v>
      </c>
    </row>
    <row r="513" ht="9" customHeight="1" hidden="1">
      <c r="J513" s="77"/>
      <c r="K513" s="78"/>
      <c r="L513" s="78"/>
      <c r="M513" t="s" s="79">
        <v>762</v>
      </c>
      <c r="N513" s="80">
        <v>1</v>
      </c>
      <c r="O513" s="81">
        <v>0</v>
      </c>
      <c r="P513" s="81">
        <v>0</v>
      </c>
    </row>
    <row r="514" ht="9" customHeight="1" hidden="1">
      <c r="J514" s="82"/>
      <c r="K514" s="83"/>
      <c r="L514" s="84">
        <v>45474</v>
      </c>
      <c r="M514" s="85"/>
      <c r="N514" s="28">
        <v>2</v>
      </c>
      <c r="O514" s="29">
        <v>0</v>
      </c>
      <c r="P514" s="29">
        <v>0</v>
      </c>
    </row>
    <row r="515" ht="9" customHeight="1" hidden="1">
      <c r="J515" s="82"/>
      <c r="K515" t="s" s="86">
        <v>1234</v>
      </c>
      <c r="L515" s="87"/>
      <c r="M515" s="85"/>
      <c r="N515" s="28">
        <v>2</v>
      </c>
      <c r="O515" s="29">
        <v>0</v>
      </c>
      <c r="P515" s="29">
        <v>0</v>
      </c>
    </row>
    <row r="516" ht="15.55" customHeight="1">
      <c r="J516" t="s" s="27">
        <v>1235</v>
      </c>
      <c r="K516" s="87"/>
      <c r="L516" s="87"/>
      <c r="M516" s="85"/>
      <c r="N516" s="28">
        <v>2</v>
      </c>
      <c r="O516" s="29">
        <v>0</v>
      </c>
      <c r="P516" s="29">
        <v>0</v>
      </c>
    </row>
    <row r="517" ht="9" customHeight="1" hidden="1">
      <c r="J517" s="77"/>
      <c r="K517" s="78"/>
      <c r="L517" s="78"/>
      <c r="M517" t="s" s="79">
        <v>1141</v>
      </c>
      <c r="N517" s="80">
        <v>6</v>
      </c>
      <c r="O517" s="81">
        <v>1599.98</v>
      </c>
      <c r="P517" s="81">
        <v>4799.94</v>
      </c>
    </row>
    <row r="518" ht="9" customHeight="1" hidden="1">
      <c r="J518" s="77"/>
      <c r="K518" s="78"/>
      <c r="L518" s="78"/>
      <c r="M518" t="s" s="79">
        <v>84</v>
      </c>
      <c r="N518" s="80">
        <v>2</v>
      </c>
      <c r="O518" s="81">
        <v>0</v>
      </c>
      <c r="P518" s="81">
        <v>0</v>
      </c>
    </row>
    <row r="519" ht="9" customHeight="1" hidden="1">
      <c r="J519" s="77"/>
      <c r="K519" s="78"/>
      <c r="L519" s="78"/>
      <c r="M519" t="s" s="79">
        <v>470</v>
      </c>
      <c r="N519" s="80">
        <v>2</v>
      </c>
      <c r="O519" s="81">
        <v>100</v>
      </c>
      <c r="P519" s="81">
        <v>200</v>
      </c>
    </row>
    <row r="520" ht="9" customHeight="1" hidden="1">
      <c r="J520" s="77"/>
      <c r="K520" s="78"/>
      <c r="L520" s="78"/>
      <c r="M520" t="s" s="79">
        <v>52</v>
      </c>
      <c r="N520" s="80">
        <v>2</v>
      </c>
      <c r="O520" s="81">
        <v>0</v>
      </c>
      <c r="P520" s="81">
        <v>0</v>
      </c>
    </row>
    <row r="521" ht="9" customHeight="1" hidden="1">
      <c r="J521" s="77"/>
      <c r="K521" s="78"/>
      <c r="L521" s="78"/>
      <c r="M521" t="s" s="79">
        <v>50</v>
      </c>
      <c r="N521" s="80">
        <v>2</v>
      </c>
      <c r="O521" s="81">
        <v>0</v>
      </c>
      <c r="P521" s="81">
        <v>0</v>
      </c>
    </row>
    <row r="522" ht="9" customHeight="1" hidden="1">
      <c r="J522" s="77"/>
      <c r="K522" s="78"/>
      <c r="L522" s="78"/>
      <c r="M522" t="s" s="79">
        <v>48</v>
      </c>
      <c r="N522" s="80">
        <v>2</v>
      </c>
      <c r="O522" s="81">
        <v>1299.99</v>
      </c>
      <c r="P522" s="81">
        <v>2599.98</v>
      </c>
    </row>
    <row r="523" ht="9" customHeight="1" hidden="1">
      <c r="J523" s="82"/>
      <c r="K523" s="83"/>
      <c r="L523" s="84">
        <v>45474</v>
      </c>
      <c r="M523" s="85"/>
      <c r="N523" s="28">
        <v>16</v>
      </c>
      <c r="O523" s="29">
        <v>2999.97</v>
      </c>
      <c r="P523" s="29">
        <v>7599.92</v>
      </c>
    </row>
    <row r="524" ht="9" customHeight="1" hidden="1">
      <c r="J524" s="82"/>
      <c r="K524" t="s" s="86">
        <v>1139</v>
      </c>
      <c r="L524" s="87"/>
      <c r="M524" s="85"/>
      <c r="N524" s="28">
        <v>16</v>
      </c>
      <c r="O524" s="29">
        <v>2999.97</v>
      </c>
      <c r="P524" s="29">
        <v>7599.92</v>
      </c>
    </row>
    <row r="525" ht="15.55" customHeight="1">
      <c r="J525" t="s" s="27">
        <v>1140</v>
      </c>
      <c r="K525" s="87"/>
      <c r="L525" s="87"/>
      <c r="M525" s="85"/>
      <c r="N525" s="28">
        <v>16</v>
      </c>
      <c r="O525" s="29">
        <v>2999.97</v>
      </c>
      <c r="P525" s="29">
        <v>7599.92</v>
      </c>
    </row>
    <row r="526" ht="9" customHeight="1" hidden="1">
      <c r="J526" s="77"/>
      <c r="K526" s="78"/>
      <c r="L526" s="78"/>
      <c r="M526" t="s" s="79">
        <v>345</v>
      </c>
      <c r="N526" s="80">
        <v>1</v>
      </c>
      <c r="O526" s="81">
        <v>219.99</v>
      </c>
      <c r="P526" s="81">
        <v>219.99</v>
      </c>
    </row>
    <row r="527" ht="9" customHeight="1" hidden="1">
      <c r="J527" s="77"/>
      <c r="K527" s="78"/>
      <c r="L527" s="78"/>
      <c r="M527" t="s" s="79">
        <v>35</v>
      </c>
      <c r="N527" s="80">
        <v>1</v>
      </c>
      <c r="O527" s="81">
        <v>39.99</v>
      </c>
      <c r="P527" s="81">
        <v>39.99</v>
      </c>
    </row>
    <row r="528" ht="9" customHeight="1" hidden="1">
      <c r="J528" s="77"/>
      <c r="K528" s="78"/>
      <c r="L528" s="78"/>
      <c r="M528" t="s" s="79">
        <v>95</v>
      </c>
      <c r="N528" s="80">
        <v>1</v>
      </c>
      <c r="O528" s="81">
        <v>349.99</v>
      </c>
      <c r="P528" s="81">
        <v>349.99</v>
      </c>
    </row>
    <row r="529" ht="9" customHeight="1" hidden="1">
      <c r="J529" s="82"/>
      <c r="K529" s="83"/>
      <c r="L529" s="84">
        <v>45474</v>
      </c>
      <c r="M529" s="85"/>
      <c r="N529" s="28">
        <v>3</v>
      </c>
      <c r="O529" s="29">
        <v>609.97</v>
      </c>
      <c r="P529" s="29">
        <v>609.97</v>
      </c>
    </row>
    <row r="530" ht="9" customHeight="1" hidden="1">
      <c r="J530" s="82"/>
      <c r="K530" t="s" s="86">
        <v>1148</v>
      </c>
      <c r="L530" s="87"/>
      <c r="M530" s="85"/>
      <c r="N530" s="28">
        <v>3</v>
      </c>
      <c r="O530" s="29">
        <v>609.97</v>
      </c>
      <c r="P530" s="29">
        <v>609.97</v>
      </c>
    </row>
    <row r="531" ht="15.55" customHeight="1">
      <c r="J531" t="s" s="27">
        <v>1149</v>
      </c>
      <c r="K531" s="87"/>
      <c r="L531" s="87"/>
      <c r="M531" s="85"/>
      <c r="N531" s="28">
        <v>3</v>
      </c>
      <c r="O531" s="29">
        <v>609.97</v>
      </c>
      <c r="P531" s="29">
        <v>609.97</v>
      </c>
    </row>
    <row r="532" ht="9" customHeight="1" hidden="1">
      <c r="J532" s="77"/>
      <c r="K532" s="78"/>
      <c r="L532" s="78"/>
      <c r="M532" t="s" s="79">
        <v>27</v>
      </c>
      <c r="N532" s="80">
        <v>8</v>
      </c>
      <c r="O532" s="81">
        <v>79.98999999999999</v>
      </c>
      <c r="P532" s="81">
        <v>639.92</v>
      </c>
    </row>
    <row r="533" ht="9" customHeight="1" hidden="1">
      <c r="J533" s="82"/>
      <c r="K533" s="83"/>
      <c r="L533" s="84">
        <v>45474</v>
      </c>
      <c r="M533" s="85"/>
      <c r="N533" s="28">
        <v>8</v>
      </c>
      <c r="O533" s="29">
        <v>79.98999999999999</v>
      </c>
      <c r="P533" s="29">
        <v>639.92</v>
      </c>
    </row>
    <row r="534" ht="9" customHeight="1" hidden="1">
      <c r="J534" s="82"/>
      <c r="K534" t="s" s="86">
        <v>1238</v>
      </c>
      <c r="L534" s="87"/>
      <c r="M534" s="85"/>
      <c r="N534" s="28">
        <v>8</v>
      </c>
      <c r="O534" s="29">
        <v>79.98999999999999</v>
      </c>
      <c r="P534" s="29">
        <v>639.92</v>
      </c>
    </row>
    <row r="535" ht="15.55" customHeight="1">
      <c r="J535" t="s" s="27">
        <v>939</v>
      </c>
      <c r="K535" s="87"/>
      <c r="L535" s="87"/>
      <c r="M535" s="85"/>
      <c r="N535" s="28">
        <v>8</v>
      </c>
      <c r="O535" s="29">
        <v>79.98999999999999</v>
      </c>
      <c r="P535" s="29">
        <v>639.92</v>
      </c>
    </row>
    <row r="536" ht="9" customHeight="1" hidden="1">
      <c r="J536" s="77"/>
      <c r="K536" s="78"/>
      <c r="L536" s="78"/>
      <c r="M536" t="s" s="79">
        <v>179</v>
      </c>
      <c r="N536" s="80">
        <v>2</v>
      </c>
      <c r="O536" s="81">
        <v>49.99</v>
      </c>
      <c r="P536" s="81">
        <v>99.98</v>
      </c>
    </row>
    <row r="537" ht="9" customHeight="1" hidden="1">
      <c r="J537" s="77"/>
      <c r="K537" s="78"/>
      <c r="L537" s="78"/>
      <c r="M537" t="s" s="79">
        <v>15</v>
      </c>
      <c r="N537" s="80">
        <v>3</v>
      </c>
      <c r="O537" s="81">
        <v>9.99</v>
      </c>
      <c r="P537" s="81">
        <v>29.97</v>
      </c>
    </row>
    <row r="538" ht="9" customHeight="1" hidden="1">
      <c r="J538" s="82"/>
      <c r="K538" s="83"/>
      <c r="L538" s="84">
        <v>45474</v>
      </c>
      <c r="M538" s="85"/>
      <c r="N538" s="28">
        <v>5</v>
      </c>
      <c r="O538" s="29">
        <v>59.98</v>
      </c>
      <c r="P538" s="29">
        <v>129.95</v>
      </c>
    </row>
    <row r="539" ht="9" customHeight="1" hidden="1">
      <c r="J539" s="82"/>
      <c r="K539" t="s" s="86">
        <v>1472</v>
      </c>
      <c r="L539" s="87"/>
      <c r="M539" s="85"/>
      <c r="N539" s="28">
        <v>5</v>
      </c>
      <c r="O539" s="29">
        <v>59.98</v>
      </c>
      <c r="P539" s="29">
        <v>129.95</v>
      </c>
    </row>
    <row r="540" ht="15.55" customHeight="1">
      <c r="J540" t="s" s="27">
        <v>1473</v>
      </c>
      <c r="K540" s="87"/>
      <c r="L540" s="87"/>
      <c r="M540" s="85"/>
      <c r="N540" s="28">
        <v>5</v>
      </c>
      <c r="O540" s="29">
        <v>59.98</v>
      </c>
      <c r="P540" s="29">
        <v>129.95</v>
      </c>
    </row>
    <row r="541" ht="9" customHeight="1" hidden="1">
      <c r="J541" s="77"/>
      <c r="K541" s="78"/>
      <c r="L541" s="78"/>
      <c r="M541" t="s" s="79">
        <v>95</v>
      </c>
      <c r="N541" s="80">
        <v>1</v>
      </c>
      <c r="O541" s="81">
        <v>349.99</v>
      </c>
      <c r="P541" s="81">
        <v>349.99</v>
      </c>
    </row>
    <row r="542" ht="9" customHeight="1" hidden="1">
      <c r="J542" s="82"/>
      <c r="K542" s="83"/>
      <c r="L542" s="84">
        <v>45474</v>
      </c>
      <c r="M542" s="85"/>
      <c r="N542" s="28">
        <v>1</v>
      </c>
      <c r="O542" s="29">
        <v>349.99</v>
      </c>
      <c r="P542" s="29">
        <v>349.99</v>
      </c>
    </row>
    <row r="543" ht="9" customHeight="1" hidden="1">
      <c r="J543" s="82"/>
      <c r="K543" t="s" s="86">
        <v>1372</v>
      </c>
      <c r="L543" s="87"/>
      <c r="M543" s="85"/>
      <c r="N543" s="28">
        <v>1</v>
      </c>
      <c r="O543" s="29">
        <v>349.99</v>
      </c>
      <c r="P543" s="29">
        <v>349.99</v>
      </c>
    </row>
    <row r="544" ht="15.55" customHeight="1">
      <c r="J544" t="s" s="27">
        <v>1373</v>
      </c>
      <c r="K544" s="87"/>
      <c r="L544" s="87"/>
      <c r="M544" s="85"/>
      <c r="N544" s="28">
        <v>1</v>
      </c>
      <c r="O544" s="29">
        <v>349.99</v>
      </c>
      <c r="P544" s="29">
        <v>349.99</v>
      </c>
    </row>
    <row r="545" ht="9" customHeight="1" hidden="1">
      <c r="J545" s="77"/>
      <c r="K545" s="78"/>
      <c r="L545" s="78"/>
      <c r="M545" t="s" s="79">
        <v>95</v>
      </c>
      <c r="N545" s="80">
        <v>1</v>
      </c>
      <c r="O545" s="81">
        <v>349.99</v>
      </c>
      <c r="P545" s="81">
        <v>349.99</v>
      </c>
    </row>
    <row r="546" ht="9" customHeight="1" hidden="1">
      <c r="J546" s="82"/>
      <c r="K546" s="83"/>
      <c r="L546" s="84">
        <v>45474</v>
      </c>
      <c r="M546" s="85"/>
      <c r="N546" s="28">
        <v>1</v>
      </c>
      <c r="O546" s="29">
        <v>349.99</v>
      </c>
      <c r="P546" s="29">
        <v>349.99</v>
      </c>
    </row>
    <row r="547" ht="9" customHeight="1" hidden="1">
      <c r="J547" s="82"/>
      <c r="K547" t="s" s="86">
        <v>1239</v>
      </c>
      <c r="L547" s="87"/>
      <c r="M547" s="85"/>
      <c r="N547" s="28">
        <v>1</v>
      </c>
      <c r="O547" s="29">
        <v>349.99</v>
      </c>
      <c r="P547" s="29">
        <v>349.99</v>
      </c>
    </row>
    <row r="548" ht="15.55" customHeight="1">
      <c r="J548" t="s" s="27">
        <v>1035</v>
      </c>
      <c r="K548" s="87"/>
      <c r="L548" s="87"/>
      <c r="M548" s="85"/>
      <c r="N548" s="28">
        <v>1</v>
      </c>
      <c r="O548" s="29">
        <v>349.99</v>
      </c>
      <c r="P548" s="29">
        <v>349.99</v>
      </c>
    </row>
    <row r="549" ht="9" customHeight="1" hidden="1">
      <c r="J549" s="77"/>
      <c r="K549" s="78"/>
      <c r="L549" s="78"/>
      <c r="M549" t="s" s="79">
        <v>35</v>
      </c>
      <c r="N549" s="80">
        <v>2</v>
      </c>
      <c r="O549" s="81">
        <v>49.99</v>
      </c>
      <c r="P549" s="81">
        <v>99.98</v>
      </c>
    </row>
    <row r="550" ht="9" customHeight="1" hidden="1">
      <c r="J550" s="82"/>
      <c r="K550" s="83"/>
      <c r="L550" s="84">
        <v>45474</v>
      </c>
      <c r="M550" s="85"/>
      <c r="N550" s="28">
        <v>2</v>
      </c>
      <c r="O550" s="29">
        <v>49.99</v>
      </c>
      <c r="P550" s="29">
        <v>99.98</v>
      </c>
    </row>
    <row r="551" ht="9" customHeight="1" hidden="1">
      <c r="J551" s="82"/>
      <c r="K551" t="s" s="86">
        <v>1379</v>
      </c>
      <c r="L551" s="87"/>
      <c r="M551" s="85"/>
      <c r="N551" s="28">
        <v>2</v>
      </c>
      <c r="O551" s="29">
        <v>49.99</v>
      </c>
      <c r="P551" s="29">
        <v>99.98</v>
      </c>
    </row>
    <row r="552" ht="9" customHeight="1" hidden="1">
      <c r="J552" s="77"/>
      <c r="K552" s="78"/>
      <c r="L552" s="78"/>
      <c r="M552" t="s" s="79">
        <v>54</v>
      </c>
      <c r="N552" s="80">
        <v>1</v>
      </c>
      <c r="O552" s="81">
        <v>9.99</v>
      </c>
      <c r="P552" s="81">
        <v>9.99</v>
      </c>
    </row>
    <row r="553" ht="9" customHeight="1" hidden="1">
      <c r="J553" s="77"/>
      <c r="K553" s="78"/>
      <c r="L553" s="78"/>
      <c r="M553" t="s" s="79">
        <v>139</v>
      </c>
      <c r="N553" s="80">
        <v>1</v>
      </c>
      <c r="O553" s="81">
        <v>49.99</v>
      </c>
      <c r="P553" s="81">
        <v>49.99</v>
      </c>
    </row>
    <row r="554" ht="9" customHeight="1" hidden="1">
      <c r="J554" s="82"/>
      <c r="K554" s="83"/>
      <c r="L554" s="84">
        <v>45474</v>
      </c>
      <c r="M554" s="85"/>
      <c r="N554" s="28">
        <v>2</v>
      </c>
      <c r="O554" s="29">
        <v>59.98</v>
      </c>
      <c r="P554" s="29">
        <v>59.98</v>
      </c>
    </row>
    <row r="555" ht="9" customHeight="1" hidden="1">
      <c r="J555" s="82"/>
      <c r="K555" t="s" s="86">
        <v>1378</v>
      </c>
      <c r="L555" s="87"/>
      <c r="M555" s="85"/>
      <c r="N555" s="28">
        <v>2</v>
      </c>
      <c r="O555" s="29">
        <v>59.98</v>
      </c>
      <c r="P555" s="29">
        <v>59.98</v>
      </c>
    </row>
    <row r="556" ht="9" customHeight="1" hidden="1">
      <c r="J556" s="77"/>
      <c r="K556" s="78"/>
      <c r="L556" s="78"/>
      <c r="M556" t="s" s="79">
        <v>139</v>
      </c>
      <c r="N556" s="80">
        <v>1</v>
      </c>
      <c r="O556" s="81">
        <v>49.99</v>
      </c>
      <c r="P556" s="81">
        <v>49.99</v>
      </c>
    </row>
    <row r="557" ht="9" customHeight="1" hidden="1">
      <c r="J557" s="82"/>
      <c r="K557" s="83"/>
      <c r="L557" s="84">
        <v>45474</v>
      </c>
      <c r="M557" s="85"/>
      <c r="N557" s="28">
        <v>1</v>
      </c>
      <c r="O557" s="29">
        <v>49.99</v>
      </c>
      <c r="P557" s="29">
        <v>49.99</v>
      </c>
    </row>
    <row r="558" ht="9" customHeight="1" hidden="1">
      <c r="J558" s="82"/>
      <c r="K558" t="s" s="86">
        <v>1210</v>
      </c>
      <c r="L558" s="87"/>
      <c r="M558" s="85"/>
      <c r="N558" s="28">
        <v>1</v>
      </c>
      <c r="O558" s="29">
        <v>49.99</v>
      </c>
      <c r="P558" s="29">
        <v>49.99</v>
      </c>
    </row>
    <row r="559" ht="9" customHeight="1" hidden="1">
      <c r="J559" s="77"/>
      <c r="K559" s="78"/>
      <c r="L559" s="78"/>
      <c r="M559" t="s" s="79">
        <v>35</v>
      </c>
      <c r="N559" s="80">
        <v>2</v>
      </c>
      <c r="O559" s="81">
        <v>49.99</v>
      </c>
      <c r="P559" s="81">
        <v>99.98</v>
      </c>
    </row>
    <row r="560" ht="9" customHeight="1" hidden="1">
      <c r="J560" s="82"/>
      <c r="K560" s="83"/>
      <c r="L560" s="84">
        <v>45474</v>
      </c>
      <c r="M560" s="85"/>
      <c r="N560" s="28">
        <v>2</v>
      </c>
      <c r="O560" s="29">
        <v>49.99</v>
      </c>
      <c r="P560" s="29">
        <v>99.98</v>
      </c>
    </row>
    <row r="561" ht="9" customHeight="1" hidden="1">
      <c r="J561" s="82"/>
      <c r="K561" t="s" s="86">
        <v>1192</v>
      </c>
      <c r="L561" s="87"/>
      <c r="M561" s="85"/>
      <c r="N561" s="28">
        <v>2</v>
      </c>
      <c r="O561" s="29">
        <v>49.99</v>
      </c>
      <c r="P561" s="29">
        <v>99.98</v>
      </c>
    </row>
    <row r="562" ht="15.55" customHeight="1">
      <c r="J562" t="s" s="27">
        <v>1193</v>
      </c>
      <c r="K562" s="87"/>
      <c r="L562" s="87"/>
      <c r="M562" s="85"/>
      <c r="N562" s="28">
        <v>7</v>
      </c>
      <c r="O562" s="29">
        <v>209.95</v>
      </c>
      <c r="P562" s="29">
        <v>309.93</v>
      </c>
    </row>
    <row r="563" ht="9" customHeight="1" hidden="1">
      <c r="J563" s="77"/>
      <c r="K563" s="78"/>
      <c r="L563" s="78"/>
      <c r="M563" t="s" s="79">
        <v>19</v>
      </c>
      <c r="N563" s="80">
        <v>4</v>
      </c>
      <c r="O563" s="81">
        <v>119.99</v>
      </c>
      <c r="P563" s="81">
        <v>479.96</v>
      </c>
    </row>
    <row r="564" ht="9" customHeight="1" hidden="1">
      <c r="J564" s="77"/>
      <c r="K564" s="78"/>
      <c r="L564" s="78"/>
      <c r="M564" t="s" s="79">
        <v>146</v>
      </c>
      <c r="N564" s="80">
        <v>5</v>
      </c>
      <c r="O564" s="81">
        <v>19.99</v>
      </c>
      <c r="P564" s="81">
        <v>99.95</v>
      </c>
    </row>
    <row r="565" ht="9" customHeight="1" hidden="1">
      <c r="J565" s="82"/>
      <c r="K565" s="83"/>
      <c r="L565" s="84">
        <v>45474</v>
      </c>
      <c r="M565" s="85"/>
      <c r="N565" s="28">
        <v>9</v>
      </c>
      <c r="O565" s="29">
        <v>139.98</v>
      </c>
      <c r="P565" s="29">
        <v>579.91</v>
      </c>
    </row>
    <row r="566" ht="9" customHeight="1" hidden="1">
      <c r="J566" s="82"/>
      <c r="K566" t="s" s="86">
        <v>1278</v>
      </c>
      <c r="L566" s="87"/>
      <c r="M566" s="85"/>
      <c r="N566" s="28">
        <v>9</v>
      </c>
      <c r="O566" s="29">
        <v>139.98</v>
      </c>
      <c r="P566" s="29">
        <v>579.91</v>
      </c>
    </row>
    <row r="567" ht="9" customHeight="1" hidden="1">
      <c r="J567" s="77"/>
      <c r="K567" s="78"/>
      <c r="L567" s="78"/>
      <c r="M567" t="s" s="79">
        <v>139</v>
      </c>
      <c r="N567" s="80">
        <v>5</v>
      </c>
      <c r="O567" s="81">
        <v>49.99</v>
      </c>
      <c r="P567" s="81">
        <v>249.95</v>
      </c>
    </row>
    <row r="568" ht="9" customHeight="1" hidden="1">
      <c r="J568" s="82"/>
      <c r="K568" s="83"/>
      <c r="L568" s="84">
        <v>45474</v>
      </c>
      <c r="M568" s="85"/>
      <c r="N568" s="28">
        <v>5</v>
      </c>
      <c r="O568" s="29">
        <v>49.99</v>
      </c>
      <c r="P568" s="29">
        <v>249.95</v>
      </c>
    </row>
    <row r="569" ht="9" customHeight="1" hidden="1">
      <c r="J569" s="82"/>
      <c r="K569" t="s" s="86">
        <v>1253</v>
      </c>
      <c r="L569" s="87"/>
      <c r="M569" s="85"/>
      <c r="N569" s="28">
        <v>5</v>
      </c>
      <c r="O569" s="29">
        <v>49.99</v>
      </c>
      <c r="P569" s="29">
        <v>249.95</v>
      </c>
    </row>
    <row r="570" ht="15.55" customHeight="1">
      <c r="J570" t="s" s="27">
        <v>1254</v>
      </c>
      <c r="K570" s="87"/>
      <c r="L570" s="87"/>
      <c r="M570" s="85"/>
      <c r="N570" s="28">
        <v>14</v>
      </c>
      <c r="O570" s="29">
        <v>189.97</v>
      </c>
      <c r="P570" s="29">
        <v>829.86</v>
      </c>
    </row>
    <row r="571" ht="9" customHeight="1" hidden="1">
      <c r="J571" s="77"/>
      <c r="K571" s="78"/>
      <c r="L571" s="78"/>
      <c r="M571" t="s" s="79">
        <v>402</v>
      </c>
      <c r="N571" s="80">
        <v>2</v>
      </c>
      <c r="O571" s="81">
        <v>0</v>
      </c>
      <c r="P571" s="81">
        <v>0</v>
      </c>
    </row>
    <row r="572" ht="9" customHeight="1" hidden="1">
      <c r="J572" s="77"/>
      <c r="K572" s="78"/>
      <c r="L572" s="78"/>
      <c r="M572" t="s" s="79">
        <v>254</v>
      </c>
      <c r="N572" s="80">
        <v>2</v>
      </c>
      <c r="O572" s="81">
        <v>0</v>
      </c>
      <c r="P572" s="81">
        <v>0</v>
      </c>
    </row>
    <row r="573" ht="9" customHeight="1" hidden="1">
      <c r="J573" s="82"/>
      <c r="K573" s="83"/>
      <c r="L573" s="84">
        <v>45474</v>
      </c>
      <c r="M573" s="85"/>
      <c r="N573" s="28">
        <v>4</v>
      </c>
      <c r="O573" s="29">
        <v>0</v>
      </c>
      <c r="P573" s="29">
        <v>0</v>
      </c>
    </row>
    <row r="574" ht="9" customHeight="1" hidden="1">
      <c r="J574" s="82"/>
      <c r="K574" t="s" s="86">
        <v>1339</v>
      </c>
      <c r="L574" s="87"/>
      <c r="M574" s="85"/>
      <c r="N574" s="28">
        <v>4</v>
      </c>
      <c r="O574" s="29">
        <v>0</v>
      </c>
      <c r="P574" s="29">
        <v>0</v>
      </c>
    </row>
    <row r="575" ht="15.55" customHeight="1">
      <c r="J575" t="s" s="27">
        <v>831</v>
      </c>
      <c r="K575" s="87"/>
      <c r="L575" s="87"/>
      <c r="M575" s="85"/>
      <c r="N575" s="28">
        <v>4</v>
      </c>
      <c r="O575" s="29">
        <v>0</v>
      </c>
      <c r="P575" s="29">
        <v>0</v>
      </c>
    </row>
    <row r="576" ht="9" customHeight="1" hidden="1">
      <c r="J576" s="77"/>
      <c r="K576" s="78"/>
      <c r="L576" s="78"/>
      <c r="M576" t="s" s="79">
        <v>139</v>
      </c>
      <c r="N576" s="80">
        <v>1</v>
      </c>
      <c r="O576" s="81">
        <v>49.99</v>
      </c>
      <c r="P576" s="81">
        <v>49.99</v>
      </c>
    </row>
    <row r="577" ht="9" customHeight="1" hidden="1">
      <c r="J577" s="82"/>
      <c r="K577" s="83"/>
      <c r="L577" s="84">
        <v>45474</v>
      </c>
      <c r="M577" s="85"/>
      <c r="N577" s="28">
        <v>1</v>
      </c>
      <c r="O577" s="29">
        <v>49.99</v>
      </c>
      <c r="P577" s="29">
        <v>49.99</v>
      </c>
    </row>
    <row r="578" ht="9" customHeight="1" hidden="1">
      <c r="J578" s="82"/>
      <c r="K578" t="s" s="86">
        <v>1435</v>
      </c>
      <c r="L578" s="87"/>
      <c r="M578" s="85"/>
      <c r="N578" s="28">
        <v>1</v>
      </c>
      <c r="O578" s="29">
        <v>49.99</v>
      </c>
      <c r="P578" s="29">
        <v>49.99</v>
      </c>
    </row>
    <row r="579" ht="9" customHeight="1" hidden="1">
      <c r="J579" s="77"/>
      <c r="K579" s="78"/>
      <c r="L579" s="78"/>
      <c r="M579" t="s" s="79">
        <v>1236</v>
      </c>
      <c r="N579" s="80">
        <v>1</v>
      </c>
      <c r="O579" s="81">
        <v>0</v>
      </c>
      <c r="P579" s="81">
        <v>0</v>
      </c>
    </row>
    <row r="580" ht="9" customHeight="1" hidden="1">
      <c r="J580" s="77"/>
      <c r="K580" s="78"/>
      <c r="L580" s="78"/>
      <c r="M580" t="s" s="79">
        <v>762</v>
      </c>
      <c r="N580" s="80">
        <v>1</v>
      </c>
      <c r="O580" s="81">
        <v>0</v>
      </c>
      <c r="P580" s="81">
        <v>0</v>
      </c>
    </row>
    <row r="581" ht="9" customHeight="1" hidden="1">
      <c r="J581" s="82"/>
      <c r="K581" s="83"/>
      <c r="L581" s="84">
        <v>45474</v>
      </c>
      <c r="M581" s="85"/>
      <c r="N581" s="28">
        <v>2</v>
      </c>
      <c r="O581" s="29">
        <v>0</v>
      </c>
      <c r="P581" s="29">
        <v>0</v>
      </c>
    </row>
    <row r="582" ht="9" customHeight="1" hidden="1">
      <c r="J582" s="82"/>
      <c r="K582" t="s" s="86">
        <v>1389</v>
      </c>
      <c r="L582" s="87"/>
      <c r="M582" s="85"/>
      <c r="N582" s="28">
        <v>2</v>
      </c>
      <c r="O582" s="29">
        <v>0</v>
      </c>
      <c r="P582" s="29">
        <v>0</v>
      </c>
    </row>
    <row r="583" ht="15.55" customHeight="1">
      <c r="J583" t="s" s="27">
        <v>1390</v>
      </c>
      <c r="K583" s="87"/>
      <c r="L583" s="87"/>
      <c r="M583" s="85"/>
      <c r="N583" s="28">
        <v>3</v>
      </c>
      <c r="O583" s="29">
        <v>49.99</v>
      </c>
      <c r="P583" s="29">
        <v>49.99</v>
      </c>
    </row>
    <row r="584" ht="9" customHeight="1" hidden="1">
      <c r="J584" s="77"/>
      <c r="K584" s="78"/>
      <c r="L584" s="78"/>
      <c r="M584" t="s" s="79">
        <v>23</v>
      </c>
      <c r="N584" s="80">
        <v>1</v>
      </c>
      <c r="O584" s="81">
        <v>149.99</v>
      </c>
      <c r="P584" s="81">
        <v>149.99</v>
      </c>
    </row>
    <row r="585" ht="9" customHeight="1" hidden="1">
      <c r="J585" s="82"/>
      <c r="K585" s="83"/>
      <c r="L585" s="84">
        <v>45474</v>
      </c>
      <c r="M585" s="85"/>
      <c r="N585" s="28">
        <v>1</v>
      </c>
      <c r="O585" s="29">
        <v>149.99</v>
      </c>
      <c r="P585" s="29">
        <v>149.99</v>
      </c>
    </row>
    <row r="586" ht="9" customHeight="1" hidden="1">
      <c r="J586" s="82"/>
      <c r="K586" t="s" s="86">
        <v>1384</v>
      </c>
      <c r="L586" s="87"/>
      <c r="M586" s="85"/>
      <c r="N586" s="28">
        <v>1</v>
      </c>
      <c r="O586" s="29">
        <v>149.99</v>
      </c>
      <c r="P586" s="29">
        <v>149.99</v>
      </c>
    </row>
    <row r="587" ht="15.55" customHeight="1">
      <c r="J587" t="s" s="27">
        <v>1385</v>
      </c>
      <c r="K587" s="87"/>
      <c r="L587" s="87"/>
      <c r="M587" s="85"/>
      <c r="N587" s="28">
        <v>1</v>
      </c>
      <c r="O587" s="29">
        <v>149.99</v>
      </c>
      <c r="P587" s="29">
        <v>149.99</v>
      </c>
    </row>
    <row r="588" ht="9" customHeight="1" hidden="1">
      <c r="J588" s="77"/>
      <c r="K588" s="78"/>
      <c r="L588" s="78"/>
      <c r="M588" t="s" s="79">
        <v>19</v>
      </c>
      <c r="N588" s="80">
        <v>1</v>
      </c>
      <c r="O588" s="81">
        <v>119.99</v>
      </c>
      <c r="P588" s="81">
        <v>119.99</v>
      </c>
    </row>
    <row r="589" ht="9" customHeight="1" hidden="1">
      <c r="J589" s="82"/>
      <c r="K589" s="83"/>
      <c r="L589" s="84">
        <v>45474</v>
      </c>
      <c r="M589" s="85"/>
      <c r="N589" s="28">
        <v>1</v>
      </c>
      <c r="O589" s="29">
        <v>119.99</v>
      </c>
      <c r="P589" s="29">
        <v>119.99</v>
      </c>
    </row>
    <row r="590" ht="9" customHeight="1" hidden="1">
      <c r="J590" s="82"/>
      <c r="K590" t="s" s="86">
        <v>1169</v>
      </c>
      <c r="L590" s="87"/>
      <c r="M590" s="85"/>
      <c r="N590" s="28">
        <v>1</v>
      </c>
      <c r="O590" s="29">
        <v>119.99</v>
      </c>
      <c r="P590" s="29">
        <v>119.99</v>
      </c>
    </row>
    <row r="591" ht="15.55" customHeight="1">
      <c r="J591" t="s" s="27">
        <v>1170</v>
      </c>
      <c r="K591" s="87"/>
      <c r="L591" s="87"/>
      <c r="M591" s="85"/>
      <c r="N591" s="28">
        <v>1</v>
      </c>
      <c r="O591" s="29">
        <v>119.99</v>
      </c>
      <c r="P591" s="29">
        <v>119.99</v>
      </c>
    </row>
    <row r="592" ht="9" customHeight="1" hidden="1">
      <c r="J592" s="77"/>
      <c r="K592" s="78"/>
      <c r="L592" s="78"/>
      <c r="M592" t="s" s="79">
        <v>497</v>
      </c>
      <c r="N592" s="80">
        <v>1</v>
      </c>
      <c r="O592" s="81">
        <v>0</v>
      </c>
      <c r="P592" s="81">
        <v>0</v>
      </c>
    </row>
    <row r="593" ht="9" customHeight="1" hidden="1">
      <c r="J593" s="82"/>
      <c r="K593" s="83"/>
      <c r="L593" s="84">
        <v>45474</v>
      </c>
      <c r="M593" s="85"/>
      <c r="N593" s="28">
        <v>1</v>
      </c>
      <c r="O593" s="29">
        <v>0</v>
      </c>
      <c r="P593" s="29">
        <v>0</v>
      </c>
    </row>
    <row r="594" ht="9" customHeight="1" hidden="1">
      <c r="J594" s="82"/>
      <c r="K594" t="s" s="86">
        <v>1496</v>
      </c>
      <c r="L594" s="87"/>
      <c r="M594" s="85"/>
      <c r="N594" s="28">
        <v>1</v>
      </c>
      <c r="O594" s="29">
        <v>0</v>
      </c>
      <c r="P594" s="29">
        <v>0</v>
      </c>
    </row>
    <row r="595" ht="15.55" customHeight="1">
      <c r="J595" t="s" s="27">
        <v>1497</v>
      </c>
      <c r="K595" s="87"/>
      <c r="L595" s="87"/>
      <c r="M595" s="85"/>
      <c r="N595" s="28">
        <v>1</v>
      </c>
      <c r="O595" s="29">
        <v>0</v>
      </c>
      <c r="P595" s="29">
        <v>0</v>
      </c>
    </row>
    <row r="596" ht="9" customHeight="1" hidden="1">
      <c r="J596" s="77"/>
      <c r="K596" s="78"/>
      <c r="L596" s="78"/>
      <c r="M596" t="s" s="79">
        <v>1332</v>
      </c>
      <c r="N596" s="80">
        <v>16</v>
      </c>
      <c r="O596" s="81">
        <v>25.99</v>
      </c>
      <c r="P596" s="81">
        <v>415.84</v>
      </c>
    </row>
    <row r="597" ht="9" customHeight="1" hidden="1">
      <c r="J597" s="77"/>
      <c r="K597" s="78"/>
      <c r="L597" s="78"/>
      <c r="M597" t="s" s="79">
        <v>559</v>
      </c>
      <c r="N597" s="80">
        <v>16</v>
      </c>
      <c r="O597" s="81">
        <v>0</v>
      </c>
      <c r="P597" s="81">
        <v>0</v>
      </c>
    </row>
    <row r="598" ht="9" customHeight="1" hidden="1">
      <c r="J598" s="82"/>
      <c r="K598" s="83"/>
      <c r="L598" s="84">
        <v>45474</v>
      </c>
      <c r="M598" s="85"/>
      <c r="N598" s="28">
        <v>32</v>
      </c>
      <c r="O598" s="29">
        <v>25.99</v>
      </c>
      <c r="P598" s="29">
        <v>415.84</v>
      </c>
    </row>
    <row r="599" ht="9" customHeight="1" hidden="1">
      <c r="J599" s="82"/>
      <c r="K599" t="s" s="86">
        <v>1331</v>
      </c>
      <c r="L599" s="87"/>
      <c r="M599" s="85"/>
      <c r="N599" s="28">
        <v>32</v>
      </c>
      <c r="O599" s="29">
        <v>25.99</v>
      </c>
      <c r="P599" s="29">
        <v>415.84</v>
      </c>
    </row>
    <row r="600" ht="15.55" customHeight="1">
      <c r="J600" t="s" s="27">
        <v>911</v>
      </c>
      <c r="K600" s="87"/>
      <c r="L600" s="87"/>
      <c r="M600" s="85"/>
      <c r="N600" s="28">
        <v>32</v>
      </c>
      <c r="O600" s="29">
        <v>25.99</v>
      </c>
      <c r="P600" s="29">
        <v>415.84</v>
      </c>
    </row>
    <row r="601" ht="9" customHeight="1" hidden="1">
      <c r="J601" s="77"/>
      <c r="K601" s="78"/>
      <c r="L601" s="78"/>
      <c r="M601" t="s" s="79">
        <v>95</v>
      </c>
      <c r="N601" s="80">
        <v>1</v>
      </c>
      <c r="O601" s="81">
        <v>349.99</v>
      </c>
      <c r="P601" s="81">
        <v>349.99</v>
      </c>
    </row>
    <row r="602" ht="9" customHeight="1" hidden="1">
      <c r="J602" s="82"/>
      <c r="K602" s="83"/>
      <c r="L602" s="84">
        <v>45474</v>
      </c>
      <c r="M602" s="85"/>
      <c r="N602" s="28">
        <v>1</v>
      </c>
      <c r="O602" s="29">
        <v>349.99</v>
      </c>
      <c r="P602" s="29">
        <v>349.99</v>
      </c>
    </row>
    <row r="603" ht="9" customHeight="1" hidden="1">
      <c r="J603" s="82"/>
      <c r="K603" t="s" s="86">
        <v>1398</v>
      </c>
      <c r="L603" s="87"/>
      <c r="M603" s="85"/>
      <c r="N603" s="28">
        <v>1</v>
      </c>
      <c r="O603" s="29">
        <v>349.99</v>
      </c>
      <c r="P603" s="29">
        <v>349.99</v>
      </c>
    </row>
    <row r="604" ht="15.55" customHeight="1">
      <c r="J604" t="s" s="27">
        <v>1399</v>
      </c>
      <c r="K604" s="87"/>
      <c r="L604" s="87"/>
      <c r="M604" s="85"/>
      <c r="N604" s="28">
        <v>1</v>
      </c>
      <c r="O604" s="29">
        <v>349.99</v>
      </c>
      <c r="P604" s="29">
        <v>349.99</v>
      </c>
    </row>
    <row r="605" ht="9" customHeight="1" hidden="1">
      <c r="J605" s="77"/>
      <c r="K605" s="78"/>
      <c r="L605" s="78"/>
      <c r="M605" t="s" s="79">
        <v>406</v>
      </c>
      <c r="N605" s="80">
        <v>5</v>
      </c>
      <c r="O605" s="81">
        <v>0</v>
      </c>
      <c r="P605" s="81">
        <v>0</v>
      </c>
    </row>
    <row r="606" ht="9" customHeight="1" hidden="1">
      <c r="J606" s="77"/>
      <c r="K606" s="78"/>
      <c r="L606" s="78"/>
      <c r="M606" t="s" s="79">
        <v>1482</v>
      </c>
      <c r="N606" s="80">
        <v>3</v>
      </c>
      <c r="O606" s="81">
        <v>0</v>
      </c>
      <c r="P606" s="81">
        <v>0</v>
      </c>
    </row>
    <row r="607" ht="9" customHeight="1" hidden="1">
      <c r="J607" s="82"/>
      <c r="K607" s="83"/>
      <c r="L607" s="84">
        <v>45474</v>
      </c>
      <c r="M607" s="85"/>
      <c r="N607" s="28">
        <v>8</v>
      </c>
      <c r="O607" s="29">
        <v>0</v>
      </c>
      <c r="P607" s="29">
        <v>0</v>
      </c>
    </row>
    <row r="608" ht="9" customHeight="1" hidden="1">
      <c r="J608" s="82"/>
      <c r="K608" t="s" s="86">
        <v>1481</v>
      </c>
      <c r="L608" s="87"/>
      <c r="M608" s="85"/>
      <c r="N608" s="28">
        <v>8</v>
      </c>
      <c r="O608" s="29">
        <v>0</v>
      </c>
      <c r="P608" s="29">
        <v>0</v>
      </c>
    </row>
    <row r="609" ht="15.55" customHeight="1">
      <c r="J609" t="s" s="27">
        <v>555</v>
      </c>
      <c r="K609" s="87"/>
      <c r="L609" s="87"/>
      <c r="M609" s="85"/>
      <c r="N609" s="28">
        <v>8</v>
      </c>
      <c r="O609" s="29">
        <v>0</v>
      </c>
      <c r="P609" s="29">
        <v>0</v>
      </c>
    </row>
    <row r="610" ht="9" customHeight="1" hidden="1">
      <c r="J610" s="77"/>
      <c r="K610" s="78"/>
      <c r="L610" s="78"/>
      <c r="M610" t="s" s="79">
        <v>89</v>
      </c>
      <c r="N610" s="80">
        <v>2</v>
      </c>
      <c r="O610" s="81">
        <v>59.99</v>
      </c>
      <c r="P610" s="81">
        <v>119.98</v>
      </c>
    </row>
    <row r="611" ht="9" customHeight="1" hidden="1">
      <c r="J611" s="82"/>
      <c r="K611" s="83"/>
      <c r="L611" s="84">
        <v>45474</v>
      </c>
      <c r="M611" s="85"/>
      <c r="N611" s="28">
        <v>2</v>
      </c>
      <c r="O611" s="29">
        <v>59.99</v>
      </c>
      <c r="P611" s="29">
        <v>119.98</v>
      </c>
    </row>
    <row r="612" ht="9" customHeight="1" hidden="1">
      <c r="J612" s="82"/>
      <c r="K612" t="s" s="86">
        <v>1177</v>
      </c>
      <c r="L612" s="87"/>
      <c r="M612" s="85"/>
      <c r="N612" s="28">
        <v>2</v>
      </c>
      <c r="O612" s="29">
        <v>59.99</v>
      </c>
      <c r="P612" s="29">
        <v>119.98</v>
      </c>
    </row>
    <row r="613" ht="15.55" customHeight="1">
      <c r="J613" t="s" s="27">
        <v>1178</v>
      </c>
      <c r="K613" s="87"/>
      <c r="L613" s="87"/>
      <c r="M613" s="85"/>
      <c r="N613" s="28">
        <v>2</v>
      </c>
      <c r="O613" s="29">
        <v>59.99</v>
      </c>
      <c r="P613" s="29">
        <v>119.98</v>
      </c>
    </row>
    <row r="614" ht="9" customHeight="1" hidden="1">
      <c r="J614" s="77"/>
      <c r="K614" s="78"/>
      <c r="L614" s="78"/>
      <c r="M614" t="s" s="79">
        <v>682</v>
      </c>
      <c r="N614" s="80">
        <v>2</v>
      </c>
      <c r="O614" s="81">
        <v>187.4925</v>
      </c>
      <c r="P614" s="81">
        <v>374.985</v>
      </c>
    </row>
    <row r="615" ht="9" customHeight="1" hidden="1">
      <c r="J615" s="77"/>
      <c r="K615" s="78"/>
      <c r="L615" s="78"/>
      <c r="M615" t="s" s="79">
        <v>63</v>
      </c>
      <c r="N615" s="80">
        <v>1</v>
      </c>
      <c r="O615" s="81">
        <v>22.8</v>
      </c>
      <c r="P615" s="81">
        <v>22.8</v>
      </c>
    </row>
    <row r="616" ht="9" customHeight="1" hidden="1">
      <c r="J616" s="82"/>
      <c r="K616" s="83"/>
      <c r="L616" s="84">
        <v>45474</v>
      </c>
      <c r="M616" s="85"/>
      <c r="N616" s="28">
        <v>3</v>
      </c>
      <c r="O616" s="29">
        <v>210.2925</v>
      </c>
      <c r="P616" s="29">
        <v>397.785</v>
      </c>
    </row>
    <row r="617" ht="9" customHeight="1" hidden="1">
      <c r="J617" s="82"/>
      <c r="K617" t="s" s="86">
        <v>1415</v>
      </c>
      <c r="L617" s="87"/>
      <c r="M617" s="85"/>
      <c r="N617" s="28">
        <v>3</v>
      </c>
      <c r="O617" s="29">
        <v>210.2925</v>
      </c>
      <c r="P617" s="29">
        <v>397.785</v>
      </c>
    </row>
    <row r="618" ht="9" customHeight="1" hidden="1">
      <c r="J618" s="77"/>
      <c r="K618" s="78"/>
      <c r="L618" s="78"/>
      <c r="M618" t="s" s="79">
        <v>1243</v>
      </c>
      <c r="N618" s="80">
        <v>4</v>
      </c>
      <c r="O618" s="81">
        <v>58.333333</v>
      </c>
      <c r="P618" s="81">
        <v>233.333332</v>
      </c>
    </row>
    <row r="619" ht="9" customHeight="1" hidden="1">
      <c r="J619" s="77"/>
      <c r="K619" s="78"/>
      <c r="L619" s="78"/>
      <c r="M619" t="s" s="79">
        <v>1247</v>
      </c>
      <c r="N619" s="80">
        <v>12</v>
      </c>
      <c r="O619" s="81">
        <v>0.08695700000000001</v>
      </c>
      <c r="P619" s="81">
        <v>1.043484</v>
      </c>
    </row>
    <row r="620" ht="9" customHeight="1" hidden="1">
      <c r="J620" s="77"/>
      <c r="K620" s="78"/>
      <c r="L620" s="78"/>
      <c r="M620" t="s" s="79">
        <v>1245</v>
      </c>
      <c r="N620" s="80">
        <v>4</v>
      </c>
      <c r="O620" s="81">
        <v>30.833333</v>
      </c>
      <c r="P620" s="81">
        <v>123.333332</v>
      </c>
    </row>
    <row r="621" ht="9" customHeight="1" hidden="1">
      <c r="J621" s="82"/>
      <c r="K621" s="83"/>
      <c r="L621" s="84">
        <v>45474</v>
      </c>
      <c r="M621" s="85"/>
      <c r="N621" s="28">
        <v>20</v>
      </c>
      <c r="O621" s="29">
        <v>89.253623</v>
      </c>
      <c r="P621" s="29">
        <v>357.710148</v>
      </c>
    </row>
    <row r="622" ht="9" customHeight="1" hidden="1">
      <c r="J622" s="82"/>
      <c r="K622" t="s" s="86">
        <v>1242</v>
      </c>
      <c r="L622" s="87"/>
      <c r="M622" s="85"/>
      <c r="N622" s="28">
        <v>20</v>
      </c>
      <c r="O622" s="29">
        <v>89.253623</v>
      </c>
      <c r="P622" s="29">
        <v>357.710148</v>
      </c>
    </row>
    <row r="623" ht="15.55" customHeight="1">
      <c r="J623" t="s" s="27">
        <v>946</v>
      </c>
      <c r="K623" s="87"/>
      <c r="L623" s="87"/>
      <c r="M623" s="85"/>
      <c r="N623" s="28">
        <v>23</v>
      </c>
      <c r="O623" s="29">
        <v>299.546123</v>
      </c>
      <c r="P623" s="29">
        <v>755.495148</v>
      </c>
    </row>
    <row r="624" ht="9" customHeight="1" hidden="1">
      <c r="J624" s="77"/>
      <c r="K624" s="78"/>
      <c r="L624" s="78"/>
      <c r="M624" t="s" s="79">
        <v>84</v>
      </c>
      <c r="N624" s="80">
        <v>4</v>
      </c>
      <c r="O624" s="81">
        <v>0</v>
      </c>
      <c r="P624" s="81">
        <v>0</v>
      </c>
    </row>
    <row r="625" ht="9" customHeight="1" hidden="1">
      <c r="J625" s="77"/>
      <c r="K625" s="78"/>
      <c r="L625" s="78"/>
      <c r="M625" t="s" s="79">
        <v>133</v>
      </c>
      <c r="N625" s="80">
        <v>4</v>
      </c>
      <c r="O625" s="81">
        <v>37.5</v>
      </c>
      <c r="P625" s="81">
        <v>150</v>
      </c>
    </row>
    <row r="626" ht="9" customHeight="1" hidden="1">
      <c r="J626" s="77"/>
      <c r="K626" s="78"/>
      <c r="L626" s="78"/>
      <c r="M626" t="s" s="79">
        <v>52</v>
      </c>
      <c r="N626" s="80">
        <v>4</v>
      </c>
      <c r="O626" s="81">
        <v>0</v>
      </c>
      <c r="P626" s="81">
        <v>0</v>
      </c>
    </row>
    <row r="627" ht="9" customHeight="1" hidden="1">
      <c r="J627" s="77"/>
      <c r="K627" s="78"/>
      <c r="L627" s="78"/>
      <c r="M627" t="s" s="79">
        <v>50</v>
      </c>
      <c r="N627" s="80">
        <v>4</v>
      </c>
      <c r="O627" s="81">
        <v>0</v>
      </c>
      <c r="P627" s="81">
        <v>0</v>
      </c>
    </row>
    <row r="628" ht="9" customHeight="1" hidden="1">
      <c r="J628" s="77"/>
      <c r="K628" s="78"/>
      <c r="L628" s="78"/>
      <c r="M628" t="s" s="79">
        <v>48</v>
      </c>
      <c r="N628" s="80">
        <v>4</v>
      </c>
      <c r="O628" s="81">
        <v>974.9924999999999</v>
      </c>
      <c r="P628" s="81">
        <v>3899.97</v>
      </c>
    </row>
    <row r="629" ht="9" customHeight="1" hidden="1">
      <c r="J629" s="77"/>
      <c r="K629" s="78"/>
      <c r="L629" s="78"/>
      <c r="M629" t="s" s="79">
        <v>63</v>
      </c>
      <c r="N629" s="80">
        <v>1</v>
      </c>
      <c r="O629" s="81">
        <v>185.6</v>
      </c>
      <c r="P629" s="81">
        <v>185.6</v>
      </c>
    </row>
    <row r="630" ht="9" customHeight="1" hidden="1">
      <c r="J630" s="82"/>
      <c r="K630" s="83"/>
      <c r="L630" s="84">
        <v>45474</v>
      </c>
      <c r="M630" s="85"/>
      <c r="N630" s="28">
        <v>21</v>
      </c>
      <c r="O630" s="29">
        <v>1198.0925</v>
      </c>
      <c r="P630" s="29">
        <v>4235.57</v>
      </c>
    </row>
    <row r="631" ht="9" customHeight="1" hidden="1">
      <c r="J631" s="82"/>
      <c r="K631" t="s" s="86">
        <v>1425</v>
      </c>
      <c r="L631" s="87"/>
      <c r="M631" s="85"/>
      <c r="N631" s="28">
        <v>21</v>
      </c>
      <c r="O631" s="29">
        <v>1198.0925</v>
      </c>
      <c r="P631" s="29">
        <v>4235.57</v>
      </c>
    </row>
    <row r="632" ht="9" customHeight="1" hidden="1">
      <c r="J632" s="77"/>
      <c r="K632" s="78"/>
      <c r="L632" s="78"/>
      <c r="M632" t="s" s="79">
        <v>57</v>
      </c>
      <c r="N632" s="80">
        <v>4</v>
      </c>
      <c r="O632" s="81">
        <v>599.9924999999999</v>
      </c>
      <c r="P632" s="81">
        <v>2399.97</v>
      </c>
    </row>
    <row r="633" ht="9" customHeight="1" hidden="1">
      <c r="J633" s="77"/>
      <c r="K633" s="78"/>
      <c r="L633" s="78"/>
      <c r="M633" t="s" s="79">
        <v>47</v>
      </c>
      <c r="N633" s="80">
        <v>1</v>
      </c>
      <c r="O633" s="81">
        <v>65.45</v>
      </c>
      <c r="P633" s="81">
        <v>65.45</v>
      </c>
    </row>
    <row r="634" ht="9" customHeight="1" hidden="1">
      <c r="J634" s="82"/>
      <c r="K634" s="83"/>
      <c r="L634" s="84">
        <v>45474</v>
      </c>
      <c r="M634" s="85"/>
      <c r="N634" s="28">
        <v>5</v>
      </c>
      <c r="O634" s="29">
        <v>665.4425</v>
      </c>
      <c r="P634" s="29">
        <v>2465.42</v>
      </c>
    </row>
    <row r="635" ht="9" customHeight="1" hidden="1">
      <c r="J635" s="82"/>
      <c r="K635" t="s" s="86">
        <v>1434</v>
      </c>
      <c r="L635" s="87"/>
      <c r="M635" s="85"/>
      <c r="N635" s="28">
        <v>5</v>
      </c>
      <c r="O635" s="29">
        <v>665.4425</v>
      </c>
      <c r="P635" s="29">
        <v>2465.42</v>
      </c>
    </row>
    <row r="636" ht="15.55" customHeight="1">
      <c r="J636" t="s" s="27">
        <v>1426</v>
      </c>
      <c r="K636" s="87"/>
      <c r="L636" s="87"/>
      <c r="M636" s="85"/>
      <c r="N636" s="28">
        <v>26</v>
      </c>
      <c r="O636" s="29">
        <v>1863.535</v>
      </c>
      <c r="P636" s="29">
        <v>6700.99</v>
      </c>
    </row>
    <row r="637" ht="9" customHeight="1" hidden="1">
      <c r="J637" s="77"/>
      <c r="K637" s="78"/>
      <c r="L637" s="78"/>
      <c r="M637" t="s" s="79">
        <v>84</v>
      </c>
      <c r="N637" s="80">
        <v>6</v>
      </c>
      <c r="O637" s="81">
        <v>0</v>
      </c>
      <c r="P637" s="81">
        <v>0</v>
      </c>
    </row>
    <row r="638" ht="9" customHeight="1" hidden="1">
      <c r="J638" s="77"/>
      <c r="K638" s="78"/>
      <c r="L638" s="78"/>
      <c r="M638" t="s" s="79">
        <v>133</v>
      </c>
      <c r="N638" s="80">
        <v>6</v>
      </c>
      <c r="O638" s="81">
        <v>50</v>
      </c>
      <c r="P638" s="81">
        <v>300</v>
      </c>
    </row>
    <row r="639" ht="9" customHeight="1" hidden="1">
      <c r="J639" s="77"/>
      <c r="K639" s="78"/>
      <c r="L639" s="78"/>
      <c r="M639" t="s" s="79">
        <v>81</v>
      </c>
      <c r="N639" s="80">
        <v>6</v>
      </c>
      <c r="O639" s="81">
        <v>849.99</v>
      </c>
      <c r="P639" s="81">
        <v>5099.94</v>
      </c>
    </row>
    <row r="640" ht="9" customHeight="1" hidden="1">
      <c r="J640" s="77"/>
      <c r="K640" s="78"/>
      <c r="L640" s="78"/>
      <c r="M640" t="s" s="79">
        <v>50</v>
      </c>
      <c r="N640" s="80">
        <v>6</v>
      </c>
      <c r="O640" s="81">
        <v>0</v>
      </c>
      <c r="P640" s="81">
        <v>0</v>
      </c>
    </row>
    <row r="641" ht="9" customHeight="1" hidden="1">
      <c r="J641" s="77"/>
      <c r="K641" s="78"/>
      <c r="L641" s="78"/>
      <c r="M641" t="s" s="79">
        <v>63</v>
      </c>
      <c r="N641" s="80">
        <v>1</v>
      </c>
      <c r="O641" s="81">
        <v>203.21</v>
      </c>
      <c r="P641" s="81">
        <v>203.21</v>
      </c>
    </row>
    <row r="642" ht="9" customHeight="1" hidden="1">
      <c r="J642" s="82"/>
      <c r="K642" s="83"/>
      <c r="L642" s="84">
        <v>45474</v>
      </c>
      <c r="M642" s="85"/>
      <c r="N642" s="28">
        <v>25</v>
      </c>
      <c r="O642" s="29">
        <v>1103.2</v>
      </c>
      <c r="P642" s="29">
        <v>5603.15</v>
      </c>
    </row>
    <row r="643" ht="9" customHeight="1" hidden="1">
      <c r="J643" s="82"/>
      <c r="K643" t="s" s="86">
        <v>1334</v>
      </c>
      <c r="L643" s="87"/>
      <c r="M643" s="85"/>
      <c r="N643" s="28">
        <v>25</v>
      </c>
      <c r="O643" s="29">
        <v>1103.2</v>
      </c>
      <c r="P643" s="29">
        <v>5603.15</v>
      </c>
    </row>
    <row r="644" ht="15.55" customHeight="1">
      <c r="J644" t="s" s="27">
        <v>188</v>
      </c>
      <c r="K644" s="87"/>
      <c r="L644" s="87"/>
      <c r="M644" s="85"/>
      <c r="N644" s="28">
        <v>25</v>
      </c>
      <c r="O644" s="29">
        <v>1103.2</v>
      </c>
      <c r="P644" s="29">
        <v>5603.15</v>
      </c>
    </row>
    <row r="645" ht="9" customHeight="1" hidden="1">
      <c r="J645" s="77"/>
      <c r="K645" s="78"/>
      <c r="L645" s="78"/>
      <c r="M645" t="s" s="79">
        <v>19</v>
      </c>
      <c r="N645" s="80">
        <v>4</v>
      </c>
      <c r="O645" s="81">
        <v>119.99</v>
      </c>
      <c r="P645" s="81">
        <v>479.96</v>
      </c>
    </row>
    <row r="646" ht="9" customHeight="1" hidden="1">
      <c r="J646" s="82"/>
      <c r="K646" s="83"/>
      <c r="L646" s="84">
        <v>45474</v>
      </c>
      <c r="M646" s="85"/>
      <c r="N646" s="28">
        <v>4</v>
      </c>
      <c r="O646" s="29">
        <v>119.99</v>
      </c>
      <c r="P646" s="29">
        <v>479.96</v>
      </c>
    </row>
    <row r="647" ht="9" customHeight="1" hidden="1">
      <c r="J647" s="82"/>
      <c r="K647" t="s" s="86">
        <v>1446</v>
      </c>
      <c r="L647" s="87"/>
      <c r="M647" s="85"/>
      <c r="N647" s="28">
        <v>4</v>
      </c>
      <c r="O647" s="29">
        <v>119.99</v>
      </c>
      <c r="P647" s="29">
        <v>479.96</v>
      </c>
    </row>
    <row r="648" ht="15.55" customHeight="1">
      <c r="J648" t="s" s="27">
        <v>1447</v>
      </c>
      <c r="K648" s="87"/>
      <c r="L648" s="87"/>
      <c r="M648" s="85"/>
      <c r="N648" s="28">
        <v>4</v>
      </c>
      <c r="O648" s="29">
        <v>119.99</v>
      </c>
      <c r="P648" s="29">
        <v>479.96</v>
      </c>
    </row>
    <row r="649" ht="9" customHeight="1" hidden="1">
      <c r="J649" s="77"/>
      <c r="K649" s="78"/>
      <c r="L649" s="78"/>
      <c r="M649" t="s" s="79">
        <v>1186</v>
      </c>
      <c r="N649" s="80">
        <v>4</v>
      </c>
      <c r="O649" s="81">
        <v>0</v>
      </c>
      <c r="P649" s="81">
        <v>0</v>
      </c>
    </row>
    <row r="650" ht="9" customHeight="1" hidden="1">
      <c r="J650" s="77"/>
      <c r="K650" s="78"/>
      <c r="L650" s="78"/>
      <c r="M650" t="s" s="79">
        <v>1187</v>
      </c>
      <c r="N650" s="80">
        <v>2</v>
      </c>
      <c r="O650" s="81">
        <v>0</v>
      </c>
      <c r="P650" s="81">
        <v>0</v>
      </c>
    </row>
    <row r="651" ht="9" customHeight="1" hidden="1">
      <c r="J651" s="77"/>
      <c r="K651" s="78"/>
      <c r="L651" s="78"/>
      <c r="M651" t="s" s="79">
        <v>19</v>
      </c>
      <c r="N651" s="80">
        <v>4</v>
      </c>
      <c r="O651" s="81">
        <v>107.991</v>
      </c>
      <c r="P651" s="81">
        <v>431.964</v>
      </c>
    </row>
    <row r="652" ht="9" customHeight="1" hidden="1">
      <c r="J652" s="77"/>
      <c r="K652" s="78"/>
      <c r="L652" s="78"/>
      <c r="M652" t="s" s="79">
        <v>52</v>
      </c>
      <c r="N652" s="80">
        <v>4</v>
      </c>
      <c r="O652" s="81">
        <v>17.99</v>
      </c>
      <c r="P652" s="81">
        <v>71.95999999999999</v>
      </c>
    </row>
    <row r="653" ht="9" customHeight="1" hidden="1">
      <c r="J653" s="77"/>
      <c r="K653" s="78"/>
      <c r="L653" s="78"/>
      <c r="M653" t="s" s="79">
        <v>254</v>
      </c>
      <c r="N653" s="80">
        <v>1</v>
      </c>
      <c r="O653" s="81">
        <v>120</v>
      </c>
      <c r="P653" s="81">
        <v>120</v>
      </c>
    </row>
    <row r="654" ht="9" customHeight="1" hidden="1">
      <c r="J654" s="77"/>
      <c r="K654" s="78"/>
      <c r="L654" s="78"/>
      <c r="M654" t="s" s="79">
        <v>861</v>
      </c>
      <c r="N654" s="80">
        <v>1</v>
      </c>
      <c r="O654" s="81">
        <v>44.09</v>
      </c>
      <c r="P654" s="81">
        <v>44.09</v>
      </c>
    </row>
    <row r="655" ht="9" customHeight="1" hidden="1">
      <c r="J655" s="82"/>
      <c r="K655" s="83"/>
      <c r="L655" s="84">
        <v>45474</v>
      </c>
      <c r="M655" s="85"/>
      <c r="N655" s="28">
        <v>16</v>
      </c>
      <c r="O655" s="29">
        <v>290.071</v>
      </c>
      <c r="P655" s="29">
        <v>668.014</v>
      </c>
    </row>
    <row r="656" ht="9" customHeight="1" hidden="1">
      <c r="J656" s="82"/>
      <c r="K656" t="s" s="86">
        <v>1183</v>
      </c>
      <c r="L656" s="87"/>
      <c r="M656" s="85"/>
      <c r="N656" s="28">
        <v>16</v>
      </c>
      <c r="O656" s="29">
        <v>290.071</v>
      </c>
      <c r="P656" s="29">
        <v>668.014</v>
      </c>
    </row>
    <row r="657" ht="15.55" customHeight="1">
      <c r="J657" t="s" s="27">
        <v>1184</v>
      </c>
      <c r="K657" s="87"/>
      <c r="L657" s="87"/>
      <c r="M657" s="85"/>
      <c r="N657" s="28">
        <v>16</v>
      </c>
      <c r="O657" s="29">
        <v>290.071</v>
      </c>
      <c r="P657" s="29">
        <v>668.014</v>
      </c>
    </row>
    <row r="658" ht="9" customHeight="1" hidden="1">
      <c r="J658" s="77"/>
      <c r="K658" s="78"/>
      <c r="L658" s="78"/>
      <c r="M658" t="s" s="79">
        <v>1466</v>
      </c>
      <c r="N658" s="80">
        <v>1</v>
      </c>
      <c r="O658" s="81">
        <v>429.99</v>
      </c>
      <c r="P658" s="81">
        <v>429.99</v>
      </c>
    </row>
    <row r="659" ht="9" customHeight="1" hidden="1">
      <c r="J659" s="82"/>
      <c r="K659" s="83"/>
      <c r="L659" s="84">
        <v>45474</v>
      </c>
      <c r="M659" s="85"/>
      <c r="N659" s="28">
        <v>1</v>
      </c>
      <c r="O659" s="29">
        <v>429.99</v>
      </c>
      <c r="P659" s="29">
        <v>429.99</v>
      </c>
    </row>
    <row r="660" ht="9" customHeight="1" hidden="1">
      <c r="J660" s="82"/>
      <c r="K660" t="s" s="86">
        <v>1464</v>
      </c>
      <c r="L660" s="87"/>
      <c r="M660" s="85"/>
      <c r="N660" s="28">
        <v>1</v>
      </c>
      <c r="O660" s="29">
        <v>429.99</v>
      </c>
      <c r="P660" s="29">
        <v>429.99</v>
      </c>
    </row>
    <row r="661" ht="15.55" customHeight="1">
      <c r="J661" t="s" s="27">
        <v>1465</v>
      </c>
      <c r="K661" s="87"/>
      <c r="L661" s="87"/>
      <c r="M661" s="85"/>
      <c r="N661" s="28">
        <v>1</v>
      </c>
      <c r="O661" s="29">
        <v>429.99</v>
      </c>
      <c r="P661" s="29">
        <v>429.99</v>
      </c>
    </row>
    <row r="662" ht="9" customHeight="1" hidden="1">
      <c r="J662" s="77"/>
      <c r="K662" s="78"/>
      <c r="L662" s="78"/>
      <c r="M662" t="s" s="79">
        <v>115</v>
      </c>
      <c r="N662" s="80">
        <v>4</v>
      </c>
      <c r="O662" s="81">
        <v>18.392</v>
      </c>
      <c r="P662" s="81">
        <v>73.568</v>
      </c>
    </row>
    <row r="663" ht="9" customHeight="1" hidden="1">
      <c r="J663" s="77"/>
      <c r="K663" s="78"/>
      <c r="L663" s="78"/>
      <c r="M663" t="s" s="79">
        <v>19</v>
      </c>
      <c r="N663" s="80">
        <v>4</v>
      </c>
      <c r="O663" s="81">
        <v>95.992</v>
      </c>
      <c r="P663" s="81">
        <v>383.968</v>
      </c>
    </row>
    <row r="664" ht="9" customHeight="1" hidden="1">
      <c r="J664" s="77"/>
      <c r="K664" s="78"/>
      <c r="L664" s="78"/>
      <c r="M664" t="s" s="79">
        <v>179</v>
      </c>
      <c r="N664" s="80">
        <v>4</v>
      </c>
      <c r="O664" s="81">
        <v>39.992</v>
      </c>
      <c r="P664" s="81">
        <v>159.968</v>
      </c>
    </row>
    <row r="665" ht="9" customHeight="1" hidden="1">
      <c r="J665" s="77"/>
      <c r="K665" s="78"/>
      <c r="L665" s="78"/>
      <c r="M665" t="s" s="79">
        <v>1054</v>
      </c>
      <c r="N665" s="80">
        <v>1</v>
      </c>
      <c r="O665" s="81">
        <v>119.992</v>
      </c>
      <c r="P665" s="81">
        <v>119.992</v>
      </c>
    </row>
    <row r="666" ht="9" customHeight="1" hidden="1">
      <c r="J666" s="77"/>
      <c r="K666" s="78"/>
      <c r="L666" s="78"/>
      <c r="M666" t="s" s="79">
        <v>133</v>
      </c>
      <c r="N666" s="80">
        <v>2</v>
      </c>
      <c r="O666" s="81">
        <v>159.992</v>
      </c>
      <c r="P666" s="81">
        <v>319.984</v>
      </c>
    </row>
    <row r="667" ht="9" customHeight="1" hidden="1">
      <c r="J667" s="77"/>
      <c r="K667" s="78"/>
      <c r="L667" s="78"/>
      <c r="M667" t="s" s="79">
        <v>602</v>
      </c>
      <c r="N667" s="80">
        <v>4</v>
      </c>
      <c r="O667" s="81">
        <v>239.992</v>
      </c>
      <c r="P667" s="81">
        <v>959.968</v>
      </c>
    </row>
    <row r="668" ht="9" customHeight="1" hidden="1">
      <c r="J668" s="77"/>
      <c r="K668" s="78"/>
      <c r="L668" s="78"/>
      <c r="M668" t="s" s="79">
        <v>77</v>
      </c>
      <c r="N668" s="80">
        <v>5</v>
      </c>
      <c r="O668" s="81">
        <v>15.992</v>
      </c>
      <c r="P668" s="81">
        <v>79.95999999999999</v>
      </c>
    </row>
    <row r="669" ht="9" customHeight="1" hidden="1">
      <c r="J669" s="77"/>
      <c r="K669" s="78"/>
      <c r="L669" s="78"/>
      <c r="M669" t="s" s="79">
        <v>47</v>
      </c>
      <c r="N669" s="80">
        <v>1</v>
      </c>
      <c r="O669" s="81">
        <v>42.5</v>
      </c>
      <c r="P669" s="81">
        <v>42.5</v>
      </c>
    </row>
    <row r="670" ht="9" customHeight="1" hidden="1">
      <c r="J670" s="82"/>
      <c r="K670" s="83"/>
      <c r="L670" s="84">
        <v>45474</v>
      </c>
      <c r="M670" s="85"/>
      <c r="N670" s="28">
        <v>25</v>
      </c>
      <c r="O670" s="29">
        <v>732.8440000000001</v>
      </c>
      <c r="P670" s="29">
        <v>2139.908</v>
      </c>
    </row>
    <row r="671" ht="9" customHeight="1" hidden="1">
      <c r="J671" s="82"/>
      <c r="K671" t="s" s="86">
        <v>1495</v>
      </c>
      <c r="L671" s="87"/>
      <c r="M671" s="85"/>
      <c r="N671" s="28">
        <v>25</v>
      </c>
      <c r="O671" s="29">
        <v>732.8440000000001</v>
      </c>
      <c r="P671" s="29">
        <v>2139.908</v>
      </c>
    </row>
    <row r="672" ht="9" customHeight="1" hidden="1">
      <c r="J672" s="77"/>
      <c r="K672" s="78"/>
      <c r="L672" s="78"/>
      <c r="M672" t="s" s="79">
        <v>1054</v>
      </c>
      <c r="N672" s="80">
        <v>4</v>
      </c>
      <c r="O672" s="81">
        <v>119.992</v>
      </c>
      <c r="P672" s="81">
        <v>479.968</v>
      </c>
    </row>
    <row r="673" ht="9" customHeight="1" hidden="1">
      <c r="J673" s="77"/>
      <c r="K673" s="78"/>
      <c r="L673" s="78"/>
      <c r="M673" t="s" s="79">
        <v>1407</v>
      </c>
      <c r="N673" s="80">
        <v>4</v>
      </c>
      <c r="O673" s="81">
        <v>27.992</v>
      </c>
      <c r="P673" s="81">
        <v>111.968</v>
      </c>
    </row>
    <row r="674" ht="9" customHeight="1" hidden="1">
      <c r="J674" s="77"/>
      <c r="K674" s="78"/>
      <c r="L674" s="78"/>
      <c r="M674" t="s" s="79">
        <v>1428</v>
      </c>
      <c r="N674" s="80">
        <v>1</v>
      </c>
      <c r="O674" s="81">
        <v>17.7582</v>
      </c>
      <c r="P674" s="81">
        <v>17.7582</v>
      </c>
    </row>
    <row r="675" ht="9" customHeight="1" hidden="1">
      <c r="J675" s="77"/>
      <c r="K675" s="78"/>
      <c r="L675" s="78"/>
      <c r="M675" t="s" s="79">
        <v>47</v>
      </c>
      <c r="N675" s="80">
        <v>1</v>
      </c>
      <c r="O675" s="81">
        <v>12.5</v>
      </c>
      <c r="P675" s="81">
        <v>12.5</v>
      </c>
    </row>
    <row r="676" ht="9" customHeight="1" hidden="1">
      <c r="J676" s="82"/>
      <c r="K676" s="83"/>
      <c r="L676" s="84">
        <v>45474</v>
      </c>
      <c r="M676" s="85"/>
      <c r="N676" s="28">
        <v>10</v>
      </c>
      <c r="O676" s="29">
        <v>178.2422</v>
      </c>
      <c r="P676" s="29">
        <v>622.1942</v>
      </c>
    </row>
    <row r="677" ht="9" customHeight="1" hidden="1">
      <c r="J677" s="82"/>
      <c r="K677" t="s" s="86">
        <v>1427</v>
      </c>
      <c r="L677" s="87"/>
      <c r="M677" s="85"/>
      <c r="N677" s="28">
        <v>10</v>
      </c>
      <c r="O677" s="29">
        <v>178.2422</v>
      </c>
      <c r="P677" s="29">
        <v>622.1942</v>
      </c>
    </row>
    <row r="678" ht="9" customHeight="1" hidden="1">
      <c r="J678" s="77"/>
      <c r="K678" s="78"/>
      <c r="L678" s="78"/>
      <c r="M678" t="s" s="79">
        <v>1407</v>
      </c>
      <c r="N678" s="80">
        <v>4</v>
      </c>
      <c r="O678" s="81">
        <v>0</v>
      </c>
      <c r="P678" s="81">
        <v>0</v>
      </c>
    </row>
    <row r="679" ht="9" customHeight="1" hidden="1">
      <c r="J679" s="82"/>
      <c r="K679" s="83"/>
      <c r="L679" s="84">
        <v>45474</v>
      </c>
      <c r="M679" s="85"/>
      <c r="N679" s="28">
        <v>4</v>
      </c>
      <c r="O679" s="29">
        <v>0</v>
      </c>
      <c r="P679" s="29">
        <v>0</v>
      </c>
    </row>
    <row r="680" ht="9" customHeight="1" hidden="1">
      <c r="J680" s="82"/>
      <c r="K680" t="s" s="86">
        <v>1433</v>
      </c>
      <c r="L680" s="87"/>
      <c r="M680" s="85"/>
      <c r="N680" s="28">
        <v>4</v>
      </c>
      <c r="O680" s="29">
        <v>0</v>
      </c>
      <c r="P680" s="29">
        <v>0</v>
      </c>
    </row>
    <row r="681" ht="9" customHeight="1" hidden="1">
      <c r="J681" s="77"/>
      <c r="K681" s="78"/>
      <c r="L681" s="78"/>
      <c r="M681" t="s" s="79">
        <v>1407</v>
      </c>
      <c r="N681" s="80">
        <v>3</v>
      </c>
      <c r="O681" s="81">
        <v>27.992</v>
      </c>
      <c r="P681" s="81">
        <v>83.976</v>
      </c>
    </row>
    <row r="682" ht="9" customHeight="1" hidden="1">
      <c r="J682" s="82"/>
      <c r="K682" s="83"/>
      <c r="L682" s="84">
        <v>45474</v>
      </c>
      <c r="M682" s="85"/>
      <c r="N682" s="28">
        <v>3</v>
      </c>
      <c r="O682" s="29">
        <v>27.992</v>
      </c>
      <c r="P682" s="29">
        <v>83.976</v>
      </c>
    </row>
    <row r="683" ht="9" customHeight="1" hidden="1">
      <c r="J683" s="82"/>
      <c r="K683" t="s" s="86">
        <v>1405</v>
      </c>
      <c r="L683" s="87"/>
      <c r="M683" s="85"/>
      <c r="N683" s="28">
        <v>3</v>
      </c>
      <c r="O683" s="29">
        <v>27.992</v>
      </c>
      <c r="P683" s="29">
        <v>83.976</v>
      </c>
    </row>
    <row r="684" ht="15.55" customHeight="1">
      <c r="J684" t="s" s="27">
        <v>1406</v>
      </c>
      <c r="K684" s="87"/>
      <c r="L684" s="87"/>
      <c r="M684" s="85"/>
      <c r="N684" s="28">
        <v>42</v>
      </c>
      <c r="O684" s="29">
        <v>939.0782</v>
      </c>
      <c r="P684" s="29">
        <v>2846.0782</v>
      </c>
    </row>
    <row r="685" ht="9" customHeight="1" hidden="1">
      <c r="J685" s="77"/>
      <c r="K685" s="78"/>
      <c r="L685" s="78"/>
      <c r="M685" t="s" s="79">
        <v>462</v>
      </c>
      <c r="N685" s="80">
        <v>1</v>
      </c>
      <c r="O685" s="81">
        <v>149.9925</v>
      </c>
      <c r="P685" s="81">
        <v>149.9925</v>
      </c>
    </row>
    <row r="686" ht="9" customHeight="1" hidden="1">
      <c r="J686" s="77"/>
      <c r="K686" s="78"/>
      <c r="L686" s="78"/>
      <c r="M686" t="s" s="79">
        <v>470</v>
      </c>
      <c r="N686" s="80">
        <v>2</v>
      </c>
      <c r="O686" s="81">
        <v>187.4925</v>
      </c>
      <c r="P686" s="81">
        <v>374.985</v>
      </c>
    </row>
    <row r="687" ht="9" customHeight="1" hidden="1">
      <c r="J687" s="77"/>
      <c r="K687" s="78"/>
      <c r="L687" s="78"/>
      <c r="M687" t="s" s="79">
        <v>1479</v>
      </c>
      <c r="N687" s="80">
        <v>1</v>
      </c>
      <c r="O687" s="81">
        <v>224.9925</v>
      </c>
      <c r="P687" s="81">
        <v>224.9925</v>
      </c>
    </row>
    <row r="688" ht="9" customHeight="1" hidden="1">
      <c r="J688" s="77"/>
      <c r="K688" s="78"/>
      <c r="L688" s="78"/>
      <c r="M688" t="s" s="79">
        <v>1257</v>
      </c>
      <c r="N688" s="80">
        <v>3</v>
      </c>
      <c r="O688" s="81">
        <v>599.985</v>
      </c>
      <c r="P688" s="81">
        <v>854.9775</v>
      </c>
    </row>
    <row r="689" ht="9" customHeight="1" hidden="1">
      <c r="J689" s="77"/>
      <c r="K689" s="78"/>
      <c r="L689" s="78"/>
      <c r="M689" t="s" s="79">
        <v>35</v>
      </c>
      <c r="N689" s="80">
        <v>4</v>
      </c>
      <c r="O689" s="81">
        <v>37.4925</v>
      </c>
      <c r="P689" s="81">
        <v>149.97</v>
      </c>
    </row>
    <row r="690" ht="9" customHeight="1" hidden="1">
      <c r="J690" s="77"/>
      <c r="K690" s="78"/>
      <c r="L690" s="78"/>
      <c r="M690" t="s" s="79">
        <v>89</v>
      </c>
      <c r="N690" s="80">
        <v>4</v>
      </c>
      <c r="O690" s="81">
        <v>44.9925</v>
      </c>
      <c r="P690" s="81">
        <v>179.97</v>
      </c>
    </row>
    <row r="691" ht="9" customHeight="1" hidden="1">
      <c r="J691" s="77"/>
      <c r="K691" s="78"/>
      <c r="L691" s="78"/>
      <c r="M691" t="s" s="79">
        <v>81</v>
      </c>
      <c r="N691" s="80">
        <v>6</v>
      </c>
      <c r="O691" s="81">
        <v>562.4924999999999</v>
      </c>
      <c r="P691" s="81">
        <v>3374.955</v>
      </c>
    </row>
    <row r="692" ht="9" customHeight="1" hidden="1">
      <c r="J692" s="77"/>
      <c r="K692" s="78"/>
      <c r="L692" s="78"/>
      <c r="M692" t="s" s="79">
        <v>50</v>
      </c>
      <c r="N692" s="80">
        <v>6</v>
      </c>
      <c r="O692" s="81">
        <v>0</v>
      </c>
      <c r="P692" s="81">
        <v>0</v>
      </c>
    </row>
    <row r="693" ht="9" customHeight="1" hidden="1">
      <c r="J693" s="77"/>
      <c r="K693" s="78"/>
      <c r="L693" s="78"/>
      <c r="M693" t="s" s="79">
        <v>73</v>
      </c>
      <c r="N693" s="80">
        <v>1</v>
      </c>
      <c r="O693" s="81">
        <v>299.9925</v>
      </c>
      <c r="P693" s="81">
        <v>299.9925</v>
      </c>
    </row>
    <row r="694" ht="9" customHeight="1" hidden="1">
      <c r="J694" s="77"/>
      <c r="K694" s="78"/>
      <c r="L694" s="78"/>
      <c r="M694" t="s" s="79">
        <v>47</v>
      </c>
      <c r="N694" s="80">
        <v>1</v>
      </c>
      <c r="O694" s="81">
        <v>123.5</v>
      </c>
      <c r="P694" s="81">
        <v>123.5</v>
      </c>
    </row>
    <row r="695" ht="9" customHeight="1" hidden="1">
      <c r="J695" s="82"/>
      <c r="K695" s="83"/>
      <c r="L695" s="84">
        <v>45474</v>
      </c>
      <c r="M695" s="85"/>
      <c r="N695" s="28">
        <v>29</v>
      </c>
      <c r="O695" s="29">
        <v>2230.9325</v>
      </c>
      <c r="P695" s="29">
        <v>5733.335</v>
      </c>
    </row>
    <row r="696" ht="9" customHeight="1" hidden="1">
      <c r="J696" s="82"/>
      <c r="K696" t="s" s="86">
        <v>1474</v>
      </c>
      <c r="L696" s="87"/>
      <c r="M696" s="85"/>
      <c r="N696" s="28">
        <v>29</v>
      </c>
      <c r="O696" s="29">
        <v>2230.9325</v>
      </c>
      <c r="P696" s="29">
        <v>5733.335</v>
      </c>
    </row>
    <row r="697" ht="9" customHeight="1" hidden="1">
      <c r="J697" s="77"/>
      <c r="K697" s="78"/>
      <c r="L697" s="78"/>
      <c r="M697" t="s" s="79">
        <v>59</v>
      </c>
      <c r="N697" s="80">
        <v>1</v>
      </c>
      <c r="O697" s="81">
        <v>899.9924999999999</v>
      </c>
      <c r="P697" s="81">
        <v>899.9924999999999</v>
      </c>
    </row>
    <row r="698" ht="9" customHeight="1" hidden="1">
      <c r="J698" s="77"/>
      <c r="K698" s="78"/>
      <c r="L698" s="78"/>
      <c r="M698" t="s" s="79">
        <v>73</v>
      </c>
      <c r="N698" s="80">
        <v>1</v>
      </c>
      <c r="O698" s="81">
        <v>299.9925</v>
      </c>
      <c r="P698" s="81">
        <v>299.9925</v>
      </c>
    </row>
    <row r="699" ht="9" customHeight="1" hidden="1">
      <c r="J699" s="77"/>
      <c r="K699" s="78"/>
      <c r="L699" s="78"/>
      <c r="M699" t="s" s="79">
        <v>63</v>
      </c>
      <c r="N699" s="80">
        <v>1</v>
      </c>
      <c r="O699" s="81">
        <v>19.5</v>
      </c>
      <c r="P699" s="81">
        <v>19.5</v>
      </c>
    </row>
    <row r="700" ht="9" customHeight="1" hidden="1">
      <c r="J700" s="82"/>
      <c r="K700" s="83"/>
      <c r="L700" s="84">
        <v>45474</v>
      </c>
      <c r="M700" s="85"/>
      <c r="N700" s="28">
        <v>3</v>
      </c>
      <c r="O700" s="29">
        <v>1219.485</v>
      </c>
      <c r="P700" s="29">
        <v>1219.485</v>
      </c>
    </row>
    <row r="701" ht="9" customHeight="1" hidden="1">
      <c r="J701" s="82"/>
      <c r="K701" t="s" s="86">
        <v>1420</v>
      </c>
      <c r="L701" s="87"/>
      <c r="M701" s="85"/>
      <c r="N701" s="28">
        <v>3</v>
      </c>
      <c r="O701" s="29">
        <v>1219.485</v>
      </c>
      <c r="P701" s="29">
        <v>1219.485</v>
      </c>
    </row>
    <row r="702" ht="9" customHeight="1" hidden="1">
      <c r="J702" s="77"/>
      <c r="K702" s="78"/>
      <c r="L702" s="78"/>
      <c r="M702" t="s" s="79">
        <v>133</v>
      </c>
      <c r="N702" s="80">
        <v>1</v>
      </c>
      <c r="O702" s="81">
        <v>149.9925</v>
      </c>
      <c r="P702" s="81">
        <v>149.9925</v>
      </c>
    </row>
    <row r="703" ht="9" customHeight="1" hidden="1">
      <c r="J703" s="77"/>
      <c r="K703" s="78"/>
      <c r="L703" s="78"/>
      <c r="M703" t="s" s="79">
        <v>63</v>
      </c>
      <c r="N703" s="80">
        <v>1</v>
      </c>
      <c r="O703" s="81">
        <v>18.6</v>
      </c>
      <c r="P703" s="81">
        <v>18.6</v>
      </c>
    </row>
    <row r="704" ht="9" customHeight="1" hidden="1">
      <c r="J704" s="82"/>
      <c r="K704" s="83"/>
      <c r="L704" s="84">
        <v>45474</v>
      </c>
      <c r="M704" s="85"/>
      <c r="N704" s="28">
        <v>2</v>
      </c>
      <c r="O704" s="29">
        <v>168.5925</v>
      </c>
      <c r="P704" s="29">
        <v>168.5925</v>
      </c>
    </row>
    <row r="705" ht="9" customHeight="1" hidden="1">
      <c r="J705" s="82"/>
      <c r="K705" t="s" s="86">
        <v>1182</v>
      </c>
      <c r="L705" s="87"/>
      <c r="M705" s="85"/>
      <c r="N705" s="28">
        <v>2</v>
      </c>
      <c r="O705" s="29">
        <v>168.5925</v>
      </c>
      <c r="P705" s="29">
        <v>168.5925</v>
      </c>
    </row>
    <row r="706" ht="15.55" customHeight="1">
      <c r="J706" t="s" s="27">
        <v>563</v>
      </c>
      <c r="K706" s="87"/>
      <c r="L706" s="87"/>
      <c r="M706" s="85"/>
      <c r="N706" s="28">
        <v>34</v>
      </c>
      <c r="O706" s="29">
        <v>3619.01</v>
      </c>
      <c r="P706" s="29">
        <v>7121.4125</v>
      </c>
    </row>
    <row r="707" ht="9" customHeight="1" hidden="1">
      <c r="J707" s="77"/>
      <c r="K707" s="78"/>
      <c r="L707" s="78"/>
      <c r="M707" t="s" s="79">
        <v>239</v>
      </c>
      <c r="N707" s="80">
        <v>1</v>
      </c>
      <c r="O707" s="81">
        <v>99.98999999999999</v>
      </c>
      <c r="P707" s="81">
        <v>99.98999999999999</v>
      </c>
    </row>
    <row r="708" ht="9" customHeight="1" hidden="1">
      <c r="J708" s="82"/>
      <c r="K708" s="83"/>
      <c r="L708" s="84">
        <v>45474</v>
      </c>
      <c r="M708" s="85"/>
      <c r="N708" s="28">
        <v>1</v>
      </c>
      <c r="O708" s="29">
        <v>99.98999999999999</v>
      </c>
      <c r="P708" s="29">
        <v>99.98999999999999</v>
      </c>
    </row>
    <row r="709" ht="9" customHeight="1" hidden="1">
      <c r="J709" s="82"/>
      <c r="K709" t="s" s="86">
        <v>1325</v>
      </c>
      <c r="L709" s="87"/>
      <c r="M709" s="85"/>
      <c r="N709" s="28">
        <v>1</v>
      </c>
      <c r="O709" s="29">
        <v>99.98999999999999</v>
      </c>
      <c r="P709" s="29">
        <v>99.98999999999999</v>
      </c>
    </row>
    <row r="710" ht="15.55" customHeight="1">
      <c r="J710" t="s" s="27">
        <v>1326</v>
      </c>
      <c r="K710" s="87"/>
      <c r="L710" s="87"/>
      <c r="M710" s="85"/>
      <c r="N710" s="28">
        <v>1</v>
      </c>
      <c r="O710" s="29">
        <v>99.98999999999999</v>
      </c>
      <c r="P710" s="29">
        <v>99.98999999999999</v>
      </c>
    </row>
    <row r="711" ht="9" customHeight="1" hidden="1">
      <c r="J711" s="77"/>
      <c r="K711" s="78"/>
      <c r="L711" s="78"/>
      <c r="M711" t="s" s="79">
        <v>497</v>
      </c>
      <c r="N711" s="80">
        <v>1</v>
      </c>
      <c r="O711" s="81">
        <v>0</v>
      </c>
      <c r="P711" s="81">
        <v>0</v>
      </c>
    </row>
    <row r="712" ht="9" customHeight="1" hidden="1">
      <c r="J712" s="82"/>
      <c r="K712" s="83"/>
      <c r="L712" s="84">
        <v>45474</v>
      </c>
      <c r="M712" s="85"/>
      <c r="N712" s="28">
        <v>1</v>
      </c>
      <c r="O712" s="29">
        <v>0</v>
      </c>
      <c r="P712" s="29">
        <v>0</v>
      </c>
    </row>
    <row r="713" ht="9" customHeight="1" hidden="1">
      <c r="J713" s="82"/>
      <c r="K713" t="s" s="86">
        <v>1498</v>
      </c>
      <c r="L713" s="87"/>
      <c r="M713" s="85"/>
      <c r="N713" s="28">
        <v>1</v>
      </c>
      <c r="O713" s="29">
        <v>0</v>
      </c>
      <c r="P713" s="29">
        <v>0</v>
      </c>
    </row>
    <row r="714" ht="9" customHeight="1" hidden="1">
      <c r="J714" s="77"/>
      <c r="K714" s="78"/>
      <c r="L714" s="78"/>
      <c r="M714" t="s" s="79">
        <v>19</v>
      </c>
      <c r="N714" s="80">
        <v>1</v>
      </c>
      <c r="O714" s="81">
        <v>119.99</v>
      </c>
      <c r="P714" s="81">
        <v>119.99</v>
      </c>
    </row>
    <row r="715" ht="9" customHeight="1" hidden="1">
      <c r="J715" s="77"/>
      <c r="K715" s="78"/>
      <c r="L715" s="78"/>
      <c r="M715" t="s" s="79">
        <v>35</v>
      </c>
      <c r="N715" s="80">
        <v>2</v>
      </c>
      <c r="O715" s="81">
        <v>49.99</v>
      </c>
      <c r="P715" s="81">
        <v>99.98</v>
      </c>
    </row>
    <row r="716" ht="9" customHeight="1" hidden="1">
      <c r="J716" s="82"/>
      <c r="K716" s="83"/>
      <c r="L716" s="84">
        <v>45474</v>
      </c>
      <c r="M716" s="85"/>
      <c r="N716" s="28">
        <v>3</v>
      </c>
      <c r="O716" s="29">
        <v>169.98</v>
      </c>
      <c r="P716" s="29">
        <v>219.97</v>
      </c>
    </row>
    <row r="717" ht="9" customHeight="1" hidden="1">
      <c r="J717" s="82"/>
      <c r="K717" t="s" s="86">
        <v>1458</v>
      </c>
      <c r="L717" s="87"/>
      <c r="M717" s="85"/>
      <c r="N717" s="28">
        <v>3</v>
      </c>
      <c r="O717" s="29">
        <v>169.98</v>
      </c>
      <c r="P717" s="29">
        <v>219.97</v>
      </c>
    </row>
    <row r="718" ht="15.55" customHeight="1">
      <c r="J718" t="s" s="27">
        <v>1074</v>
      </c>
      <c r="K718" s="87"/>
      <c r="L718" s="87"/>
      <c r="M718" s="85"/>
      <c r="N718" s="28">
        <v>4</v>
      </c>
      <c r="O718" s="29">
        <v>169.98</v>
      </c>
      <c r="P718" s="29">
        <v>219.97</v>
      </c>
    </row>
    <row r="719" ht="9" customHeight="1" hidden="1">
      <c r="J719" s="77"/>
      <c r="K719" s="78"/>
      <c r="L719" s="78"/>
      <c r="M719" t="s" s="79">
        <v>95</v>
      </c>
      <c r="N719" s="80">
        <v>1</v>
      </c>
      <c r="O719" s="81">
        <v>349.99</v>
      </c>
      <c r="P719" s="81">
        <v>349.99</v>
      </c>
    </row>
    <row r="720" ht="9" customHeight="1" hidden="1">
      <c r="J720" s="82"/>
      <c r="K720" s="83"/>
      <c r="L720" s="84">
        <v>45474</v>
      </c>
      <c r="M720" s="85"/>
      <c r="N720" s="28">
        <v>1</v>
      </c>
      <c r="O720" s="29">
        <v>349.99</v>
      </c>
      <c r="P720" s="29">
        <v>349.99</v>
      </c>
    </row>
    <row r="721" ht="9" customHeight="1" hidden="1">
      <c r="J721" s="82"/>
      <c r="K721" t="s" s="86">
        <v>1276</v>
      </c>
      <c r="L721" s="87"/>
      <c r="M721" s="85"/>
      <c r="N721" s="28">
        <v>1</v>
      </c>
      <c r="O721" s="29">
        <v>349.99</v>
      </c>
      <c r="P721" s="29">
        <v>349.99</v>
      </c>
    </row>
    <row r="722" ht="15.55" customHeight="1">
      <c r="J722" t="s" s="27">
        <v>1277</v>
      </c>
      <c r="K722" s="87"/>
      <c r="L722" s="87"/>
      <c r="M722" s="85"/>
      <c r="N722" s="28">
        <v>1</v>
      </c>
      <c r="O722" s="29">
        <v>349.99</v>
      </c>
      <c r="P722" s="29">
        <v>349.99</v>
      </c>
    </row>
    <row r="723" ht="9" customHeight="1" hidden="1">
      <c r="J723" s="77"/>
      <c r="K723" s="78"/>
      <c r="L723" s="78"/>
      <c r="M723" t="s" s="79">
        <v>73</v>
      </c>
      <c r="N723" s="80">
        <v>1</v>
      </c>
      <c r="O723" s="81">
        <v>399.99</v>
      </c>
      <c r="P723" s="81">
        <v>399.99</v>
      </c>
    </row>
    <row r="724" ht="9" customHeight="1" hidden="1">
      <c r="J724" s="82"/>
      <c r="K724" s="83"/>
      <c r="L724" s="84">
        <v>45474</v>
      </c>
      <c r="M724" s="85"/>
      <c r="N724" s="28">
        <v>1</v>
      </c>
      <c r="O724" s="29">
        <v>399.99</v>
      </c>
      <c r="P724" s="29">
        <v>399.99</v>
      </c>
    </row>
    <row r="725" ht="9" customHeight="1" hidden="1">
      <c r="J725" s="82"/>
      <c r="K725" t="s" s="86">
        <v>1165</v>
      </c>
      <c r="L725" s="87"/>
      <c r="M725" s="85"/>
      <c r="N725" s="28">
        <v>1</v>
      </c>
      <c r="O725" s="29">
        <v>399.99</v>
      </c>
      <c r="P725" s="29">
        <v>399.99</v>
      </c>
    </row>
    <row r="726" ht="15.55" customHeight="1">
      <c r="J726" t="s" s="27">
        <v>1166</v>
      </c>
      <c r="K726" s="87"/>
      <c r="L726" s="87"/>
      <c r="M726" s="85"/>
      <c r="N726" s="28">
        <v>1</v>
      </c>
      <c r="O726" s="29">
        <v>399.99</v>
      </c>
      <c r="P726" s="29">
        <v>399.99</v>
      </c>
    </row>
    <row r="727" ht="9" customHeight="1" hidden="1">
      <c r="J727" s="77"/>
      <c r="K727" s="78"/>
      <c r="L727" s="78"/>
      <c r="M727" t="s" s="79">
        <v>115</v>
      </c>
      <c r="N727" s="80">
        <v>4</v>
      </c>
      <c r="O727" s="81">
        <v>0</v>
      </c>
      <c r="P727" s="81">
        <v>0</v>
      </c>
    </row>
    <row r="728" ht="9" customHeight="1" hidden="1">
      <c r="J728" s="77"/>
      <c r="K728" s="78"/>
      <c r="L728" s="78"/>
      <c r="M728" t="s" s="79">
        <v>19</v>
      </c>
      <c r="N728" s="80">
        <v>10</v>
      </c>
      <c r="O728" s="81">
        <v>89.99250000000001</v>
      </c>
      <c r="P728" s="81">
        <v>899.925</v>
      </c>
    </row>
    <row r="729" ht="9" customHeight="1" hidden="1">
      <c r="J729" s="77"/>
      <c r="K729" s="78"/>
      <c r="L729" s="78"/>
      <c r="M729" t="s" s="79">
        <v>54</v>
      </c>
      <c r="N729" s="80">
        <v>6</v>
      </c>
      <c r="O729" s="81">
        <v>0</v>
      </c>
      <c r="P729" s="81">
        <v>0</v>
      </c>
    </row>
    <row r="730" ht="9" customHeight="1" hidden="1">
      <c r="J730" s="77"/>
      <c r="K730" s="78"/>
      <c r="L730" s="78"/>
      <c r="M730" t="s" s="79">
        <v>139</v>
      </c>
      <c r="N730" s="80">
        <v>2</v>
      </c>
      <c r="O730" s="81">
        <v>37.4925</v>
      </c>
      <c r="P730" s="81">
        <v>74.985</v>
      </c>
    </row>
    <row r="731" ht="9" customHeight="1" hidden="1">
      <c r="J731" s="77"/>
      <c r="K731" s="78"/>
      <c r="L731" s="78"/>
      <c r="M731" t="s" s="79">
        <v>57</v>
      </c>
      <c r="N731" s="80">
        <v>2</v>
      </c>
      <c r="O731" s="81">
        <v>599.9924999999999</v>
      </c>
      <c r="P731" s="81">
        <v>1199.985</v>
      </c>
    </row>
    <row r="732" ht="9" customHeight="1" hidden="1">
      <c r="J732" s="77"/>
      <c r="K732" s="78"/>
      <c r="L732" s="78"/>
      <c r="M732" t="s" s="79">
        <v>1054</v>
      </c>
      <c r="N732" s="80">
        <v>4</v>
      </c>
      <c r="O732" s="81">
        <v>0</v>
      </c>
      <c r="P732" s="81">
        <v>0</v>
      </c>
    </row>
    <row r="733" ht="9" customHeight="1" hidden="1">
      <c r="J733" s="77"/>
      <c r="K733" s="78"/>
      <c r="L733" s="78"/>
      <c r="M733" t="s" s="79">
        <v>23</v>
      </c>
      <c r="N733" s="80">
        <v>2</v>
      </c>
      <c r="O733" s="81">
        <v>0</v>
      </c>
      <c r="P733" s="81">
        <v>0</v>
      </c>
    </row>
    <row r="734" ht="9" customHeight="1" hidden="1">
      <c r="J734" s="77"/>
      <c r="K734" s="78"/>
      <c r="L734" s="78"/>
      <c r="M734" t="s" s="79">
        <v>470</v>
      </c>
      <c r="N734" s="80">
        <v>2</v>
      </c>
      <c r="O734" s="81">
        <v>187.4925</v>
      </c>
      <c r="P734" s="81">
        <v>374.985</v>
      </c>
    </row>
    <row r="735" ht="9" customHeight="1" hidden="1">
      <c r="J735" s="77"/>
      <c r="K735" s="78"/>
      <c r="L735" s="78"/>
      <c r="M735" t="s" s="79">
        <v>602</v>
      </c>
      <c r="N735" s="80">
        <v>2</v>
      </c>
      <c r="O735" s="81">
        <v>224.9925</v>
      </c>
      <c r="P735" s="81">
        <v>449.985</v>
      </c>
    </row>
    <row r="736" ht="9" customHeight="1" hidden="1">
      <c r="J736" s="77"/>
      <c r="K736" s="78"/>
      <c r="L736" s="78"/>
      <c r="M736" t="s" s="79">
        <v>52</v>
      </c>
      <c r="N736" s="80">
        <v>6</v>
      </c>
      <c r="O736" s="81">
        <v>0</v>
      </c>
      <c r="P736" s="81">
        <v>0</v>
      </c>
    </row>
    <row r="737" ht="9" customHeight="1" hidden="1">
      <c r="J737" s="77"/>
      <c r="K737" s="78"/>
      <c r="L737" s="78"/>
      <c r="M737" t="s" s="79">
        <v>50</v>
      </c>
      <c r="N737" s="80">
        <v>6</v>
      </c>
      <c r="O737" s="81">
        <v>0</v>
      </c>
      <c r="P737" s="81">
        <v>0</v>
      </c>
    </row>
    <row r="738" ht="9" customHeight="1" hidden="1">
      <c r="J738" s="77"/>
      <c r="K738" s="78"/>
      <c r="L738" s="78"/>
      <c r="M738" t="s" s="79">
        <v>48</v>
      </c>
      <c r="N738" s="80">
        <v>6</v>
      </c>
      <c r="O738" s="81">
        <v>974.9924999999999</v>
      </c>
      <c r="P738" s="81">
        <v>5849.955</v>
      </c>
    </row>
    <row r="739" ht="9" customHeight="1" hidden="1">
      <c r="J739" s="77"/>
      <c r="K739" s="78"/>
      <c r="L739" s="78"/>
      <c r="M739" t="s" s="79">
        <v>489</v>
      </c>
      <c r="N739" s="80">
        <v>1</v>
      </c>
      <c r="O739" s="81">
        <v>1199.9925</v>
      </c>
      <c r="P739" s="81">
        <v>1199.9925</v>
      </c>
    </row>
    <row r="740" ht="9" customHeight="1" hidden="1">
      <c r="J740" s="77"/>
      <c r="K740" s="78"/>
      <c r="L740" s="78"/>
      <c r="M740" t="s" s="79">
        <v>491</v>
      </c>
      <c r="N740" s="80">
        <v>3</v>
      </c>
      <c r="O740" s="81">
        <v>0</v>
      </c>
      <c r="P740" s="81">
        <v>0</v>
      </c>
    </row>
    <row r="741" ht="9" customHeight="1" hidden="1">
      <c r="J741" s="77"/>
      <c r="K741" s="78"/>
      <c r="L741" s="78"/>
      <c r="M741" t="s" s="79">
        <v>493</v>
      </c>
      <c r="N741" s="80">
        <v>1</v>
      </c>
      <c r="O741" s="81">
        <v>0</v>
      </c>
      <c r="P741" s="81">
        <v>0</v>
      </c>
    </row>
    <row r="742" ht="9" customHeight="1" hidden="1">
      <c r="J742" s="77"/>
      <c r="K742" s="78"/>
      <c r="L742" s="78"/>
      <c r="M742" t="s" s="79">
        <v>59</v>
      </c>
      <c r="N742" s="80">
        <v>1</v>
      </c>
      <c r="O742" s="81">
        <v>899.9924999999999</v>
      </c>
      <c r="P742" s="81">
        <v>899.9924999999999</v>
      </c>
    </row>
    <row r="743" ht="9" customHeight="1" hidden="1">
      <c r="J743" s="77"/>
      <c r="K743" s="78"/>
      <c r="L743" s="78"/>
      <c r="M743" t="s" s="79">
        <v>73</v>
      </c>
      <c r="N743" s="80">
        <v>1</v>
      </c>
      <c r="O743" s="81">
        <v>299.9925</v>
      </c>
      <c r="P743" s="81">
        <v>299.9925</v>
      </c>
    </row>
    <row r="744" ht="9" customHeight="1" hidden="1">
      <c r="J744" s="77"/>
      <c r="K744" s="78"/>
      <c r="L744" s="78"/>
      <c r="M744" t="s" s="79">
        <v>47</v>
      </c>
      <c r="N744" s="80">
        <v>1</v>
      </c>
      <c r="O744" s="81">
        <v>648.89</v>
      </c>
      <c r="P744" s="81">
        <v>648.89</v>
      </c>
    </row>
    <row r="745" ht="9" customHeight="1" hidden="1">
      <c r="J745" s="82"/>
      <c r="K745" s="83"/>
      <c r="L745" s="84">
        <v>45474</v>
      </c>
      <c r="M745" s="85"/>
      <c r="N745" s="28">
        <v>60</v>
      </c>
      <c r="O745" s="29">
        <v>5163.8225</v>
      </c>
      <c r="P745" s="29">
        <v>11898.6875</v>
      </c>
    </row>
    <row r="746" ht="9" customHeight="1" hidden="1">
      <c r="J746" s="82"/>
      <c r="K746" t="s" s="86">
        <v>1416</v>
      </c>
      <c r="L746" s="87"/>
      <c r="M746" s="85"/>
      <c r="N746" s="28">
        <v>60</v>
      </c>
      <c r="O746" s="29">
        <v>5163.8225</v>
      </c>
      <c r="P746" s="29">
        <v>11898.6875</v>
      </c>
    </row>
    <row r="747" ht="15.55" customHeight="1">
      <c r="J747" t="s" s="27">
        <v>1417</v>
      </c>
      <c r="K747" s="87"/>
      <c r="L747" s="87"/>
      <c r="M747" s="85"/>
      <c r="N747" s="28">
        <v>60</v>
      </c>
      <c r="O747" s="29">
        <v>5163.8225</v>
      </c>
      <c r="P747" s="29">
        <v>11898.6875</v>
      </c>
    </row>
    <row r="748" ht="9" customHeight="1" hidden="1">
      <c r="J748" s="77"/>
      <c r="K748" s="78"/>
      <c r="L748" s="78"/>
      <c r="M748" t="s" s="79">
        <v>167</v>
      </c>
      <c r="N748" s="80">
        <v>2</v>
      </c>
      <c r="O748" s="81">
        <v>0</v>
      </c>
      <c r="P748" s="81">
        <v>0</v>
      </c>
    </row>
    <row r="749" ht="9" customHeight="1" hidden="1">
      <c r="J749" s="77"/>
      <c r="K749" s="78"/>
      <c r="L749" s="78"/>
      <c r="M749" t="s" s="79">
        <v>54</v>
      </c>
      <c r="N749" s="80">
        <v>2</v>
      </c>
      <c r="O749" s="81">
        <v>0</v>
      </c>
      <c r="P749" s="81">
        <v>0</v>
      </c>
    </row>
    <row r="750" ht="9" customHeight="1" hidden="1">
      <c r="J750" s="77"/>
      <c r="K750" s="78"/>
      <c r="L750" s="78"/>
      <c r="M750" t="s" s="79">
        <v>225</v>
      </c>
      <c r="N750" s="80">
        <v>2</v>
      </c>
      <c r="O750" s="81">
        <v>499.99</v>
      </c>
      <c r="P750" s="81">
        <v>999.98</v>
      </c>
    </row>
    <row r="751" ht="9" customHeight="1" hidden="1">
      <c r="J751" s="77"/>
      <c r="K751" s="78"/>
      <c r="L751" s="78"/>
      <c r="M751" t="s" s="79">
        <v>23</v>
      </c>
      <c r="N751" s="80">
        <v>2</v>
      </c>
      <c r="O751" s="81">
        <v>149.99</v>
      </c>
      <c r="P751" s="81">
        <v>299.98</v>
      </c>
    </row>
    <row r="752" ht="9" customHeight="1" hidden="1">
      <c r="J752" s="82"/>
      <c r="K752" s="83"/>
      <c r="L752" s="84">
        <v>45474</v>
      </c>
      <c r="M752" s="85"/>
      <c r="N752" s="28">
        <v>8</v>
      </c>
      <c r="O752" s="29">
        <v>649.98</v>
      </c>
      <c r="P752" s="29">
        <v>1299.96</v>
      </c>
    </row>
    <row r="753" ht="9" customHeight="1" hidden="1">
      <c r="J753" s="82"/>
      <c r="K753" t="s" s="86">
        <v>1181</v>
      </c>
      <c r="L753" s="87"/>
      <c r="M753" s="85"/>
      <c r="N753" s="28">
        <v>8</v>
      </c>
      <c r="O753" s="29">
        <v>649.98</v>
      </c>
      <c r="P753" s="29">
        <v>1299.96</v>
      </c>
    </row>
    <row r="754" ht="15.55" customHeight="1">
      <c r="J754" t="s" s="27">
        <v>1108</v>
      </c>
      <c r="K754" s="87"/>
      <c r="L754" s="87"/>
      <c r="M754" s="85"/>
      <c r="N754" s="28">
        <v>8</v>
      </c>
      <c r="O754" s="29">
        <v>649.98</v>
      </c>
      <c r="P754" s="29">
        <v>1299.96</v>
      </c>
    </row>
    <row r="755" ht="9" customHeight="1" hidden="1">
      <c r="J755" s="77"/>
      <c r="K755" s="78"/>
      <c r="L755" s="78"/>
      <c r="M755" t="s" s="79">
        <v>59</v>
      </c>
      <c r="N755" s="80">
        <v>1</v>
      </c>
      <c r="O755" s="81">
        <v>1199.99</v>
      </c>
      <c r="P755" s="81">
        <v>1199.99</v>
      </c>
    </row>
    <row r="756" ht="9" customHeight="1" hidden="1">
      <c r="J756" s="82"/>
      <c r="K756" s="83"/>
      <c r="L756" s="84">
        <v>45474</v>
      </c>
      <c r="M756" s="85"/>
      <c r="N756" s="28">
        <v>1</v>
      </c>
      <c r="O756" s="29">
        <v>1199.99</v>
      </c>
      <c r="P756" s="29">
        <v>1199.99</v>
      </c>
    </row>
    <row r="757" ht="9" customHeight="1" hidden="1">
      <c r="J757" s="82"/>
      <c r="K757" t="s" s="86">
        <v>1436</v>
      </c>
      <c r="L757" s="87"/>
      <c r="M757" s="85"/>
      <c r="N757" s="28">
        <v>1</v>
      </c>
      <c r="O757" s="29">
        <v>1199.99</v>
      </c>
      <c r="P757" s="29">
        <v>1199.99</v>
      </c>
    </row>
    <row r="758" ht="15.55" customHeight="1">
      <c r="J758" t="s" s="27">
        <v>1437</v>
      </c>
      <c r="K758" s="87"/>
      <c r="L758" s="87"/>
      <c r="M758" s="85"/>
      <c r="N758" s="28">
        <v>1</v>
      </c>
      <c r="O758" s="29">
        <v>1199.99</v>
      </c>
      <c r="P758" s="29">
        <v>1199.99</v>
      </c>
    </row>
    <row r="759" ht="9" customHeight="1" hidden="1">
      <c r="J759" s="77"/>
      <c r="K759" s="78"/>
      <c r="L759" s="78"/>
      <c r="M759" t="s" s="79">
        <v>1486</v>
      </c>
      <c r="N759" s="80">
        <v>4</v>
      </c>
      <c r="O759" s="81">
        <v>48.75</v>
      </c>
      <c r="P759" s="81">
        <v>195</v>
      </c>
    </row>
    <row r="760" ht="9" customHeight="1" hidden="1">
      <c r="J760" s="77"/>
      <c r="K760" s="78"/>
      <c r="L760" s="78"/>
      <c r="M760" t="s" s="79">
        <v>63</v>
      </c>
      <c r="N760" s="80">
        <v>1</v>
      </c>
      <c r="O760" s="81">
        <v>16.8</v>
      </c>
      <c r="P760" s="81">
        <v>16.8</v>
      </c>
    </row>
    <row r="761" ht="9" customHeight="1" hidden="1">
      <c r="J761" s="82"/>
      <c r="K761" s="83"/>
      <c r="L761" s="84">
        <v>45474</v>
      </c>
      <c r="M761" s="85"/>
      <c r="N761" s="28">
        <v>5</v>
      </c>
      <c r="O761" s="29">
        <v>65.55</v>
      </c>
      <c r="P761" s="29">
        <v>211.8</v>
      </c>
    </row>
    <row r="762" ht="9" customHeight="1" hidden="1">
      <c r="J762" s="82"/>
      <c r="K762" t="s" s="86">
        <v>1485</v>
      </c>
      <c r="L762" s="87"/>
      <c r="M762" s="85"/>
      <c r="N762" s="28">
        <v>5</v>
      </c>
      <c r="O762" s="29">
        <v>65.55</v>
      </c>
      <c r="P762" s="29">
        <v>211.8</v>
      </c>
    </row>
    <row r="763" ht="9" customHeight="1" hidden="1">
      <c r="J763" s="77"/>
      <c r="K763" s="78"/>
      <c r="L763" s="78"/>
      <c r="M763" t="s" s="79">
        <v>1394</v>
      </c>
      <c r="N763" s="80">
        <v>1</v>
      </c>
      <c r="O763" s="81">
        <v>0</v>
      </c>
      <c r="P763" s="81">
        <v>0</v>
      </c>
    </row>
    <row r="764" ht="9" customHeight="1" hidden="1">
      <c r="J764" s="82"/>
      <c r="K764" s="83"/>
      <c r="L764" s="84">
        <v>45474</v>
      </c>
      <c r="M764" s="85"/>
      <c r="N764" s="28">
        <v>1</v>
      </c>
      <c r="O764" s="29">
        <v>0</v>
      </c>
      <c r="P764" s="29">
        <v>0</v>
      </c>
    </row>
    <row r="765" ht="9" customHeight="1" hidden="1">
      <c r="J765" s="82"/>
      <c r="K765" t="s" s="86">
        <v>1393</v>
      </c>
      <c r="L765" s="87"/>
      <c r="M765" s="85"/>
      <c r="N765" s="28">
        <v>1</v>
      </c>
      <c r="O765" s="29">
        <v>0</v>
      </c>
      <c r="P765" s="29">
        <v>0</v>
      </c>
    </row>
    <row r="766" ht="9" customHeight="1" hidden="1">
      <c r="J766" s="77"/>
      <c r="K766" s="78"/>
      <c r="L766" s="78"/>
      <c r="M766" t="s" s="79">
        <v>50</v>
      </c>
      <c r="N766" s="80">
        <v>4</v>
      </c>
      <c r="O766" s="81">
        <v>0</v>
      </c>
      <c r="P766" s="81">
        <v>0</v>
      </c>
    </row>
    <row r="767" ht="9" customHeight="1" hidden="1">
      <c r="J767" s="77"/>
      <c r="K767" s="78"/>
      <c r="L767" s="78"/>
      <c r="M767" t="s" s="79">
        <v>998</v>
      </c>
      <c r="N767" s="80">
        <v>4</v>
      </c>
      <c r="O767" s="81">
        <v>900</v>
      </c>
      <c r="P767" s="81">
        <v>3600</v>
      </c>
    </row>
    <row r="768" ht="9" customHeight="1" hidden="1">
      <c r="J768" s="77"/>
      <c r="K768" s="78"/>
      <c r="L768" s="78"/>
      <c r="M768" t="s" s="79">
        <v>63</v>
      </c>
      <c r="N768" s="80">
        <v>1</v>
      </c>
      <c r="O768" s="81">
        <v>152.8</v>
      </c>
      <c r="P768" s="81">
        <v>152.8</v>
      </c>
    </row>
    <row r="769" ht="9" customHeight="1" hidden="1">
      <c r="J769" s="82"/>
      <c r="K769" s="83"/>
      <c r="L769" s="84">
        <v>45474</v>
      </c>
      <c r="M769" s="85"/>
      <c r="N769" s="28">
        <v>9</v>
      </c>
      <c r="O769" s="29">
        <v>1052.8</v>
      </c>
      <c r="P769" s="29">
        <v>3752.8</v>
      </c>
    </row>
    <row r="770" ht="9" customHeight="1" hidden="1">
      <c r="J770" s="82"/>
      <c r="K770" t="s" s="86">
        <v>1368</v>
      </c>
      <c r="L770" s="87"/>
      <c r="M770" s="85"/>
      <c r="N770" s="28">
        <v>9</v>
      </c>
      <c r="O770" s="29">
        <v>1052.8</v>
      </c>
      <c r="P770" s="29">
        <v>3752.8</v>
      </c>
    </row>
    <row r="771" ht="9" customHeight="1" hidden="1">
      <c r="J771" s="77"/>
      <c r="K771" s="78"/>
      <c r="L771" s="78"/>
      <c r="M771" t="s" s="79">
        <v>50</v>
      </c>
      <c r="N771" s="80">
        <v>6</v>
      </c>
      <c r="O771" s="81">
        <v>0</v>
      </c>
      <c r="P771" s="81">
        <v>0</v>
      </c>
    </row>
    <row r="772" ht="9" customHeight="1" hidden="1">
      <c r="J772" s="77"/>
      <c r="K772" s="78"/>
      <c r="L772" s="78"/>
      <c r="M772" t="s" s="79">
        <v>998</v>
      </c>
      <c r="N772" s="80">
        <v>6</v>
      </c>
      <c r="O772" s="81">
        <v>900</v>
      </c>
      <c r="P772" s="81">
        <v>5400</v>
      </c>
    </row>
    <row r="773" ht="9" customHeight="1" hidden="1">
      <c r="J773" s="77"/>
      <c r="K773" s="78"/>
      <c r="L773" s="78"/>
      <c r="M773" t="s" s="79">
        <v>63</v>
      </c>
      <c r="N773" s="80">
        <v>1</v>
      </c>
      <c r="O773" s="81">
        <v>69.41</v>
      </c>
      <c r="P773" s="81">
        <v>69.41</v>
      </c>
    </row>
    <row r="774" ht="9" customHeight="1" hidden="1">
      <c r="J774" s="82"/>
      <c r="K774" s="83"/>
      <c r="L774" s="84">
        <v>45474</v>
      </c>
      <c r="M774" s="85"/>
      <c r="N774" s="28">
        <v>13</v>
      </c>
      <c r="O774" s="29">
        <v>969.41</v>
      </c>
      <c r="P774" s="29">
        <v>5469.41</v>
      </c>
    </row>
    <row r="775" ht="9" customHeight="1" hidden="1">
      <c r="J775" s="82"/>
      <c r="K775" t="s" s="86">
        <v>1366</v>
      </c>
      <c r="L775" s="87"/>
      <c r="M775" s="85"/>
      <c r="N775" s="28">
        <v>13</v>
      </c>
      <c r="O775" s="29">
        <v>969.41</v>
      </c>
      <c r="P775" s="29">
        <v>5469.41</v>
      </c>
    </row>
    <row r="776" ht="9" customHeight="1" hidden="1">
      <c r="J776" s="77"/>
      <c r="K776" s="78"/>
      <c r="L776" s="78"/>
      <c r="M776" t="s" s="79">
        <v>598</v>
      </c>
      <c r="N776" s="80">
        <v>8</v>
      </c>
      <c r="O776" s="81">
        <v>0</v>
      </c>
      <c r="P776" s="81">
        <v>0</v>
      </c>
    </row>
    <row r="777" ht="9" customHeight="1" hidden="1">
      <c r="J777" s="77"/>
      <c r="K777" s="78"/>
      <c r="L777" s="78"/>
      <c r="M777" t="s" s="79">
        <v>526</v>
      </c>
      <c r="N777" s="80">
        <v>4</v>
      </c>
      <c r="O777" s="81">
        <v>950</v>
      </c>
      <c r="P777" s="81">
        <v>3800</v>
      </c>
    </row>
    <row r="778" ht="9" customHeight="1" hidden="1">
      <c r="J778" s="77"/>
      <c r="K778" s="78"/>
      <c r="L778" s="78"/>
      <c r="M778" t="s" s="79">
        <v>1355</v>
      </c>
      <c r="N778" s="80">
        <v>24</v>
      </c>
      <c r="O778" s="81">
        <v>14</v>
      </c>
      <c r="P778" s="81">
        <v>336</v>
      </c>
    </row>
    <row r="779" ht="9" customHeight="1" hidden="1">
      <c r="J779" s="77"/>
      <c r="K779" s="78"/>
      <c r="L779" s="78"/>
      <c r="M779" t="s" s="79">
        <v>645</v>
      </c>
      <c r="N779" s="80">
        <v>2</v>
      </c>
      <c r="O779" s="81">
        <v>0</v>
      </c>
      <c r="P779" s="81">
        <v>0</v>
      </c>
    </row>
    <row r="780" ht="9" customHeight="1" hidden="1">
      <c r="J780" s="82"/>
      <c r="K780" s="83"/>
      <c r="L780" s="84">
        <v>45474</v>
      </c>
      <c r="M780" s="85"/>
      <c r="N780" s="28">
        <v>38</v>
      </c>
      <c r="O780" s="29">
        <v>964</v>
      </c>
      <c r="P780" s="29">
        <v>4136</v>
      </c>
    </row>
    <row r="781" ht="9" customHeight="1" hidden="1">
      <c r="J781" s="82"/>
      <c r="K781" t="s" s="86">
        <v>1353</v>
      </c>
      <c r="L781" s="87"/>
      <c r="M781" s="85"/>
      <c r="N781" s="28">
        <v>38</v>
      </c>
      <c r="O781" s="29">
        <v>964</v>
      </c>
      <c r="P781" s="29">
        <v>4136</v>
      </c>
    </row>
    <row r="782" ht="9" customHeight="1" hidden="1">
      <c r="J782" s="77"/>
      <c r="K782" s="78"/>
      <c r="L782" s="78"/>
      <c r="M782" t="s" s="79">
        <v>254</v>
      </c>
      <c r="N782" s="80">
        <v>1</v>
      </c>
      <c r="O782" s="81">
        <v>0</v>
      </c>
      <c r="P782" s="81">
        <v>0</v>
      </c>
    </row>
    <row r="783" ht="9" customHeight="1" hidden="1">
      <c r="J783" s="82"/>
      <c r="K783" s="83"/>
      <c r="L783" s="84">
        <v>45474</v>
      </c>
      <c r="M783" s="85"/>
      <c r="N783" s="28">
        <v>1</v>
      </c>
      <c r="O783" s="29">
        <v>0</v>
      </c>
      <c r="P783" s="29">
        <v>0</v>
      </c>
    </row>
    <row r="784" ht="9" customHeight="1" hidden="1">
      <c r="J784" s="82"/>
      <c r="K784" t="s" s="86">
        <v>1281</v>
      </c>
      <c r="L784" s="87"/>
      <c r="M784" s="85"/>
      <c r="N784" s="28">
        <v>1</v>
      </c>
      <c r="O784" s="29">
        <v>0</v>
      </c>
      <c r="P784" s="29">
        <v>0</v>
      </c>
    </row>
    <row r="785" ht="15.55" customHeight="1">
      <c r="J785" t="s" s="27">
        <v>476</v>
      </c>
      <c r="K785" s="87"/>
      <c r="L785" s="87"/>
      <c r="M785" s="85"/>
      <c r="N785" s="28">
        <v>67</v>
      </c>
      <c r="O785" s="29">
        <v>3051.76</v>
      </c>
      <c r="P785" s="29">
        <v>13570.01</v>
      </c>
    </row>
    <row r="786" ht="9" customHeight="1" hidden="1">
      <c r="J786" s="77"/>
      <c r="K786" s="78"/>
      <c r="L786" s="78"/>
      <c r="M786" t="s" s="79">
        <v>59</v>
      </c>
      <c r="N786" s="80">
        <v>1</v>
      </c>
      <c r="O786" s="81">
        <v>1199.99</v>
      </c>
      <c r="P786" s="81">
        <v>1199.99</v>
      </c>
    </row>
    <row r="787" ht="9" customHeight="1" hidden="1">
      <c r="J787" s="82"/>
      <c r="K787" s="83"/>
      <c r="L787" s="84">
        <v>45474</v>
      </c>
      <c r="M787" s="85"/>
      <c r="N787" s="28">
        <v>1</v>
      </c>
      <c r="O787" s="29">
        <v>1199.99</v>
      </c>
      <c r="P787" s="29">
        <v>1199.99</v>
      </c>
    </row>
    <row r="788" ht="9" customHeight="1" hidden="1">
      <c r="J788" s="82"/>
      <c r="K788" t="s" s="86">
        <v>1491</v>
      </c>
      <c r="L788" s="87"/>
      <c r="M788" s="85"/>
      <c r="N788" s="28">
        <v>1</v>
      </c>
      <c r="O788" s="29">
        <v>1199.99</v>
      </c>
      <c r="P788" s="29">
        <v>1199.99</v>
      </c>
    </row>
    <row r="789" ht="15.55" customHeight="1">
      <c r="J789" t="s" s="27">
        <v>1492</v>
      </c>
      <c r="K789" s="87"/>
      <c r="L789" s="87"/>
      <c r="M789" s="85"/>
      <c r="N789" s="28">
        <v>1</v>
      </c>
      <c r="O789" s="29">
        <v>1199.99</v>
      </c>
      <c r="P789" s="29">
        <v>1199.99</v>
      </c>
    </row>
    <row r="790" ht="9" customHeight="1" hidden="1">
      <c r="J790" s="77"/>
      <c r="K790" s="78"/>
      <c r="L790" s="78"/>
      <c r="M790" t="s" s="79">
        <v>146</v>
      </c>
      <c r="N790" s="80">
        <v>1</v>
      </c>
      <c r="O790" s="81">
        <v>19.99</v>
      </c>
      <c r="P790" s="81">
        <v>19.99</v>
      </c>
    </row>
    <row r="791" ht="9" customHeight="1" hidden="1">
      <c r="J791" s="82"/>
      <c r="K791" s="83"/>
      <c r="L791" s="84">
        <v>45474</v>
      </c>
      <c r="M791" s="85"/>
      <c r="N791" s="28">
        <v>1</v>
      </c>
      <c r="O791" s="29">
        <v>19.99</v>
      </c>
      <c r="P791" s="29">
        <v>19.99</v>
      </c>
    </row>
    <row r="792" ht="9" customHeight="1" hidden="1">
      <c r="J792" s="82"/>
      <c r="K792" t="s" s="86">
        <v>1214</v>
      </c>
      <c r="L792" s="87"/>
      <c r="M792" s="85"/>
      <c r="N792" s="28">
        <v>1</v>
      </c>
      <c r="O792" s="29">
        <v>19.99</v>
      </c>
      <c r="P792" s="29">
        <v>19.99</v>
      </c>
    </row>
    <row r="793" ht="15.55" customHeight="1">
      <c r="J793" t="s" s="27">
        <v>1215</v>
      </c>
      <c r="K793" s="87"/>
      <c r="L793" s="87"/>
      <c r="M793" s="85"/>
      <c r="N793" s="28">
        <v>1</v>
      </c>
      <c r="O793" s="29">
        <v>19.99</v>
      </c>
      <c r="P793" s="29">
        <v>19.99</v>
      </c>
    </row>
    <row r="794" ht="9" customHeight="1" hidden="1">
      <c r="J794" s="77"/>
      <c r="K794" s="78"/>
      <c r="L794" s="78"/>
      <c r="M794" t="s" s="79">
        <v>84</v>
      </c>
      <c r="N794" s="80">
        <v>2</v>
      </c>
      <c r="O794" s="81">
        <v>0</v>
      </c>
      <c r="P794" s="81">
        <v>0</v>
      </c>
    </row>
    <row r="795" ht="9" customHeight="1" hidden="1">
      <c r="J795" s="77"/>
      <c r="K795" s="78"/>
      <c r="L795" s="78"/>
      <c r="M795" t="s" s="79">
        <v>23</v>
      </c>
      <c r="N795" s="80">
        <v>2</v>
      </c>
      <c r="O795" s="81">
        <v>0</v>
      </c>
      <c r="P795" s="81">
        <v>0</v>
      </c>
    </row>
    <row r="796" ht="9" customHeight="1" hidden="1">
      <c r="J796" s="77"/>
      <c r="K796" s="78"/>
      <c r="L796" s="78"/>
      <c r="M796" t="s" s="79">
        <v>81</v>
      </c>
      <c r="N796" s="80">
        <v>2</v>
      </c>
      <c r="O796" s="81">
        <v>849.99</v>
      </c>
      <c r="P796" s="81">
        <v>1699.98</v>
      </c>
    </row>
    <row r="797" ht="9" customHeight="1" hidden="1">
      <c r="J797" s="77"/>
      <c r="K797" s="78"/>
      <c r="L797" s="78"/>
      <c r="M797" t="s" s="79">
        <v>50</v>
      </c>
      <c r="N797" s="80">
        <v>2</v>
      </c>
      <c r="O797" s="81">
        <v>0</v>
      </c>
      <c r="P797" s="81">
        <v>0</v>
      </c>
    </row>
    <row r="798" ht="9" customHeight="1" hidden="1">
      <c r="J798" s="82"/>
      <c r="K798" s="83"/>
      <c r="L798" s="84">
        <v>45474</v>
      </c>
      <c r="M798" s="85"/>
      <c r="N798" s="28">
        <v>8</v>
      </c>
      <c r="O798" s="29">
        <v>849.99</v>
      </c>
      <c r="P798" s="29">
        <v>1699.98</v>
      </c>
    </row>
    <row r="799" ht="9" customHeight="1" hidden="1">
      <c r="J799" s="82"/>
      <c r="K799" t="s" s="86">
        <v>1321</v>
      </c>
      <c r="L799" s="87"/>
      <c r="M799" s="85"/>
      <c r="N799" s="28">
        <v>8</v>
      </c>
      <c r="O799" s="29">
        <v>849.99</v>
      </c>
      <c r="P799" s="29">
        <v>1699.98</v>
      </c>
    </row>
    <row r="800" ht="15.55" customHeight="1">
      <c r="J800" t="s" s="27">
        <v>1322</v>
      </c>
      <c r="K800" s="87"/>
      <c r="L800" s="87"/>
      <c r="M800" s="85"/>
      <c r="N800" s="28">
        <v>8</v>
      </c>
      <c r="O800" s="29">
        <v>849.99</v>
      </c>
      <c r="P800" s="29">
        <v>1699.98</v>
      </c>
    </row>
    <row r="801" ht="9" customHeight="1" hidden="1">
      <c r="J801" s="77"/>
      <c r="K801" s="78"/>
      <c r="L801" s="78"/>
      <c r="M801" t="s" s="79">
        <v>59</v>
      </c>
      <c r="N801" s="80">
        <v>1</v>
      </c>
      <c r="O801" s="81">
        <v>1199.99</v>
      </c>
      <c r="P801" s="81">
        <v>1199.99</v>
      </c>
    </row>
    <row r="802" ht="9" customHeight="1" hidden="1">
      <c r="J802" s="77"/>
      <c r="K802" s="78"/>
      <c r="L802" s="78"/>
      <c r="M802" t="s" s="79">
        <v>73</v>
      </c>
      <c r="N802" s="80">
        <v>1</v>
      </c>
      <c r="O802" s="81">
        <v>399.99</v>
      </c>
      <c r="P802" s="81">
        <v>399.99</v>
      </c>
    </row>
    <row r="803" ht="9" customHeight="1" hidden="1">
      <c r="J803" s="82"/>
      <c r="K803" s="83"/>
      <c r="L803" s="84">
        <v>45474</v>
      </c>
      <c r="M803" s="85"/>
      <c r="N803" s="28">
        <v>2</v>
      </c>
      <c r="O803" s="29">
        <v>1599.98</v>
      </c>
      <c r="P803" s="29">
        <v>1599.98</v>
      </c>
    </row>
    <row r="804" ht="9" customHeight="1" hidden="1">
      <c r="J804" s="82"/>
      <c r="K804" t="s" s="86">
        <v>1179</v>
      </c>
      <c r="L804" s="87"/>
      <c r="M804" s="85"/>
      <c r="N804" s="28">
        <v>2</v>
      </c>
      <c r="O804" s="29">
        <v>1599.98</v>
      </c>
      <c r="P804" s="29">
        <v>1599.98</v>
      </c>
    </row>
    <row r="805" ht="15.55" customHeight="1">
      <c r="J805" t="s" s="27">
        <v>1180</v>
      </c>
      <c r="K805" s="87"/>
      <c r="L805" s="87"/>
      <c r="M805" s="85"/>
      <c r="N805" s="28">
        <v>2</v>
      </c>
      <c r="O805" s="29">
        <v>1599.98</v>
      </c>
      <c r="P805" s="29">
        <v>1599.98</v>
      </c>
    </row>
    <row r="806" ht="9" customHeight="1" hidden="1">
      <c r="J806" s="77"/>
      <c r="K806" s="78"/>
      <c r="L806" s="78"/>
      <c r="M806" t="s" s="79">
        <v>19</v>
      </c>
      <c r="N806" s="80">
        <v>2</v>
      </c>
      <c r="O806" s="81">
        <v>119.99</v>
      </c>
      <c r="P806" s="81">
        <v>239.98</v>
      </c>
    </row>
    <row r="807" ht="9" customHeight="1" hidden="1">
      <c r="J807" s="82"/>
      <c r="K807" s="83"/>
      <c r="L807" s="84">
        <v>45474</v>
      </c>
      <c r="M807" s="85"/>
      <c r="N807" s="28">
        <v>2</v>
      </c>
      <c r="O807" s="29">
        <v>119.99</v>
      </c>
      <c r="P807" s="29">
        <v>239.98</v>
      </c>
    </row>
    <row r="808" ht="9" customHeight="1" hidden="1">
      <c r="J808" s="82"/>
      <c r="K808" t="s" s="86">
        <v>1391</v>
      </c>
      <c r="L808" s="87"/>
      <c r="M808" s="85"/>
      <c r="N808" s="28">
        <v>2</v>
      </c>
      <c r="O808" s="29">
        <v>119.99</v>
      </c>
      <c r="P808" s="29">
        <v>239.98</v>
      </c>
    </row>
    <row r="809" ht="15.55" customHeight="1">
      <c r="J809" t="s" s="27">
        <v>1392</v>
      </c>
      <c r="K809" s="87"/>
      <c r="L809" s="87"/>
      <c r="M809" s="85"/>
      <c r="N809" s="28">
        <v>2</v>
      </c>
      <c r="O809" s="29">
        <v>119.99</v>
      </c>
      <c r="P809" s="29">
        <v>239.98</v>
      </c>
    </row>
    <row r="810" ht="9" customHeight="1" hidden="1">
      <c r="J810" s="77"/>
      <c r="K810" s="78"/>
      <c r="L810" s="78"/>
      <c r="M810" t="s" s="79">
        <v>602</v>
      </c>
      <c r="N810" s="80">
        <v>2</v>
      </c>
      <c r="O810" s="81">
        <v>299.99</v>
      </c>
      <c r="P810" s="81">
        <v>599.98</v>
      </c>
    </row>
    <row r="811" ht="9" customHeight="1" hidden="1">
      <c r="J811" s="82"/>
      <c r="K811" s="83"/>
      <c r="L811" s="84">
        <v>45474</v>
      </c>
      <c r="M811" s="85"/>
      <c r="N811" s="28">
        <v>2</v>
      </c>
      <c r="O811" s="29">
        <v>299.99</v>
      </c>
      <c r="P811" s="29">
        <v>599.98</v>
      </c>
    </row>
    <row r="812" ht="9" customHeight="1" hidden="1">
      <c r="J812" s="82"/>
      <c r="K812" t="s" s="86">
        <v>1283</v>
      </c>
      <c r="L812" s="87"/>
      <c r="M812" s="85"/>
      <c r="N812" s="28">
        <v>2</v>
      </c>
      <c r="O812" s="29">
        <v>299.99</v>
      </c>
      <c r="P812" s="29">
        <v>599.98</v>
      </c>
    </row>
    <row r="813" ht="15.55" customHeight="1">
      <c r="J813" t="s" s="27">
        <v>1284</v>
      </c>
      <c r="K813" s="87"/>
      <c r="L813" s="87"/>
      <c r="M813" s="85"/>
      <c r="N813" s="28">
        <v>2</v>
      </c>
      <c r="O813" s="29">
        <v>299.99</v>
      </c>
      <c r="P813" s="29">
        <v>599.98</v>
      </c>
    </row>
    <row r="814" ht="9" customHeight="1" hidden="1">
      <c r="J814" s="77"/>
      <c r="K814" s="78"/>
      <c r="L814" s="78"/>
      <c r="M814" t="s" s="79">
        <v>59</v>
      </c>
      <c r="N814" s="80">
        <v>1</v>
      </c>
      <c r="O814" s="81">
        <v>899.9924999999999</v>
      </c>
      <c r="P814" s="81">
        <v>899.9924999999999</v>
      </c>
    </row>
    <row r="815" ht="9" customHeight="1" hidden="1">
      <c r="J815" s="77"/>
      <c r="K815" s="78"/>
      <c r="L815" s="78"/>
      <c r="M815" t="s" s="79">
        <v>63</v>
      </c>
      <c r="N815" s="80">
        <v>1</v>
      </c>
      <c r="O815" s="81">
        <v>15.6</v>
      </c>
      <c r="P815" s="81">
        <v>15.6</v>
      </c>
    </row>
    <row r="816" ht="9" customHeight="1" hidden="1">
      <c r="J816" s="82"/>
      <c r="K816" s="83"/>
      <c r="L816" s="84">
        <v>45474</v>
      </c>
      <c r="M816" s="85"/>
      <c r="N816" s="28">
        <v>2</v>
      </c>
      <c r="O816" s="29">
        <v>915.5925</v>
      </c>
      <c r="P816" s="29">
        <v>915.5925</v>
      </c>
    </row>
    <row r="817" ht="9" customHeight="1" hidden="1">
      <c r="J817" s="82"/>
      <c r="K817" t="s" s="86">
        <v>1302</v>
      </c>
      <c r="L817" s="87"/>
      <c r="M817" s="85"/>
      <c r="N817" s="28">
        <v>2</v>
      </c>
      <c r="O817" s="29">
        <v>915.5925</v>
      </c>
      <c r="P817" s="29">
        <v>915.5925</v>
      </c>
    </row>
    <row r="818" ht="15.55" customHeight="1">
      <c r="J818" t="s" s="27">
        <v>941</v>
      </c>
      <c r="K818" s="87"/>
      <c r="L818" s="87"/>
      <c r="M818" s="85"/>
      <c r="N818" s="28">
        <v>2</v>
      </c>
      <c r="O818" s="29">
        <v>915.5925</v>
      </c>
      <c r="P818" s="29">
        <v>915.5925</v>
      </c>
    </row>
    <row r="819" ht="9" customHeight="1" hidden="1">
      <c r="J819" s="77"/>
      <c r="K819" s="78"/>
      <c r="L819" s="78"/>
      <c r="M819" t="s" s="79">
        <v>27</v>
      </c>
      <c r="N819" s="80">
        <v>1</v>
      </c>
      <c r="O819" s="81">
        <v>79.98999999999999</v>
      </c>
      <c r="P819" s="81">
        <v>79.98999999999999</v>
      </c>
    </row>
    <row r="820" ht="9" customHeight="1" hidden="1">
      <c r="J820" s="82"/>
      <c r="K820" s="83"/>
      <c r="L820" s="84">
        <v>45474</v>
      </c>
      <c r="M820" s="85"/>
      <c r="N820" s="28">
        <v>1</v>
      </c>
      <c r="O820" s="29">
        <v>79.98999999999999</v>
      </c>
      <c r="P820" s="29">
        <v>79.98999999999999</v>
      </c>
    </row>
    <row r="821" ht="9" customHeight="1" hidden="1">
      <c r="J821" s="82"/>
      <c r="K821" t="s" s="86">
        <v>1323</v>
      </c>
      <c r="L821" s="87"/>
      <c r="M821" s="85"/>
      <c r="N821" s="28">
        <v>1</v>
      </c>
      <c r="O821" s="29">
        <v>79.98999999999999</v>
      </c>
      <c r="P821" s="29">
        <v>79.98999999999999</v>
      </c>
    </row>
    <row r="822" ht="15.55" customHeight="1">
      <c r="J822" t="s" s="27">
        <v>1324</v>
      </c>
      <c r="K822" s="87"/>
      <c r="L822" s="87"/>
      <c r="M822" s="85"/>
      <c r="N822" s="28">
        <v>1</v>
      </c>
      <c r="O822" s="29">
        <v>79.98999999999999</v>
      </c>
      <c r="P822" s="29">
        <v>79.98999999999999</v>
      </c>
    </row>
    <row r="823" ht="9" customHeight="1" hidden="1">
      <c r="J823" s="77"/>
      <c r="K823" s="78"/>
      <c r="L823" s="78"/>
      <c r="M823" t="s" s="79">
        <v>139</v>
      </c>
      <c r="N823" s="80">
        <v>2</v>
      </c>
      <c r="O823" s="81">
        <v>49.99</v>
      </c>
      <c r="P823" s="81">
        <v>99.98</v>
      </c>
    </row>
    <row r="824" ht="9" customHeight="1" hidden="1">
      <c r="J824" s="82"/>
      <c r="K824" s="83"/>
      <c r="L824" s="84">
        <v>45474</v>
      </c>
      <c r="M824" s="85"/>
      <c r="N824" s="28">
        <v>2</v>
      </c>
      <c r="O824" s="29">
        <v>49.99</v>
      </c>
      <c r="P824" s="29">
        <v>99.98</v>
      </c>
    </row>
    <row r="825" ht="9" customHeight="1" hidden="1">
      <c r="J825" s="82"/>
      <c r="K825" t="s" s="86">
        <v>1285</v>
      </c>
      <c r="L825" s="87"/>
      <c r="M825" s="85"/>
      <c r="N825" s="28">
        <v>2</v>
      </c>
      <c r="O825" s="29">
        <v>49.99</v>
      </c>
      <c r="P825" s="29">
        <v>99.98</v>
      </c>
    </row>
    <row r="826" ht="15.55" customHeight="1">
      <c r="J826" t="s" s="27">
        <v>1286</v>
      </c>
      <c r="K826" s="87"/>
      <c r="L826" s="87"/>
      <c r="M826" s="85"/>
      <c r="N826" s="28">
        <v>2</v>
      </c>
      <c r="O826" s="29">
        <v>49.99</v>
      </c>
      <c r="P826" s="29">
        <v>99.98</v>
      </c>
    </row>
    <row r="827" ht="9" customHeight="1" hidden="1">
      <c r="J827" s="77"/>
      <c r="K827" s="78"/>
      <c r="L827" s="78"/>
      <c r="M827" t="s" s="79">
        <v>73</v>
      </c>
      <c r="N827" s="80">
        <v>1</v>
      </c>
      <c r="O827" s="81">
        <v>399.99</v>
      </c>
      <c r="P827" s="81">
        <v>399.99</v>
      </c>
    </row>
    <row r="828" ht="9" customHeight="1" hidden="1">
      <c r="J828" s="82"/>
      <c r="K828" s="83"/>
      <c r="L828" s="84">
        <v>45474</v>
      </c>
      <c r="M828" s="85"/>
      <c r="N828" s="28">
        <v>1</v>
      </c>
      <c r="O828" s="29">
        <v>399.99</v>
      </c>
      <c r="P828" s="29">
        <v>399.99</v>
      </c>
    </row>
    <row r="829" ht="9" customHeight="1" hidden="1">
      <c r="J829" s="82"/>
      <c r="K829" t="s" s="86">
        <v>1220</v>
      </c>
      <c r="L829" s="87"/>
      <c r="M829" s="85"/>
      <c r="N829" s="28">
        <v>1</v>
      </c>
      <c r="O829" s="29">
        <v>399.99</v>
      </c>
      <c r="P829" s="29">
        <v>399.99</v>
      </c>
    </row>
    <row r="830" ht="15.55" customHeight="1">
      <c r="J830" t="s" s="27">
        <v>1221</v>
      </c>
      <c r="K830" s="87"/>
      <c r="L830" s="87"/>
      <c r="M830" s="85"/>
      <c r="N830" s="28">
        <v>1</v>
      </c>
      <c r="O830" s="29">
        <v>399.99</v>
      </c>
      <c r="P830" s="29">
        <v>399.99</v>
      </c>
    </row>
    <row r="831" ht="9" customHeight="1" hidden="1">
      <c r="J831" s="77"/>
      <c r="K831" s="78"/>
      <c r="L831" s="78"/>
      <c r="M831" t="s" s="79">
        <v>84</v>
      </c>
      <c r="N831" s="80">
        <v>2</v>
      </c>
      <c r="O831" s="81">
        <v>0</v>
      </c>
      <c r="P831" s="81">
        <v>0</v>
      </c>
    </row>
    <row r="832" ht="9" customHeight="1" hidden="1">
      <c r="J832" s="77"/>
      <c r="K832" s="78"/>
      <c r="L832" s="78"/>
      <c r="M832" t="s" s="79">
        <v>23</v>
      </c>
      <c r="N832" s="80">
        <v>2</v>
      </c>
      <c r="O832" s="81">
        <v>0</v>
      </c>
      <c r="P832" s="81">
        <v>0</v>
      </c>
    </row>
    <row r="833" ht="9" customHeight="1" hidden="1">
      <c r="J833" s="77"/>
      <c r="K833" s="78"/>
      <c r="L833" s="78"/>
      <c r="M833" t="s" s="79">
        <v>81</v>
      </c>
      <c r="N833" s="80">
        <v>2</v>
      </c>
      <c r="O833" s="81">
        <v>849.99</v>
      </c>
      <c r="P833" s="81">
        <v>1699.98</v>
      </c>
    </row>
    <row r="834" ht="9" customHeight="1" hidden="1">
      <c r="J834" s="77"/>
      <c r="K834" s="78"/>
      <c r="L834" s="78"/>
      <c r="M834" t="s" s="79">
        <v>50</v>
      </c>
      <c r="N834" s="80">
        <v>2</v>
      </c>
      <c r="O834" s="81">
        <v>0</v>
      </c>
      <c r="P834" s="81">
        <v>0</v>
      </c>
    </row>
    <row r="835" ht="9" customHeight="1" hidden="1">
      <c r="J835" s="82"/>
      <c r="K835" s="83"/>
      <c r="L835" s="84">
        <v>45474</v>
      </c>
      <c r="M835" s="85"/>
      <c r="N835" s="28">
        <v>8</v>
      </c>
      <c r="O835" s="29">
        <v>849.99</v>
      </c>
      <c r="P835" s="29">
        <v>1699.98</v>
      </c>
    </row>
    <row r="836" ht="9" customHeight="1" hidden="1">
      <c r="J836" s="82"/>
      <c r="K836" t="s" s="86">
        <v>1470</v>
      </c>
      <c r="L836" s="87"/>
      <c r="M836" s="85"/>
      <c r="N836" s="28">
        <v>8</v>
      </c>
      <c r="O836" s="29">
        <v>849.99</v>
      </c>
      <c r="P836" s="29">
        <v>1699.98</v>
      </c>
    </row>
    <row r="837" ht="9" customHeight="1" hidden="1">
      <c r="J837" s="77"/>
      <c r="K837" s="78"/>
      <c r="L837" s="78"/>
      <c r="M837" t="s" s="79">
        <v>213</v>
      </c>
      <c r="N837" s="80">
        <v>2</v>
      </c>
      <c r="O837" s="81">
        <v>425</v>
      </c>
      <c r="P837" s="81">
        <v>850</v>
      </c>
    </row>
    <row r="838" ht="9" customHeight="1" hidden="1">
      <c r="J838" s="77"/>
      <c r="K838" s="78"/>
      <c r="L838" s="78"/>
      <c r="M838" t="s" s="79">
        <v>63</v>
      </c>
      <c r="N838" s="80">
        <v>1</v>
      </c>
      <c r="O838" s="81">
        <v>43.2</v>
      </c>
      <c r="P838" s="81">
        <v>43.2</v>
      </c>
    </row>
    <row r="839" ht="9" customHeight="1" hidden="1">
      <c r="J839" s="82"/>
      <c r="K839" s="83"/>
      <c r="L839" s="84">
        <v>45474</v>
      </c>
      <c r="M839" s="85"/>
      <c r="N839" s="28">
        <v>3</v>
      </c>
      <c r="O839" s="29">
        <v>468.2</v>
      </c>
      <c r="P839" s="29">
        <v>893.2</v>
      </c>
    </row>
    <row r="840" ht="9" customHeight="1" hidden="1">
      <c r="J840" s="82"/>
      <c r="K840" t="s" s="86">
        <v>1488</v>
      </c>
      <c r="L840" s="87"/>
      <c r="M840" s="85"/>
      <c r="N840" s="28">
        <v>3</v>
      </c>
      <c r="O840" s="29">
        <v>468.2</v>
      </c>
      <c r="P840" s="29">
        <v>893.2</v>
      </c>
    </row>
    <row r="841" ht="15.55" customHeight="1">
      <c r="J841" t="s" s="27">
        <v>1471</v>
      </c>
      <c r="K841" s="87"/>
      <c r="L841" s="87"/>
      <c r="M841" s="85"/>
      <c r="N841" s="28">
        <v>11</v>
      </c>
      <c r="O841" s="29">
        <v>1318.19</v>
      </c>
      <c r="P841" s="29">
        <v>2593.18</v>
      </c>
    </row>
    <row r="842" ht="9" customHeight="1" hidden="1">
      <c r="J842" s="77"/>
      <c r="K842" s="78"/>
      <c r="L842" s="78"/>
      <c r="M842" t="s" s="79">
        <v>95</v>
      </c>
      <c r="N842" s="80">
        <v>1</v>
      </c>
      <c r="O842" s="81">
        <v>349.99</v>
      </c>
      <c r="P842" s="81">
        <v>349.99</v>
      </c>
    </row>
    <row r="843" ht="9" customHeight="1" hidden="1">
      <c r="J843" s="82"/>
      <c r="K843" s="83"/>
      <c r="L843" s="84">
        <v>45474</v>
      </c>
      <c r="M843" s="85"/>
      <c r="N843" s="28">
        <v>1</v>
      </c>
      <c r="O843" s="29">
        <v>349.99</v>
      </c>
      <c r="P843" s="29">
        <v>349.99</v>
      </c>
    </row>
    <row r="844" ht="9" customHeight="1" hidden="1">
      <c r="J844" s="82"/>
      <c r="K844" t="s" s="86">
        <v>1208</v>
      </c>
      <c r="L844" s="87"/>
      <c r="M844" s="85"/>
      <c r="N844" s="28">
        <v>1</v>
      </c>
      <c r="O844" s="29">
        <v>349.99</v>
      </c>
      <c r="P844" s="29">
        <v>349.99</v>
      </c>
    </row>
    <row r="845" ht="15.55" customHeight="1">
      <c r="J845" t="s" s="27">
        <v>1209</v>
      </c>
      <c r="K845" s="87"/>
      <c r="L845" s="87"/>
      <c r="M845" s="85"/>
      <c r="N845" s="28">
        <v>1</v>
      </c>
      <c r="O845" s="29">
        <v>349.99</v>
      </c>
      <c r="P845" s="29">
        <v>349.99</v>
      </c>
    </row>
    <row r="846" ht="9" customHeight="1" hidden="1">
      <c r="J846" s="77"/>
      <c r="K846" s="78"/>
      <c r="L846" s="78"/>
      <c r="M846" t="s" s="79">
        <v>35</v>
      </c>
      <c r="N846" s="80">
        <v>1</v>
      </c>
      <c r="O846" s="81">
        <v>49.99</v>
      </c>
      <c r="P846" s="81">
        <v>49.99</v>
      </c>
    </row>
    <row r="847" ht="9" customHeight="1" hidden="1">
      <c r="J847" s="82"/>
      <c r="K847" s="83"/>
      <c r="L847" s="84">
        <v>45474</v>
      </c>
      <c r="M847" s="85"/>
      <c r="N847" s="28">
        <v>1</v>
      </c>
      <c r="O847" s="29">
        <v>49.99</v>
      </c>
      <c r="P847" s="29">
        <v>49.99</v>
      </c>
    </row>
    <row r="848" ht="9" customHeight="1" hidden="1">
      <c r="J848" s="82"/>
      <c r="K848" t="s" s="86">
        <v>1216</v>
      </c>
      <c r="L848" s="87"/>
      <c r="M848" s="85"/>
      <c r="N848" s="28">
        <v>1</v>
      </c>
      <c r="O848" s="29">
        <v>49.99</v>
      </c>
      <c r="P848" s="29">
        <v>49.99</v>
      </c>
    </row>
    <row r="849" ht="15.55" customHeight="1">
      <c r="J849" t="s" s="27">
        <v>1217</v>
      </c>
      <c r="K849" s="87"/>
      <c r="L849" s="87"/>
      <c r="M849" s="85"/>
      <c r="N849" s="28">
        <v>1</v>
      </c>
      <c r="O849" s="29">
        <v>49.99</v>
      </c>
      <c r="P849" s="29">
        <v>49.99</v>
      </c>
    </row>
    <row r="850" ht="9" customHeight="1" hidden="1">
      <c r="J850" s="77"/>
      <c r="K850" s="78"/>
      <c r="L850" s="78"/>
      <c r="M850" t="s" s="79">
        <v>95</v>
      </c>
      <c r="N850" s="80">
        <v>2</v>
      </c>
      <c r="O850" s="81">
        <v>349.99</v>
      </c>
      <c r="P850" s="81">
        <v>699.98</v>
      </c>
    </row>
    <row r="851" ht="9" customHeight="1" hidden="1">
      <c r="J851" s="82"/>
      <c r="K851" s="83"/>
      <c r="L851" s="84">
        <v>45474</v>
      </c>
      <c r="M851" s="85"/>
      <c r="N851" s="28">
        <v>2</v>
      </c>
      <c r="O851" s="29">
        <v>349.99</v>
      </c>
      <c r="P851" s="29">
        <v>699.98</v>
      </c>
    </row>
    <row r="852" ht="9" customHeight="1" hidden="1">
      <c r="J852" s="82"/>
      <c r="K852" t="s" s="86">
        <v>1251</v>
      </c>
      <c r="L852" s="87"/>
      <c r="M852" s="85"/>
      <c r="N852" s="28">
        <v>2</v>
      </c>
      <c r="O852" s="29">
        <v>349.99</v>
      </c>
      <c r="P852" s="29">
        <v>699.98</v>
      </c>
    </row>
    <row r="853" ht="15.55" customHeight="1">
      <c r="J853" t="s" s="27">
        <v>1252</v>
      </c>
      <c r="K853" s="87"/>
      <c r="L853" s="87"/>
      <c r="M853" s="85"/>
      <c r="N853" s="28">
        <v>2</v>
      </c>
      <c r="O853" s="29">
        <v>349.99</v>
      </c>
      <c r="P853" s="29">
        <v>699.98</v>
      </c>
    </row>
    <row r="854" ht="9" customHeight="1" hidden="1">
      <c r="J854" s="77"/>
      <c r="K854" s="78"/>
      <c r="L854" s="78"/>
      <c r="M854" t="s" s="79">
        <v>95</v>
      </c>
      <c r="N854" s="80">
        <v>1</v>
      </c>
      <c r="O854" s="81">
        <v>349.99</v>
      </c>
      <c r="P854" s="81">
        <v>349.99</v>
      </c>
    </row>
    <row r="855" ht="9" customHeight="1" hidden="1">
      <c r="J855" s="82"/>
      <c r="K855" s="83"/>
      <c r="L855" s="84">
        <v>45474</v>
      </c>
      <c r="M855" s="85"/>
      <c r="N855" s="28">
        <v>1</v>
      </c>
      <c r="O855" s="29">
        <v>349.99</v>
      </c>
      <c r="P855" s="29">
        <v>349.99</v>
      </c>
    </row>
    <row r="856" ht="9" customHeight="1" hidden="1">
      <c r="J856" s="82"/>
      <c r="K856" t="s" s="86">
        <v>1383</v>
      </c>
      <c r="L856" s="87"/>
      <c r="M856" s="85"/>
      <c r="N856" s="28">
        <v>1</v>
      </c>
      <c r="O856" s="29">
        <v>349.99</v>
      </c>
      <c r="P856" s="29">
        <v>349.99</v>
      </c>
    </row>
    <row r="857" ht="9" customHeight="1" hidden="1">
      <c r="J857" s="77"/>
      <c r="K857" s="78"/>
      <c r="L857" s="78"/>
      <c r="M857" t="s" s="79">
        <v>11</v>
      </c>
      <c r="N857" s="80">
        <v>1</v>
      </c>
      <c r="O857" s="81">
        <v>399.99</v>
      </c>
      <c r="P857" s="81">
        <v>399.99</v>
      </c>
    </row>
    <row r="858" ht="9" customHeight="1" hidden="1">
      <c r="J858" s="82"/>
      <c r="K858" s="83"/>
      <c r="L858" s="84">
        <v>45474</v>
      </c>
      <c r="M858" s="85"/>
      <c r="N858" s="28">
        <v>1</v>
      </c>
      <c r="O858" s="29">
        <v>399.99</v>
      </c>
      <c r="P858" s="29">
        <v>399.99</v>
      </c>
    </row>
    <row r="859" ht="9" customHeight="1" hidden="1">
      <c r="J859" s="82"/>
      <c r="K859" t="s" s="86">
        <v>1381</v>
      </c>
      <c r="L859" s="87"/>
      <c r="M859" s="85"/>
      <c r="N859" s="28">
        <v>1</v>
      </c>
      <c r="O859" s="29">
        <v>399.99</v>
      </c>
      <c r="P859" s="29">
        <v>399.99</v>
      </c>
    </row>
    <row r="860" ht="15.55" customHeight="1">
      <c r="J860" t="s" s="27">
        <v>1382</v>
      </c>
      <c r="K860" s="87"/>
      <c r="L860" s="87"/>
      <c r="M860" s="85"/>
      <c r="N860" s="28">
        <v>2</v>
      </c>
      <c r="O860" s="29">
        <v>749.98</v>
      </c>
      <c r="P860" s="29">
        <v>749.98</v>
      </c>
    </row>
    <row r="861" ht="9" customHeight="1" hidden="1">
      <c r="J861" s="77"/>
      <c r="K861" s="78"/>
      <c r="L861" s="78"/>
      <c r="M861" t="s" s="79">
        <v>139</v>
      </c>
      <c r="N861" s="80">
        <v>1</v>
      </c>
      <c r="O861" s="81">
        <v>49.99</v>
      </c>
      <c r="P861" s="81">
        <v>49.99</v>
      </c>
    </row>
    <row r="862" ht="9" customHeight="1" hidden="1">
      <c r="J862" s="82"/>
      <c r="K862" s="83"/>
      <c r="L862" s="84">
        <v>45474</v>
      </c>
      <c r="M862" s="85"/>
      <c r="N862" s="28">
        <v>1</v>
      </c>
      <c r="O862" s="29">
        <v>49.99</v>
      </c>
      <c r="P862" s="29">
        <v>49.99</v>
      </c>
    </row>
    <row r="863" ht="9" customHeight="1" hidden="1">
      <c r="J863" s="82"/>
      <c r="K863" t="s" s="86">
        <v>1249</v>
      </c>
      <c r="L863" s="87"/>
      <c r="M863" s="85"/>
      <c r="N863" s="28">
        <v>1</v>
      </c>
      <c r="O863" s="29">
        <v>49.99</v>
      </c>
      <c r="P863" s="29">
        <v>49.99</v>
      </c>
    </row>
    <row r="864" ht="15.55" customHeight="1">
      <c r="J864" t="s" s="27">
        <v>1250</v>
      </c>
      <c r="K864" s="87"/>
      <c r="L864" s="87"/>
      <c r="M864" s="85"/>
      <c r="N864" s="28">
        <v>1</v>
      </c>
      <c r="O864" s="29">
        <v>49.99</v>
      </c>
      <c r="P864" s="29">
        <v>49.99</v>
      </c>
    </row>
    <row r="865" ht="9" customHeight="1" hidden="1">
      <c r="J865" s="77"/>
      <c r="K865" s="78"/>
      <c r="L865" s="78"/>
      <c r="M865" t="s" s="79">
        <v>119</v>
      </c>
      <c r="N865" s="80">
        <v>3</v>
      </c>
      <c r="O865" s="81">
        <v>0</v>
      </c>
      <c r="P865" s="81">
        <v>0</v>
      </c>
    </row>
    <row r="866" ht="9" customHeight="1" hidden="1">
      <c r="J866" s="82"/>
      <c r="K866" s="83"/>
      <c r="L866" s="84">
        <v>45474</v>
      </c>
      <c r="M866" s="85"/>
      <c r="N866" s="28">
        <v>3</v>
      </c>
      <c r="O866" s="29">
        <v>0</v>
      </c>
      <c r="P866" s="29">
        <v>0</v>
      </c>
    </row>
    <row r="867" ht="9" customHeight="1" hidden="1">
      <c r="J867" s="82"/>
      <c r="K867" t="s" s="86">
        <v>1411</v>
      </c>
      <c r="L867" s="87"/>
      <c r="M867" s="85"/>
      <c r="N867" s="28">
        <v>3</v>
      </c>
      <c r="O867" s="29">
        <v>0</v>
      </c>
      <c r="P867" s="29">
        <v>0</v>
      </c>
    </row>
    <row r="868" ht="15.55" customHeight="1">
      <c r="J868" t="s" s="27">
        <v>1412</v>
      </c>
      <c r="K868" s="87"/>
      <c r="L868" s="87"/>
      <c r="M868" s="85"/>
      <c r="N868" s="28">
        <v>3</v>
      </c>
      <c r="O868" s="29">
        <v>0</v>
      </c>
      <c r="P868" s="29">
        <v>0</v>
      </c>
    </row>
    <row r="869" ht="9" customHeight="1" hidden="1">
      <c r="J869" s="77"/>
      <c r="K869" s="78"/>
      <c r="L869" s="78"/>
      <c r="M869" t="s" s="79">
        <v>35</v>
      </c>
      <c r="N869" s="80">
        <v>1</v>
      </c>
      <c r="O869" s="81">
        <v>49.99</v>
      </c>
      <c r="P869" s="81">
        <v>49.99</v>
      </c>
    </row>
    <row r="870" ht="9" customHeight="1" hidden="1">
      <c r="J870" s="82"/>
      <c r="K870" s="83"/>
      <c r="L870" s="84">
        <v>45474</v>
      </c>
      <c r="M870" s="85"/>
      <c r="N870" s="28">
        <v>1</v>
      </c>
      <c r="O870" s="29">
        <v>49.99</v>
      </c>
      <c r="P870" s="29">
        <v>49.99</v>
      </c>
    </row>
    <row r="871" ht="9" customHeight="1" hidden="1">
      <c r="J871" s="82"/>
      <c r="K871" t="s" s="86">
        <v>1173</v>
      </c>
      <c r="L871" s="87"/>
      <c r="M871" s="85"/>
      <c r="N871" s="28">
        <v>1</v>
      </c>
      <c r="O871" s="29">
        <v>49.99</v>
      </c>
      <c r="P871" s="29">
        <v>49.99</v>
      </c>
    </row>
    <row r="872" ht="15.55" customHeight="1">
      <c r="J872" t="s" s="27">
        <v>1174</v>
      </c>
      <c r="K872" s="87"/>
      <c r="L872" s="87"/>
      <c r="M872" s="85"/>
      <c r="N872" s="28">
        <v>1</v>
      </c>
      <c r="O872" s="29">
        <v>49.99</v>
      </c>
      <c r="P872" s="29">
        <v>49.99</v>
      </c>
    </row>
    <row r="873" ht="9" customHeight="1" hidden="1">
      <c r="J873" s="77"/>
      <c r="K873" s="78"/>
      <c r="L873" s="78"/>
      <c r="M873" t="s" s="79">
        <v>345</v>
      </c>
      <c r="N873" s="80">
        <v>2</v>
      </c>
      <c r="O873" s="81">
        <v>219.99</v>
      </c>
      <c r="P873" s="81">
        <v>439.98</v>
      </c>
    </row>
    <row r="874" ht="9" customHeight="1" hidden="1">
      <c r="J874" s="82"/>
      <c r="K874" s="83"/>
      <c r="L874" s="84">
        <v>45474</v>
      </c>
      <c r="M874" s="85"/>
      <c r="N874" s="28">
        <v>2</v>
      </c>
      <c r="O874" s="29">
        <v>219.99</v>
      </c>
      <c r="P874" s="29">
        <v>439.98</v>
      </c>
    </row>
    <row r="875" ht="9" customHeight="1" hidden="1">
      <c r="J875" s="82"/>
      <c r="K875" t="s" s="86">
        <v>1493</v>
      </c>
      <c r="L875" s="87"/>
      <c r="M875" s="85"/>
      <c r="N875" s="28">
        <v>2</v>
      </c>
      <c r="O875" s="29">
        <v>219.99</v>
      </c>
      <c r="P875" s="29">
        <v>439.98</v>
      </c>
    </row>
    <row r="876" ht="15.55" customHeight="1">
      <c r="J876" t="s" s="27">
        <v>1494</v>
      </c>
      <c r="K876" s="87"/>
      <c r="L876" s="87"/>
      <c r="M876" s="85"/>
      <c r="N876" s="28">
        <v>2</v>
      </c>
      <c r="O876" s="29">
        <v>219.99</v>
      </c>
      <c r="P876" s="29">
        <v>439.98</v>
      </c>
    </row>
    <row r="877" ht="9" customHeight="1" hidden="1">
      <c r="J877" s="77"/>
      <c r="K877" s="78"/>
      <c r="L877" s="78"/>
      <c r="M877" t="s" s="79">
        <v>95</v>
      </c>
      <c r="N877" s="80">
        <v>1</v>
      </c>
      <c r="O877" s="81">
        <v>324.99</v>
      </c>
      <c r="P877" s="81">
        <v>324.99</v>
      </c>
    </row>
    <row r="878" ht="9" customHeight="1" hidden="1">
      <c r="J878" s="82"/>
      <c r="K878" s="83"/>
      <c r="L878" s="84">
        <v>45474</v>
      </c>
      <c r="M878" s="85"/>
      <c r="N878" s="28">
        <v>1</v>
      </c>
      <c r="O878" s="29">
        <v>324.99</v>
      </c>
      <c r="P878" s="29">
        <v>324.99</v>
      </c>
    </row>
    <row r="879" ht="9" customHeight="1" hidden="1">
      <c r="J879" s="82"/>
      <c r="K879" t="s" s="86">
        <v>1459</v>
      </c>
      <c r="L879" s="87"/>
      <c r="M879" s="85"/>
      <c r="N879" s="28">
        <v>1</v>
      </c>
      <c r="O879" s="29">
        <v>324.99</v>
      </c>
      <c r="P879" s="29">
        <v>324.99</v>
      </c>
    </row>
    <row r="880" ht="15.55" customHeight="1">
      <c r="J880" t="s" s="27">
        <v>1460</v>
      </c>
      <c r="K880" s="87"/>
      <c r="L880" s="87"/>
      <c r="M880" s="85"/>
      <c r="N880" s="28">
        <v>1</v>
      </c>
      <c r="O880" s="29">
        <v>324.99</v>
      </c>
      <c r="P880" s="29">
        <v>324.99</v>
      </c>
    </row>
    <row r="881" ht="9" customHeight="1" hidden="1">
      <c r="J881" s="77"/>
      <c r="K881" s="78"/>
      <c r="L881" s="78"/>
      <c r="M881" t="s" s="79">
        <v>27</v>
      </c>
      <c r="N881" s="80">
        <v>1</v>
      </c>
      <c r="O881" s="81">
        <v>79.98999999999999</v>
      </c>
      <c r="P881" s="81">
        <v>79.98999999999999</v>
      </c>
    </row>
    <row r="882" ht="9" customHeight="1" hidden="1">
      <c r="J882" s="82"/>
      <c r="K882" s="83"/>
      <c r="L882" s="84">
        <v>45474</v>
      </c>
      <c r="M882" s="85"/>
      <c r="N882" s="28">
        <v>1</v>
      </c>
      <c r="O882" s="29">
        <v>79.98999999999999</v>
      </c>
      <c r="P882" s="29">
        <v>79.98999999999999</v>
      </c>
    </row>
    <row r="883" ht="9" customHeight="1" hidden="1">
      <c r="J883" s="82"/>
      <c r="K883" t="s" s="86">
        <v>1440</v>
      </c>
      <c r="L883" s="87"/>
      <c r="M883" s="85"/>
      <c r="N883" s="28">
        <v>1</v>
      </c>
      <c r="O883" s="29">
        <v>79.98999999999999</v>
      </c>
      <c r="P883" s="29">
        <v>79.98999999999999</v>
      </c>
    </row>
    <row r="884" ht="15.55" customHeight="1">
      <c r="J884" t="s" s="27">
        <v>1441</v>
      </c>
      <c r="K884" s="87"/>
      <c r="L884" s="87"/>
      <c r="M884" s="85"/>
      <c r="N884" s="28">
        <v>1</v>
      </c>
      <c r="O884" s="29">
        <v>79.98999999999999</v>
      </c>
      <c r="P884" s="29">
        <v>79.98999999999999</v>
      </c>
    </row>
    <row r="885" ht="9" customHeight="1" hidden="1">
      <c r="J885" s="77"/>
      <c r="K885" s="78"/>
      <c r="L885" s="78"/>
      <c r="M885" t="s" s="79">
        <v>345</v>
      </c>
      <c r="N885" s="80">
        <v>2</v>
      </c>
      <c r="O885" s="81">
        <v>219.99</v>
      </c>
      <c r="P885" s="81">
        <v>439.98</v>
      </c>
    </row>
    <row r="886" ht="9" customHeight="1" hidden="1">
      <c r="J886" s="82"/>
      <c r="K886" s="83"/>
      <c r="L886" s="84">
        <v>45474</v>
      </c>
      <c r="M886" s="85"/>
      <c r="N886" s="28">
        <v>2</v>
      </c>
      <c r="O886" s="29">
        <v>219.99</v>
      </c>
      <c r="P886" s="29">
        <v>439.98</v>
      </c>
    </row>
    <row r="887" ht="9" customHeight="1" hidden="1">
      <c r="J887" s="82"/>
      <c r="K887" t="s" s="86">
        <v>1194</v>
      </c>
      <c r="L887" s="87"/>
      <c r="M887" s="85"/>
      <c r="N887" s="28">
        <v>2</v>
      </c>
      <c r="O887" s="29">
        <v>219.99</v>
      </c>
      <c r="P887" s="29">
        <v>439.98</v>
      </c>
    </row>
    <row r="888" ht="15.55" customHeight="1">
      <c r="J888" t="s" s="27">
        <v>1195</v>
      </c>
      <c r="K888" s="87"/>
      <c r="L888" s="87"/>
      <c r="M888" s="85"/>
      <c r="N888" s="28">
        <v>2</v>
      </c>
      <c r="O888" s="29">
        <v>219.99</v>
      </c>
      <c r="P888" s="29">
        <v>439.98</v>
      </c>
    </row>
    <row r="889" ht="9" customHeight="1" hidden="1">
      <c r="J889" s="77"/>
      <c r="K889" s="78"/>
      <c r="L889" s="78"/>
      <c r="M889" t="s" s="79">
        <v>11</v>
      </c>
      <c r="N889" s="80">
        <v>2</v>
      </c>
      <c r="O889" s="81">
        <v>399.99</v>
      </c>
      <c r="P889" s="81">
        <v>799.98</v>
      </c>
    </row>
    <row r="890" ht="9" customHeight="1" hidden="1">
      <c r="J890" s="82"/>
      <c r="K890" s="83"/>
      <c r="L890" s="84">
        <v>45474</v>
      </c>
      <c r="M890" s="85"/>
      <c r="N890" s="28">
        <v>2</v>
      </c>
      <c r="O890" s="29">
        <v>399.99</v>
      </c>
      <c r="P890" s="29">
        <v>799.98</v>
      </c>
    </row>
    <row r="891" ht="9" customHeight="1" hidden="1">
      <c r="J891" s="82"/>
      <c r="K891" t="s" s="86">
        <v>1272</v>
      </c>
      <c r="L891" s="87"/>
      <c r="M891" s="85"/>
      <c r="N891" s="28">
        <v>2</v>
      </c>
      <c r="O891" s="29">
        <v>399.99</v>
      </c>
      <c r="P891" s="29">
        <v>799.98</v>
      </c>
    </row>
    <row r="892" ht="15.55" customHeight="1">
      <c r="J892" t="s" s="27">
        <v>1273</v>
      </c>
      <c r="K892" s="87"/>
      <c r="L892" s="87"/>
      <c r="M892" s="85"/>
      <c r="N892" s="28">
        <v>2</v>
      </c>
      <c r="O892" s="29">
        <v>399.99</v>
      </c>
      <c r="P892" s="29">
        <v>799.98</v>
      </c>
    </row>
    <row r="893" ht="9" customHeight="1" hidden="1">
      <c r="J893" s="77"/>
      <c r="K893" s="78"/>
      <c r="L893" s="78"/>
      <c r="M893" t="s" s="79">
        <v>84</v>
      </c>
      <c r="N893" s="80">
        <v>4</v>
      </c>
      <c r="O893" s="81">
        <v>0</v>
      </c>
      <c r="P893" s="81">
        <v>0</v>
      </c>
    </row>
    <row r="894" ht="9" customHeight="1" hidden="1">
      <c r="J894" s="77"/>
      <c r="K894" s="78"/>
      <c r="L894" s="78"/>
      <c r="M894" t="s" s="79">
        <v>23</v>
      </c>
      <c r="N894" s="80">
        <v>4</v>
      </c>
      <c r="O894" s="81">
        <v>0</v>
      </c>
      <c r="P894" s="81">
        <v>0</v>
      </c>
    </row>
    <row r="895" ht="9" customHeight="1" hidden="1">
      <c r="J895" s="77"/>
      <c r="K895" s="78"/>
      <c r="L895" s="78"/>
      <c r="M895" t="s" s="79">
        <v>722</v>
      </c>
      <c r="N895" s="80">
        <v>4</v>
      </c>
      <c r="O895" s="81">
        <v>869.99</v>
      </c>
      <c r="P895" s="81">
        <v>3479.96</v>
      </c>
    </row>
    <row r="896" ht="9" customHeight="1" hidden="1">
      <c r="J896" s="77"/>
      <c r="K896" s="78"/>
      <c r="L896" s="78"/>
      <c r="M896" t="s" s="79">
        <v>50</v>
      </c>
      <c r="N896" s="80">
        <v>4</v>
      </c>
      <c r="O896" s="81">
        <v>0</v>
      </c>
      <c r="P896" s="81">
        <v>0</v>
      </c>
    </row>
    <row r="897" ht="9" customHeight="1" hidden="1">
      <c r="J897" s="82"/>
      <c r="K897" s="83"/>
      <c r="L897" s="84">
        <v>45474</v>
      </c>
      <c r="M897" s="85"/>
      <c r="N897" s="28">
        <v>16</v>
      </c>
      <c r="O897" s="29">
        <v>869.99</v>
      </c>
      <c r="P897" s="29">
        <v>3479.96</v>
      </c>
    </row>
    <row r="898" ht="9" customHeight="1" hidden="1">
      <c r="J898" s="82"/>
      <c r="K898" t="s" s="86">
        <v>1171</v>
      </c>
      <c r="L898" s="87"/>
      <c r="M898" s="85"/>
      <c r="N898" s="28">
        <v>16</v>
      </c>
      <c r="O898" s="29">
        <v>869.99</v>
      </c>
      <c r="P898" s="29">
        <v>3479.96</v>
      </c>
    </row>
    <row r="899" ht="15.55" customHeight="1">
      <c r="J899" t="s" s="27">
        <v>1172</v>
      </c>
      <c r="K899" s="87"/>
      <c r="L899" s="87"/>
      <c r="M899" s="85"/>
      <c r="N899" s="28">
        <v>16</v>
      </c>
      <c r="O899" s="29">
        <v>869.99</v>
      </c>
      <c r="P899" s="29">
        <v>3479.96</v>
      </c>
    </row>
    <row r="900" ht="9" customHeight="1" hidden="1">
      <c r="J900" s="77"/>
      <c r="K900" s="78"/>
      <c r="L900" s="78"/>
      <c r="M900" t="s" s="79">
        <v>35</v>
      </c>
      <c r="N900" s="80">
        <v>1</v>
      </c>
      <c r="O900" s="81">
        <v>49.99</v>
      </c>
      <c r="P900" s="81">
        <v>49.99</v>
      </c>
    </row>
    <row r="901" ht="9" customHeight="1" hidden="1">
      <c r="J901" s="82"/>
      <c r="K901" s="83"/>
      <c r="L901" s="84">
        <v>45474</v>
      </c>
      <c r="M901" s="85"/>
      <c r="N901" s="28">
        <v>1</v>
      </c>
      <c r="O901" s="29">
        <v>49.99</v>
      </c>
      <c r="P901" s="29">
        <v>49.99</v>
      </c>
    </row>
    <row r="902" ht="9" customHeight="1" hidden="1">
      <c r="J902" s="82"/>
      <c r="K902" t="s" s="86">
        <v>1150</v>
      </c>
      <c r="L902" s="87"/>
      <c r="M902" s="85"/>
      <c r="N902" s="28">
        <v>1</v>
      </c>
      <c r="O902" s="29">
        <v>49.99</v>
      </c>
      <c r="P902" s="29">
        <v>49.99</v>
      </c>
    </row>
    <row r="903" ht="15.55" customHeight="1">
      <c r="J903" t="s" s="27">
        <v>1151</v>
      </c>
      <c r="K903" s="87"/>
      <c r="L903" s="87"/>
      <c r="M903" s="85"/>
      <c r="N903" s="28">
        <v>1</v>
      </c>
      <c r="O903" s="29">
        <v>49.99</v>
      </c>
      <c r="P903" s="29">
        <v>49.99</v>
      </c>
    </row>
    <row r="904" ht="9" customHeight="1" hidden="1">
      <c r="J904" s="77"/>
      <c r="K904" s="78"/>
      <c r="L904" s="78"/>
      <c r="M904" t="s" s="79">
        <v>497</v>
      </c>
      <c r="N904" s="80">
        <v>10</v>
      </c>
      <c r="O904" s="81">
        <v>0</v>
      </c>
      <c r="P904" s="81">
        <v>0</v>
      </c>
    </row>
    <row r="905" ht="9" customHeight="1" hidden="1">
      <c r="J905" s="82"/>
      <c r="K905" s="83"/>
      <c r="L905" s="84">
        <v>45474</v>
      </c>
      <c r="M905" s="85"/>
      <c r="N905" s="28">
        <v>10</v>
      </c>
      <c r="O905" s="29">
        <v>0</v>
      </c>
      <c r="P905" s="29">
        <v>0</v>
      </c>
    </row>
    <row r="906" ht="9" customHeight="1" hidden="1">
      <c r="J906" s="82"/>
      <c r="K906" t="s" s="86">
        <v>1310</v>
      </c>
      <c r="L906" s="87"/>
      <c r="M906" s="85"/>
      <c r="N906" s="28">
        <v>10</v>
      </c>
      <c r="O906" s="29">
        <v>0</v>
      </c>
      <c r="P906" s="29">
        <v>0</v>
      </c>
    </row>
    <row r="907" ht="28.55" customHeight="1">
      <c r="J907" t="s" s="27">
        <v>1311</v>
      </c>
      <c r="K907" s="87"/>
      <c r="L907" s="87"/>
      <c r="M907" s="85"/>
      <c r="N907" s="28">
        <v>10</v>
      </c>
      <c r="O907" s="29">
        <v>0</v>
      </c>
      <c r="P907" s="29">
        <v>0</v>
      </c>
    </row>
    <row r="908" ht="9" customHeight="1" hidden="1">
      <c r="J908" s="77"/>
      <c r="K908" s="78"/>
      <c r="L908" s="78"/>
      <c r="M908" t="s" s="79">
        <v>54</v>
      </c>
      <c r="N908" s="80">
        <v>1</v>
      </c>
      <c r="O908" s="81">
        <v>9.99</v>
      </c>
      <c r="P908" s="81">
        <v>9.99</v>
      </c>
    </row>
    <row r="909" ht="9" customHeight="1" hidden="1">
      <c r="J909" s="77"/>
      <c r="K909" s="78"/>
      <c r="L909" s="78"/>
      <c r="M909" t="s" s="79">
        <v>31</v>
      </c>
      <c r="N909" s="80">
        <v>2</v>
      </c>
      <c r="O909" s="81">
        <v>599.99</v>
      </c>
      <c r="P909" s="81">
        <v>1199.98</v>
      </c>
    </row>
    <row r="910" ht="9" customHeight="1" hidden="1">
      <c r="J910" s="82"/>
      <c r="K910" s="83"/>
      <c r="L910" s="84">
        <v>45474</v>
      </c>
      <c r="M910" s="85"/>
      <c r="N910" s="28">
        <v>3</v>
      </c>
      <c r="O910" s="29">
        <v>609.98</v>
      </c>
      <c r="P910" s="29">
        <v>1209.97</v>
      </c>
    </row>
    <row r="911" ht="9" customHeight="1" hidden="1">
      <c r="J911" s="82"/>
      <c r="K911" t="s" s="86">
        <v>1274</v>
      </c>
      <c r="L911" s="87"/>
      <c r="M911" s="85"/>
      <c r="N911" s="28">
        <v>3</v>
      </c>
      <c r="O911" s="29">
        <v>609.98</v>
      </c>
      <c r="P911" s="29">
        <v>1209.97</v>
      </c>
    </row>
    <row r="912" ht="9" customHeight="1" hidden="1">
      <c r="J912" s="77"/>
      <c r="K912" s="78"/>
      <c r="L912" s="78"/>
      <c r="M912" t="s" s="79">
        <v>19</v>
      </c>
      <c r="N912" s="80">
        <v>2</v>
      </c>
      <c r="O912" s="81">
        <v>119.99</v>
      </c>
      <c r="P912" s="81">
        <v>239.98</v>
      </c>
    </row>
    <row r="913" ht="9" customHeight="1" hidden="1">
      <c r="J913" s="82"/>
      <c r="K913" s="83"/>
      <c r="L913" s="84">
        <v>45474</v>
      </c>
      <c r="M913" s="85"/>
      <c r="N913" s="28">
        <v>2</v>
      </c>
      <c r="O913" s="29">
        <v>119.99</v>
      </c>
      <c r="P913" s="29">
        <v>239.98</v>
      </c>
    </row>
    <row r="914" ht="9" customHeight="1" hidden="1">
      <c r="J914" s="82"/>
      <c r="K914" t="s" s="86">
        <v>1270</v>
      </c>
      <c r="L914" s="87"/>
      <c r="M914" s="85"/>
      <c r="N914" s="28">
        <v>2</v>
      </c>
      <c r="O914" s="29">
        <v>119.99</v>
      </c>
      <c r="P914" s="29">
        <v>239.98</v>
      </c>
    </row>
    <row r="915" ht="15.55" customHeight="1">
      <c r="J915" t="s" s="27">
        <v>1271</v>
      </c>
      <c r="K915" s="87"/>
      <c r="L915" s="87"/>
      <c r="M915" s="85"/>
      <c r="N915" s="28">
        <v>5</v>
      </c>
      <c r="O915" s="29">
        <v>729.97</v>
      </c>
      <c r="P915" s="29">
        <v>1449.95</v>
      </c>
    </row>
    <row r="916" ht="9" customHeight="1" hidden="1">
      <c r="J916" s="77"/>
      <c r="K916" s="78"/>
      <c r="L916" s="78"/>
      <c r="M916" t="s" s="79">
        <v>906</v>
      </c>
      <c r="N916" s="80">
        <v>1</v>
      </c>
      <c r="O916" s="81">
        <v>0</v>
      </c>
      <c r="P916" s="81">
        <v>0</v>
      </c>
    </row>
    <row r="917" ht="9" customHeight="1" hidden="1">
      <c r="J917" s="77"/>
      <c r="K917" s="78"/>
      <c r="L917" s="78"/>
      <c r="M917" t="s" s="79">
        <v>1362</v>
      </c>
      <c r="N917" s="80">
        <v>1</v>
      </c>
      <c r="O917" s="81">
        <v>0</v>
      </c>
      <c r="P917" s="81">
        <v>0</v>
      </c>
    </row>
    <row r="918" ht="9" customHeight="1" hidden="1">
      <c r="J918" s="77"/>
      <c r="K918" s="78"/>
      <c r="L918" s="78"/>
      <c r="M918" t="s" s="79">
        <v>1364</v>
      </c>
      <c r="N918" s="80">
        <v>1</v>
      </c>
      <c r="O918" s="81">
        <v>0</v>
      </c>
      <c r="P918" s="81">
        <v>0</v>
      </c>
    </row>
    <row r="919" ht="9" customHeight="1" hidden="1">
      <c r="J919" s="77"/>
      <c r="K919" s="78"/>
      <c r="L919" s="78"/>
      <c r="M919" t="s" s="79">
        <v>1360</v>
      </c>
      <c r="N919" s="80">
        <v>1</v>
      </c>
      <c r="O919" s="81">
        <v>18.9</v>
      </c>
      <c r="P919" s="81">
        <v>18.9</v>
      </c>
    </row>
    <row r="920" ht="9" customHeight="1" hidden="1">
      <c r="J920" s="77"/>
      <c r="K920" s="78"/>
      <c r="L920" s="78"/>
      <c r="M920" t="s" s="79">
        <v>254</v>
      </c>
      <c r="N920" s="80">
        <v>1</v>
      </c>
      <c r="O920" s="81">
        <v>0</v>
      </c>
      <c r="P920" s="81">
        <v>0</v>
      </c>
    </row>
    <row r="921" ht="9" customHeight="1" hidden="1">
      <c r="J921" s="82"/>
      <c r="K921" s="83"/>
      <c r="L921" s="84">
        <v>45474</v>
      </c>
      <c r="M921" s="85"/>
      <c r="N921" s="28">
        <v>5</v>
      </c>
      <c r="O921" s="29">
        <v>18.9</v>
      </c>
      <c r="P921" s="29">
        <v>18.9</v>
      </c>
    </row>
    <row r="922" ht="9" customHeight="1" hidden="1">
      <c r="J922" s="82"/>
      <c r="K922" t="s" s="86">
        <v>1358</v>
      </c>
      <c r="L922" s="87"/>
      <c r="M922" s="85"/>
      <c r="N922" s="28">
        <v>5</v>
      </c>
      <c r="O922" s="29">
        <v>18.9</v>
      </c>
      <c r="P922" s="29">
        <v>18.9</v>
      </c>
    </row>
    <row r="923" ht="15.55" customHeight="1">
      <c r="J923" t="s" s="27">
        <v>1359</v>
      </c>
      <c r="K923" s="87"/>
      <c r="L923" s="87"/>
      <c r="M923" s="85"/>
      <c r="N923" s="28">
        <v>5</v>
      </c>
      <c r="O923" s="29">
        <v>18.9</v>
      </c>
      <c r="P923" s="29">
        <v>18.9</v>
      </c>
    </row>
    <row r="924" ht="9" customHeight="1" hidden="1">
      <c r="J924" s="77"/>
      <c r="K924" s="78"/>
      <c r="L924" s="78"/>
      <c r="M924" t="s" s="79">
        <v>354</v>
      </c>
      <c r="N924" s="80">
        <v>1</v>
      </c>
      <c r="O924" s="81">
        <v>149.99</v>
      </c>
      <c r="P924" s="81">
        <v>149.99</v>
      </c>
    </row>
    <row r="925" ht="9" customHeight="1" hidden="1">
      <c r="J925" s="77"/>
      <c r="K925" s="78"/>
      <c r="L925" s="78"/>
      <c r="M925" t="s" s="79">
        <v>133</v>
      </c>
      <c r="N925" s="80">
        <v>1</v>
      </c>
      <c r="O925" s="81">
        <v>199.99</v>
      </c>
      <c r="P925" s="81">
        <v>199.99</v>
      </c>
    </row>
    <row r="926" ht="9" customHeight="1" hidden="1">
      <c r="J926" s="77"/>
      <c r="K926" s="78"/>
      <c r="L926" s="78"/>
      <c r="M926" t="s" s="79">
        <v>77</v>
      </c>
      <c r="N926" s="80">
        <v>1</v>
      </c>
      <c r="O926" s="81">
        <v>19.99</v>
      </c>
      <c r="P926" s="81">
        <v>19.99</v>
      </c>
    </row>
    <row r="927" ht="9" customHeight="1" hidden="1">
      <c r="J927" s="82"/>
      <c r="K927" s="83"/>
      <c r="L927" s="84">
        <v>45474</v>
      </c>
      <c r="M927" s="85"/>
      <c r="N927" s="28">
        <v>3</v>
      </c>
      <c r="O927" s="29">
        <v>369.97</v>
      </c>
      <c r="P927" s="29">
        <v>369.97</v>
      </c>
    </row>
    <row r="928" ht="9" customHeight="1" hidden="1">
      <c r="J928" s="82"/>
      <c r="K928" t="s" s="86">
        <v>1315</v>
      </c>
      <c r="L928" s="87"/>
      <c r="M928" s="85"/>
      <c r="N928" s="28">
        <v>3</v>
      </c>
      <c r="O928" s="29">
        <v>369.97</v>
      </c>
      <c r="P928" s="29">
        <v>369.97</v>
      </c>
    </row>
    <row r="929" ht="15.55" customHeight="1">
      <c r="J929" t="s" s="27">
        <v>1316</v>
      </c>
      <c r="K929" s="87"/>
      <c r="L929" s="87"/>
      <c r="M929" s="85"/>
      <c r="N929" s="28">
        <v>3</v>
      </c>
      <c r="O929" s="29">
        <v>369.97</v>
      </c>
      <c r="P929" s="29">
        <v>369.97</v>
      </c>
    </row>
    <row r="930" ht="9" customHeight="1" hidden="1">
      <c r="J930" s="77"/>
      <c r="K930" s="78"/>
      <c r="L930" s="78"/>
      <c r="M930" t="s" s="79">
        <v>31</v>
      </c>
      <c r="N930" s="80">
        <v>1</v>
      </c>
      <c r="O930" s="81">
        <v>599.99</v>
      </c>
      <c r="P930" s="81">
        <v>599.99</v>
      </c>
    </row>
    <row r="931" ht="9" customHeight="1" hidden="1">
      <c r="J931" s="82"/>
      <c r="K931" s="83"/>
      <c r="L931" s="84">
        <v>45474</v>
      </c>
      <c r="M931" s="85"/>
      <c r="N931" s="28">
        <v>1</v>
      </c>
      <c r="O931" s="29">
        <v>599.99</v>
      </c>
      <c r="P931" s="29">
        <v>599.99</v>
      </c>
    </row>
    <row r="932" ht="9" customHeight="1" hidden="1">
      <c r="J932" s="82"/>
      <c r="K932" t="s" s="86">
        <v>1218</v>
      </c>
      <c r="L932" s="87"/>
      <c r="M932" s="85"/>
      <c r="N932" s="28">
        <v>1</v>
      </c>
      <c r="O932" s="29">
        <v>599.99</v>
      </c>
      <c r="P932" s="29">
        <v>599.99</v>
      </c>
    </row>
    <row r="933" ht="15.55" customHeight="1">
      <c r="J933" t="s" s="27">
        <v>1219</v>
      </c>
      <c r="K933" s="87"/>
      <c r="L933" s="87"/>
      <c r="M933" s="85"/>
      <c r="N933" s="28">
        <v>1</v>
      </c>
      <c r="O933" s="29">
        <v>599.99</v>
      </c>
      <c r="P933" s="29">
        <v>599.99</v>
      </c>
    </row>
    <row r="934" ht="9" customHeight="1" hidden="1">
      <c r="J934" s="77"/>
      <c r="K934" s="78"/>
      <c r="L934" s="78"/>
      <c r="M934" t="s" s="79">
        <v>39</v>
      </c>
      <c r="N934" s="80">
        <v>1</v>
      </c>
      <c r="O934" s="81">
        <v>109.99</v>
      </c>
      <c r="P934" s="81">
        <v>109.99</v>
      </c>
    </row>
    <row r="935" ht="9" customHeight="1" hidden="1">
      <c r="J935" s="82"/>
      <c r="K935" s="83"/>
      <c r="L935" s="84">
        <v>45474</v>
      </c>
      <c r="M935" s="85"/>
      <c r="N935" s="28">
        <v>1</v>
      </c>
      <c r="O935" s="29">
        <v>109.99</v>
      </c>
      <c r="P935" s="29">
        <v>109.99</v>
      </c>
    </row>
    <row r="936" ht="9" customHeight="1" hidden="1">
      <c r="J936" s="82"/>
      <c r="K936" t="s" s="86">
        <v>1268</v>
      </c>
      <c r="L936" s="87"/>
      <c r="M936" s="85"/>
      <c r="N936" s="28">
        <v>1</v>
      </c>
      <c r="O936" s="29">
        <v>109.99</v>
      </c>
      <c r="P936" s="29">
        <v>109.99</v>
      </c>
    </row>
    <row r="937" ht="15.55" customHeight="1">
      <c r="J937" t="s" s="27">
        <v>1269</v>
      </c>
      <c r="K937" s="87"/>
      <c r="L937" s="87"/>
      <c r="M937" s="85"/>
      <c r="N937" s="28">
        <v>1</v>
      </c>
      <c r="O937" s="29">
        <v>109.99</v>
      </c>
      <c r="P937" s="29">
        <v>109.99</v>
      </c>
    </row>
    <row r="938" ht="9" customHeight="1" hidden="1">
      <c r="J938" s="77"/>
      <c r="K938" s="78"/>
      <c r="L938" s="78"/>
      <c r="M938" t="s" s="79">
        <v>35</v>
      </c>
      <c r="N938" s="80">
        <v>2</v>
      </c>
      <c r="O938" s="81">
        <v>39.99</v>
      </c>
      <c r="P938" s="81">
        <v>79.98</v>
      </c>
    </row>
    <row r="939" ht="9" customHeight="1" hidden="1">
      <c r="J939" s="77"/>
      <c r="K939" s="78"/>
      <c r="L939" s="78"/>
      <c r="M939" t="s" s="79">
        <v>31</v>
      </c>
      <c r="N939" s="80">
        <v>2</v>
      </c>
      <c r="O939" s="81">
        <v>599.99</v>
      </c>
      <c r="P939" s="81">
        <v>1199.98</v>
      </c>
    </row>
    <row r="940" ht="9" customHeight="1" hidden="1">
      <c r="J940" s="82"/>
      <c r="K940" s="83"/>
      <c r="L940" s="84">
        <v>45474</v>
      </c>
      <c r="M940" s="85"/>
      <c r="N940" s="28">
        <v>4</v>
      </c>
      <c r="O940" s="29">
        <v>639.98</v>
      </c>
      <c r="P940" s="29">
        <v>1279.96</v>
      </c>
    </row>
    <row r="941" ht="9" customHeight="1" hidden="1">
      <c r="J941" s="82"/>
      <c r="K941" t="s" s="86">
        <v>1335</v>
      </c>
      <c r="L941" s="87"/>
      <c r="M941" s="85"/>
      <c r="N941" s="28">
        <v>4</v>
      </c>
      <c r="O941" s="29">
        <v>639.98</v>
      </c>
      <c r="P941" s="29">
        <v>1279.96</v>
      </c>
    </row>
    <row r="942" ht="9" customHeight="1" hidden="1">
      <c r="J942" s="77"/>
      <c r="K942" s="78"/>
      <c r="L942" s="78"/>
      <c r="M942" t="s" s="79">
        <v>133</v>
      </c>
      <c r="N942" s="80">
        <v>2</v>
      </c>
      <c r="O942" s="81">
        <v>50</v>
      </c>
      <c r="P942" s="81">
        <v>100</v>
      </c>
    </row>
    <row r="943" ht="9" customHeight="1" hidden="1">
      <c r="J943" s="82"/>
      <c r="K943" s="83"/>
      <c r="L943" s="84">
        <v>45474</v>
      </c>
      <c r="M943" s="85"/>
      <c r="N943" s="28">
        <v>2</v>
      </c>
      <c r="O943" s="29">
        <v>50</v>
      </c>
      <c r="P943" s="29">
        <v>100</v>
      </c>
    </row>
    <row r="944" ht="9" customHeight="1" hidden="1">
      <c r="J944" s="82"/>
      <c r="K944" t="s" s="86">
        <v>1343</v>
      </c>
      <c r="L944" s="87"/>
      <c r="M944" s="85"/>
      <c r="N944" s="28">
        <v>2</v>
      </c>
      <c r="O944" s="29">
        <v>50</v>
      </c>
      <c r="P944" s="29">
        <v>100</v>
      </c>
    </row>
    <row r="945" ht="15.55" customHeight="1">
      <c r="J945" t="s" s="27">
        <v>1336</v>
      </c>
      <c r="K945" s="87"/>
      <c r="L945" s="87"/>
      <c r="M945" s="85"/>
      <c r="N945" s="28">
        <v>6</v>
      </c>
      <c r="O945" s="29">
        <v>689.98</v>
      </c>
      <c r="P945" s="29">
        <v>1379.96</v>
      </c>
    </row>
    <row r="946" ht="9" customHeight="1" hidden="1">
      <c r="J946" s="77"/>
      <c r="K946" s="78"/>
      <c r="L946" s="78"/>
      <c r="M946" t="s" s="79">
        <v>95</v>
      </c>
      <c r="N946" s="80">
        <v>1</v>
      </c>
      <c r="O946" s="81">
        <v>349.99</v>
      </c>
      <c r="P946" s="81">
        <v>349.99</v>
      </c>
    </row>
    <row r="947" ht="9" customHeight="1" hidden="1">
      <c r="J947" s="82"/>
      <c r="K947" s="83"/>
      <c r="L947" s="84">
        <v>45474</v>
      </c>
      <c r="M947" s="85"/>
      <c r="N947" s="28">
        <v>1</v>
      </c>
      <c r="O947" s="29">
        <v>349.99</v>
      </c>
      <c r="P947" s="29">
        <v>349.99</v>
      </c>
    </row>
    <row r="948" ht="9" customHeight="1" hidden="1">
      <c r="J948" s="82"/>
      <c r="K948" t="s" s="86">
        <v>1188</v>
      </c>
      <c r="L948" s="87"/>
      <c r="M948" s="85"/>
      <c r="N948" s="28">
        <v>1</v>
      </c>
      <c r="O948" s="29">
        <v>349.99</v>
      </c>
      <c r="P948" s="29">
        <v>349.99</v>
      </c>
    </row>
    <row r="949" ht="15.55" customHeight="1">
      <c r="J949" t="s" s="27">
        <v>1189</v>
      </c>
      <c r="K949" s="87"/>
      <c r="L949" s="87"/>
      <c r="M949" s="85"/>
      <c r="N949" s="28">
        <v>1</v>
      </c>
      <c r="O949" s="29">
        <v>349.99</v>
      </c>
      <c r="P949" s="29">
        <v>349.99</v>
      </c>
    </row>
    <row r="950" ht="9" customHeight="1" hidden="1">
      <c r="J950" s="77"/>
      <c r="K950" s="78"/>
      <c r="L950" s="78"/>
      <c r="M950" t="s" s="79">
        <v>602</v>
      </c>
      <c r="N950" s="80">
        <v>3</v>
      </c>
      <c r="O950" s="81">
        <v>224.9925</v>
      </c>
      <c r="P950" s="81">
        <v>674.9775</v>
      </c>
    </row>
    <row r="951" ht="9" customHeight="1" hidden="1">
      <c r="J951" s="77"/>
      <c r="K951" s="78"/>
      <c r="L951" s="78"/>
      <c r="M951" t="s" s="79">
        <v>31</v>
      </c>
      <c r="N951" s="80">
        <v>3</v>
      </c>
      <c r="O951" s="81">
        <v>449.9925</v>
      </c>
      <c r="P951" s="81">
        <v>1349.9775</v>
      </c>
    </row>
    <row r="952" ht="9" customHeight="1" hidden="1">
      <c r="J952" s="82"/>
      <c r="K952" s="83"/>
      <c r="L952" s="84">
        <v>45474</v>
      </c>
      <c r="M952" s="85"/>
      <c r="N952" s="28">
        <v>6</v>
      </c>
      <c r="O952" s="29">
        <v>674.985</v>
      </c>
      <c r="P952" s="29">
        <v>2024.955</v>
      </c>
    </row>
    <row r="953" ht="9" customHeight="1" hidden="1">
      <c r="J953" s="82"/>
      <c r="K953" t="s" s="86">
        <v>1463</v>
      </c>
      <c r="L953" s="87"/>
      <c r="M953" s="85"/>
      <c r="N953" s="28">
        <v>6</v>
      </c>
      <c r="O953" s="29">
        <v>674.985</v>
      </c>
      <c r="P953" s="29">
        <v>2024.955</v>
      </c>
    </row>
    <row r="954" ht="9" customHeight="1" hidden="1">
      <c r="J954" s="77"/>
      <c r="K954" s="78"/>
      <c r="L954" s="78"/>
      <c r="M954" t="s" s="79">
        <v>602</v>
      </c>
      <c r="N954" s="80">
        <v>8</v>
      </c>
      <c r="O954" s="81">
        <v>224.9925</v>
      </c>
      <c r="P954" s="81">
        <v>1799.94</v>
      </c>
    </row>
    <row r="955" ht="9" customHeight="1" hidden="1">
      <c r="J955" s="82"/>
      <c r="K955" s="83"/>
      <c r="L955" s="84">
        <v>45474</v>
      </c>
      <c r="M955" s="85"/>
      <c r="N955" s="28">
        <v>8</v>
      </c>
      <c r="O955" s="29">
        <v>224.9925</v>
      </c>
      <c r="P955" s="29">
        <v>1799.94</v>
      </c>
    </row>
    <row r="956" ht="9" customHeight="1" hidden="1">
      <c r="J956" s="82"/>
      <c r="K956" t="s" s="86">
        <v>1259</v>
      </c>
      <c r="L956" s="87"/>
      <c r="M956" s="85"/>
      <c r="N956" s="28">
        <v>8</v>
      </c>
      <c r="O956" s="29">
        <v>224.9925</v>
      </c>
      <c r="P956" s="29">
        <v>1799.94</v>
      </c>
    </row>
    <row r="957" ht="15.55" customHeight="1">
      <c r="J957" t="s" s="27">
        <v>704</v>
      </c>
      <c r="K957" s="87"/>
      <c r="L957" s="87"/>
      <c r="M957" s="85"/>
      <c r="N957" s="28">
        <v>14</v>
      </c>
      <c r="O957" s="29">
        <v>899.9775</v>
      </c>
      <c r="P957" s="29">
        <v>3824.895</v>
      </c>
    </row>
    <row r="958" ht="9" customHeight="1" hidden="1">
      <c r="J958" s="77"/>
      <c r="K958" s="78"/>
      <c r="L958" s="78"/>
      <c r="M958" t="s" s="79">
        <v>27</v>
      </c>
      <c r="N958" s="80">
        <v>4</v>
      </c>
      <c r="O958" s="81">
        <v>79.98999999999999</v>
      </c>
      <c r="P958" s="81">
        <v>319.96</v>
      </c>
    </row>
    <row r="959" ht="9" customHeight="1" hidden="1">
      <c r="J959" s="82"/>
      <c r="K959" s="83"/>
      <c r="L959" s="84">
        <v>45474</v>
      </c>
      <c r="M959" s="85"/>
      <c r="N959" s="28">
        <v>4</v>
      </c>
      <c r="O959" s="29">
        <v>79.98999999999999</v>
      </c>
      <c r="P959" s="29">
        <v>319.96</v>
      </c>
    </row>
    <row r="960" ht="9" customHeight="1" hidden="1">
      <c r="J960" s="82"/>
      <c r="K960" t="s" s="86">
        <v>1197</v>
      </c>
      <c r="L960" s="87"/>
      <c r="M960" s="85"/>
      <c r="N960" s="28">
        <v>4</v>
      </c>
      <c r="O960" s="29">
        <v>79.98999999999999</v>
      </c>
      <c r="P960" s="29">
        <v>319.96</v>
      </c>
    </row>
    <row r="961" ht="15.55" customHeight="1">
      <c r="J961" t="s" s="27">
        <v>1198</v>
      </c>
      <c r="K961" s="87"/>
      <c r="L961" s="87"/>
      <c r="M961" s="85"/>
      <c r="N961" s="28">
        <v>4</v>
      </c>
      <c r="O961" s="29">
        <v>79.98999999999999</v>
      </c>
      <c r="P961" s="29">
        <v>319.96</v>
      </c>
    </row>
    <row r="962" ht="9" customHeight="1" hidden="1">
      <c r="J962" s="77"/>
      <c r="K962" s="78"/>
      <c r="L962" s="78"/>
      <c r="M962" t="s" s="79">
        <v>95</v>
      </c>
      <c r="N962" s="80">
        <v>1</v>
      </c>
      <c r="O962" s="81">
        <v>349.99</v>
      </c>
      <c r="P962" s="81">
        <v>349.99</v>
      </c>
    </row>
    <row r="963" ht="9" customHeight="1" hidden="1">
      <c r="J963" s="82"/>
      <c r="K963" s="83"/>
      <c r="L963" s="84">
        <v>45474</v>
      </c>
      <c r="M963" s="85"/>
      <c r="N963" s="28">
        <v>1</v>
      </c>
      <c r="O963" s="29">
        <v>349.99</v>
      </c>
      <c r="P963" s="29">
        <v>349.99</v>
      </c>
    </row>
    <row r="964" ht="9" customHeight="1" hidden="1">
      <c r="J964" s="82"/>
      <c r="K964" t="s" s="86">
        <v>1423</v>
      </c>
      <c r="L964" s="87"/>
      <c r="M964" s="85"/>
      <c r="N964" s="28">
        <v>1</v>
      </c>
      <c r="O964" s="29">
        <v>349.99</v>
      </c>
      <c r="P964" s="29">
        <v>349.99</v>
      </c>
    </row>
    <row r="965" ht="15.55" customHeight="1">
      <c r="J965" t="s" s="27">
        <v>1424</v>
      </c>
      <c r="K965" s="87"/>
      <c r="L965" s="87"/>
      <c r="M965" s="85"/>
      <c r="N965" s="28">
        <v>1</v>
      </c>
      <c r="O965" s="29">
        <v>349.99</v>
      </c>
      <c r="P965" s="29">
        <v>349.99</v>
      </c>
    </row>
    <row r="966" ht="9" customHeight="1" hidden="1">
      <c r="J966" s="77"/>
      <c r="K966" s="78"/>
      <c r="L966" s="78"/>
      <c r="M966" t="s" s="79">
        <v>31</v>
      </c>
      <c r="N966" s="80">
        <v>1</v>
      </c>
      <c r="O966" s="81">
        <v>599.99</v>
      </c>
      <c r="P966" s="81">
        <v>599.99</v>
      </c>
    </row>
    <row r="967" ht="9" customHeight="1" hidden="1">
      <c r="J967" s="82"/>
      <c r="K967" s="83"/>
      <c r="L967" s="84">
        <v>45474</v>
      </c>
      <c r="M967" s="85"/>
      <c r="N967" s="28">
        <v>1</v>
      </c>
      <c r="O967" s="29">
        <v>599.99</v>
      </c>
      <c r="P967" s="29">
        <v>599.99</v>
      </c>
    </row>
    <row r="968" ht="9" customHeight="1" hidden="1">
      <c r="J968" s="82"/>
      <c r="K968" t="s" s="86">
        <v>1448</v>
      </c>
      <c r="L968" s="87"/>
      <c r="M968" s="85"/>
      <c r="N968" s="28">
        <v>1</v>
      </c>
      <c r="O968" s="29">
        <v>599.99</v>
      </c>
      <c r="P968" s="29">
        <v>599.99</v>
      </c>
    </row>
    <row r="969" ht="15.55" customHeight="1">
      <c r="J969" t="s" s="27">
        <v>1449</v>
      </c>
      <c r="K969" s="87"/>
      <c r="L969" s="87"/>
      <c r="M969" s="85"/>
      <c r="N969" s="28">
        <v>1</v>
      </c>
      <c r="O969" s="29">
        <v>599.99</v>
      </c>
      <c r="P969" s="29">
        <v>599.99</v>
      </c>
    </row>
    <row r="970" ht="9" customHeight="1" hidden="1">
      <c r="J970" s="77"/>
      <c r="K970" s="78"/>
      <c r="L970" s="78"/>
      <c r="M970" t="s" s="79">
        <v>589</v>
      </c>
      <c r="N970" s="80">
        <v>1</v>
      </c>
      <c r="O970" s="81">
        <v>7.49</v>
      </c>
      <c r="P970" s="81">
        <v>7.49</v>
      </c>
    </row>
    <row r="971" ht="9" customHeight="1" hidden="1">
      <c r="J971" s="82"/>
      <c r="K971" s="83"/>
      <c r="L971" s="84">
        <v>45474</v>
      </c>
      <c r="M971" s="85"/>
      <c r="N971" s="28">
        <v>1</v>
      </c>
      <c r="O971" s="29">
        <v>7.49</v>
      </c>
      <c r="P971" s="29">
        <v>7.49</v>
      </c>
    </row>
    <row r="972" ht="9" customHeight="1" hidden="1">
      <c r="J972" s="82"/>
      <c r="K972" t="s" s="86">
        <v>1319</v>
      </c>
      <c r="L972" s="87"/>
      <c r="M972" s="85"/>
      <c r="N972" s="28">
        <v>1</v>
      </c>
      <c r="O972" s="29">
        <v>7.49</v>
      </c>
      <c r="P972" s="29">
        <v>7.49</v>
      </c>
    </row>
    <row r="973" ht="15.55" customHeight="1">
      <c r="J973" t="s" s="27">
        <v>1320</v>
      </c>
      <c r="K973" s="87"/>
      <c r="L973" s="87"/>
      <c r="M973" s="85"/>
      <c r="N973" s="28">
        <v>1</v>
      </c>
      <c r="O973" s="29">
        <v>7.49</v>
      </c>
      <c r="P973" s="29">
        <v>7.49</v>
      </c>
    </row>
    <row r="974" ht="9" customHeight="1" hidden="1">
      <c r="J974" s="77"/>
      <c r="K974" s="78"/>
      <c r="L974" s="78"/>
      <c r="M974" t="s" s="79">
        <v>35</v>
      </c>
      <c r="N974" s="80">
        <v>5</v>
      </c>
      <c r="O974" s="81">
        <v>49.99</v>
      </c>
      <c r="P974" s="81">
        <v>249.95</v>
      </c>
    </row>
    <row r="975" ht="9" customHeight="1" hidden="1">
      <c r="J975" s="82"/>
      <c r="K975" s="83"/>
      <c r="L975" s="84">
        <v>45474</v>
      </c>
      <c r="M975" s="85"/>
      <c r="N975" s="28">
        <v>5</v>
      </c>
      <c r="O975" s="29">
        <v>49.99</v>
      </c>
      <c r="P975" s="29">
        <v>249.95</v>
      </c>
    </row>
    <row r="976" ht="9" customHeight="1" hidden="1">
      <c r="J976" s="82"/>
      <c r="K976" t="s" s="86">
        <v>1143</v>
      </c>
      <c r="L976" s="87"/>
      <c r="M976" s="85"/>
      <c r="N976" s="28">
        <v>5</v>
      </c>
      <c r="O976" s="29">
        <v>49.99</v>
      </c>
      <c r="P976" s="29">
        <v>249.95</v>
      </c>
    </row>
    <row r="977" ht="15.55" customHeight="1">
      <c r="J977" t="s" s="27">
        <v>1144</v>
      </c>
      <c r="K977" s="87"/>
      <c r="L977" s="87"/>
      <c r="M977" s="85"/>
      <c r="N977" s="28">
        <v>5</v>
      </c>
      <c r="O977" s="29">
        <v>49.99</v>
      </c>
      <c r="P977" s="29">
        <v>249.95</v>
      </c>
    </row>
    <row r="978" ht="9" customHeight="1" hidden="1">
      <c r="J978" s="77"/>
      <c r="K978" s="78"/>
      <c r="L978" s="78"/>
      <c r="M978" t="s" s="79">
        <v>354</v>
      </c>
      <c r="N978" s="80">
        <v>2</v>
      </c>
      <c r="O978" s="81">
        <v>149.99</v>
      </c>
      <c r="P978" s="81">
        <v>299.98</v>
      </c>
    </row>
    <row r="979" ht="9" customHeight="1" hidden="1">
      <c r="J979" s="82"/>
      <c r="K979" s="83"/>
      <c r="L979" s="84">
        <v>45474</v>
      </c>
      <c r="M979" s="85"/>
      <c r="N979" s="28">
        <v>2</v>
      </c>
      <c r="O979" s="29">
        <v>149.99</v>
      </c>
      <c r="P979" s="29">
        <v>299.98</v>
      </c>
    </row>
    <row r="980" ht="9" customHeight="1" hidden="1">
      <c r="J980" s="82"/>
      <c r="K980" t="s" s="86">
        <v>1275</v>
      </c>
      <c r="L980" s="87"/>
      <c r="M980" s="85"/>
      <c r="N980" s="28">
        <v>2</v>
      </c>
      <c r="O980" s="29">
        <v>149.99</v>
      </c>
      <c r="P980" s="29">
        <v>299.98</v>
      </c>
    </row>
    <row r="981" ht="15.55" customHeight="1">
      <c r="J981" t="s" s="27">
        <v>72</v>
      </c>
      <c r="K981" s="87"/>
      <c r="L981" s="87"/>
      <c r="M981" s="85"/>
      <c r="N981" s="28">
        <v>2</v>
      </c>
      <c r="O981" s="29">
        <v>149.99</v>
      </c>
      <c r="P981" s="29">
        <v>299.98</v>
      </c>
    </row>
    <row r="982" ht="9" customHeight="1" hidden="1">
      <c r="J982" s="77"/>
      <c r="K982" s="78"/>
      <c r="L982" s="78"/>
      <c r="M982" t="s" s="79">
        <v>84</v>
      </c>
      <c r="N982" s="80">
        <v>1</v>
      </c>
      <c r="O982" s="81">
        <v>0</v>
      </c>
      <c r="P982" s="81">
        <v>0</v>
      </c>
    </row>
    <row r="983" ht="9" customHeight="1" hidden="1">
      <c r="J983" s="77"/>
      <c r="K983" s="78"/>
      <c r="L983" s="78"/>
      <c r="M983" t="s" s="79">
        <v>861</v>
      </c>
      <c r="N983" s="80">
        <v>1</v>
      </c>
      <c r="O983" s="81">
        <v>0</v>
      </c>
      <c r="P983" s="81">
        <v>0</v>
      </c>
    </row>
    <row r="984" ht="9" customHeight="1" hidden="1">
      <c r="J984" s="82"/>
      <c r="K984" s="83"/>
      <c r="L984" s="84">
        <v>45474</v>
      </c>
      <c r="M984" s="85"/>
      <c r="N984" s="28">
        <v>2</v>
      </c>
      <c r="O984" s="29">
        <v>0</v>
      </c>
      <c r="P984" s="29">
        <v>0</v>
      </c>
    </row>
    <row r="985" ht="9" customHeight="1" hidden="1">
      <c r="J985" s="82"/>
      <c r="K985" t="s" s="86">
        <v>1409</v>
      </c>
      <c r="L985" s="87"/>
      <c r="M985" s="85"/>
      <c r="N985" s="28">
        <v>2</v>
      </c>
      <c r="O985" s="29">
        <v>0</v>
      </c>
      <c r="P985" s="29">
        <v>0</v>
      </c>
    </row>
    <row r="986" ht="15.55" customHeight="1">
      <c r="J986" t="s" s="27">
        <v>1410</v>
      </c>
      <c r="K986" s="87"/>
      <c r="L986" s="87"/>
      <c r="M986" s="85"/>
      <c r="N986" s="28">
        <v>2</v>
      </c>
      <c r="O986" s="29">
        <v>0</v>
      </c>
      <c r="P986" s="29">
        <v>0</v>
      </c>
    </row>
    <row r="987" ht="9" customHeight="1" hidden="1">
      <c r="J987" s="77"/>
      <c r="K987" s="78"/>
      <c r="L987" s="78"/>
      <c r="M987" t="s" s="79">
        <v>50</v>
      </c>
      <c r="N987" s="80">
        <v>2</v>
      </c>
      <c r="O987" s="81">
        <v>29.99</v>
      </c>
      <c r="P987" s="81">
        <v>59.98</v>
      </c>
    </row>
    <row r="988" ht="9" customHeight="1" hidden="1">
      <c r="J988" s="77"/>
      <c r="K988" s="78"/>
      <c r="L988" s="78"/>
      <c r="M988" t="s" s="79">
        <v>977</v>
      </c>
      <c r="N988" s="80">
        <v>2</v>
      </c>
      <c r="O988" s="81">
        <v>54.99</v>
      </c>
      <c r="P988" s="81">
        <v>109.98</v>
      </c>
    </row>
    <row r="989" ht="9" customHeight="1" hidden="1">
      <c r="J989" s="82"/>
      <c r="K989" s="83"/>
      <c r="L989" s="84">
        <v>45474</v>
      </c>
      <c r="M989" s="85"/>
      <c r="N989" s="28">
        <v>4</v>
      </c>
      <c r="O989" s="29">
        <v>84.98</v>
      </c>
      <c r="P989" s="29">
        <v>169.96</v>
      </c>
    </row>
    <row r="990" ht="9" customHeight="1" hidden="1">
      <c r="J990" s="82"/>
      <c r="K990" t="s" s="86">
        <v>1444</v>
      </c>
      <c r="L990" s="87"/>
      <c r="M990" s="85"/>
      <c r="N990" s="28">
        <v>4</v>
      </c>
      <c r="O990" s="29">
        <v>84.98</v>
      </c>
      <c r="P990" s="29">
        <v>169.96</v>
      </c>
    </row>
    <row r="991" ht="15.55" customHeight="1">
      <c r="J991" t="s" s="27">
        <v>1445</v>
      </c>
      <c r="K991" s="87"/>
      <c r="L991" s="87"/>
      <c r="M991" s="85"/>
      <c r="N991" s="28">
        <v>4</v>
      </c>
      <c r="O991" s="29">
        <v>84.98</v>
      </c>
      <c r="P991" s="29">
        <v>169.96</v>
      </c>
    </row>
    <row r="992" ht="9" customHeight="1" hidden="1">
      <c r="J992" s="77"/>
      <c r="K992" s="78"/>
      <c r="L992" s="78"/>
      <c r="M992" t="s" s="79">
        <v>35</v>
      </c>
      <c r="N992" s="80">
        <v>1</v>
      </c>
      <c r="O992" s="81">
        <v>39.99</v>
      </c>
      <c r="P992" s="81">
        <v>39.99</v>
      </c>
    </row>
    <row r="993" ht="9" customHeight="1" hidden="1">
      <c r="J993" s="77"/>
      <c r="K993" s="78"/>
      <c r="L993" s="78"/>
      <c r="M993" t="s" s="79">
        <v>171</v>
      </c>
      <c r="N993" s="80">
        <v>1</v>
      </c>
      <c r="O993" s="81">
        <v>549.99</v>
      </c>
      <c r="P993" s="81">
        <v>549.99</v>
      </c>
    </row>
    <row r="994" ht="9" customHeight="1" hidden="1">
      <c r="J994" s="82"/>
      <c r="K994" s="83"/>
      <c r="L994" s="84">
        <v>45474</v>
      </c>
      <c r="M994" s="85"/>
      <c r="N994" s="28">
        <v>2</v>
      </c>
      <c r="O994" s="29">
        <v>589.98</v>
      </c>
      <c r="P994" s="29">
        <v>589.98</v>
      </c>
    </row>
    <row r="995" ht="9" customHeight="1" hidden="1">
      <c r="J995" s="82"/>
      <c r="K995" t="s" s="86">
        <v>1145</v>
      </c>
      <c r="L995" s="87"/>
      <c r="M995" s="85"/>
      <c r="N995" s="28">
        <v>2</v>
      </c>
      <c r="O995" s="29">
        <v>589.98</v>
      </c>
      <c r="P995" s="29">
        <v>589.98</v>
      </c>
    </row>
    <row r="996" ht="15.55" customHeight="1">
      <c r="J996" t="s" s="27">
        <v>1102</v>
      </c>
      <c r="K996" s="87"/>
      <c r="L996" s="87"/>
      <c r="M996" s="85"/>
      <c r="N996" s="28">
        <v>2</v>
      </c>
      <c r="O996" s="29">
        <v>589.98</v>
      </c>
      <c r="P996" s="29">
        <v>589.98</v>
      </c>
    </row>
    <row r="997" ht="9" customHeight="1" hidden="1">
      <c r="J997" s="77"/>
      <c r="K997" s="78"/>
      <c r="L997" s="78"/>
      <c r="M997" t="s" s="79">
        <v>84</v>
      </c>
      <c r="N997" s="80">
        <v>2</v>
      </c>
      <c r="O997" s="81">
        <v>0</v>
      </c>
      <c r="P997" s="81">
        <v>0</v>
      </c>
    </row>
    <row r="998" ht="9" customHeight="1" hidden="1">
      <c r="J998" s="77"/>
      <c r="K998" s="78"/>
      <c r="L998" s="78"/>
      <c r="M998" t="s" s="79">
        <v>470</v>
      </c>
      <c r="N998" s="80">
        <v>2</v>
      </c>
      <c r="O998" s="81">
        <v>100</v>
      </c>
      <c r="P998" s="81">
        <v>200</v>
      </c>
    </row>
    <row r="999" ht="9" customHeight="1" hidden="1">
      <c r="J999" s="77"/>
      <c r="K999" s="78"/>
      <c r="L999" s="78"/>
      <c r="M999" t="s" s="79">
        <v>52</v>
      </c>
      <c r="N999" s="80">
        <v>2</v>
      </c>
      <c r="O999" s="81">
        <v>0</v>
      </c>
      <c r="P999" s="81">
        <v>0</v>
      </c>
    </row>
    <row r="1000" ht="9" customHeight="1" hidden="1">
      <c r="J1000" s="77"/>
      <c r="K1000" s="78"/>
      <c r="L1000" s="78"/>
      <c r="M1000" t="s" s="79">
        <v>77</v>
      </c>
      <c r="N1000" s="80">
        <v>2</v>
      </c>
      <c r="O1000" s="81">
        <v>19.99</v>
      </c>
      <c r="P1000" s="81">
        <v>39.98</v>
      </c>
    </row>
    <row r="1001" ht="9" customHeight="1" hidden="1">
      <c r="J1001" s="77"/>
      <c r="K1001" s="78"/>
      <c r="L1001" s="78"/>
      <c r="M1001" t="s" s="79">
        <v>50</v>
      </c>
      <c r="N1001" s="80">
        <v>2</v>
      </c>
      <c r="O1001" s="81">
        <v>0</v>
      </c>
      <c r="P1001" s="81">
        <v>0</v>
      </c>
    </row>
    <row r="1002" ht="9" customHeight="1" hidden="1">
      <c r="J1002" s="77"/>
      <c r="K1002" s="78"/>
      <c r="L1002" s="78"/>
      <c r="M1002" t="s" s="79">
        <v>48</v>
      </c>
      <c r="N1002" s="80">
        <v>2</v>
      </c>
      <c r="O1002" s="81">
        <v>1299.99</v>
      </c>
      <c r="P1002" s="81">
        <v>2599.98</v>
      </c>
    </row>
    <row r="1003" ht="9" customHeight="1" hidden="1">
      <c r="J1003" s="82"/>
      <c r="K1003" s="83"/>
      <c r="L1003" s="84">
        <v>45474</v>
      </c>
      <c r="M1003" s="85"/>
      <c r="N1003" s="28">
        <v>12</v>
      </c>
      <c r="O1003" s="29">
        <v>1419.98</v>
      </c>
      <c r="P1003" s="29">
        <v>2839.96</v>
      </c>
    </row>
    <row r="1004" ht="9" customHeight="1" hidden="1">
      <c r="J1004" s="82"/>
      <c r="K1004" t="s" s="86">
        <v>1211</v>
      </c>
      <c r="L1004" s="87"/>
      <c r="M1004" s="85"/>
      <c r="N1004" s="28">
        <v>12</v>
      </c>
      <c r="O1004" s="29">
        <v>1419.98</v>
      </c>
      <c r="P1004" s="29">
        <v>2839.96</v>
      </c>
    </row>
    <row r="1005" ht="15.55" customHeight="1">
      <c r="J1005" t="s" s="27">
        <v>1212</v>
      </c>
      <c r="K1005" s="87"/>
      <c r="L1005" s="87"/>
      <c r="M1005" s="85"/>
      <c r="N1005" s="28">
        <v>12</v>
      </c>
      <c r="O1005" s="29">
        <v>1419.98</v>
      </c>
      <c r="P1005" s="29">
        <v>2839.96</v>
      </c>
    </row>
    <row r="1006" ht="9" customHeight="1" hidden="1">
      <c r="J1006" s="77"/>
      <c r="K1006" s="78"/>
      <c r="L1006" s="78"/>
      <c r="M1006" t="s" s="79">
        <v>84</v>
      </c>
      <c r="N1006" s="80">
        <v>4</v>
      </c>
      <c r="O1006" s="81">
        <v>0</v>
      </c>
      <c r="P1006" s="81">
        <v>0</v>
      </c>
    </row>
    <row r="1007" ht="9" customHeight="1" hidden="1">
      <c r="J1007" s="77"/>
      <c r="K1007" s="78"/>
      <c r="L1007" s="78"/>
      <c r="M1007" t="s" s="79">
        <v>23</v>
      </c>
      <c r="N1007" s="80">
        <v>2</v>
      </c>
      <c r="O1007" s="81">
        <v>0</v>
      </c>
      <c r="P1007" s="81">
        <v>0</v>
      </c>
    </row>
    <row r="1008" ht="9" customHeight="1" hidden="1">
      <c r="J1008" s="77"/>
      <c r="K1008" s="78"/>
      <c r="L1008" s="78"/>
      <c r="M1008" t="s" s="79">
        <v>133</v>
      </c>
      <c r="N1008" s="80">
        <v>2</v>
      </c>
      <c r="O1008" s="81">
        <v>37.5</v>
      </c>
      <c r="P1008" s="81">
        <v>75</v>
      </c>
    </row>
    <row r="1009" ht="9" customHeight="1" hidden="1">
      <c r="J1009" s="77"/>
      <c r="K1009" s="78"/>
      <c r="L1009" s="78"/>
      <c r="M1009" t="s" s="79">
        <v>81</v>
      </c>
      <c r="N1009" s="80">
        <v>4</v>
      </c>
      <c r="O1009" s="81">
        <v>637.4924999999999</v>
      </c>
      <c r="P1009" s="81">
        <v>2549.97</v>
      </c>
    </row>
    <row r="1010" ht="9" customHeight="1" hidden="1">
      <c r="J1010" s="77"/>
      <c r="K1010" s="78"/>
      <c r="L1010" s="78"/>
      <c r="M1010" t="s" s="79">
        <v>50</v>
      </c>
      <c r="N1010" s="80">
        <v>4</v>
      </c>
      <c r="O1010" s="81">
        <v>0</v>
      </c>
      <c r="P1010" s="81">
        <v>0</v>
      </c>
    </row>
    <row r="1011" ht="9" customHeight="1" hidden="1">
      <c r="J1011" s="77"/>
      <c r="K1011" s="78"/>
      <c r="L1011" s="78"/>
      <c r="M1011" t="s" s="79">
        <v>73</v>
      </c>
      <c r="N1011" s="80">
        <v>2</v>
      </c>
      <c r="O1011" s="81">
        <v>299.9925</v>
      </c>
      <c r="P1011" s="81">
        <v>599.985</v>
      </c>
    </row>
    <row r="1012" ht="9" customHeight="1" hidden="1">
      <c r="J1012" s="77"/>
      <c r="K1012" s="78"/>
      <c r="L1012" s="78"/>
      <c r="M1012" t="s" s="79">
        <v>63</v>
      </c>
      <c r="N1012" s="80">
        <v>1</v>
      </c>
      <c r="O1012" s="81">
        <v>55.8</v>
      </c>
      <c r="P1012" s="81">
        <v>55.8</v>
      </c>
    </row>
    <row r="1013" ht="9" customHeight="1" hidden="1">
      <c r="J1013" s="82"/>
      <c r="K1013" s="83"/>
      <c r="L1013" s="84">
        <v>45474</v>
      </c>
      <c r="M1013" s="85"/>
      <c r="N1013" s="28">
        <v>19</v>
      </c>
      <c r="O1013" s="29">
        <v>1030.785</v>
      </c>
      <c r="P1013" s="29">
        <v>3280.755</v>
      </c>
    </row>
    <row r="1014" ht="9" customHeight="1" hidden="1">
      <c r="J1014" s="82"/>
      <c r="K1014" t="s" s="86">
        <v>1400</v>
      </c>
      <c r="L1014" s="87"/>
      <c r="M1014" s="85"/>
      <c r="N1014" s="28">
        <v>19</v>
      </c>
      <c r="O1014" s="29">
        <v>1030.785</v>
      </c>
      <c r="P1014" s="29">
        <v>3280.755</v>
      </c>
    </row>
    <row r="1015" ht="15.55" customHeight="1">
      <c r="J1015" t="s" s="27">
        <v>1401</v>
      </c>
      <c r="K1015" s="87"/>
      <c r="L1015" s="87"/>
      <c r="M1015" s="85"/>
      <c r="N1015" s="28">
        <v>19</v>
      </c>
      <c r="O1015" s="29">
        <v>1030.785</v>
      </c>
      <c r="P1015" s="29">
        <v>3280.755</v>
      </c>
    </row>
    <row r="1016" ht="9" customHeight="1" hidden="1">
      <c r="J1016" s="77"/>
      <c r="K1016" s="78"/>
      <c r="L1016" s="78"/>
      <c r="M1016" t="s" s="79">
        <v>404</v>
      </c>
      <c r="N1016" s="80">
        <v>1</v>
      </c>
      <c r="O1016" s="81">
        <v>0</v>
      </c>
      <c r="P1016" s="81">
        <v>0</v>
      </c>
    </row>
    <row r="1017" ht="9" customHeight="1" hidden="1">
      <c r="J1017" s="82"/>
      <c r="K1017" s="83"/>
      <c r="L1017" s="84">
        <v>45474</v>
      </c>
      <c r="M1017" s="85"/>
      <c r="N1017" s="28">
        <v>1</v>
      </c>
      <c r="O1017" s="29">
        <v>0</v>
      </c>
      <c r="P1017" s="29">
        <v>0</v>
      </c>
    </row>
    <row r="1018" ht="9" customHeight="1" hidden="1">
      <c r="J1018" s="82"/>
      <c r="K1018" t="s" s="86">
        <v>1499</v>
      </c>
      <c r="L1018" s="87"/>
      <c r="M1018" s="85"/>
      <c r="N1018" s="28">
        <v>1</v>
      </c>
      <c r="O1018" s="29">
        <v>0</v>
      </c>
      <c r="P1018" s="29">
        <v>0</v>
      </c>
    </row>
    <row r="1019" ht="15.55" customHeight="1">
      <c r="J1019" t="s" s="27">
        <v>1500</v>
      </c>
      <c r="K1019" s="87"/>
      <c r="L1019" s="87"/>
      <c r="M1019" s="85"/>
      <c r="N1019" s="28">
        <v>1</v>
      </c>
      <c r="O1019" s="29">
        <v>0</v>
      </c>
      <c r="P1019" s="29">
        <v>0</v>
      </c>
    </row>
    <row r="1020" ht="9" customHeight="1" hidden="1">
      <c r="J1020" s="77"/>
      <c r="K1020" s="78"/>
      <c r="L1020" s="78"/>
      <c r="M1020" t="s" s="79">
        <v>1290</v>
      </c>
      <c r="N1020" s="80">
        <v>1</v>
      </c>
      <c r="O1020" s="81">
        <v>8459.290000000001</v>
      </c>
      <c r="P1020" s="81">
        <v>8459.290000000001</v>
      </c>
    </row>
    <row r="1021" ht="9" customHeight="1" hidden="1">
      <c r="J1021" s="77"/>
      <c r="K1021" s="78"/>
      <c r="L1021" s="78"/>
      <c r="M1021" t="s" s="79">
        <v>1292</v>
      </c>
      <c r="N1021" s="80">
        <v>20</v>
      </c>
      <c r="O1021" s="81">
        <v>3850</v>
      </c>
      <c r="P1021" s="81">
        <v>77000</v>
      </c>
    </row>
    <row r="1022" ht="9" customHeight="1" hidden="1">
      <c r="J1022" s="77"/>
      <c r="K1022" s="78"/>
      <c r="L1022" s="78"/>
      <c r="M1022" t="s" s="79">
        <v>1296</v>
      </c>
      <c r="N1022" s="80">
        <v>20</v>
      </c>
      <c r="O1022" s="81">
        <v>125</v>
      </c>
      <c r="P1022" s="81">
        <v>2500</v>
      </c>
    </row>
    <row r="1023" ht="9" customHeight="1" hidden="1">
      <c r="J1023" s="77"/>
      <c r="K1023" s="78"/>
      <c r="L1023" s="78"/>
      <c r="M1023" t="s" s="79">
        <v>1298</v>
      </c>
      <c r="N1023" s="80">
        <v>1</v>
      </c>
      <c r="O1023" s="81">
        <v>52.95</v>
      </c>
      <c r="P1023" s="81">
        <v>52.95</v>
      </c>
    </row>
    <row r="1024" ht="9" customHeight="1" hidden="1">
      <c r="J1024" s="77"/>
      <c r="K1024" s="78"/>
      <c r="L1024" s="78"/>
      <c r="M1024" t="s" s="79">
        <v>1300</v>
      </c>
      <c r="N1024" s="80">
        <v>1</v>
      </c>
      <c r="O1024" s="81">
        <v>59.95</v>
      </c>
      <c r="P1024" s="81">
        <v>59.95</v>
      </c>
    </row>
    <row r="1025" ht="9" customHeight="1" hidden="1">
      <c r="J1025" s="77"/>
      <c r="K1025" s="78"/>
      <c r="L1025" s="78"/>
      <c r="M1025" t="s" s="79">
        <v>1294</v>
      </c>
      <c r="N1025" s="80">
        <v>20</v>
      </c>
      <c r="O1025" s="81">
        <v>249</v>
      </c>
      <c r="P1025" s="81">
        <v>4980</v>
      </c>
    </row>
    <row r="1026" ht="9" customHeight="1" hidden="1">
      <c r="J1026" s="82"/>
      <c r="K1026" s="83"/>
      <c r="L1026" s="84">
        <v>45474</v>
      </c>
      <c r="M1026" s="85"/>
      <c r="N1026" s="28">
        <v>63</v>
      </c>
      <c r="O1026" s="29">
        <v>12796.19</v>
      </c>
      <c r="P1026" s="29">
        <v>93052.19</v>
      </c>
    </row>
    <row r="1027" ht="9" customHeight="1" hidden="1">
      <c r="J1027" s="82"/>
      <c r="K1027" t="s" s="86">
        <v>1289</v>
      </c>
      <c r="L1027" s="87"/>
      <c r="M1027" s="85"/>
      <c r="N1027" s="28">
        <v>63</v>
      </c>
      <c r="O1027" s="29">
        <v>12796.19</v>
      </c>
      <c r="P1027" s="29">
        <v>93052.19</v>
      </c>
    </row>
    <row r="1028" ht="15.55" customHeight="1">
      <c r="J1028" t="s" s="27">
        <v>473</v>
      </c>
      <c r="K1028" s="87"/>
      <c r="L1028" s="87"/>
      <c r="M1028" s="85"/>
      <c r="N1028" s="28">
        <v>63</v>
      </c>
      <c r="O1028" s="29">
        <v>12796.19</v>
      </c>
      <c r="P1028" s="29">
        <v>93052.19</v>
      </c>
    </row>
    <row r="1029" ht="9" customHeight="1" hidden="1">
      <c r="J1029" s="77"/>
      <c r="K1029" s="78"/>
      <c r="L1029" s="78"/>
      <c r="M1029" t="s" s="79">
        <v>207</v>
      </c>
      <c r="N1029" s="80">
        <v>10</v>
      </c>
      <c r="O1029" s="81">
        <v>0</v>
      </c>
      <c r="P1029" s="81">
        <v>0</v>
      </c>
    </row>
    <row r="1030" ht="9" customHeight="1" hidden="1">
      <c r="J1030" s="82"/>
      <c r="K1030" s="83"/>
      <c r="L1030" s="84">
        <v>45474</v>
      </c>
      <c r="M1030" s="85"/>
      <c r="N1030" s="28">
        <v>10</v>
      </c>
      <c r="O1030" s="29">
        <v>0</v>
      </c>
      <c r="P1030" s="29">
        <v>0</v>
      </c>
    </row>
    <row r="1031" ht="9" customHeight="1" hidden="1">
      <c r="J1031" s="82"/>
      <c r="K1031" t="s" s="86">
        <v>1502</v>
      </c>
      <c r="L1031" s="87"/>
      <c r="M1031" s="85"/>
      <c r="N1031" s="28">
        <v>10</v>
      </c>
      <c r="O1031" s="29">
        <v>0</v>
      </c>
      <c r="P1031" s="29">
        <v>0</v>
      </c>
    </row>
    <row r="1032" ht="9" customHeight="1" hidden="1">
      <c r="J1032" s="77"/>
      <c r="K1032" s="78"/>
      <c r="L1032" s="78"/>
      <c r="M1032" t="s" s="79">
        <v>1304</v>
      </c>
      <c r="N1032" s="80">
        <v>1</v>
      </c>
      <c r="O1032" s="81">
        <v>0</v>
      </c>
      <c r="P1032" s="81">
        <v>0</v>
      </c>
    </row>
    <row r="1033" ht="9" customHeight="1" hidden="1">
      <c r="J1033" s="77"/>
      <c r="K1033" s="78"/>
      <c r="L1033" s="78"/>
      <c r="M1033" t="s" s="79">
        <v>1306</v>
      </c>
      <c r="N1033" s="80">
        <v>1</v>
      </c>
      <c r="O1033" s="81">
        <v>0</v>
      </c>
      <c r="P1033" s="81">
        <v>0</v>
      </c>
    </row>
    <row r="1034" ht="9" customHeight="1" hidden="1">
      <c r="J1034" s="77"/>
      <c r="K1034" s="78"/>
      <c r="L1034" s="78"/>
      <c r="M1034" t="s" s="79">
        <v>1308</v>
      </c>
      <c r="N1034" s="80">
        <v>2</v>
      </c>
      <c r="O1034" s="81">
        <v>0</v>
      </c>
      <c r="P1034" s="81">
        <v>0</v>
      </c>
    </row>
    <row r="1035" ht="9" customHeight="1" hidden="1">
      <c r="J1035" s="82"/>
      <c r="K1035" s="83"/>
      <c r="L1035" s="84">
        <v>45474</v>
      </c>
      <c r="M1035" s="85"/>
      <c r="N1035" s="28">
        <v>4</v>
      </c>
      <c r="O1035" s="29">
        <v>0</v>
      </c>
      <c r="P1035" s="29">
        <v>0</v>
      </c>
    </row>
    <row r="1036" ht="9" customHeight="1" hidden="1">
      <c r="J1036" s="82"/>
      <c r="K1036" t="s" s="86">
        <v>1303</v>
      </c>
      <c r="L1036" s="87"/>
      <c r="M1036" s="85"/>
      <c r="N1036" s="28">
        <v>4</v>
      </c>
      <c r="O1036" s="29">
        <v>0</v>
      </c>
      <c r="P1036" s="29">
        <v>0</v>
      </c>
    </row>
    <row r="1037" ht="9" customHeight="1" hidden="1">
      <c r="J1037" s="77"/>
      <c r="K1037" s="78"/>
      <c r="L1037" s="78"/>
      <c r="M1037" t="s" s="79">
        <v>559</v>
      </c>
      <c r="N1037" s="80">
        <v>3000</v>
      </c>
      <c r="O1037" s="81">
        <v>0.1875</v>
      </c>
      <c r="P1037" s="81">
        <v>562.5</v>
      </c>
    </row>
    <row r="1038" ht="9" customHeight="1" hidden="1">
      <c r="J1038" s="77"/>
      <c r="K1038" s="78"/>
      <c r="L1038" s="78"/>
      <c r="M1038" t="s" s="79">
        <v>63</v>
      </c>
      <c r="N1038" s="80">
        <v>1</v>
      </c>
      <c r="O1038" s="81">
        <v>15</v>
      </c>
      <c r="P1038" s="81">
        <v>15</v>
      </c>
    </row>
    <row r="1039" ht="9" customHeight="1" hidden="1">
      <c r="J1039" s="82"/>
      <c r="K1039" s="83"/>
      <c r="L1039" s="84">
        <v>45474</v>
      </c>
      <c r="M1039" s="85"/>
      <c r="N1039" s="28">
        <v>3001</v>
      </c>
      <c r="O1039" s="29">
        <v>15.1875</v>
      </c>
      <c r="P1039" s="29">
        <v>577.5</v>
      </c>
    </row>
    <row r="1040" ht="9" customHeight="1" hidden="1">
      <c r="J1040" s="82"/>
      <c r="K1040" t="s" s="86">
        <v>1266</v>
      </c>
      <c r="L1040" s="87"/>
      <c r="M1040" s="85"/>
      <c r="N1040" s="28">
        <v>3001</v>
      </c>
      <c r="O1040" s="29">
        <v>15.1875</v>
      </c>
      <c r="P1040" s="29">
        <v>577.5</v>
      </c>
    </row>
    <row r="1041" ht="9" customHeight="1" hidden="1">
      <c r="J1041" s="77"/>
      <c r="K1041" s="78"/>
      <c r="L1041" s="78"/>
      <c r="M1041" t="s" s="79">
        <v>1223</v>
      </c>
      <c r="N1041" s="80">
        <v>100</v>
      </c>
      <c r="O1041" s="81">
        <v>2</v>
      </c>
      <c r="P1041" s="81">
        <v>200</v>
      </c>
    </row>
    <row r="1042" ht="9" customHeight="1" hidden="1">
      <c r="J1042" s="77"/>
      <c r="K1042" s="78"/>
      <c r="L1042" s="78"/>
      <c r="M1042" t="s" s="79">
        <v>1225</v>
      </c>
      <c r="N1042" s="80">
        <v>150</v>
      </c>
      <c r="O1042" s="81">
        <v>2</v>
      </c>
      <c r="P1042" s="81">
        <v>300</v>
      </c>
    </row>
    <row r="1043" ht="9" customHeight="1" hidden="1">
      <c r="J1043" s="77"/>
      <c r="K1043" s="78"/>
      <c r="L1043" s="78"/>
      <c r="M1043" t="s" s="79">
        <v>1226</v>
      </c>
      <c r="N1043" s="80">
        <v>150</v>
      </c>
      <c r="O1043" s="81">
        <v>2</v>
      </c>
      <c r="P1043" s="81">
        <v>300</v>
      </c>
    </row>
    <row r="1044" ht="9" customHeight="1" hidden="1">
      <c r="J1044" s="77"/>
      <c r="K1044" s="78"/>
      <c r="L1044" s="78"/>
      <c r="M1044" t="s" s="79">
        <v>1227</v>
      </c>
      <c r="N1044" s="80">
        <v>350</v>
      </c>
      <c r="O1044" s="81">
        <v>2</v>
      </c>
      <c r="P1044" s="81">
        <v>700</v>
      </c>
    </row>
    <row r="1045" ht="9" customHeight="1" hidden="1">
      <c r="J1045" s="77"/>
      <c r="K1045" s="78"/>
      <c r="L1045" s="78"/>
      <c r="M1045" t="s" s="79">
        <v>1228</v>
      </c>
      <c r="N1045" s="80">
        <v>150</v>
      </c>
      <c r="O1045" s="81">
        <v>2</v>
      </c>
      <c r="P1045" s="81">
        <v>300</v>
      </c>
    </row>
    <row r="1046" ht="9" customHeight="1" hidden="1">
      <c r="J1046" s="77"/>
      <c r="K1046" s="78"/>
      <c r="L1046" s="78"/>
      <c r="M1046" t="s" s="79">
        <v>1229</v>
      </c>
      <c r="N1046" s="80">
        <v>200</v>
      </c>
      <c r="O1046" s="81">
        <v>2</v>
      </c>
      <c r="P1046" s="81">
        <v>400</v>
      </c>
    </row>
    <row r="1047" ht="9" customHeight="1" hidden="1">
      <c r="J1047" s="77"/>
      <c r="K1047" s="78"/>
      <c r="L1047" s="78"/>
      <c r="M1047" t="s" s="79">
        <v>1230</v>
      </c>
      <c r="N1047" s="80">
        <v>200</v>
      </c>
      <c r="O1047" s="81">
        <v>2</v>
      </c>
      <c r="P1047" s="81">
        <v>400</v>
      </c>
    </row>
    <row r="1048" ht="9" customHeight="1" hidden="1">
      <c r="J1048" s="77"/>
      <c r="K1048" s="78"/>
      <c r="L1048" s="78"/>
      <c r="M1048" t="s" s="79">
        <v>1231</v>
      </c>
      <c r="N1048" s="80">
        <v>500</v>
      </c>
      <c r="O1048" s="81">
        <v>2</v>
      </c>
      <c r="P1048" s="81">
        <v>1000</v>
      </c>
    </row>
    <row r="1049" ht="9" customHeight="1" hidden="1">
      <c r="J1049" s="77"/>
      <c r="K1049" s="78"/>
      <c r="L1049" s="78"/>
      <c r="M1049" t="s" s="79">
        <v>1232</v>
      </c>
      <c r="N1049" s="80">
        <v>433</v>
      </c>
      <c r="O1049" s="81">
        <v>2</v>
      </c>
      <c r="P1049" s="81">
        <v>866</v>
      </c>
    </row>
    <row r="1050" ht="9" customHeight="1" hidden="1">
      <c r="J1050" s="77"/>
      <c r="K1050" s="78"/>
      <c r="L1050" s="78"/>
      <c r="M1050" t="s" s="79">
        <v>1233</v>
      </c>
      <c r="N1050" s="80">
        <v>120</v>
      </c>
      <c r="O1050" s="81">
        <v>2</v>
      </c>
      <c r="P1050" s="81">
        <v>240</v>
      </c>
    </row>
    <row r="1051" ht="9" customHeight="1" hidden="1">
      <c r="J1051" s="77"/>
      <c r="K1051" s="78"/>
      <c r="L1051" s="78"/>
      <c r="M1051" t="s" s="79">
        <v>47</v>
      </c>
      <c r="N1051" s="80">
        <v>1</v>
      </c>
      <c r="O1051" s="81">
        <v>200</v>
      </c>
      <c r="P1051" s="81">
        <v>200</v>
      </c>
    </row>
    <row r="1052" ht="9" customHeight="1" hidden="1">
      <c r="J1052" s="82"/>
      <c r="K1052" s="83"/>
      <c r="L1052" s="84">
        <v>45474</v>
      </c>
      <c r="M1052" s="85"/>
      <c r="N1052" s="28">
        <v>2354</v>
      </c>
      <c r="O1052" s="29">
        <v>220</v>
      </c>
      <c r="P1052" s="29">
        <v>4906</v>
      </c>
    </row>
    <row r="1053" ht="9" customHeight="1" hidden="1">
      <c r="J1053" s="82"/>
      <c r="K1053" t="s" s="86">
        <v>1222</v>
      </c>
      <c r="L1053" s="87"/>
      <c r="M1053" s="85"/>
      <c r="N1053" s="28">
        <v>2354</v>
      </c>
      <c r="O1053" s="29">
        <v>220</v>
      </c>
      <c r="P1053" s="29">
        <v>4906</v>
      </c>
    </row>
    <row r="1054" ht="15.55" customHeight="1">
      <c r="J1054" t="s" s="27">
        <v>42</v>
      </c>
      <c r="K1054" s="87"/>
      <c r="L1054" s="87"/>
      <c r="M1054" s="85"/>
      <c r="N1054" s="28">
        <v>5369</v>
      </c>
      <c r="O1054" s="29">
        <v>235.1875</v>
      </c>
      <c r="P1054" s="29">
        <v>5483.5</v>
      </c>
    </row>
    <row r="1055" ht="9" customHeight="1" hidden="1">
      <c r="J1055" s="77"/>
      <c r="K1055" s="78"/>
      <c r="L1055" s="78"/>
      <c r="M1055" t="s" s="79">
        <v>31</v>
      </c>
      <c r="N1055" s="80">
        <v>2</v>
      </c>
      <c r="O1055" s="81">
        <v>0</v>
      </c>
      <c r="P1055" s="81">
        <v>0</v>
      </c>
    </row>
    <row r="1056" ht="9" customHeight="1" hidden="1">
      <c r="J1056" s="82"/>
      <c r="K1056" s="83"/>
      <c r="L1056" s="84">
        <v>45474</v>
      </c>
      <c r="M1056" s="85"/>
      <c r="N1056" s="28">
        <v>2</v>
      </c>
      <c r="O1056" s="29">
        <v>0</v>
      </c>
      <c r="P1056" s="29">
        <v>0</v>
      </c>
    </row>
    <row r="1057" ht="9" customHeight="1" hidden="1">
      <c r="J1057" s="82"/>
      <c r="K1057" t="s" s="86">
        <v>1260</v>
      </c>
      <c r="L1057" s="87"/>
      <c r="M1057" s="85"/>
      <c r="N1057" s="28">
        <v>2</v>
      </c>
      <c r="O1057" s="29">
        <v>0</v>
      </c>
      <c r="P1057" s="29">
        <v>0</v>
      </c>
    </row>
    <row r="1058" ht="15.55" customHeight="1">
      <c r="J1058" t="s" s="27">
        <v>1261</v>
      </c>
      <c r="K1058" s="87"/>
      <c r="L1058" s="87"/>
      <c r="M1058" s="85"/>
      <c r="N1058" s="28">
        <v>2</v>
      </c>
      <c r="O1058" s="29">
        <v>0</v>
      </c>
      <c r="P1058" s="29">
        <v>0</v>
      </c>
    </row>
    <row r="1059" ht="9" customHeight="1" hidden="1">
      <c r="J1059" s="77"/>
      <c r="K1059" s="78"/>
      <c r="L1059" s="78"/>
      <c r="M1059" t="s" s="79">
        <v>95</v>
      </c>
      <c r="N1059" s="80">
        <v>1</v>
      </c>
      <c r="O1059" s="81">
        <v>349.99</v>
      </c>
      <c r="P1059" s="81">
        <v>349.99</v>
      </c>
    </row>
    <row r="1060" ht="9" customHeight="1" hidden="1">
      <c r="J1060" s="82"/>
      <c r="K1060" s="83"/>
      <c r="L1060" s="84">
        <v>45474</v>
      </c>
      <c r="M1060" s="85"/>
      <c r="N1060" s="28">
        <v>1</v>
      </c>
      <c r="O1060" s="29">
        <v>349.99</v>
      </c>
      <c r="P1060" s="29">
        <v>349.99</v>
      </c>
    </row>
    <row r="1061" ht="9" customHeight="1" hidden="1">
      <c r="J1061" s="82"/>
      <c r="K1061" t="s" s="86">
        <v>1279</v>
      </c>
      <c r="L1061" s="87"/>
      <c r="M1061" s="85"/>
      <c r="N1061" s="28">
        <v>1</v>
      </c>
      <c r="O1061" s="29">
        <v>349.99</v>
      </c>
      <c r="P1061" s="29">
        <v>349.99</v>
      </c>
    </row>
    <row r="1062" ht="15.55" customHeight="1">
      <c r="J1062" t="s" s="27">
        <v>1280</v>
      </c>
      <c r="K1062" s="87"/>
      <c r="L1062" s="87"/>
      <c r="M1062" s="85"/>
      <c r="N1062" s="28">
        <v>1</v>
      </c>
      <c r="O1062" s="29">
        <v>349.99</v>
      </c>
      <c r="P1062" s="29">
        <v>349.99</v>
      </c>
    </row>
    <row r="1063" ht="9" customHeight="1" hidden="1">
      <c r="J1063" s="77"/>
      <c r="K1063" s="78"/>
      <c r="L1063" s="78"/>
      <c r="M1063" t="s" s="79">
        <v>115</v>
      </c>
      <c r="N1063" s="80">
        <v>1</v>
      </c>
      <c r="O1063" s="81">
        <v>22.99</v>
      </c>
      <c r="P1063" s="81">
        <v>22.99</v>
      </c>
    </row>
    <row r="1064" ht="9" customHeight="1" hidden="1">
      <c r="J1064" s="77"/>
      <c r="K1064" s="78"/>
      <c r="L1064" s="78"/>
      <c r="M1064" t="s" s="79">
        <v>1206</v>
      </c>
      <c r="N1064" s="80">
        <v>4</v>
      </c>
      <c r="O1064" s="81">
        <v>0.652174</v>
      </c>
      <c r="P1064" s="81">
        <v>2.608696</v>
      </c>
    </row>
    <row r="1065" ht="9" customHeight="1" hidden="1">
      <c r="J1065" s="77"/>
      <c r="K1065" s="78"/>
      <c r="L1065" s="78"/>
      <c r="M1065" t="s" s="79">
        <v>1202</v>
      </c>
      <c r="N1065" s="80">
        <v>2</v>
      </c>
      <c r="O1065" s="81">
        <v>99.98999999999999</v>
      </c>
      <c r="P1065" s="81">
        <v>199.98</v>
      </c>
    </row>
    <row r="1066" ht="9" customHeight="1" hidden="1">
      <c r="J1066" s="77"/>
      <c r="K1066" s="78"/>
      <c r="L1066" s="78"/>
      <c r="M1066" t="s" s="79">
        <v>1069</v>
      </c>
      <c r="N1066" s="80">
        <v>1</v>
      </c>
      <c r="O1066" s="81">
        <v>99.98999999999999</v>
      </c>
      <c r="P1066" s="81">
        <v>99.98999999999999</v>
      </c>
    </row>
    <row r="1067" ht="9" customHeight="1" hidden="1">
      <c r="J1067" s="77"/>
      <c r="K1067" s="78"/>
      <c r="L1067" s="78"/>
      <c r="M1067" t="s" s="79">
        <v>724</v>
      </c>
      <c r="N1067" s="80">
        <v>2</v>
      </c>
      <c r="O1067" s="81">
        <v>0</v>
      </c>
      <c r="P1067" s="81">
        <v>0</v>
      </c>
    </row>
    <row r="1068" ht="9" customHeight="1" hidden="1">
      <c r="J1068" s="77"/>
      <c r="K1068" s="78"/>
      <c r="L1068" s="78"/>
      <c r="M1068" t="s" s="79">
        <v>442</v>
      </c>
      <c r="N1068" s="80">
        <v>1</v>
      </c>
      <c r="O1068" s="81">
        <v>-325.57</v>
      </c>
      <c r="P1068" s="81">
        <v>-325.57</v>
      </c>
    </row>
    <row r="1069" ht="9" customHeight="1" hidden="1">
      <c r="J1069" s="77"/>
      <c r="K1069" s="78"/>
      <c r="L1069" s="78"/>
      <c r="M1069" t="s" s="79">
        <v>1204</v>
      </c>
      <c r="N1069" s="80">
        <v>2</v>
      </c>
      <c r="O1069" s="81">
        <v>0</v>
      </c>
      <c r="P1069" s="81">
        <v>0</v>
      </c>
    </row>
    <row r="1070" ht="9" customHeight="1" hidden="1">
      <c r="J1070" s="82"/>
      <c r="K1070" s="83"/>
      <c r="L1070" s="84">
        <v>45474</v>
      </c>
      <c r="M1070" s="85"/>
      <c r="N1070" s="28">
        <v>13</v>
      </c>
      <c r="O1070" s="29">
        <v>-101.947826</v>
      </c>
      <c r="P1070" s="29">
        <v>-0.001304</v>
      </c>
    </row>
    <row r="1071" ht="9" customHeight="1" hidden="1">
      <c r="J1071" s="82"/>
      <c r="K1071" t="s" s="86">
        <v>1199</v>
      </c>
      <c r="L1071" s="87"/>
      <c r="M1071" s="85"/>
      <c r="N1071" s="28">
        <v>13</v>
      </c>
      <c r="O1071" s="29">
        <v>-101.947826</v>
      </c>
      <c r="P1071" s="29">
        <v>-0.001304</v>
      </c>
    </row>
    <row r="1072" ht="15.55" customHeight="1">
      <c r="J1072" t="s" s="27">
        <v>1200</v>
      </c>
      <c r="K1072" s="87"/>
      <c r="L1072" s="87"/>
      <c r="M1072" s="85"/>
      <c r="N1072" s="28">
        <v>13</v>
      </c>
      <c r="O1072" s="29">
        <v>-101.947826</v>
      </c>
      <c r="P1072" s="29">
        <v>-0.001304</v>
      </c>
    </row>
    <row r="1073" ht="9" customHeight="1" hidden="1">
      <c r="J1073" s="77"/>
      <c r="K1073" s="78"/>
      <c r="L1073" s="78"/>
      <c r="M1073" t="s" s="79">
        <v>95</v>
      </c>
      <c r="N1073" s="80">
        <v>2</v>
      </c>
      <c r="O1073" s="81">
        <v>349.99</v>
      </c>
      <c r="P1073" s="81">
        <v>699.98</v>
      </c>
    </row>
    <row r="1074" ht="9" customHeight="1" hidden="1">
      <c r="J1074" s="82"/>
      <c r="K1074" s="83"/>
      <c r="L1074" s="84">
        <v>45474</v>
      </c>
      <c r="M1074" s="85"/>
      <c r="N1074" s="28">
        <v>2</v>
      </c>
      <c r="O1074" s="29">
        <v>349.99</v>
      </c>
      <c r="P1074" s="29">
        <v>699.98</v>
      </c>
    </row>
    <row r="1075" ht="9" customHeight="1" hidden="1">
      <c r="J1075" s="82"/>
      <c r="K1075" t="s" s="86">
        <v>1421</v>
      </c>
      <c r="L1075" s="87"/>
      <c r="M1075" s="85"/>
      <c r="N1075" s="28">
        <v>2</v>
      </c>
      <c r="O1075" s="29">
        <v>349.99</v>
      </c>
      <c r="P1075" s="29">
        <v>699.98</v>
      </c>
    </row>
    <row r="1076" ht="15.55" customHeight="1">
      <c r="J1076" t="s" s="27">
        <v>1422</v>
      </c>
      <c r="K1076" s="87"/>
      <c r="L1076" s="87"/>
      <c r="M1076" s="85"/>
      <c r="N1076" s="28">
        <v>2</v>
      </c>
      <c r="O1076" s="29">
        <v>349.99</v>
      </c>
      <c r="P1076" s="29">
        <v>699.98</v>
      </c>
    </row>
    <row r="1077" ht="9" customHeight="1" hidden="1">
      <c r="J1077" s="77"/>
      <c r="K1077" s="78"/>
      <c r="L1077" s="78"/>
      <c r="M1077" t="s" s="79">
        <v>402</v>
      </c>
      <c r="N1077" s="80">
        <v>1</v>
      </c>
      <c r="O1077" s="81">
        <v>0</v>
      </c>
      <c r="P1077" s="81">
        <v>0</v>
      </c>
    </row>
    <row r="1078" ht="9" customHeight="1" hidden="1">
      <c r="J1078" s="77"/>
      <c r="K1078" s="78"/>
      <c r="L1078" s="78"/>
      <c r="M1078" t="s" s="79">
        <v>254</v>
      </c>
      <c r="N1078" s="80">
        <v>1</v>
      </c>
      <c r="O1078" s="81">
        <v>0</v>
      </c>
      <c r="P1078" s="81">
        <v>0</v>
      </c>
    </row>
    <row r="1079" ht="9" customHeight="1" hidden="1">
      <c r="J1079" s="77"/>
      <c r="K1079" s="78"/>
      <c r="L1079" s="78"/>
      <c r="M1079" t="s" s="79">
        <v>726</v>
      </c>
      <c r="N1079" s="80">
        <v>1</v>
      </c>
      <c r="O1079" s="81">
        <v>0</v>
      </c>
      <c r="P1079" s="81">
        <v>0</v>
      </c>
    </row>
    <row r="1080" ht="9" customHeight="1" hidden="1">
      <c r="J1080" s="82"/>
      <c r="K1080" s="83"/>
      <c r="L1080" s="84">
        <v>45474</v>
      </c>
      <c r="M1080" s="85"/>
      <c r="N1080" s="28">
        <v>3</v>
      </c>
      <c r="O1080" s="29">
        <v>0</v>
      </c>
      <c r="P1080" s="29">
        <v>0</v>
      </c>
    </row>
    <row r="1081" ht="9" customHeight="1" hidden="1">
      <c r="J1081" s="82"/>
      <c r="K1081" t="s" s="86">
        <v>1461</v>
      </c>
      <c r="L1081" s="87"/>
      <c r="M1081" s="85"/>
      <c r="N1081" s="28">
        <v>3</v>
      </c>
      <c r="O1081" s="29">
        <v>0</v>
      </c>
      <c r="P1081" s="29">
        <v>0</v>
      </c>
    </row>
    <row r="1082" ht="9" customHeight="1" hidden="1">
      <c r="J1082" s="77"/>
      <c r="K1082" s="78"/>
      <c r="L1082" s="78"/>
      <c r="M1082" t="s" s="79">
        <v>73</v>
      </c>
      <c r="N1082" s="80">
        <v>1</v>
      </c>
      <c r="O1082" s="81">
        <v>0</v>
      </c>
      <c r="P1082" s="81">
        <v>0</v>
      </c>
    </row>
    <row r="1083" ht="9" customHeight="1" hidden="1">
      <c r="J1083" s="82"/>
      <c r="K1083" s="83"/>
      <c r="L1083" s="84">
        <v>45474</v>
      </c>
      <c r="M1083" s="85"/>
      <c r="N1083" s="28">
        <v>1</v>
      </c>
      <c r="O1083" s="29">
        <v>0</v>
      </c>
      <c r="P1083" s="29">
        <v>0</v>
      </c>
    </row>
    <row r="1084" ht="9" customHeight="1" hidden="1">
      <c r="J1084" s="82"/>
      <c r="K1084" t="s" s="86">
        <v>1430</v>
      </c>
      <c r="L1084" s="87"/>
      <c r="M1084" s="85"/>
      <c r="N1084" s="28">
        <v>1</v>
      </c>
      <c r="O1084" s="29">
        <v>0</v>
      </c>
      <c r="P1084" s="29">
        <v>0</v>
      </c>
    </row>
    <row r="1085" ht="15.55" customHeight="1">
      <c r="J1085" t="s" s="27">
        <v>1431</v>
      </c>
      <c r="K1085" s="87"/>
      <c r="L1085" s="87"/>
      <c r="M1085" s="85"/>
      <c r="N1085" s="28">
        <v>4</v>
      </c>
      <c r="O1085" s="29">
        <v>0</v>
      </c>
      <c r="P1085" s="29">
        <v>0</v>
      </c>
    </row>
    <row r="1086" ht="9" customHeight="1" hidden="1">
      <c r="J1086" s="77"/>
      <c r="K1086" s="78"/>
      <c r="L1086" s="78"/>
      <c r="M1086" t="s" s="79">
        <v>54</v>
      </c>
      <c r="N1086" s="80">
        <v>2</v>
      </c>
      <c r="O1086" s="81">
        <v>9.99</v>
      </c>
      <c r="P1086" s="81">
        <v>19.98</v>
      </c>
    </row>
    <row r="1087" ht="9" customHeight="1" hidden="1">
      <c r="J1087" s="77"/>
      <c r="K1087" s="78"/>
      <c r="L1087" s="78"/>
      <c r="M1087" t="s" s="79">
        <v>35</v>
      </c>
      <c r="N1087" s="80">
        <v>2</v>
      </c>
      <c r="O1087" s="81">
        <v>49.99</v>
      </c>
      <c r="P1087" s="81">
        <v>99.98</v>
      </c>
    </row>
    <row r="1088" ht="9" customHeight="1" hidden="1">
      <c r="J1088" s="77"/>
      <c r="K1088" s="78"/>
      <c r="L1088" s="78"/>
      <c r="M1088" t="s" s="79">
        <v>89</v>
      </c>
      <c r="N1088" s="80">
        <v>1</v>
      </c>
      <c r="O1088" s="81">
        <v>59.99</v>
      </c>
      <c r="P1088" s="81">
        <v>59.99</v>
      </c>
    </row>
    <row r="1089" ht="9" customHeight="1" hidden="1">
      <c r="J1089" s="77"/>
      <c r="K1089" s="78"/>
      <c r="L1089" s="78"/>
      <c r="M1089" t="s" s="79">
        <v>15</v>
      </c>
      <c r="N1089" s="80">
        <v>1</v>
      </c>
      <c r="O1089" s="81">
        <v>9.99</v>
      </c>
      <c r="P1089" s="81">
        <v>9.99</v>
      </c>
    </row>
    <row r="1090" ht="9" customHeight="1" hidden="1">
      <c r="J1090" s="82"/>
      <c r="K1090" s="83"/>
      <c r="L1090" s="84">
        <v>45474</v>
      </c>
      <c r="M1090" s="85"/>
      <c r="N1090" s="28">
        <v>6</v>
      </c>
      <c r="O1090" s="29">
        <v>129.96</v>
      </c>
      <c r="P1090" s="29">
        <v>189.94</v>
      </c>
    </row>
    <row r="1091" ht="9" customHeight="1" hidden="1">
      <c r="J1091" s="82"/>
      <c r="K1091" t="s" s="86">
        <v>1196</v>
      </c>
      <c r="L1091" s="87"/>
      <c r="M1091" s="85"/>
      <c r="N1091" s="28">
        <v>6</v>
      </c>
      <c r="O1091" s="29">
        <v>129.96</v>
      </c>
      <c r="P1091" s="29">
        <v>189.94</v>
      </c>
    </row>
    <row r="1092" ht="9" customHeight="1" hidden="1">
      <c r="J1092" s="77"/>
      <c r="K1092" s="78"/>
      <c r="L1092" s="78"/>
      <c r="M1092" t="s" s="79">
        <v>89</v>
      </c>
      <c r="N1092" s="80">
        <v>1</v>
      </c>
      <c r="O1092" s="81">
        <v>59.99</v>
      </c>
      <c r="P1092" s="81">
        <v>59.99</v>
      </c>
    </row>
    <row r="1093" ht="9" customHeight="1" hidden="1">
      <c r="J1093" s="82"/>
      <c r="K1093" s="83"/>
      <c r="L1093" s="84">
        <v>45474</v>
      </c>
      <c r="M1093" s="85"/>
      <c r="N1093" s="28">
        <v>1</v>
      </c>
      <c r="O1093" s="29">
        <v>59.99</v>
      </c>
      <c r="P1093" s="29">
        <v>59.99</v>
      </c>
    </row>
    <row r="1094" ht="9" customHeight="1" hidden="1">
      <c r="J1094" s="82"/>
      <c r="K1094" t="s" s="86">
        <v>1146</v>
      </c>
      <c r="L1094" s="87"/>
      <c r="M1094" s="85"/>
      <c r="N1094" s="28">
        <v>1</v>
      </c>
      <c r="O1094" s="29">
        <v>59.99</v>
      </c>
      <c r="P1094" s="29">
        <v>59.99</v>
      </c>
    </row>
    <row r="1095" ht="15.55" customHeight="1">
      <c r="J1095" t="s" s="27">
        <v>1147</v>
      </c>
      <c r="K1095" s="87"/>
      <c r="L1095" s="87"/>
      <c r="M1095" s="85"/>
      <c r="N1095" s="28">
        <v>7</v>
      </c>
      <c r="O1095" s="29">
        <v>189.95</v>
      </c>
      <c r="P1095" s="29">
        <v>249.93</v>
      </c>
    </row>
    <row r="1096" ht="9" customHeight="1" hidden="1">
      <c r="J1096" s="77"/>
      <c r="K1096" s="78"/>
      <c r="L1096" s="78"/>
      <c r="M1096" t="s" s="79">
        <v>1257</v>
      </c>
      <c r="N1096" s="80">
        <v>2</v>
      </c>
      <c r="O1096" s="81">
        <v>300</v>
      </c>
      <c r="P1096" s="81">
        <v>600</v>
      </c>
    </row>
    <row r="1097" ht="9" customHeight="1" hidden="1">
      <c r="J1097" s="77"/>
      <c r="K1097" s="78"/>
      <c r="L1097" s="78"/>
      <c r="M1097" t="s" s="79">
        <v>81</v>
      </c>
      <c r="N1097" s="80">
        <v>2</v>
      </c>
      <c r="O1097" s="81">
        <v>849.99</v>
      </c>
      <c r="P1097" s="81">
        <v>1699.98</v>
      </c>
    </row>
    <row r="1098" ht="9" customHeight="1" hidden="1">
      <c r="J1098" s="77"/>
      <c r="K1098" s="78"/>
      <c r="L1098" s="78"/>
      <c r="M1098" t="s" s="79">
        <v>50</v>
      </c>
      <c r="N1098" s="80">
        <v>2</v>
      </c>
      <c r="O1098" s="81">
        <v>0</v>
      </c>
      <c r="P1098" s="81">
        <v>0</v>
      </c>
    </row>
    <row r="1099" ht="9" customHeight="1" hidden="1">
      <c r="J1099" s="77"/>
      <c r="K1099" s="78"/>
      <c r="L1099" s="78"/>
      <c r="M1099" t="s" s="79">
        <v>73</v>
      </c>
      <c r="N1099" s="80">
        <v>1</v>
      </c>
      <c r="O1099" s="81">
        <v>399.99</v>
      </c>
      <c r="P1099" s="81">
        <v>399.99</v>
      </c>
    </row>
    <row r="1100" ht="9" customHeight="1" hidden="1">
      <c r="J1100" s="82"/>
      <c r="K1100" s="83"/>
      <c r="L1100" s="84">
        <v>45474</v>
      </c>
      <c r="M1100" s="85"/>
      <c r="N1100" s="28">
        <v>7</v>
      </c>
      <c r="O1100" s="29">
        <v>1549.98</v>
      </c>
      <c r="P1100" s="29">
        <v>2699.97</v>
      </c>
    </row>
    <row r="1101" ht="9" customHeight="1" hidden="1">
      <c r="J1101" s="82"/>
      <c r="K1101" t="s" s="86">
        <v>1255</v>
      </c>
      <c r="L1101" s="87"/>
      <c r="M1101" s="85"/>
      <c r="N1101" s="28">
        <v>7</v>
      </c>
      <c r="O1101" s="29">
        <v>1549.98</v>
      </c>
      <c r="P1101" s="29">
        <v>2699.97</v>
      </c>
    </row>
    <row r="1102" ht="15.55" customHeight="1">
      <c r="J1102" t="s" s="27">
        <v>1256</v>
      </c>
      <c r="K1102" s="87"/>
      <c r="L1102" s="87"/>
      <c r="M1102" s="85"/>
      <c r="N1102" s="28">
        <v>7</v>
      </c>
      <c r="O1102" s="29">
        <v>1549.98</v>
      </c>
      <c r="P1102" s="29">
        <v>2699.97</v>
      </c>
    </row>
    <row r="1103" ht="9" customHeight="1" hidden="1">
      <c r="J1103" s="77"/>
      <c r="K1103" s="78"/>
      <c r="L1103" s="78"/>
      <c r="M1103" t="s" s="79">
        <v>84</v>
      </c>
      <c r="N1103" s="80">
        <v>2</v>
      </c>
      <c r="O1103" s="81">
        <v>0</v>
      </c>
      <c r="P1103" s="81">
        <v>0</v>
      </c>
    </row>
    <row r="1104" ht="9" customHeight="1" hidden="1">
      <c r="J1104" s="77"/>
      <c r="K1104" s="78"/>
      <c r="L1104" s="78"/>
      <c r="M1104" t="s" s="79">
        <v>23</v>
      </c>
      <c r="N1104" s="80">
        <v>2</v>
      </c>
      <c r="O1104" s="81">
        <v>0</v>
      </c>
      <c r="P1104" s="81">
        <v>0</v>
      </c>
    </row>
    <row r="1105" ht="9" customHeight="1" hidden="1">
      <c r="J1105" s="77"/>
      <c r="K1105" s="78"/>
      <c r="L1105" s="78"/>
      <c r="M1105" t="s" s="79">
        <v>52</v>
      </c>
      <c r="N1105" s="80">
        <v>2</v>
      </c>
      <c r="O1105" s="81">
        <v>0</v>
      </c>
      <c r="P1105" s="81">
        <v>0</v>
      </c>
    </row>
    <row r="1106" ht="9" customHeight="1" hidden="1">
      <c r="J1106" s="77"/>
      <c r="K1106" s="78"/>
      <c r="L1106" s="78"/>
      <c r="M1106" t="s" s="79">
        <v>50</v>
      </c>
      <c r="N1106" s="80">
        <v>2</v>
      </c>
      <c r="O1106" s="81">
        <v>0</v>
      </c>
      <c r="P1106" s="81">
        <v>0</v>
      </c>
    </row>
    <row r="1107" ht="9" customHeight="1" hidden="1">
      <c r="J1107" s="77"/>
      <c r="K1107" s="78"/>
      <c r="L1107" s="78"/>
      <c r="M1107" t="s" s="79">
        <v>48</v>
      </c>
      <c r="N1107" s="80">
        <v>2</v>
      </c>
      <c r="O1107" s="81">
        <v>1299.99</v>
      </c>
      <c r="P1107" s="81">
        <v>2599.98</v>
      </c>
    </row>
    <row r="1108" ht="9" customHeight="1" hidden="1">
      <c r="J1108" s="77"/>
      <c r="K1108" s="78"/>
      <c r="L1108" s="78"/>
      <c r="M1108" t="s" s="79">
        <v>59</v>
      </c>
      <c r="N1108" s="80">
        <v>1</v>
      </c>
      <c r="O1108" s="81">
        <v>1199.99</v>
      </c>
      <c r="P1108" s="81">
        <v>1199.99</v>
      </c>
    </row>
    <row r="1109" ht="9" customHeight="1" hidden="1">
      <c r="J1109" s="82"/>
      <c r="K1109" s="83"/>
      <c r="L1109" s="84">
        <v>45474</v>
      </c>
      <c r="M1109" s="85"/>
      <c r="N1109" s="28">
        <v>11</v>
      </c>
      <c r="O1109" s="29">
        <v>2499.98</v>
      </c>
      <c r="P1109" s="29">
        <v>3799.97</v>
      </c>
    </row>
    <row r="1110" ht="9" customHeight="1" hidden="1">
      <c r="J1110" s="82"/>
      <c r="K1110" t="s" s="86">
        <v>1349</v>
      </c>
      <c r="L1110" s="87"/>
      <c r="M1110" s="85"/>
      <c r="N1110" s="28">
        <v>11</v>
      </c>
      <c r="O1110" s="29">
        <v>2499.98</v>
      </c>
      <c r="P1110" s="29">
        <v>3799.97</v>
      </c>
    </row>
    <row r="1111" ht="15.55" customHeight="1">
      <c r="J1111" t="s" s="27">
        <v>1350</v>
      </c>
      <c r="K1111" s="87"/>
      <c r="L1111" s="87"/>
      <c r="M1111" s="85"/>
      <c r="N1111" s="28">
        <v>11</v>
      </c>
      <c r="O1111" s="29">
        <v>2499.98</v>
      </c>
      <c r="P1111" s="29">
        <v>3799.97</v>
      </c>
    </row>
    <row r="1112" ht="9" customHeight="1" hidden="1">
      <c r="J1112" s="77"/>
      <c r="K1112" s="78"/>
      <c r="L1112" s="78"/>
      <c r="M1112" t="s" s="79">
        <v>89</v>
      </c>
      <c r="N1112" s="80">
        <v>3</v>
      </c>
      <c r="O1112" s="81">
        <v>59.99</v>
      </c>
      <c r="P1112" s="81">
        <v>179.97</v>
      </c>
    </row>
    <row r="1113" ht="9" customHeight="1" hidden="1">
      <c r="J1113" s="82"/>
      <c r="K1113" s="83"/>
      <c r="L1113" s="84">
        <v>45474</v>
      </c>
      <c r="M1113" s="85"/>
      <c r="N1113" s="28">
        <v>3</v>
      </c>
      <c r="O1113" s="29">
        <v>59.99</v>
      </c>
      <c r="P1113" s="29">
        <v>179.97</v>
      </c>
    </row>
    <row r="1114" ht="9" customHeight="1" hidden="1">
      <c r="J1114" s="82"/>
      <c r="K1114" t="s" s="86">
        <v>1337</v>
      </c>
      <c r="L1114" s="87"/>
      <c r="M1114" s="85"/>
      <c r="N1114" s="28">
        <v>3</v>
      </c>
      <c r="O1114" s="29">
        <v>59.99</v>
      </c>
      <c r="P1114" s="29">
        <v>179.97</v>
      </c>
    </row>
    <row r="1115" ht="15.55" customHeight="1">
      <c r="J1115" t="s" s="27">
        <v>1338</v>
      </c>
      <c r="K1115" s="87"/>
      <c r="L1115" s="87"/>
      <c r="M1115" s="85"/>
      <c r="N1115" s="28">
        <v>3</v>
      </c>
      <c r="O1115" s="29">
        <v>59.99</v>
      </c>
      <c r="P1115" s="29">
        <v>179.97</v>
      </c>
    </row>
    <row r="1116" ht="9" customHeight="1" hidden="1">
      <c r="J1116" s="77"/>
      <c r="K1116" s="78"/>
      <c r="L1116" s="78"/>
      <c r="M1116" t="s" s="79">
        <v>27</v>
      </c>
      <c r="N1116" s="80">
        <v>5</v>
      </c>
      <c r="O1116" s="81">
        <v>59.9925</v>
      </c>
      <c r="P1116" s="81">
        <v>299.9625</v>
      </c>
    </row>
    <row r="1117" ht="9" customHeight="1" hidden="1">
      <c r="J1117" s="77"/>
      <c r="K1117" s="78"/>
      <c r="L1117" s="78"/>
      <c r="M1117" t="s" s="79">
        <v>63</v>
      </c>
      <c r="N1117" s="80">
        <v>1</v>
      </c>
      <c r="O1117" s="81">
        <v>33.18</v>
      </c>
      <c r="P1117" s="81">
        <v>33.18</v>
      </c>
    </row>
    <row r="1118" ht="9" customHeight="1" hidden="1">
      <c r="J1118" s="82"/>
      <c r="K1118" s="83"/>
      <c r="L1118" s="84">
        <v>45474</v>
      </c>
      <c r="M1118" s="85"/>
      <c r="N1118" s="28">
        <v>6</v>
      </c>
      <c r="O1118" s="29">
        <v>93.1725</v>
      </c>
      <c r="P1118" s="29">
        <v>333.1425</v>
      </c>
    </row>
    <row r="1119" ht="9" customHeight="1" hidden="1">
      <c r="J1119" s="82"/>
      <c r="K1119" t="s" s="86">
        <v>1432</v>
      </c>
      <c r="L1119" s="87"/>
      <c r="M1119" s="85"/>
      <c r="N1119" s="28">
        <v>6</v>
      </c>
      <c r="O1119" s="29">
        <v>93.1725</v>
      </c>
      <c r="P1119" s="29">
        <v>333.1425</v>
      </c>
    </row>
    <row r="1120" ht="9" customHeight="1" hidden="1">
      <c r="J1120" s="77"/>
      <c r="K1120" s="78"/>
      <c r="L1120" s="78"/>
      <c r="M1120" t="s" s="79">
        <v>589</v>
      </c>
      <c r="N1120" s="80">
        <v>5</v>
      </c>
      <c r="O1120" s="81">
        <v>5.6175</v>
      </c>
      <c r="P1120" s="81">
        <v>28.0875</v>
      </c>
    </row>
    <row r="1121" ht="9" customHeight="1" hidden="1">
      <c r="J1121" s="77"/>
      <c r="K1121" s="78"/>
      <c r="L1121" s="78"/>
      <c r="M1121" t="s" s="79">
        <v>73</v>
      </c>
      <c r="N1121" s="80">
        <v>2</v>
      </c>
      <c r="O1121" s="81">
        <v>299.9925</v>
      </c>
      <c r="P1121" s="81">
        <v>599.985</v>
      </c>
    </row>
    <row r="1122" ht="9" customHeight="1" hidden="1">
      <c r="J1122" s="77"/>
      <c r="K1122" s="78"/>
      <c r="L1122" s="78"/>
      <c r="M1122" t="s" s="79">
        <v>63</v>
      </c>
      <c r="N1122" s="80">
        <v>1</v>
      </c>
      <c r="O1122" s="81">
        <v>41.5</v>
      </c>
      <c r="P1122" s="81">
        <v>41.5</v>
      </c>
    </row>
    <row r="1123" ht="9" customHeight="1" hidden="1">
      <c r="J1123" s="82"/>
      <c r="K1123" s="83"/>
      <c r="L1123" s="84">
        <v>45474</v>
      </c>
      <c r="M1123" s="85"/>
      <c r="N1123" s="28">
        <v>8</v>
      </c>
      <c r="O1123" s="29">
        <v>347.11</v>
      </c>
      <c r="P1123" s="29">
        <v>669.5725</v>
      </c>
    </row>
    <row r="1124" ht="9" customHeight="1" hidden="1">
      <c r="J1124" s="82"/>
      <c r="K1124" t="s" s="86">
        <v>1213</v>
      </c>
      <c r="L1124" s="87"/>
      <c r="M1124" s="85"/>
      <c r="N1124" s="28">
        <v>8</v>
      </c>
      <c r="O1124" s="29">
        <v>347.11</v>
      </c>
      <c r="P1124" s="29">
        <v>669.5725</v>
      </c>
    </row>
    <row r="1125" ht="15.55" customHeight="1">
      <c r="J1125" t="s" s="27">
        <v>721</v>
      </c>
      <c r="K1125" s="87"/>
      <c r="L1125" s="87"/>
      <c r="M1125" s="85"/>
      <c r="N1125" s="28">
        <v>14</v>
      </c>
      <c r="O1125" s="29">
        <v>440.2825</v>
      </c>
      <c r="P1125" s="29">
        <v>1002.715</v>
      </c>
    </row>
    <row r="1126" ht="9" customHeight="1" hidden="1">
      <c r="J1126" s="77"/>
      <c r="K1126" s="78"/>
      <c r="L1126" s="78"/>
      <c r="M1126" t="s" s="79">
        <v>19</v>
      </c>
      <c r="N1126" s="80">
        <v>2</v>
      </c>
      <c r="O1126" s="81">
        <v>119.99</v>
      </c>
      <c r="P1126" s="81">
        <v>239.98</v>
      </c>
    </row>
    <row r="1127" ht="9" customHeight="1" hidden="1">
      <c r="J1127" s="82"/>
      <c r="K1127" s="83"/>
      <c r="L1127" s="84">
        <v>45474</v>
      </c>
      <c r="M1127" s="85"/>
      <c r="N1127" s="28">
        <v>2</v>
      </c>
      <c r="O1127" s="29">
        <v>119.99</v>
      </c>
      <c r="P1127" s="29">
        <v>239.98</v>
      </c>
    </row>
    <row r="1128" ht="9" customHeight="1" hidden="1">
      <c r="J1128" s="82"/>
      <c r="K1128" t="s" s="86">
        <v>1175</v>
      </c>
      <c r="L1128" s="87"/>
      <c r="M1128" s="85"/>
      <c r="N1128" s="28">
        <v>2</v>
      </c>
      <c r="O1128" s="29">
        <v>119.99</v>
      </c>
      <c r="P1128" s="29">
        <v>239.98</v>
      </c>
    </row>
    <row r="1129" ht="15.55" customHeight="1">
      <c r="J1129" t="s" s="27">
        <v>1176</v>
      </c>
      <c r="K1129" s="87"/>
      <c r="L1129" s="87"/>
      <c r="M1129" s="85"/>
      <c r="N1129" s="28">
        <v>2</v>
      </c>
      <c r="O1129" s="29">
        <v>119.99</v>
      </c>
      <c r="P1129" s="29">
        <v>239.98</v>
      </c>
    </row>
    <row r="1130" ht="9" customHeight="1" hidden="1">
      <c r="J1130" s="77"/>
      <c r="K1130" s="78"/>
      <c r="L1130" s="78"/>
      <c r="M1130" t="s" s="79">
        <v>11</v>
      </c>
      <c r="N1130" s="80">
        <v>1</v>
      </c>
      <c r="O1130" s="81">
        <v>399.99</v>
      </c>
      <c r="P1130" s="81">
        <v>399.99</v>
      </c>
    </row>
    <row r="1131" ht="9" customHeight="1" hidden="1">
      <c r="J1131" s="82"/>
      <c r="K1131" s="83"/>
      <c r="L1131" s="84">
        <v>45474</v>
      </c>
      <c r="M1131" s="85"/>
      <c r="N1131" s="28">
        <v>1</v>
      </c>
      <c r="O1131" s="29">
        <v>399.99</v>
      </c>
      <c r="P1131" s="29">
        <v>399.99</v>
      </c>
    </row>
    <row r="1132" ht="9" customHeight="1" hidden="1">
      <c r="J1132" s="82"/>
      <c r="K1132" t="s" s="86">
        <v>1374</v>
      </c>
      <c r="L1132" s="87"/>
      <c r="M1132" s="85"/>
      <c r="N1132" s="28">
        <v>1</v>
      </c>
      <c r="O1132" s="29">
        <v>399.99</v>
      </c>
      <c r="P1132" s="29">
        <v>399.99</v>
      </c>
    </row>
    <row r="1133" ht="15.55" customHeight="1">
      <c r="J1133" t="s" s="27">
        <v>1375</v>
      </c>
      <c r="K1133" s="87"/>
      <c r="L1133" s="87"/>
      <c r="M1133" s="85"/>
      <c r="N1133" s="28">
        <v>1</v>
      </c>
      <c r="O1133" s="29">
        <v>399.99</v>
      </c>
      <c r="P1133" s="29">
        <v>399.99</v>
      </c>
    </row>
    <row r="1134" ht="9" customHeight="1" hidden="1">
      <c r="J1134" s="77"/>
      <c r="K1134" s="78"/>
      <c r="L1134" s="78"/>
      <c r="M1134" t="s" s="79">
        <v>89</v>
      </c>
      <c r="N1134" s="80">
        <v>3</v>
      </c>
      <c r="O1134" s="81">
        <v>59.99</v>
      </c>
      <c r="P1134" s="81">
        <v>179.97</v>
      </c>
    </row>
    <row r="1135" ht="9" customHeight="1" hidden="1">
      <c r="J1135" s="82"/>
      <c r="K1135" s="83"/>
      <c r="L1135" s="84">
        <v>45474</v>
      </c>
      <c r="M1135" s="85"/>
      <c r="N1135" s="28">
        <v>3</v>
      </c>
      <c r="O1135" s="29">
        <v>59.99</v>
      </c>
      <c r="P1135" s="29">
        <v>179.97</v>
      </c>
    </row>
    <row r="1136" ht="9" customHeight="1" hidden="1">
      <c r="J1136" s="82"/>
      <c r="K1136" t="s" s="86">
        <v>1190</v>
      </c>
      <c r="L1136" s="87"/>
      <c r="M1136" s="85"/>
      <c r="N1136" s="28">
        <v>3</v>
      </c>
      <c r="O1136" s="29">
        <v>59.99</v>
      </c>
      <c r="P1136" s="29">
        <v>179.97</v>
      </c>
    </row>
    <row r="1137" ht="15.55" customHeight="1">
      <c r="J1137" t="s" s="27">
        <v>1191</v>
      </c>
      <c r="K1137" s="87"/>
      <c r="L1137" s="87"/>
      <c r="M1137" s="85"/>
      <c r="N1137" s="28">
        <v>3</v>
      </c>
      <c r="O1137" s="29">
        <v>59.99</v>
      </c>
      <c r="P1137" s="29">
        <v>179.97</v>
      </c>
    </row>
    <row r="1138" ht="9" customHeight="1" hidden="1">
      <c r="J1138" s="77"/>
      <c r="K1138" s="78"/>
      <c r="L1138" s="78"/>
      <c r="M1138" t="s" s="79">
        <v>682</v>
      </c>
      <c r="N1138" s="80">
        <v>1</v>
      </c>
      <c r="O1138" s="81">
        <v>249.99</v>
      </c>
      <c r="P1138" s="81">
        <v>249.99</v>
      </c>
    </row>
    <row r="1139" ht="9" customHeight="1" hidden="1">
      <c r="J1139" s="82"/>
      <c r="K1139" s="83"/>
      <c r="L1139" s="84">
        <v>45474</v>
      </c>
      <c r="M1139" s="85"/>
      <c r="N1139" s="28">
        <v>1</v>
      </c>
      <c r="O1139" s="29">
        <v>249.99</v>
      </c>
      <c r="P1139" s="29">
        <v>249.99</v>
      </c>
    </row>
    <row r="1140" ht="9" customHeight="1" hidden="1">
      <c r="J1140" s="82"/>
      <c r="K1140" t="s" s="86">
        <v>1489</v>
      </c>
      <c r="L1140" s="87"/>
      <c r="M1140" s="85"/>
      <c r="N1140" s="28">
        <v>1</v>
      </c>
      <c r="O1140" s="29">
        <v>249.99</v>
      </c>
      <c r="P1140" s="29">
        <v>249.99</v>
      </c>
    </row>
    <row r="1141" ht="15.55" customHeight="1">
      <c r="J1141" t="s" s="27">
        <v>1490</v>
      </c>
      <c r="K1141" s="87"/>
      <c r="L1141" s="87"/>
      <c r="M1141" s="85"/>
      <c r="N1141" s="28">
        <v>1</v>
      </c>
      <c r="O1141" s="29">
        <v>249.99</v>
      </c>
      <c r="P1141" s="29">
        <v>249.99</v>
      </c>
    </row>
    <row r="1142" ht="9" customHeight="1" hidden="1">
      <c r="J1142" s="77"/>
      <c r="K1142" s="78"/>
      <c r="L1142" s="78"/>
      <c r="M1142" t="s" s="79">
        <v>133</v>
      </c>
      <c r="N1142" s="80">
        <v>4</v>
      </c>
      <c r="O1142" s="81">
        <v>149.9925</v>
      </c>
      <c r="P1142" s="81">
        <v>599.97</v>
      </c>
    </row>
    <row r="1143" ht="9" customHeight="1" hidden="1">
      <c r="J1143" s="82"/>
      <c r="K1143" s="83"/>
      <c r="L1143" s="84">
        <v>45474</v>
      </c>
      <c r="M1143" s="85"/>
      <c r="N1143" s="28">
        <v>4</v>
      </c>
      <c r="O1143" s="29">
        <v>149.9925</v>
      </c>
      <c r="P1143" s="29">
        <v>599.97</v>
      </c>
    </row>
    <row r="1144" ht="9" customHeight="1" hidden="1">
      <c r="J1144" s="82"/>
      <c r="K1144" t="s" s="86">
        <v>1388</v>
      </c>
      <c r="L1144" s="87"/>
      <c r="M1144" s="85"/>
      <c r="N1144" s="28">
        <v>4</v>
      </c>
      <c r="O1144" s="29">
        <v>149.9925</v>
      </c>
      <c r="P1144" s="29">
        <v>599.97</v>
      </c>
    </row>
    <row r="1145" ht="15.55" customHeight="1">
      <c r="J1145" t="s" s="27">
        <v>122</v>
      </c>
      <c r="K1145" s="87"/>
      <c r="L1145" s="87"/>
      <c r="M1145" s="85"/>
      <c r="N1145" s="28">
        <v>4</v>
      </c>
      <c r="O1145" s="29">
        <v>149.9925</v>
      </c>
      <c r="P1145" s="29">
        <v>599.97</v>
      </c>
    </row>
    <row r="1146" ht="9" customHeight="1" hidden="1">
      <c r="J1146" s="77"/>
      <c r="K1146" s="78"/>
      <c r="L1146" s="78"/>
      <c r="M1146" t="s" s="79">
        <v>50</v>
      </c>
      <c r="N1146" s="80">
        <v>5</v>
      </c>
      <c r="O1146" s="81">
        <v>26.991</v>
      </c>
      <c r="P1146" s="81">
        <v>134.955</v>
      </c>
    </row>
    <row r="1147" ht="9" customHeight="1" hidden="1">
      <c r="J1147" s="82"/>
      <c r="K1147" s="83"/>
      <c r="L1147" s="84">
        <v>45474</v>
      </c>
      <c r="M1147" s="85"/>
      <c r="N1147" s="28">
        <v>5</v>
      </c>
      <c r="O1147" s="29">
        <v>26.991</v>
      </c>
      <c r="P1147" s="29">
        <v>134.955</v>
      </c>
    </row>
    <row r="1148" ht="9" customHeight="1" hidden="1">
      <c r="J1148" s="82"/>
      <c r="K1148" t="s" s="86">
        <v>1501</v>
      </c>
      <c r="L1148" s="87"/>
      <c r="M1148" s="85"/>
      <c r="N1148" s="28">
        <v>5</v>
      </c>
      <c r="O1148" s="29">
        <v>26.991</v>
      </c>
      <c r="P1148" s="29">
        <v>134.955</v>
      </c>
    </row>
    <row r="1149" ht="15.55" customHeight="1">
      <c r="J1149" t="s" s="27">
        <v>964</v>
      </c>
      <c r="K1149" s="87"/>
      <c r="L1149" s="87"/>
      <c r="M1149" s="85"/>
      <c r="N1149" s="28">
        <v>5</v>
      </c>
      <c r="O1149" s="29">
        <v>26.991</v>
      </c>
      <c r="P1149" s="29">
        <v>134.955</v>
      </c>
    </row>
    <row r="1150" ht="9" customHeight="1" hidden="1">
      <c r="J1150" s="77"/>
      <c r="K1150" s="78"/>
      <c r="L1150" s="78"/>
      <c r="M1150" t="s" s="79">
        <v>95</v>
      </c>
      <c r="N1150" s="80">
        <v>1</v>
      </c>
      <c r="O1150" s="81">
        <v>349.99</v>
      </c>
      <c r="P1150" s="81">
        <v>349.99</v>
      </c>
    </row>
    <row r="1151" ht="9" customHeight="1" hidden="1">
      <c r="J1151" s="82"/>
      <c r="K1151" s="83"/>
      <c r="L1151" s="84">
        <v>45474</v>
      </c>
      <c r="M1151" s="85"/>
      <c r="N1151" s="28">
        <v>1</v>
      </c>
      <c r="O1151" s="29">
        <v>349.99</v>
      </c>
      <c r="P1151" s="29">
        <v>349.99</v>
      </c>
    </row>
    <row r="1152" ht="9" customHeight="1" hidden="1">
      <c r="J1152" s="82"/>
      <c r="K1152" t="s" s="86">
        <v>1152</v>
      </c>
      <c r="L1152" s="87"/>
      <c r="M1152" s="85"/>
      <c r="N1152" s="28">
        <v>1</v>
      </c>
      <c r="O1152" s="29">
        <v>349.99</v>
      </c>
      <c r="P1152" s="29">
        <v>349.99</v>
      </c>
    </row>
    <row r="1153" ht="15.55" customHeight="1">
      <c r="J1153" t="s" s="27">
        <v>1153</v>
      </c>
      <c r="K1153" s="87"/>
      <c r="L1153" s="87"/>
      <c r="M1153" s="85"/>
      <c r="N1153" s="28">
        <v>1</v>
      </c>
      <c r="O1153" s="29">
        <v>349.99</v>
      </c>
      <c r="P1153" s="29">
        <v>349.99</v>
      </c>
    </row>
    <row r="1154" ht="9" customHeight="1" hidden="1">
      <c r="J1154" s="77"/>
      <c r="K1154" s="78"/>
      <c r="L1154" s="78"/>
      <c r="M1154" t="s" s="79">
        <v>111</v>
      </c>
      <c r="N1154" s="80">
        <v>2</v>
      </c>
      <c r="O1154" s="81">
        <v>49.5</v>
      </c>
      <c r="P1154" s="81">
        <v>99</v>
      </c>
    </row>
    <row r="1155" ht="9" customHeight="1" hidden="1">
      <c r="J1155" s="82"/>
      <c r="K1155" s="83"/>
      <c r="L1155" s="84">
        <v>45474</v>
      </c>
      <c r="M1155" s="85"/>
      <c r="N1155" s="28">
        <v>2</v>
      </c>
      <c r="O1155" s="29">
        <v>49.5</v>
      </c>
      <c r="P1155" s="29">
        <v>99</v>
      </c>
    </row>
    <row r="1156" ht="9" customHeight="1" hidden="1">
      <c r="J1156" s="82"/>
      <c r="K1156" t="s" s="86">
        <v>1312</v>
      </c>
      <c r="L1156" s="87"/>
      <c r="M1156" s="85"/>
      <c r="N1156" s="28">
        <v>2</v>
      </c>
      <c r="O1156" s="29">
        <v>49.5</v>
      </c>
      <c r="P1156" s="29">
        <v>99</v>
      </c>
    </row>
    <row r="1157" ht="15.55" customHeight="1">
      <c r="J1157" t="s" s="27">
        <v>101</v>
      </c>
      <c r="K1157" s="87"/>
      <c r="L1157" s="87"/>
      <c r="M1157" s="85"/>
      <c r="N1157" s="28">
        <v>2</v>
      </c>
      <c r="O1157" s="29">
        <v>49.5</v>
      </c>
      <c r="P1157" s="29">
        <v>99</v>
      </c>
    </row>
    <row r="1158" ht="9" customHeight="1" hidden="1">
      <c r="J1158" s="77"/>
      <c r="K1158" s="78"/>
      <c r="L1158" s="78"/>
      <c r="M1158" t="s" s="79">
        <v>133</v>
      </c>
      <c r="N1158" s="80">
        <v>1</v>
      </c>
      <c r="O1158" s="81">
        <v>199.99</v>
      </c>
      <c r="P1158" s="81">
        <v>199.99</v>
      </c>
    </row>
    <row r="1159" ht="9" customHeight="1" hidden="1">
      <c r="J1159" s="77"/>
      <c r="K1159" s="78"/>
      <c r="L1159" s="78"/>
      <c r="M1159" t="s" s="79">
        <v>470</v>
      </c>
      <c r="N1159" s="80">
        <v>1</v>
      </c>
      <c r="O1159" s="81">
        <v>249.99</v>
      </c>
      <c r="P1159" s="81">
        <v>249.99</v>
      </c>
    </row>
    <row r="1160" ht="9" customHeight="1" hidden="1">
      <c r="J1160" s="82"/>
      <c r="K1160" s="83"/>
      <c r="L1160" s="84">
        <v>45474</v>
      </c>
      <c r="M1160" s="85"/>
      <c r="N1160" s="28">
        <v>2</v>
      </c>
      <c r="O1160" s="29">
        <v>449.98</v>
      </c>
      <c r="P1160" s="29">
        <v>449.98</v>
      </c>
    </row>
    <row r="1161" ht="9" customHeight="1" hidden="1">
      <c r="J1161" s="82"/>
      <c r="K1161" t="s" s="86">
        <v>1347</v>
      </c>
      <c r="L1161" s="87"/>
      <c r="M1161" s="85"/>
      <c r="N1161" s="28">
        <v>2</v>
      </c>
      <c r="O1161" s="29">
        <v>449.98</v>
      </c>
      <c r="P1161" s="29">
        <v>449.98</v>
      </c>
    </row>
    <row r="1162" ht="15.55" customHeight="1">
      <c r="J1162" t="s" s="27">
        <v>1348</v>
      </c>
      <c r="K1162" s="87"/>
      <c r="L1162" s="87"/>
      <c r="M1162" s="85"/>
      <c r="N1162" s="28">
        <v>2</v>
      </c>
      <c r="O1162" s="29">
        <v>449.98</v>
      </c>
      <c r="P1162" s="29">
        <v>449.98</v>
      </c>
    </row>
    <row r="1163" ht="9" customHeight="1" hidden="1">
      <c r="J1163" s="77"/>
      <c r="K1163" s="78"/>
      <c r="L1163" s="78"/>
      <c r="M1163" t="s" s="79">
        <v>27</v>
      </c>
      <c r="N1163" s="80">
        <v>1</v>
      </c>
      <c r="O1163" s="81">
        <v>79.98999999999999</v>
      </c>
      <c r="P1163" s="81">
        <v>79.98999999999999</v>
      </c>
    </row>
    <row r="1164" ht="9" customHeight="1" hidden="1">
      <c r="J1164" s="82"/>
      <c r="K1164" s="83"/>
      <c r="L1164" s="84">
        <v>45474</v>
      </c>
      <c r="M1164" s="85"/>
      <c r="N1164" s="28">
        <v>1</v>
      </c>
      <c r="O1164" s="29">
        <v>79.98999999999999</v>
      </c>
      <c r="P1164" s="29">
        <v>79.98999999999999</v>
      </c>
    </row>
    <row r="1165" ht="9" customHeight="1" hidden="1">
      <c r="J1165" s="82"/>
      <c r="K1165" t="s" s="86">
        <v>1313</v>
      </c>
      <c r="L1165" s="87"/>
      <c r="M1165" s="85"/>
      <c r="N1165" s="28">
        <v>1</v>
      </c>
      <c r="O1165" s="29">
        <v>79.98999999999999</v>
      </c>
      <c r="P1165" s="29">
        <v>79.98999999999999</v>
      </c>
    </row>
    <row r="1166" ht="15.55" customHeight="1">
      <c r="J1166" t="s" s="27">
        <v>1314</v>
      </c>
      <c r="K1166" s="87"/>
      <c r="L1166" s="87"/>
      <c r="M1166" s="85"/>
      <c r="N1166" s="28">
        <v>1</v>
      </c>
      <c r="O1166" s="29">
        <v>79.98999999999999</v>
      </c>
      <c r="P1166" s="29">
        <v>79.98999999999999</v>
      </c>
    </row>
    <row r="1167" ht="9" customHeight="1" hidden="1">
      <c r="J1167" s="77"/>
      <c r="K1167" s="78"/>
      <c r="L1167" s="78"/>
      <c r="M1167" t="s" s="79">
        <v>139</v>
      </c>
      <c r="N1167" s="80">
        <v>2</v>
      </c>
      <c r="O1167" s="81">
        <v>49.99</v>
      </c>
      <c r="P1167" s="81">
        <v>99.98</v>
      </c>
    </row>
    <row r="1168" ht="9" customHeight="1" hidden="1">
      <c r="J1168" s="82"/>
      <c r="K1168" s="83"/>
      <c r="L1168" s="84">
        <v>45474</v>
      </c>
      <c r="M1168" s="85"/>
      <c r="N1168" s="28">
        <v>2</v>
      </c>
      <c r="O1168" s="29">
        <v>49.99</v>
      </c>
      <c r="P1168" s="29">
        <v>99.98</v>
      </c>
    </row>
    <row r="1169" ht="9" customHeight="1" hidden="1">
      <c r="J1169" s="82"/>
      <c r="K1169" t="s" s="86">
        <v>1413</v>
      </c>
      <c r="L1169" s="87"/>
      <c r="M1169" s="85"/>
      <c r="N1169" s="28">
        <v>2</v>
      </c>
      <c r="O1169" s="29">
        <v>49.99</v>
      </c>
      <c r="P1169" s="29">
        <v>99.98</v>
      </c>
    </row>
    <row r="1170" ht="15.55" customHeight="1">
      <c r="J1170" t="s" s="27">
        <v>1414</v>
      </c>
      <c r="K1170" s="87"/>
      <c r="L1170" s="87"/>
      <c r="M1170" s="85"/>
      <c r="N1170" s="28">
        <v>2</v>
      </c>
      <c r="O1170" s="29">
        <v>49.99</v>
      </c>
      <c r="P1170" s="29">
        <v>99.98</v>
      </c>
    </row>
    <row r="1171" ht="9" customHeight="1" hidden="1">
      <c r="J1171" s="77"/>
      <c r="K1171" s="78"/>
      <c r="L1171" s="78"/>
      <c r="M1171" t="s" s="79">
        <v>1329</v>
      </c>
      <c r="N1171" s="80">
        <v>2</v>
      </c>
      <c r="O1171" s="81">
        <v>159.99</v>
      </c>
      <c r="P1171" s="81">
        <v>319.98</v>
      </c>
    </row>
    <row r="1172" ht="9" customHeight="1" hidden="1">
      <c r="J1172" s="77"/>
      <c r="K1172" s="78"/>
      <c r="L1172" s="78"/>
      <c r="M1172" t="s" s="79">
        <v>165</v>
      </c>
      <c r="N1172" s="80">
        <v>4</v>
      </c>
      <c r="O1172" s="81">
        <v>29.99</v>
      </c>
      <c r="P1172" s="81">
        <v>119.96</v>
      </c>
    </row>
    <row r="1173" ht="9" customHeight="1" hidden="1">
      <c r="J1173" s="77"/>
      <c r="K1173" s="78"/>
      <c r="L1173" s="78"/>
      <c r="M1173" t="s" s="79">
        <v>167</v>
      </c>
      <c r="N1173" s="80">
        <v>4</v>
      </c>
      <c r="O1173" s="81">
        <v>0</v>
      </c>
      <c r="P1173" s="81">
        <v>0</v>
      </c>
    </row>
    <row r="1174" ht="9" customHeight="1" hidden="1">
      <c r="J1174" s="77"/>
      <c r="K1174" s="78"/>
      <c r="L1174" s="78"/>
      <c r="M1174" t="s" s="79">
        <v>54</v>
      </c>
      <c r="N1174" s="80">
        <v>4</v>
      </c>
      <c r="O1174" s="81">
        <v>0</v>
      </c>
      <c r="P1174" s="81">
        <v>0</v>
      </c>
    </row>
    <row r="1175" ht="9" customHeight="1" hidden="1">
      <c r="J1175" s="77"/>
      <c r="K1175" s="78"/>
      <c r="L1175" s="78"/>
      <c r="M1175" t="s" s="79">
        <v>887</v>
      </c>
      <c r="N1175" s="80">
        <v>2</v>
      </c>
      <c r="O1175" s="81">
        <v>49.99</v>
      </c>
      <c r="P1175" s="81">
        <v>99.98</v>
      </c>
    </row>
    <row r="1176" ht="9" customHeight="1" hidden="1">
      <c r="J1176" s="77"/>
      <c r="K1176" s="78"/>
      <c r="L1176" s="78"/>
      <c r="M1176" t="s" s="79">
        <v>225</v>
      </c>
      <c r="N1176" s="80">
        <v>4</v>
      </c>
      <c r="O1176" s="81">
        <v>499.99</v>
      </c>
      <c r="P1176" s="81">
        <v>1999.96</v>
      </c>
    </row>
    <row r="1177" ht="9" customHeight="1" hidden="1">
      <c r="J1177" s="77"/>
      <c r="K1177" s="78"/>
      <c r="L1177" s="78"/>
      <c r="M1177" t="s" s="79">
        <v>23</v>
      </c>
      <c r="N1177" s="80">
        <v>4</v>
      </c>
      <c r="O1177" s="81">
        <v>149.99</v>
      </c>
      <c r="P1177" s="81">
        <v>599.96</v>
      </c>
    </row>
    <row r="1178" ht="9" customHeight="1" hidden="1">
      <c r="J1178" s="77"/>
      <c r="K1178" s="78"/>
      <c r="L1178" s="78"/>
      <c r="M1178" t="s" s="79">
        <v>50</v>
      </c>
      <c r="N1178" s="80">
        <v>2</v>
      </c>
      <c r="O1178" s="81">
        <v>0</v>
      </c>
      <c r="P1178" s="81">
        <v>0</v>
      </c>
    </row>
    <row r="1179" ht="9" customHeight="1" hidden="1">
      <c r="J1179" s="77"/>
      <c r="K1179" s="78"/>
      <c r="L1179" s="78"/>
      <c r="M1179" t="s" s="79">
        <v>445</v>
      </c>
      <c r="N1179" s="80">
        <v>2</v>
      </c>
      <c r="O1179" s="81">
        <v>149.99</v>
      </c>
      <c r="P1179" s="81">
        <v>299.98</v>
      </c>
    </row>
    <row r="1180" ht="9" customHeight="1" hidden="1">
      <c r="J1180" s="82"/>
      <c r="K1180" s="83"/>
      <c r="L1180" s="84">
        <v>45474</v>
      </c>
      <c r="M1180" s="85"/>
      <c r="N1180" s="28">
        <v>28</v>
      </c>
      <c r="O1180" s="29">
        <v>1039.94</v>
      </c>
      <c r="P1180" s="29">
        <v>3439.82</v>
      </c>
    </row>
    <row r="1181" ht="9" customHeight="1" hidden="1">
      <c r="J1181" s="82"/>
      <c r="K1181" t="s" s="86">
        <v>1327</v>
      </c>
      <c r="L1181" s="87"/>
      <c r="M1181" s="85"/>
      <c r="N1181" s="28">
        <v>28</v>
      </c>
      <c r="O1181" s="29">
        <v>1039.94</v>
      </c>
      <c r="P1181" s="29">
        <v>3439.82</v>
      </c>
    </row>
    <row r="1182" ht="15.55" customHeight="1">
      <c r="J1182" t="s" s="27">
        <v>597</v>
      </c>
      <c r="K1182" s="87"/>
      <c r="L1182" s="87"/>
      <c r="M1182" s="85"/>
      <c r="N1182" s="28">
        <v>28</v>
      </c>
      <c r="O1182" s="29">
        <v>1039.94</v>
      </c>
      <c r="P1182" s="29">
        <v>3439.82</v>
      </c>
    </row>
    <row r="1183" ht="9" customHeight="1" hidden="1">
      <c r="J1183" s="77"/>
      <c r="K1183" s="78"/>
      <c r="L1183" s="78"/>
      <c r="M1183" t="s" s="79">
        <v>73</v>
      </c>
      <c r="N1183" s="80">
        <v>1</v>
      </c>
      <c r="O1183" s="81">
        <v>399.99</v>
      </c>
      <c r="P1183" s="81">
        <v>399.99</v>
      </c>
    </row>
    <row r="1184" ht="9" customHeight="1" hidden="1">
      <c r="J1184" s="82"/>
      <c r="K1184" s="83"/>
      <c r="L1184" s="84">
        <v>45474</v>
      </c>
      <c r="M1184" s="85"/>
      <c r="N1184" s="28">
        <v>1</v>
      </c>
      <c r="O1184" s="29">
        <v>399.99</v>
      </c>
      <c r="P1184" s="29">
        <v>399.99</v>
      </c>
    </row>
    <row r="1185" ht="9" customHeight="1" hidden="1">
      <c r="J1185" s="82"/>
      <c r="K1185" t="s" s="86">
        <v>1442</v>
      </c>
      <c r="L1185" s="87"/>
      <c r="M1185" s="85"/>
      <c r="N1185" s="28">
        <v>1</v>
      </c>
      <c r="O1185" s="29">
        <v>399.99</v>
      </c>
      <c r="P1185" s="29">
        <v>399.99</v>
      </c>
    </row>
    <row r="1186" ht="15.55" customHeight="1">
      <c r="J1186" t="s" s="27">
        <v>1443</v>
      </c>
      <c r="K1186" s="87"/>
      <c r="L1186" s="87"/>
      <c r="M1186" s="85"/>
      <c r="N1186" s="28">
        <v>1</v>
      </c>
      <c r="O1186" s="29">
        <v>399.99</v>
      </c>
      <c r="P1186" s="29">
        <v>399.99</v>
      </c>
    </row>
    <row r="1187" ht="9" customHeight="1" hidden="1">
      <c r="J1187" s="77"/>
      <c r="K1187" s="78"/>
      <c r="L1187" s="78"/>
      <c r="M1187" t="s" s="79">
        <v>95</v>
      </c>
      <c r="N1187" s="80">
        <v>1</v>
      </c>
      <c r="O1187" s="81">
        <v>349.99</v>
      </c>
      <c r="P1187" s="81">
        <v>349.99</v>
      </c>
    </row>
    <row r="1188" ht="9" customHeight="1" hidden="1">
      <c r="J1188" s="82"/>
      <c r="K1188" s="83"/>
      <c r="L1188" s="84">
        <v>45474</v>
      </c>
      <c r="M1188" s="85"/>
      <c r="N1188" s="28">
        <v>1</v>
      </c>
      <c r="O1188" s="29">
        <v>349.99</v>
      </c>
      <c r="P1188" s="29">
        <v>349.99</v>
      </c>
    </row>
    <row r="1189" ht="9" customHeight="1" hidden="1">
      <c r="J1189" s="82"/>
      <c r="K1189" t="s" s="86">
        <v>1450</v>
      </c>
      <c r="L1189" s="87"/>
      <c r="M1189" s="85"/>
      <c r="N1189" s="28">
        <v>1</v>
      </c>
      <c r="O1189" s="29">
        <v>349.99</v>
      </c>
      <c r="P1189" s="29">
        <v>349.99</v>
      </c>
    </row>
    <row r="1190" ht="15.55" customHeight="1">
      <c r="J1190" t="s" s="27">
        <v>1451</v>
      </c>
      <c r="K1190" s="87"/>
      <c r="L1190" s="87"/>
      <c r="M1190" s="85"/>
      <c r="N1190" s="28">
        <v>1</v>
      </c>
      <c r="O1190" s="29">
        <v>349.99</v>
      </c>
      <c r="P1190" s="29">
        <v>349.99</v>
      </c>
    </row>
    <row r="1191" ht="9" customHeight="1" hidden="1">
      <c r="J1191" s="77"/>
      <c r="K1191" s="78"/>
      <c r="L1191" s="78"/>
      <c r="M1191" t="s" s="79">
        <v>84</v>
      </c>
      <c r="N1191" s="80">
        <v>2</v>
      </c>
      <c r="O1191" s="81">
        <v>0</v>
      </c>
      <c r="P1191" s="81">
        <v>0</v>
      </c>
    </row>
    <row r="1192" ht="9" customHeight="1" hidden="1">
      <c r="J1192" s="77"/>
      <c r="K1192" s="78"/>
      <c r="L1192" s="78"/>
      <c r="M1192" t="s" s="79">
        <v>23</v>
      </c>
      <c r="N1192" s="80">
        <v>2</v>
      </c>
      <c r="O1192" s="81">
        <v>0</v>
      </c>
      <c r="P1192" s="81">
        <v>0</v>
      </c>
    </row>
    <row r="1193" ht="9" customHeight="1" hidden="1">
      <c r="J1193" s="77"/>
      <c r="K1193" s="78"/>
      <c r="L1193" s="78"/>
      <c r="M1193" t="s" s="79">
        <v>35</v>
      </c>
      <c r="N1193" s="80">
        <v>1</v>
      </c>
      <c r="O1193" s="81">
        <v>39.99</v>
      </c>
      <c r="P1193" s="81">
        <v>39.99</v>
      </c>
    </row>
    <row r="1194" ht="9" customHeight="1" hidden="1">
      <c r="J1194" s="77"/>
      <c r="K1194" s="78"/>
      <c r="L1194" s="78"/>
      <c r="M1194" t="s" s="79">
        <v>95</v>
      </c>
      <c r="N1194" s="80">
        <v>1</v>
      </c>
      <c r="O1194" s="81">
        <v>349.99</v>
      </c>
      <c r="P1194" s="81">
        <v>349.99</v>
      </c>
    </row>
    <row r="1195" ht="9" customHeight="1" hidden="1">
      <c r="J1195" s="77"/>
      <c r="K1195" s="78"/>
      <c r="L1195" s="78"/>
      <c r="M1195" t="s" s="79">
        <v>81</v>
      </c>
      <c r="N1195" s="80">
        <v>2</v>
      </c>
      <c r="O1195" s="81">
        <v>849.99</v>
      </c>
      <c r="P1195" s="81">
        <v>1699.98</v>
      </c>
    </row>
    <row r="1196" ht="9" customHeight="1" hidden="1">
      <c r="J1196" s="77"/>
      <c r="K1196" s="78"/>
      <c r="L1196" s="78"/>
      <c r="M1196" t="s" s="79">
        <v>50</v>
      </c>
      <c r="N1196" s="80">
        <v>2</v>
      </c>
      <c r="O1196" s="81">
        <v>0</v>
      </c>
      <c r="P1196" s="81">
        <v>0</v>
      </c>
    </row>
    <row r="1197" ht="9" customHeight="1" hidden="1">
      <c r="J1197" s="77"/>
      <c r="K1197" s="78"/>
      <c r="L1197" s="78"/>
      <c r="M1197" t="s" s="79">
        <v>73</v>
      </c>
      <c r="N1197" s="80">
        <v>1</v>
      </c>
      <c r="O1197" s="81">
        <v>399.99</v>
      </c>
      <c r="P1197" s="81">
        <v>399.99</v>
      </c>
    </row>
    <row r="1198" ht="9" customHeight="1" hidden="1">
      <c r="J1198" s="82"/>
      <c r="K1198" s="83"/>
      <c r="L1198" s="84">
        <v>45474</v>
      </c>
      <c r="M1198" s="85"/>
      <c r="N1198" s="28">
        <v>11</v>
      </c>
      <c r="O1198" s="29">
        <v>1639.96</v>
      </c>
      <c r="P1198" s="29">
        <v>2489.95</v>
      </c>
    </row>
    <row r="1199" ht="9" customHeight="1" hidden="1">
      <c r="J1199" s="82"/>
      <c r="K1199" t="s" s="86">
        <v>1167</v>
      </c>
      <c r="L1199" s="87"/>
      <c r="M1199" s="85"/>
      <c r="N1199" s="28">
        <v>11</v>
      </c>
      <c r="O1199" s="29">
        <v>1639.96</v>
      </c>
      <c r="P1199" s="29">
        <v>2489.95</v>
      </c>
    </row>
    <row r="1200" ht="15.4" customHeight="1">
      <c r="J1200" t="s" s="30">
        <v>1168</v>
      </c>
      <c r="K1200" s="88"/>
      <c r="L1200" s="88"/>
      <c r="M1200" s="89"/>
      <c r="N1200" s="31">
        <v>11</v>
      </c>
      <c r="O1200" s="32">
        <v>1639.96</v>
      </c>
      <c r="P1200" s="32">
        <v>2489.95</v>
      </c>
    </row>
    <row r="1201" ht="13.1" customHeight="1">
      <c r="J1201" t="s" s="33">
        <v>620</v>
      </c>
      <c r="K1201" s="90"/>
      <c r="L1201" s="90"/>
      <c r="M1201" s="91"/>
      <c r="N1201" s="34">
        <v>6294</v>
      </c>
      <c r="O1201" s="35">
        <v>77901.638497249995</v>
      </c>
      <c r="P1201" s="35">
        <v>238554.991046</v>
      </c>
    </row>
    <row r="1203" ht="15.55" customHeight="1">
      <c r="Q1203" t="s" s="2">
        <v>1505</v>
      </c>
      <c r="R1203" s="2"/>
    </row>
    <row r="1204" ht="13.1" customHeight="1">
      <c r="Q1204" t="s" s="37">
        <v>4</v>
      </c>
      <c r="R1204" t="s" s="23">
        <v>619</v>
      </c>
    </row>
    <row r="1205" ht="13.1" customHeight="1">
      <c r="Q1205" t="s" s="38">
        <v>115</v>
      </c>
      <c r="R1205" s="46">
        <v>96.55800000000001</v>
      </c>
    </row>
    <row r="1206" ht="12.9" customHeight="1">
      <c r="Q1206" t="s" s="40">
        <v>1206</v>
      </c>
      <c r="R1206" s="48">
        <v>2.608696</v>
      </c>
    </row>
    <row r="1207" ht="12.9" customHeight="1">
      <c r="Q1207" t="s" s="40">
        <v>1223</v>
      </c>
      <c r="R1207" s="48">
        <v>200</v>
      </c>
    </row>
    <row r="1208" ht="12.9" customHeight="1">
      <c r="Q1208" t="s" s="40">
        <v>1225</v>
      </c>
      <c r="R1208" s="48">
        <v>300</v>
      </c>
    </row>
    <row r="1209" ht="12.9" customHeight="1">
      <c r="Q1209" t="s" s="40">
        <v>1226</v>
      </c>
      <c r="R1209" s="48">
        <v>300</v>
      </c>
    </row>
    <row r="1210" ht="12.9" customHeight="1">
      <c r="Q1210" t="s" s="40">
        <v>1227</v>
      </c>
      <c r="R1210" s="48">
        <v>700</v>
      </c>
    </row>
    <row r="1211" ht="12.9" customHeight="1">
      <c r="Q1211" t="s" s="40">
        <v>1228</v>
      </c>
      <c r="R1211" s="48">
        <v>300</v>
      </c>
    </row>
    <row r="1212" ht="12.9" customHeight="1">
      <c r="Q1212" t="s" s="40">
        <v>1229</v>
      </c>
      <c r="R1212" s="48">
        <v>400</v>
      </c>
    </row>
    <row r="1213" ht="12.9" customHeight="1">
      <c r="Q1213" t="s" s="40">
        <v>1230</v>
      </c>
      <c r="R1213" s="48">
        <v>400</v>
      </c>
    </row>
    <row r="1214" ht="12.9" customHeight="1">
      <c r="Q1214" t="s" s="40">
        <v>1231</v>
      </c>
      <c r="R1214" s="48">
        <v>1000</v>
      </c>
    </row>
    <row r="1215" ht="12.9" customHeight="1">
      <c r="Q1215" t="s" s="40">
        <v>1232</v>
      </c>
      <c r="R1215" s="48">
        <v>866</v>
      </c>
    </row>
    <row r="1216" ht="12.9" customHeight="1">
      <c r="Q1216" t="s" s="40">
        <v>1186</v>
      </c>
      <c r="R1216" s="47">
        <v>0</v>
      </c>
    </row>
    <row r="1217" ht="12.9" customHeight="1">
      <c r="Q1217" t="s" s="40">
        <v>1187</v>
      </c>
      <c r="R1217" s="47">
        <v>0</v>
      </c>
    </row>
    <row r="1218" ht="12.9" customHeight="1">
      <c r="Q1218" t="s" s="40">
        <v>1243</v>
      </c>
      <c r="R1218" s="48">
        <v>233.333332</v>
      </c>
    </row>
    <row r="1219" ht="12.9" customHeight="1">
      <c r="Q1219" t="s" s="40">
        <v>1233</v>
      </c>
      <c r="R1219" s="48">
        <v>240</v>
      </c>
    </row>
    <row r="1220" ht="12.9" customHeight="1">
      <c r="Q1220" t="s" s="40">
        <v>406</v>
      </c>
      <c r="R1220" s="47">
        <v>0</v>
      </c>
    </row>
    <row r="1221" ht="12.9" customHeight="1">
      <c r="Q1221" t="s" s="40">
        <v>111</v>
      </c>
      <c r="R1221" s="48">
        <v>99</v>
      </c>
    </row>
    <row r="1222" ht="12.9" customHeight="1">
      <c r="Q1222" t="s" s="40">
        <v>1247</v>
      </c>
      <c r="R1222" s="48">
        <v>1.043484</v>
      </c>
    </row>
    <row r="1223" ht="12.9" customHeight="1">
      <c r="Q1223" t="s" s="40">
        <v>906</v>
      </c>
      <c r="R1223" s="47">
        <v>0</v>
      </c>
    </row>
    <row r="1224" ht="12.9" customHeight="1">
      <c r="Q1224" t="s" s="40">
        <v>1157</v>
      </c>
      <c r="R1224" s="48">
        <v>850.365</v>
      </c>
    </row>
    <row r="1225" ht="12.9" customHeight="1">
      <c r="Q1225" t="s" s="40">
        <v>1202</v>
      </c>
      <c r="R1225" s="48">
        <v>199.98</v>
      </c>
    </row>
    <row r="1226" ht="12.9" customHeight="1">
      <c r="Q1226" t="s" s="40">
        <v>1329</v>
      </c>
      <c r="R1226" s="48">
        <v>319.98</v>
      </c>
    </row>
    <row r="1227" ht="12.9" customHeight="1">
      <c r="Q1227" t="s" s="40">
        <v>1245</v>
      </c>
      <c r="R1227" s="48">
        <v>123.333332</v>
      </c>
    </row>
    <row r="1228" ht="12.9" customHeight="1">
      <c r="Q1228" t="s" s="40">
        <v>165</v>
      </c>
      <c r="R1228" s="48">
        <v>299.9</v>
      </c>
    </row>
    <row r="1229" ht="12.9" customHeight="1">
      <c r="Q1229" t="s" s="40">
        <v>19</v>
      </c>
      <c r="R1229" s="48">
        <v>3635.697</v>
      </c>
    </row>
    <row r="1230" ht="12.9" customHeight="1">
      <c r="Q1230" t="s" s="40">
        <v>1304</v>
      </c>
      <c r="R1230" s="47">
        <v>0</v>
      </c>
    </row>
    <row r="1231" ht="12.9" customHeight="1">
      <c r="Q1231" t="s" s="40">
        <v>1306</v>
      </c>
      <c r="R1231" s="47">
        <v>0</v>
      </c>
    </row>
    <row r="1232" ht="12.9" customHeight="1">
      <c r="Q1232" t="s" s="40">
        <v>1454</v>
      </c>
      <c r="R1232" s="48">
        <v>22.99</v>
      </c>
    </row>
    <row r="1233" ht="12.9" customHeight="1">
      <c r="Q1233" t="s" s="40">
        <v>1332</v>
      </c>
      <c r="R1233" s="48">
        <v>415.84</v>
      </c>
    </row>
    <row r="1234" ht="12.9" customHeight="1">
      <c r="Q1234" t="s" s="40">
        <v>167</v>
      </c>
      <c r="R1234" s="47">
        <v>0</v>
      </c>
    </row>
    <row r="1235" ht="12.9" customHeight="1">
      <c r="Q1235" t="s" s="40">
        <v>341</v>
      </c>
      <c r="R1235" s="48">
        <v>134.955</v>
      </c>
    </row>
    <row r="1236" ht="12.9" customHeight="1">
      <c r="Q1236" t="s" s="40">
        <v>54</v>
      </c>
      <c r="R1236" s="48">
        <v>39.96</v>
      </c>
    </row>
    <row r="1237" ht="12.9" customHeight="1">
      <c r="Q1237" t="s" s="40">
        <v>139</v>
      </c>
      <c r="R1237" s="48">
        <v>724.855</v>
      </c>
    </row>
    <row r="1238" ht="12.9" customHeight="1">
      <c r="Q1238" t="s" s="40">
        <v>887</v>
      </c>
      <c r="R1238" s="48">
        <v>99.98</v>
      </c>
    </row>
    <row r="1239" ht="12.9" customHeight="1">
      <c r="Q1239" t="s" s="40">
        <v>57</v>
      </c>
      <c r="R1239" s="48">
        <v>3599.955</v>
      </c>
    </row>
    <row r="1240" ht="12.9" customHeight="1">
      <c r="Q1240" t="s" s="40">
        <v>1141</v>
      </c>
      <c r="R1240" s="48">
        <v>4799.94</v>
      </c>
    </row>
    <row r="1241" ht="12.9" customHeight="1">
      <c r="Q1241" t="s" s="40">
        <v>84</v>
      </c>
      <c r="R1241" s="47">
        <v>0</v>
      </c>
    </row>
    <row r="1242" ht="12.9" customHeight="1">
      <c r="Q1242" t="s" s="40">
        <v>179</v>
      </c>
      <c r="R1242" s="48">
        <v>259.948</v>
      </c>
    </row>
    <row r="1243" ht="12.9" customHeight="1">
      <c r="Q1243" t="s" s="40">
        <v>119</v>
      </c>
      <c r="R1243" s="47">
        <v>0</v>
      </c>
    </row>
    <row r="1244" ht="12.9" customHeight="1">
      <c r="Q1244" t="s" s="40">
        <v>589</v>
      </c>
      <c r="R1244" s="48">
        <v>35.5775</v>
      </c>
    </row>
    <row r="1245" ht="12.9" customHeight="1">
      <c r="Q1245" t="s" s="40">
        <v>345</v>
      </c>
      <c r="R1245" s="48">
        <v>1099.95</v>
      </c>
    </row>
    <row r="1246" ht="12.9" customHeight="1">
      <c r="Q1246" t="s" s="40">
        <v>225</v>
      </c>
      <c r="R1246" s="48">
        <v>2999.94</v>
      </c>
    </row>
    <row r="1247" ht="12.9" customHeight="1">
      <c r="Q1247" t="s" s="40">
        <v>585</v>
      </c>
      <c r="R1247" s="48">
        <v>2999.94</v>
      </c>
    </row>
    <row r="1248" ht="12.9" customHeight="1">
      <c r="Q1248" t="s" s="40">
        <v>598</v>
      </c>
      <c r="R1248" s="47">
        <v>0</v>
      </c>
    </row>
    <row r="1249" ht="12.9" customHeight="1">
      <c r="Q1249" t="s" s="40">
        <v>1069</v>
      </c>
      <c r="R1249" s="48">
        <v>99.98999999999999</v>
      </c>
    </row>
    <row r="1250" ht="12.9" customHeight="1">
      <c r="Q1250" t="s" s="40">
        <v>239</v>
      </c>
      <c r="R1250" s="48">
        <v>99.98999999999999</v>
      </c>
    </row>
    <row r="1251" ht="12.9" customHeight="1">
      <c r="Q1251" t="s" s="40">
        <v>39</v>
      </c>
      <c r="R1251" s="48">
        <v>109.99</v>
      </c>
    </row>
    <row r="1252" ht="12.9" customHeight="1">
      <c r="Q1252" t="s" s="40">
        <v>213</v>
      </c>
      <c r="R1252" s="48">
        <v>850</v>
      </c>
    </row>
    <row r="1253" ht="12.9" customHeight="1">
      <c r="Q1253" t="s" s="40">
        <v>1054</v>
      </c>
      <c r="R1253" s="48">
        <v>599.96</v>
      </c>
    </row>
    <row r="1254" ht="12.9" customHeight="1">
      <c r="Q1254" t="s" s="40">
        <v>354</v>
      </c>
      <c r="R1254" s="48">
        <v>449.97</v>
      </c>
    </row>
    <row r="1255" ht="12.9" customHeight="1">
      <c r="Q1255" t="s" s="40">
        <v>23</v>
      </c>
      <c r="R1255" s="48">
        <v>1199.92</v>
      </c>
    </row>
    <row r="1256" ht="12.9" customHeight="1">
      <c r="Q1256" t="s" s="40">
        <v>462</v>
      </c>
      <c r="R1256" s="48">
        <v>149.9925</v>
      </c>
    </row>
    <row r="1257" ht="12.9" customHeight="1">
      <c r="Q1257" t="s" s="40">
        <v>133</v>
      </c>
      <c r="R1257" s="48">
        <v>2094.9265</v>
      </c>
    </row>
    <row r="1258" ht="12.9" customHeight="1">
      <c r="Q1258" t="s" s="40">
        <v>682</v>
      </c>
      <c r="R1258" s="48">
        <v>624.975</v>
      </c>
    </row>
    <row r="1259" ht="12.9" customHeight="1">
      <c r="Q1259" t="s" s="40">
        <v>470</v>
      </c>
      <c r="R1259" s="48">
        <v>1399.96</v>
      </c>
    </row>
    <row r="1260" ht="12.9" customHeight="1">
      <c r="Q1260" t="s" s="40">
        <v>1479</v>
      </c>
      <c r="R1260" s="48">
        <v>224.9925</v>
      </c>
    </row>
    <row r="1261" ht="12.9" customHeight="1">
      <c r="Q1261" t="s" s="40">
        <v>602</v>
      </c>
      <c r="R1261" s="48">
        <v>4484.8505</v>
      </c>
    </row>
    <row r="1262" ht="12.9" customHeight="1">
      <c r="Q1262" t="s" s="40">
        <v>1257</v>
      </c>
      <c r="R1262" s="48">
        <v>1454.9775</v>
      </c>
    </row>
    <row r="1263" ht="12.9" customHeight="1">
      <c r="Q1263" t="s" s="40">
        <v>35</v>
      </c>
      <c r="R1263" s="48">
        <v>1199.75</v>
      </c>
    </row>
    <row r="1264" ht="12.9" customHeight="1">
      <c r="Q1264" t="s" s="40">
        <v>89</v>
      </c>
      <c r="R1264" s="48">
        <v>1019.83</v>
      </c>
    </row>
    <row r="1265" ht="12.9" customHeight="1">
      <c r="Q1265" t="s" s="40">
        <v>1160</v>
      </c>
      <c r="R1265" s="48">
        <v>519.92</v>
      </c>
    </row>
    <row r="1266" ht="12.9" customHeight="1">
      <c r="Q1266" t="s" s="40">
        <v>52</v>
      </c>
      <c r="R1266" s="48">
        <v>71.95999999999999</v>
      </c>
    </row>
    <row r="1267" ht="12.9" customHeight="1">
      <c r="Q1267" t="s" s="40">
        <v>497</v>
      </c>
      <c r="R1267" s="48">
        <v>149.94</v>
      </c>
    </row>
    <row r="1268" ht="12.9" customHeight="1">
      <c r="Q1268" t="s" s="40">
        <v>77</v>
      </c>
      <c r="R1268" s="48">
        <v>139.93</v>
      </c>
    </row>
    <row r="1269" ht="12.9" customHeight="1">
      <c r="Q1269" t="s" s="40">
        <v>146</v>
      </c>
      <c r="R1269" s="48">
        <v>119.94</v>
      </c>
    </row>
    <row r="1270" ht="12.9" customHeight="1">
      <c r="Q1270" t="s" s="40">
        <v>1407</v>
      </c>
      <c r="R1270" s="48">
        <v>195.944</v>
      </c>
    </row>
    <row r="1271" ht="12.9" customHeight="1">
      <c r="Q1271" t="s" s="40">
        <v>95</v>
      </c>
      <c r="R1271" s="48">
        <v>7649.78</v>
      </c>
    </row>
    <row r="1272" ht="12.9" customHeight="1">
      <c r="Q1272" t="s" s="40">
        <v>171</v>
      </c>
      <c r="R1272" s="48">
        <v>549.99</v>
      </c>
    </row>
    <row r="1273" ht="12.9" customHeight="1">
      <c r="Q1273" t="s" s="40">
        <v>11</v>
      </c>
      <c r="R1273" s="48">
        <v>1999.95</v>
      </c>
    </row>
    <row r="1274" ht="12.9" customHeight="1">
      <c r="Q1274" t="s" s="40">
        <v>31</v>
      </c>
      <c r="R1274" s="48">
        <v>7349.8775</v>
      </c>
    </row>
    <row r="1275" ht="12.9" customHeight="1">
      <c r="Q1275" t="s" s="40">
        <v>1466</v>
      </c>
      <c r="R1275" s="48">
        <v>429.99</v>
      </c>
    </row>
    <row r="1276" ht="12.9" customHeight="1">
      <c r="Q1276" t="s" s="40">
        <v>81</v>
      </c>
      <c r="R1276" s="48">
        <v>17824.785</v>
      </c>
    </row>
    <row r="1277" ht="12.9" customHeight="1">
      <c r="Q1277" t="s" s="40">
        <v>722</v>
      </c>
      <c r="R1277" s="48">
        <v>3479.96</v>
      </c>
    </row>
    <row r="1278" ht="12.9" customHeight="1">
      <c r="Q1278" t="s" s="40">
        <v>50</v>
      </c>
      <c r="R1278" s="48">
        <v>284.905</v>
      </c>
    </row>
    <row r="1279" ht="12.9" customHeight="1">
      <c r="Q1279" t="s" s="40">
        <v>977</v>
      </c>
      <c r="R1279" s="48">
        <v>109.98</v>
      </c>
    </row>
    <row r="1280" ht="12.9" customHeight="1">
      <c r="Q1280" t="s" s="40">
        <v>48</v>
      </c>
      <c r="R1280" s="48">
        <v>17549.865</v>
      </c>
    </row>
    <row r="1281" ht="12.9" customHeight="1">
      <c r="Q1281" t="s" s="40">
        <v>998</v>
      </c>
      <c r="R1281" s="48">
        <v>9000</v>
      </c>
    </row>
    <row r="1282" ht="12.9" customHeight="1">
      <c r="Q1282" t="s" s="40">
        <v>1155</v>
      </c>
      <c r="R1282" s="48">
        <v>7499.97</v>
      </c>
    </row>
    <row r="1283" ht="12.9" customHeight="1">
      <c r="Q1283" t="s" s="40">
        <v>489</v>
      </c>
      <c r="R1283" s="48">
        <v>1199.9925</v>
      </c>
    </row>
    <row r="1284" ht="12.9" customHeight="1">
      <c r="Q1284" t="s" s="40">
        <v>491</v>
      </c>
      <c r="R1284" s="47">
        <v>0</v>
      </c>
    </row>
    <row r="1285" ht="12.9" customHeight="1">
      <c r="Q1285" t="s" s="40">
        <v>824</v>
      </c>
      <c r="R1285" s="48">
        <v>224.9925</v>
      </c>
    </row>
    <row r="1286" ht="12.9" customHeight="1">
      <c r="Q1286" t="s" s="40">
        <v>493</v>
      </c>
      <c r="R1286" s="47">
        <v>0</v>
      </c>
    </row>
    <row r="1287" ht="12.9" customHeight="1">
      <c r="Q1287" t="s" s="40">
        <v>143</v>
      </c>
      <c r="R1287" s="48">
        <v>3199.99</v>
      </c>
    </row>
    <row r="1288" ht="12.9" customHeight="1">
      <c r="Q1288" t="s" s="40">
        <v>59</v>
      </c>
      <c r="R1288" s="48">
        <v>7690.3175</v>
      </c>
    </row>
    <row r="1289" ht="12.9" customHeight="1">
      <c r="Q1289" t="s" s="40">
        <v>73</v>
      </c>
      <c r="R1289" s="48">
        <v>4899.8775</v>
      </c>
    </row>
    <row r="1290" ht="12.9" customHeight="1">
      <c r="Q1290" t="s" s="40">
        <v>526</v>
      </c>
      <c r="R1290" s="48">
        <v>3800</v>
      </c>
    </row>
    <row r="1291" ht="12.9" customHeight="1">
      <c r="Q1291" t="s" s="40">
        <v>27</v>
      </c>
      <c r="R1291" s="48">
        <v>1499.8125</v>
      </c>
    </row>
    <row r="1292" ht="12.9" customHeight="1">
      <c r="Q1292" t="s" s="40">
        <v>559</v>
      </c>
      <c r="R1292" s="48">
        <v>562.5</v>
      </c>
    </row>
    <row r="1293" ht="12.9" customHeight="1">
      <c r="Q1293" t="s" s="40">
        <v>15</v>
      </c>
      <c r="R1293" s="48">
        <v>59.94</v>
      </c>
    </row>
    <row r="1294" ht="12.9" customHeight="1">
      <c r="Q1294" t="s" s="40">
        <v>1456</v>
      </c>
      <c r="R1294" s="48">
        <v>12.99</v>
      </c>
    </row>
    <row r="1295" ht="12.9" customHeight="1">
      <c r="Q1295" t="s" s="40">
        <v>207</v>
      </c>
      <c r="R1295" s="47">
        <v>0</v>
      </c>
    </row>
    <row r="1296" ht="12.9" customHeight="1">
      <c r="Q1296" t="s" s="40">
        <v>1428</v>
      </c>
      <c r="R1296" s="48">
        <v>17.7582</v>
      </c>
    </row>
    <row r="1297" ht="12.9" customHeight="1">
      <c r="Q1297" t="s" s="40">
        <v>724</v>
      </c>
      <c r="R1297" s="47">
        <v>0</v>
      </c>
    </row>
    <row r="1298" ht="12.9" customHeight="1">
      <c r="Q1298" t="s" s="40">
        <v>442</v>
      </c>
      <c r="R1298" s="48">
        <v>-325.57</v>
      </c>
    </row>
    <row r="1299" ht="12.9" customHeight="1">
      <c r="Q1299" t="s" s="40">
        <v>1482</v>
      </c>
      <c r="R1299" s="47">
        <v>0</v>
      </c>
    </row>
    <row r="1300" ht="12.9" customHeight="1">
      <c r="Q1300" t="s" s="40">
        <v>1290</v>
      </c>
      <c r="R1300" s="48">
        <v>8459.290000000001</v>
      </c>
    </row>
    <row r="1301" ht="12.9" customHeight="1">
      <c r="Q1301" t="s" s="40">
        <v>1362</v>
      </c>
      <c r="R1301" s="47">
        <v>0</v>
      </c>
    </row>
    <row r="1302" ht="12.9" customHeight="1">
      <c r="Q1302" t="s" s="40">
        <v>1364</v>
      </c>
      <c r="R1302" s="47">
        <v>0</v>
      </c>
    </row>
    <row r="1303" ht="12.9" customHeight="1">
      <c r="Q1303" t="s" s="40">
        <v>402</v>
      </c>
      <c r="R1303" s="47">
        <v>0</v>
      </c>
    </row>
    <row r="1304" ht="12.9" customHeight="1">
      <c r="Q1304" t="s" s="40">
        <v>404</v>
      </c>
      <c r="R1304" s="47">
        <v>0</v>
      </c>
    </row>
    <row r="1305" ht="12.9" customHeight="1">
      <c r="Q1305" t="s" s="40">
        <v>1355</v>
      </c>
      <c r="R1305" s="48">
        <v>336</v>
      </c>
    </row>
    <row r="1306" ht="12.9" customHeight="1">
      <c r="Q1306" t="s" s="40">
        <v>445</v>
      </c>
      <c r="R1306" s="48">
        <v>299.98</v>
      </c>
    </row>
    <row r="1307" ht="12.9" customHeight="1">
      <c r="Q1307" t="s" s="40">
        <v>645</v>
      </c>
      <c r="R1307" s="47">
        <v>0</v>
      </c>
    </row>
    <row r="1308" ht="12.9" customHeight="1">
      <c r="Q1308" t="s" s="40">
        <v>1162</v>
      </c>
      <c r="R1308" s="48">
        <v>55.600002</v>
      </c>
    </row>
    <row r="1309" ht="12.9" customHeight="1">
      <c r="Q1309" t="s" s="40">
        <v>1292</v>
      </c>
      <c r="R1309" s="48">
        <v>77000</v>
      </c>
    </row>
    <row r="1310" ht="12.9" customHeight="1">
      <c r="Q1310" t="s" s="40">
        <v>1296</v>
      </c>
      <c r="R1310" s="48">
        <v>2500</v>
      </c>
    </row>
    <row r="1311" ht="12.9" customHeight="1">
      <c r="Q1311" t="s" s="40">
        <v>1298</v>
      </c>
      <c r="R1311" s="48">
        <v>52.95</v>
      </c>
    </row>
    <row r="1312" ht="12.9" customHeight="1">
      <c r="Q1312" t="s" s="40">
        <v>1300</v>
      </c>
      <c r="R1312" s="48">
        <v>59.95</v>
      </c>
    </row>
    <row r="1313" ht="12.9" customHeight="1">
      <c r="Q1313" t="s" s="40">
        <v>1294</v>
      </c>
      <c r="R1313" s="48">
        <v>4980</v>
      </c>
    </row>
    <row r="1314" ht="12.9" customHeight="1">
      <c r="Q1314" t="s" s="40">
        <v>1264</v>
      </c>
      <c r="R1314" s="48">
        <v>419.97</v>
      </c>
    </row>
    <row r="1315" ht="12.9" customHeight="1">
      <c r="Q1315" t="s" s="40">
        <v>1360</v>
      </c>
      <c r="R1315" s="48">
        <v>18.9</v>
      </c>
    </row>
    <row r="1316" ht="12.9" customHeight="1">
      <c r="Q1316" t="s" s="40">
        <v>1486</v>
      </c>
      <c r="R1316" s="48">
        <v>195</v>
      </c>
    </row>
    <row r="1317" ht="12.9" customHeight="1">
      <c r="Q1317" t="s" s="40">
        <v>1308</v>
      </c>
      <c r="R1317" s="47">
        <v>0</v>
      </c>
    </row>
    <row r="1318" ht="12.9" customHeight="1">
      <c r="Q1318" t="s" s="40">
        <v>254</v>
      </c>
      <c r="R1318" s="48">
        <v>120</v>
      </c>
    </row>
    <row r="1319" ht="12.9" customHeight="1">
      <c r="Q1319" t="s" s="40">
        <v>63</v>
      </c>
      <c r="R1319" s="48">
        <v>958.83</v>
      </c>
    </row>
    <row r="1320" ht="12.9" customHeight="1">
      <c r="Q1320" t="s" s="40">
        <v>47</v>
      </c>
      <c r="R1320" s="48">
        <v>1314.44</v>
      </c>
    </row>
    <row r="1321" ht="12.9" customHeight="1">
      <c r="Q1321" t="s" s="40">
        <v>1236</v>
      </c>
      <c r="R1321" s="47">
        <v>0</v>
      </c>
    </row>
    <row r="1322" ht="12.9" customHeight="1">
      <c r="Q1322" t="s" s="40">
        <v>861</v>
      </c>
      <c r="R1322" s="48">
        <v>149.09</v>
      </c>
    </row>
    <row r="1323" ht="12.9" customHeight="1">
      <c r="Q1323" t="s" s="40">
        <v>762</v>
      </c>
      <c r="R1323" s="47">
        <v>0</v>
      </c>
    </row>
    <row r="1324" ht="12.9" customHeight="1">
      <c r="Q1324" t="s" s="40">
        <v>726</v>
      </c>
      <c r="R1324" s="47">
        <v>0</v>
      </c>
    </row>
    <row r="1325" ht="12.9" customHeight="1">
      <c r="Q1325" t="s" s="40">
        <v>1394</v>
      </c>
      <c r="R1325" s="47">
        <v>0</v>
      </c>
    </row>
    <row r="1326" ht="13.1" customHeight="1">
      <c r="Q1326" t="s" s="42">
        <v>1204</v>
      </c>
      <c r="R1326" s="49">
        <v>0</v>
      </c>
    </row>
    <row r="1327" ht="13.1" customHeight="1">
      <c r="Q1327" t="s" s="44">
        <v>620</v>
      </c>
      <c r="R1327" s="50">
        <v>238554.991046</v>
      </c>
    </row>
    <row r="1329" ht="15.55" customHeight="1">
      <c r="S1329" t="s" s="2">
        <v>1506</v>
      </c>
      <c r="T1329" s="2"/>
    </row>
    <row r="1330" ht="13.1" customHeight="1">
      <c r="S1330" t="s" s="37">
        <v>4</v>
      </c>
      <c r="T1330" t="s" s="23">
        <v>617</v>
      </c>
    </row>
    <row r="1331" ht="13.1" customHeight="1">
      <c r="S1331" t="s" s="38">
        <v>115</v>
      </c>
      <c r="T1331" s="39">
        <v>9</v>
      </c>
    </row>
    <row r="1332" ht="12.9" customHeight="1">
      <c r="S1332" t="s" s="40">
        <v>1206</v>
      </c>
      <c r="T1332" s="41">
        <v>4</v>
      </c>
    </row>
    <row r="1333" ht="12.9" customHeight="1">
      <c r="S1333" t="s" s="40">
        <v>1223</v>
      </c>
      <c r="T1333" s="41">
        <v>100</v>
      </c>
    </row>
    <row r="1334" ht="12.9" customHeight="1">
      <c r="S1334" t="s" s="40">
        <v>1225</v>
      </c>
      <c r="T1334" s="41">
        <v>150</v>
      </c>
    </row>
    <row r="1335" ht="12.9" customHeight="1">
      <c r="S1335" t="s" s="40">
        <v>1226</v>
      </c>
      <c r="T1335" s="41">
        <v>150</v>
      </c>
    </row>
    <row r="1336" ht="12.9" customHeight="1">
      <c r="S1336" t="s" s="40">
        <v>1227</v>
      </c>
      <c r="T1336" s="41">
        <v>350</v>
      </c>
    </row>
    <row r="1337" ht="12.9" customHeight="1">
      <c r="S1337" t="s" s="40">
        <v>1228</v>
      </c>
      <c r="T1337" s="41">
        <v>150</v>
      </c>
    </row>
    <row r="1338" ht="12.9" customHeight="1">
      <c r="S1338" t="s" s="40">
        <v>1229</v>
      </c>
      <c r="T1338" s="41">
        <v>200</v>
      </c>
    </row>
    <row r="1339" ht="12.9" customHeight="1">
      <c r="S1339" t="s" s="40">
        <v>1230</v>
      </c>
      <c r="T1339" s="41">
        <v>200</v>
      </c>
    </row>
    <row r="1340" ht="12.9" customHeight="1">
      <c r="S1340" t="s" s="40">
        <v>1231</v>
      </c>
      <c r="T1340" s="41">
        <v>500</v>
      </c>
    </row>
    <row r="1341" ht="12.9" customHeight="1">
      <c r="S1341" t="s" s="40">
        <v>1232</v>
      </c>
      <c r="T1341" s="41">
        <v>433</v>
      </c>
    </row>
    <row r="1342" ht="12.9" customHeight="1">
      <c r="S1342" t="s" s="40">
        <v>1186</v>
      </c>
      <c r="T1342" s="41">
        <v>4</v>
      </c>
    </row>
    <row r="1343" ht="12.9" customHeight="1">
      <c r="S1343" t="s" s="40">
        <v>1187</v>
      </c>
      <c r="T1343" s="41">
        <v>2</v>
      </c>
    </row>
    <row r="1344" ht="12.9" customHeight="1">
      <c r="S1344" t="s" s="40">
        <v>1243</v>
      </c>
      <c r="T1344" s="41">
        <v>4</v>
      </c>
    </row>
    <row r="1345" ht="12.9" customHeight="1">
      <c r="S1345" t="s" s="40">
        <v>1233</v>
      </c>
      <c r="T1345" s="41">
        <v>120</v>
      </c>
    </row>
    <row r="1346" ht="12.9" customHeight="1">
      <c r="S1346" t="s" s="40">
        <v>406</v>
      </c>
      <c r="T1346" s="41">
        <v>5</v>
      </c>
    </row>
    <row r="1347" ht="12.9" customHeight="1">
      <c r="S1347" t="s" s="40">
        <v>111</v>
      </c>
      <c r="T1347" s="41">
        <v>2</v>
      </c>
    </row>
    <row r="1348" ht="12.9" customHeight="1">
      <c r="S1348" t="s" s="40">
        <v>1247</v>
      </c>
      <c r="T1348" s="41">
        <v>12</v>
      </c>
    </row>
    <row r="1349" ht="12.9" customHeight="1">
      <c r="S1349" t="s" s="40">
        <v>906</v>
      </c>
      <c r="T1349" s="41">
        <v>1</v>
      </c>
    </row>
    <row r="1350" ht="12.9" customHeight="1">
      <c r="S1350" t="s" s="40">
        <v>1157</v>
      </c>
      <c r="T1350" s="41">
        <v>34</v>
      </c>
    </row>
    <row r="1351" ht="12.9" customHeight="1">
      <c r="S1351" t="s" s="40">
        <v>1202</v>
      </c>
      <c r="T1351" s="41">
        <v>2</v>
      </c>
    </row>
    <row r="1352" ht="12.9" customHeight="1">
      <c r="S1352" t="s" s="40">
        <v>1329</v>
      </c>
      <c r="T1352" s="41">
        <v>2</v>
      </c>
    </row>
    <row r="1353" ht="12.9" customHeight="1">
      <c r="S1353" t="s" s="40">
        <v>1245</v>
      </c>
      <c r="T1353" s="41">
        <v>4</v>
      </c>
    </row>
    <row r="1354" ht="12.9" customHeight="1">
      <c r="S1354" t="s" s="40">
        <v>165</v>
      </c>
      <c r="T1354" s="41">
        <v>12</v>
      </c>
    </row>
    <row r="1355" ht="12.9" customHeight="1">
      <c r="S1355" t="s" s="40">
        <v>19</v>
      </c>
      <c r="T1355" s="41">
        <v>34</v>
      </c>
    </row>
    <row r="1356" ht="12.9" customHeight="1">
      <c r="S1356" t="s" s="40">
        <v>1304</v>
      </c>
      <c r="T1356" s="41">
        <v>1</v>
      </c>
    </row>
    <row r="1357" ht="12.9" customHeight="1">
      <c r="S1357" t="s" s="40">
        <v>1306</v>
      </c>
      <c r="T1357" s="41">
        <v>1</v>
      </c>
    </row>
    <row r="1358" ht="12.9" customHeight="1">
      <c r="S1358" t="s" s="40">
        <v>1454</v>
      </c>
      <c r="T1358" s="41">
        <v>1</v>
      </c>
    </row>
    <row r="1359" ht="12.9" customHeight="1">
      <c r="S1359" t="s" s="40">
        <v>1332</v>
      </c>
      <c r="T1359" s="41">
        <v>16</v>
      </c>
    </row>
    <row r="1360" ht="12.9" customHeight="1">
      <c r="S1360" t="s" s="40">
        <v>167</v>
      </c>
      <c r="T1360" s="41">
        <v>14</v>
      </c>
    </row>
    <row r="1361" ht="12.9" customHeight="1">
      <c r="S1361" t="s" s="40">
        <v>341</v>
      </c>
      <c r="T1361" s="41">
        <v>6</v>
      </c>
    </row>
    <row r="1362" ht="12.9" customHeight="1">
      <c r="S1362" t="s" s="40">
        <v>54</v>
      </c>
      <c r="T1362" s="41">
        <v>16</v>
      </c>
    </row>
    <row r="1363" ht="12.9" customHeight="1">
      <c r="S1363" t="s" s="40">
        <v>139</v>
      </c>
      <c r="T1363" s="41">
        <v>15</v>
      </c>
    </row>
    <row r="1364" ht="12.9" customHeight="1">
      <c r="S1364" t="s" s="40">
        <v>887</v>
      </c>
      <c r="T1364" s="41">
        <v>2</v>
      </c>
    </row>
    <row r="1365" ht="12.9" customHeight="1">
      <c r="S1365" t="s" s="40">
        <v>57</v>
      </c>
      <c r="T1365" s="41">
        <v>6</v>
      </c>
    </row>
    <row r="1366" ht="12.9" customHeight="1">
      <c r="S1366" t="s" s="40">
        <v>1141</v>
      </c>
      <c r="T1366" s="41">
        <v>6</v>
      </c>
    </row>
    <row r="1367" ht="12.9" customHeight="1">
      <c r="S1367" t="s" s="40">
        <v>84</v>
      </c>
      <c r="T1367" s="41">
        <v>31</v>
      </c>
    </row>
    <row r="1368" ht="12.9" customHeight="1">
      <c r="S1368" t="s" s="40">
        <v>179</v>
      </c>
      <c r="T1368" s="41">
        <v>6</v>
      </c>
    </row>
    <row r="1369" ht="12.9" customHeight="1">
      <c r="S1369" t="s" s="40">
        <v>119</v>
      </c>
      <c r="T1369" s="41">
        <v>3</v>
      </c>
    </row>
    <row r="1370" ht="12.9" customHeight="1">
      <c r="S1370" t="s" s="40">
        <v>589</v>
      </c>
      <c r="T1370" s="41">
        <v>6</v>
      </c>
    </row>
    <row r="1371" ht="12.9" customHeight="1">
      <c r="S1371" t="s" s="40">
        <v>345</v>
      </c>
      <c r="T1371" s="41">
        <v>5</v>
      </c>
    </row>
    <row r="1372" ht="12.9" customHeight="1">
      <c r="S1372" t="s" s="40">
        <v>225</v>
      </c>
      <c r="T1372" s="41">
        <v>6</v>
      </c>
    </row>
    <row r="1373" ht="12.9" customHeight="1">
      <c r="S1373" t="s" s="40">
        <v>585</v>
      </c>
      <c r="T1373" s="41">
        <v>8</v>
      </c>
    </row>
    <row r="1374" ht="12.9" customHeight="1">
      <c r="S1374" t="s" s="40">
        <v>598</v>
      </c>
      <c r="T1374" s="41">
        <v>8</v>
      </c>
    </row>
    <row r="1375" ht="12.9" customHeight="1">
      <c r="S1375" t="s" s="40">
        <v>1069</v>
      </c>
      <c r="T1375" s="41">
        <v>1</v>
      </c>
    </row>
    <row r="1376" ht="12.9" customHeight="1">
      <c r="S1376" t="s" s="40">
        <v>239</v>
      </c>
      <c r="T1376" s="41">
        <v>1</v>
      </c>
    </row>
    <row r="1377" ht="12.9" customHeight="1">
      <c r="S1377" t="s" s="40">
        <v>39</v>
      </c>
      <c r="T1377" s="41">
        <v>1</v>
      </c>
    </row>
    <row r="1378" ht="12.9" customHeight="1">
      <c r="S1378" t="s" s="40">
        <v>213</v>
      </c>
      <c r="T1378" s="41">
        <v>2</v>
      </c>
    </row>
    <row r="1379" ht="12.9" customHeight="1">
      <c r="S1379" t="s" s="40">
        <v>1054</v>
      </c>
      <c r="T1379" s="41">
        <v>9</v>
      </c>
    </row>
    <row r="1380" ht="12.9" customHeight="1">
      <c r="S1380" t="s" s="40">
        <v>354</v>
      </c>
      <c r="T1380" s="41">
        <v>3</v>
      </c>
    </row>
    <row r="1381" ht="12.9" customHeight="1">
      <c r="S1381" t="s" s="40">
        <v>23</v>
      </c>
      <c r="T1381" s="41">
        <v>24</v>
      </c>
    </row>
    <row r="1382" ht="12.9" customHeight="1">
      <c r="S1382" t="s" s="40">
        <v>462</v>
      </c>
      <c r="T1382" s="41">
        <v>1</v>
      </c>
    </row>
    <row r="1383" ht="12.9" customHeight="1">
      <c r="S1383" t="s" s="40">
        <v>133</v>
      </c>
      <c r="T1383" s="41">
        <v>23</v>
      </c>
    </row>
    <row r="1384" ht="12.9" customHeight="1">
      <c r="S1384" t="s" s="40">
        <v>682</v>
      </c>
      <c r="T1384" s="41">
        <v>3</v>
      </c>
    </row>
    <row r="1385" ht="12.9" customHeight="1">
      <c r="S1385" t="s" s="40">
        <v>470</v>
      </c>
      <c r="T1385" s="41">
        <v>9</v>
      </c>
    </row>
    <row r="1386" ht="12.9" customHeight="1">
      <c r="S1386" t="s" s="40">
        <v>1479</v>
      </c>
      <c r="T1386" s="41">
        <v>1</v>
      </c>
    </row>
    <row r="1387" ht="12.9" customHeight="1">
      <c r="S1387" t="s" s="40">
        <v>602</v>
      </c>
      <c r="T1387" s="41">
        <v>19</v>
      </c>
    </row>
    <row r="1388" ht="12.9" customHeight="1">
      <c r="S1388" t="s" s="40">
        <v>1257</v>
      </c>
      <c r="T1388" s="41">
        <v>5</v>
      </c>
    </row>
    <row r="1389" ht="12.9" customHeight="1">
      <c r="S1389" t="s" s="40">
        <v>35</v>
      </c>
      <c r="T1389" s="41">
        <v>26</v>
      </c>
    </row>
    <row r="1390" ht="12.9" customHeight="1">
      <c r="S1390" t="s" s="40">
        <v>89</v>
      </c>
      <c r="T1390" s="41">
        <v>18</v>
      </c>
    </row>
    <row r="1391" ht="12.9" customHeight="1">
      <c r="S1391" t="s" s="40">
        <v>1160</v>
      </c>
      <c r="T1391" s="41">
        <v>16</v>
      </c>
    </row>
    <row r="1392" ht="12.9" customHeight="1">
      <c r="S1392" t="s" s="40">
        <v>52</v>
      </c>
      <c r="T1392" s="41">
        <v>20</v>
      </c>
    </row>
    <row r="1393" ht="12.9" customHeight="1">
      <c r="S1393" t="s" s="40">
        <v>497</v>
      </c>
      <c r="T1393" s="41">
        <v>20</v>
      </c>
    </row>
    <row r="1394" ht="12.9" customHeight="1">
      <c r="S1394" t="s" s="40">
        <v>77</v>
      </c>
      <c r="T1394" s="41">
        <v>8</v>
      </c>
    </row>
    <row r="1395" ht="12.9" customHeight="1">
      <c r="S1395" t="s" s="40">
        <v>146</v>
      </c>
      <c r="T1395" s="41">
        <v>6</v>
      </c>
    </row>
    <row r="1396" ht="12.9" customHeight="1">
      <c r="S1396" t="s" s="40">
        <v>1407</v>
      </c>
      <c r="T1396" s="41">
        <v>11</v>
      </c>
    </row>
    <row r="1397" ht="12.9" customHeight="1">
      <c r="S1397" t="s" s="40">
        <v>95</v>
      </c>
      <c r="T1397" s="41">
        <v>22</v>
      </c>
    </row>
    <row r="1398" ht="12.9" customHeight="1">
      <c r="S1398" t="s" s="40">
        <v>171</v>
      </c>
      <c r="T1398" s="41">
        <v>1</v>
      </c>
    </row>
    <row r="1399" ht="12.9" customHeight="1">
      <c r="S1399" t="s" s="40">
        <v>11</v>
      </c>
      <c r="T1399" s="41">
        <v>5</v>
      </c>
    </row>
    <row r="1400" ht="12.9" customHeight="1">
      <c r="S1400" t="s" s="40">
        <v>31</v>
      </c>
      <c r="T1400" s="41">
        <v>15</v>
      </c>
    </row>
    <row r="1401" ht="12.9" customHeight="1">
      <c r="S1401" t="s" s="40">
        <v>1466</v>
      </c>
      <c r="T1401" s="41">
        <v>1</v>
      </c>
    </row>
    <row r="1402" ht="12.9" customHeight="1">
      <c r="S1402" t="s" s="40">
        <v>81</v>
      </c>
      <c r="T1402" s="41">
        <v>24</v>
      </c>
    </row>
    <row r="1403" ht="12.9" customHeight="1">
      <c r="S1403" t="s" s="40">
        <v>722</v>
      </c>
      <c r="T1403" s="41">
        <v>4</v>
      </c>
    </row>
    <row r="1404" ht="12.9" customHeight="1">
      <c r="S1404" t="s" s="40">
        <v>50</v>
      </c>
      <c r="T1404" s="41">
        <v>70</v>
      </c>
    </row>
    <row r="1405" ht="12.9" customHeight="1">
      <c r="S1405" t="s" s="40">
        <v>977</v>
      </c>
      <c r="T1405" s="41">
        <v>2</v>
      </c>
    </row>
    <row r="1406" ht="12.9" customHeight="1">
      <c r="S1406" t="s" s="40">
        <v>48</v>
      </c>
      <c r="T1406" s="41">
        <v>16</v>
      </c>
    </row>
    <row r="1407" ht="12.9" customHeight="1">
      <c r="S1407" t="s" s="40">
        <v>998</v>
      </c>
      <c r="T1407" s="41">
        <v>10</v>
      </c>
    </row>
    <row r="1408" ht="12.9" customHeight="1">
      <c r="S1408" t="s" s="40">
        <v>1155</v>
      </c>
      <c r="T1408" s="41">
        <v>4</v>
      </c>
    </row>
    <row r="1409" ht="12.9" customHeight="1">
      <c r="S1409" t="s" s="40">
        <v>489</v>
      </c>
      <c r="T1409" s="41">
        <v>1</v>
      </c>
    </row>
    <row r="1410" ht="12.9" customHeight="1">
      <c r="S1410" t="s" s="40">
        <v>491</v>
      </c>
      <c r="T1410" s="41">
        <v>3</v>
      </c>
    </row>
    <row r="1411" ht="12.9" customHeight="1">
      <c r="S1411" t="s" s="40">
        <v>824</v>
      </c>
      <c r="T1411" s="41">
        <v>1</v>
      </c>
    </row>
    <row r="1412" ht="12.9" customHeight="1">
      <c r="S1412" t="s" s="40">
        <v>493</v>
      </c>
      <c r="T1412" s="41">
        <v>1</v>
      </c>
    </row>
    <row r="1413" ht="12.9" customHeight="1">
      <c r="S1413" t="s" s="40">
        <v>143</v>
      </c>
      <c r="T1413" s="41">
        <v>1</v>
      </c>
    </row>
    <row r="1414" ht="12.9" customHeight="1">
      <c r="S1414" t="s" s="40">
        <v>59</v>
      </c>
      <c r="T1414" s="41">
        <v>10</v>
      </c>
    </row>
    <row r="1415" ht="12.9" customHeight="1">
      <c r="S1415" t="s" s="40">
        <v>73</v>
      </c>
      <c r="T1415" s="41">
        <v>15</v>
      </c>
    </row>
    <row r="1416" ht="12.9" customHeight="1">
      <c r="S1416" t="s" s="40">
        <v>526</v>
      </c>
      <c r="T1416" s="41">
        <v>4</v>
      </c>
    </row>
    <row r="1417" ht="12.9" customHeight="1">
      <c r="S1417" t="s" s="40">
        <v>27</v>
      </c>
      <c r="T1417" s="41">
        <v>20</v>
      </c>
    </row>
    <row r="1418" ht="12.9" customHeight="1">
      <c r="S1418" t="s" s="40">
        <v>559</v>
      </c>
      <c r="T1418" s="41">
        <v>3016</v>
      </c>
    </row>
    <row r="1419" ht="12.9" customHeight="1">
      <c r="S1419" t="s" s="40">
        <v>15</v>
      </c>
      <c r="T1419" s="41">
        <v>6</v>
      </c>
    </row>
    <row r="1420" ht="12.9" customHeight="1">
      <c r="S1420" t="s" s="40">
        <v>1456</v>
      </c>
      <c r="T1420" s="41">
        <v>1</v>
      </c>
    </row>
    <row r="1421" ht="12.9" customHeight="1">
      <c r="S1421" t="s" s="40">
        <v>207</v>
      </c>
      <c r="T1421" s="41">
        <v>10</v>
      </c>
    </row>
    <row r="1422" ht="12.9" customHeight="1">
      <c r="S1422" t="s" s="40">
        <v>1428</v>
      </c>
      <c r="T1422" s="41">
        <v>1</v>
      </c>
    </row>
    <row r="1423" ht="12.9" customHeight="1">
      <c r="S1423" t="s" s="40">
        <v>724</v>
      </c>
      <c r="T1423" s="41">
        <v>2</v>
      </c>
    </row>
    <row r="1424" ht="12.9" customHeight="1">
      <c r="S1424" t="s" s="40">
        <v>442</v>
      </c>
      <c r="T1424" s="41">
        <v>1</v>
      </c>
    </row>
    <row r="1425" ht="12.9" customHeight="1">
      <c r="S1425" t="s" s="40">
        <v>1482</v>
      </c>
      <c r="T1425" s="41">
        <v>3</v>
      </c>
    </row>
    <row r="1426" ht="12.9" customHeight="1">
      <c r="S1426" t="s" s="40">
        <v>1290</v>
      </c>
      <c r="T1426" s="41">
        <v>1</v>
      </c>
    </row>
    <row r="1427" ht="12.9" customHeight="1">
      <c r="S1427" t="s" s="40">
        <v>1362</v>
      </c>
      <c r="T1427" s="41">
        <v>1</v>
      </c>
    </row>
    <row r="1428" ht="12.9" customHeight="1">
      <c r="S1428" t="s" s="40">
        <v>1364</v>
      </c>
      <c r="T1428" s="41">
        <v>1</v>
      </c>
    </row>
    <row r="1429" ht="12.9" customHeight="1">
      <c r="S1429" t="s" s="40">
        <v>402</v>
      </c>
      <c r="T1429" s="41">
        <v>3</v>
      </c>
    </row>
    <row r="1430" ht="12.9" customHeight="1">
      <c r="S1430" t="s" s="40">
        <v>404</v>
      </c>
      <c r="T1430" s="41">
        <v>1</v>
      </c>
    </row>
    <row r="1431" ht="12.9" customHeight="1">
      <c r="S1431" t="s" s="40">
        <v>1355</v>
      </c>
      <c r="T1431" s="41">
        <v>24</v>
      </c>
    </row>
    <row r="1432" ht="12.9" customHeight="1">
      <c r="S1432" t="s" s="40">
        <v>445</v>
      </c>
      <c r="T1432" s="41">
        <v>2</v>
      </c>
    </row>
    <row r="1433" ht="12.9" customHeight="1">
      <c r="S1433" t="s" s="40">
        <v>645</v>
      </c>
      <c r="T1433" s="41">
        <v>2</v>
      </c>
    </row>
    <row r="1434" ht="12.9" customHeight="1">
      <c r="S1434" t="s" s="40">
        <v>1162</v>
      </c>
      <c r="T1434" s="41">
        <v>8</v>
      </c>
    </row>
    <row r="1435" ht="12.9" customHeight="1">
      <c r="S1435" t="s" s="40">
        <v>1292</v>
      </c>
      <c r="T1435" s="41">
        <v>20</v>
      </c>
    </row>
    <row r="1436" ht="12.9" customHeight="1">
      <c r="S1436" t="s" s="40">
        <v>1296</v>
      </c>
      <c r="T1436" s="41">
        <v>20</v>
      </c>
    </row>
    <row r="1437" ht="12.9" customHeight="1">
      <c r="S1437" t="s" s="40">
        <v>1298</v>
      </c>
      <c r="T1437" s="41">
        <v>1</v>
      </c>
    </row>
    <row r="1438" ht="12.9" customHeight="1">
      <c r="S1438" t="s" s="40">
        <v>1300</v>
      </c>
      <c r="T1438" s="41">
        <v>1</v>
      </c>
    </row>
    <row r="1439" ht="12.9" customHeight="1">
      <c r="S1439" t="s" s="40">
        <v>1294</v>
      </c>
      <c r="T1439" s="41">
        <v>20</v>
      </c>
    </row>
    <row r="1440" ht="12.9" customHeight="1">
      <c r="S1440" t="s" s="40">
        <v>1264</v>
      </c>
      <c r="T1440" s="41">
        <v>4</v>
      </c>
    </row>
    <row r="1441" ht="12.9" customHeight="1">
      <c r="S1441" t="s" s="40">
        <v>1360</v>
      </c>
      <c r="T1441" s="41">
        <v>1</v>
      </c>
    </row>
    <row r="1442" ht="12.9" customHeight="1">
      <c r="S1442" t="s" s="40">
        <v>1486</v>
      </c>
      <c r="T1442" s="41">
        <v>4</v>
      </c>
    </row>
    <row r="1443" ht="12.9" customHeight="1">
      <c r="S1443" t="s" s="40">
        <v>1308</v>
      </c>
      <c r="T1443" s="41">
        <v>2</v>
      </c>
    </row>
    <row r="1444" ht="12.9" customHeight="1">
      <c r="S1444" t="s" s="40">
        <v>254</v>
      </c>
      <c r="T1444" s="41">
        <v>6</v>
      </c>
    </row>
    <row r="1445" ht="12.9" customHeight="1">
      <c r="S1445" t="s" s="40">
        <v>63</v>
      </c>
      <c r="T1445" s="41">
        <v>15</v>
      </c>
    </row>
    <row r="1446" ht="12.9" customHeight="1">
      <c r="S1446" t="s" s="40">
        <v>47</v>
      </c>
      <c r="T1446" s="41">
        <v>8</v>
      </c>
    </row>
    <row r="1447" ht="12.9" customHeight="1">
      <c r="S1447" t="s" s="40">
        <v>1236</v>
      </c>
      <c r="T1447" s="41">
        <v>2</v>
      </c>
    </row>
    <row r="1448" ht="12.9" customHeight="1">
      <c r="S1448" t="s" s="40">
        <v>861</v>
      </c>
      <c r="T1448" s="41">
        <v>3</v>
      </c>
    </row>
    <row r="1449" ht="12.9" customHeight="1">
      <c r="S1449" t="s" s="40">
        <v>762</v>
      </c>
      <c r="T1449" s="41">
        <v>2</v>
      </c>
    </row>
    <row r="1450" ht="12.9" customHeight="1">
      <c r="S1450" t="s" s="40">
        <v>726</v>
      </c>
      <c r="T1450" s="41">
        <v>1</v>
      </c>
    </row>
    <row r="1451" ht="12.9" customHeight="1">
      <c r="S1451" t="s" s="40">
        <v>1394</v>
      </c>
      <c r="T1451" s="41">
        <v>1</v>
      </c>
    </row>
    <row r="1452" ht="13.1" customHeight="1">
      <c r="S1452" t="s" s="42">
        <v>1204</v>
      </c>
      <c r="T1452" s="43">
        <v>2</v>
      </c>
    </row>
    <row r="1453" ht="13.1" customHeight="1">
      <c r="S1453" t="s" s="44">
        <v>620</v>
      </c>
      <c r="T1453" s="34">
        <v>6294</v>
      </c>
    </row>
  </sheetData>
  <mergeCells count="4">
    <mergeCell ref="B1:I1"/>
    <mergeCell ref="J429:P429"/>
    <mergeCell ref="Q1203:R1203"/>
    <mergeCell ref="S1329:T1329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14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6.3516" style="94" customWidth="1"/>
    <col min="2" max="2" width="24.7656" style="94" customWidth="1"/>
    <col min="3" max="3" width="16.3516" style="94" customWidth="1"/>
    <col min="4" max="4" width="30.7578" style="94" customWidth="1"/>
    <col min="5" max="5" width="58.1797" style="94" customWidth="1"/>
    <col min="6" max="8" width="16.3516" style="94" customWidth="1"/>
    <col min="9" max="9" width="31.25" style="95" customWidth="1"/>
    <col min="10" max="10" width="9.5" style="95" customWidth="1"/>
    <col min="11" max="11" width="16.3516" style="95" customWidth="1"/>
    <col min="12" max="12" width="12.8516" style="95" customWidth="1"/>
    <col min="13" max="13" width="17.3516" style="95" customWidth="1"/>
    <col min="14" max="14" width="13.3516" style="95" customWidth="1"/>
    <col min="15" max="15" width="18.1719" style="95" customWidth="1"/>
    <col min="16" max="16" width="31.6719" style="101" customWidth="1"/>
    <col min="17" max="17" width="13.3516" style="101" customWidth="1"/>
    <col min="18" max="18" width="31.6719" style="102" customWidth="1"/>
    <col min="19" max="19" width="13.3516" style="102" customWidth="1"/>
    <col min="20" max="16384" width="16.3516" style="102" customWidth="1"/>
  </cols>
  <sheetData>
    <row r="1" ht="15.55" customHeight="1">
      <c r="A1" t="s" s="2">
        <v>1507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1508</v>
      </c>
      <c r="B3" t="s" s="5">
        <v>1509</v>
      </c>
      <c r="C3" s="6">
        <v>45473.739218240742</v>
      </c>
      <c r="D3" t="s" s="7">
        <v>35</v>
      </c>
      <c r="E3" t="s" s="7">
        <v>36</v>
      </c>
      <c r="F3" s="8">
        <v>2</v>
      </c>
      <c r="G3" s="9">
        <v>49.99</v>
      </c>
      <c r="H3" s="9">
        <v>99.98</v>
      </c>
    </row>
    <row r="4" ht="12.9" customHeight="1">
      <c r="A4" t="s" s="10">
        <v>1510</v>
      </c>
      <c r="B4" t="s" s="11">
        <v>1511</v>
      </c>
      <c r="C4" s="12">
        <v>45473.291522743057</v>
      </c>
      <c r="D4" t="s" s="13">
        <v>73</v>
      </c>
      <c r="E4" t="s" s="13">
        <v>74</v>
      </c>
      <c r="F4" s="14">
        <v>1</v>
      </c>
      <c r="G4" s="15">
        <v>399.99</v>
      </c>
      <c r="H4" s="15">
        <v>399.99</v>
      </c>
    </row>
    <row r="5" ht="12.9" customHeight="1">
      <c r="A5" t="s" s="10">
        <v>1512</v>
      </c>
      <c r="B5" t="s" s="11">
        <v>1513</v>
      </c>
      <c r="C5" s="12">
        <v>45472.892330277777</v>
      </c>
      <c r="D5" t="s" s="13">
        <v>146</v>
      </c>
      <c r="E5" t="s" s="13">
        <v>147</v>
      </c>
      <c r="F5" s="14">
        <v>1</v>
      </c>
      <c r="G5" s="15">
        <v>19.99</v>
      </c>
      <c r="H5" s="15">
        <v>19.99</v>
      </c>
    </row>
    <row r="6" ht="12.9" customHeight="1">
      <c r="A6" t="s" s="10">
        <v>1514</v>
      </c>
      <c r="B6" t="s" s="11">
        <v>1515</v>
      </c>
      <c r="C6" s="12">
        <v>45471.871126851853</v>
      </c>
      <c r="D6" t="s" s="13">
        <v>11</v>
      </c>
      <c r="E6" t="s" s="13">
        <v>12</v>
      </c>
      <c r="F6" s="14">
        <v>1</v>
      </c>
      <c r="G6" s="15">
        <v>399.99</v>
      </c>
      <c r="H6" s="15">
        <v>399.99</v>
      </c>
    </row>
    <row r="7" ht="12.9" customHeight="1">
      <c r="A7" t="s" s="10">
        <v>1516</v>
      </c>
      <c r="B7" t="s" s="11">
        <v>1517</v>
      </c>
      <c r="C7" s="12">
        <v>45471.784601087966</v>
      </c>
      <c r="D7" t="s" s="13">
        <v>15</v>
      </c>
      <c r="E7" t="s" s="13">
        <v>16</v>
      </c>
      <c r="F7" s="14">
        <v>7</v>
      </c>
      <c r="G7" s="15">
        <v>9.99</v>
      </c>
      <c r="H7" s="15">
        <v>69.93000000000001</v>
      </c>
    </row>
    <row r="8" ht="12.9" customHeight="1">
      <c r="A8" t="s" s="10">
        <v>1518</v>
      </c>
      <c r="B8" t="s" s="11">
        <v>1519</v>
      </c>
      <c r="C8" s="12">
        <v>45471.591092210649</v>
      </c>
      <c r="D8" t="s" s="13">
        <v>35</v>
      </c>
      <c r="E8" t="s" s="13">
        <v>36</v>
      </c>
      <c r="F8" s="14">
        <v>2</v>
      </c>
      <c r="G8" s="15">
        <v>49.99</v>
      </c>
      <c r="H8" s="15">
        <v>99.98</v>
      </c>
    </row>
    <row r="9" ht="12.9" customHeight="1">
      <c r="A9" t="s" s="10">
        <v>1520</v>
      </c>
      <c r="B9" t="s" s="11">
        <v>1521</v>
      </c>
      <c r="C9" s="12">
        <v>45471.2011099537</v>
      </c>
      <c r="D9" t="s" s="13">
        <v>50</v>
      </c>
      <c r="E9" t="s" s="13">
        <v>83</v>
      </c>
      <c r="F9" s="14">
        <v>2</v>
      </c>
      <c r="G9" s="15">
        <v>29.99</v>
      </c>
      <c r="H9" s="15">
        <v>59.98</v>
      </c>
    </row>
    <row r="10" ht="12.9" customHeight="1">
      <c r="A10" t="s" s="10">
        <v>1522</v>
      </c>
      <c r="B10" t="s" s="11">
        <v>202</v>
      </c>
      <c r="C10" s="12">
        <v>45471.093331215277</v>
      </c>
      <c r="D10" t="s" s="13">
        <v>179</v>
      </c>
      <c r="E10" t="s" s="13">
        <v>180</v>
      </c>
      <c r="F10" s="14">
        <v>4</v>
      </c>
      <c r="G10" s="15">
        <v>49.99</v>
      </c>
      <c r="H10" s="15">
        <v>199.96</v>
      </c>
    </row>
    <row r="11" ht="12.9" customHeight="1">
      <c r="A11" t="s" s="10">
        <v>1523</v>
      </c>
      <c r="B11" t="s" s="11">
        <v>1524</v>
      </c>
      <c r="C11" s="12">
        <v>45470.969317881943</v>
      </c>
      <c r="D11" t="s" s="13">
        <v>31</v>
      </c>
      <c r="E11" t="s" s="13">
        <v>32</v>
      </c>
      <c r="F11" s="14">
        <v>1</v>
      </c>
      <c r="G11" s="15">
        <v>591.65</v>
      </c>
      <c r="H11" s="15">
        <v>591.65</v>
      </c>
    </row>
    <row r="12" ht="12.9" customHeight="1">
      <c r="A12" t="s" s="10">
        <v>1523</v>
      </c>
      <c r="B12" t="s" s="11">
        <v>1524</v>
      </c>
      <c r="C12" s="12">
        <v>45470.969317881943</v>
      </c>
      <c r="D12" t="s" s="13">
        <v>35</v>
      </c>
      <c r="E12" t="s" s="13">
        <v>36</v>
      </c>
      <c r="F12" s="14">
        <v>2</v>
      </c>
      <c r="G12" s="15">
        <v>41.66</v>
      </c>
      <c r="H12" s="15">
        <v>83.31999999999999</v>
      </c>
    </row>
    <row r="13" ht="12.9" customHeight="1">
      <c r="A13" t="s" s="10">
        <v>1525</v>
      </c>
      <c r="B13" t="s" s="11">
        <v>1526</v>
      </c>
      <c r="C13" s="12">
        <v>45470.959676388891</v>
      </c>
      <c r="D13" t="s" s="13">
        <v>19</v>
      </c>
      <c r="E13" t="s" s="13">
        <v>20</v>
      </c>
      <c r="F13" s="14">
        <v>1</v>
      </c>
      <c r="G13" s="15">
        <v>119.99</v>
      </c>
      <c r="H13" s="15">
        <v>119.99</v>
      </c>
    </row>
    <row r="14" ht="12.9" customHeight="1">
      <c r="A14" t="s" s="10">
        <v>1527</v>
      </c>
      <c r="B14" t="s" s="11">
        <v>1528</v>
      </c>
      <c r="C14" s="12">
        <v>45470.749888715276</v>
      </c>
      <c r="D14" t="s" s="13">
        <v>48</v>
      </c>
      <c r="E14" t="s" s="13">
        <v>49</v>
      </c>
      <c r="F14" s="14">
        <v>3</v>
      </c>
      <c r="G14" s="15">
        <v>1299.99</v>
      </c>
      <c r="H14" s="15">
        <v>3899.97</v>
      </c>
    </row>
    <row r="15" ht="12.9" customHeight="1">
      <c r="A15" t="s" s="10">
        <v>1527</v>
      </c>
      <c r="B15" t="s" s="11">
        <v>1528</v>
      </c>
      <c r="C15" s="12">
        <v>45470.749888715276</v>
      </c>
      <c r="D15" t="s" s="13">
        <v>50</v>
      </c>
      <c r="E15" t="s" s="13">
        <v>83</v>
      </c>
      <c r="F15" s="14">
        <v>3</v>
      </c>
      <c r="G15" s="15">
        <v>0</v>
      </c>
      <c r="H15" s="15">
        <v>0</v>
      </c>
    </row>
    <row r="16" ht="12.9" customHeight="1">
      <c r="A16" t="s" s="10">
        <v>1527</v>
      </c>
      <c r="B16" t="s" s="11">
        <v>1528</v>
      </c>
      <c r="C16" s="12">
        <v>45470.749888715276</v>
      </c>
      <c r="D16" t="s" s="13">
        <v>52</v>
      </c>
      <c r="E16" t="s" s="13">
        <v>321</v>
      </c>
      <c r="F16" s="14">
        <v>3</v>
      </c>
      <c r="G16" s="15">
        <v>0</v>
      </c>
      <c r="H16" s="15">
        <v>0</v>
      </c>
    </row>
    <row r="17" ht="12.9" customHeight="1">
      <c r="A17" t="s" s="10">
        <v>1527</v>
      </c>
      <c r="B17" t="s" s="11">
        <v>1528</v>
      </c>
      <c r="C17" s="12">
        <v>45470.749888715276</v>
      </c>
      <c r="D17" t="s" s="13">
        <v>84</v>
      </c>
      <c r="E17" t="s" s="13">
        <v>85</v>
      </c>
      <c r="F17" s="14">
        <v>3</v>
      </c>
      <c r="G17" s="15">
        <v>0</v>
      </c>
      <c r="H17" s="15">
        <v>0</v>
      </c>
    </row>
    <row r="18" ht="12.9" customHeight="1">
      <c r="A18" t="s" s="10">
        <v>1527</v>
      </c>
      <c r="B18" t="s" s="11">
        <v>1528</v>
      </c>
      <c r="C18" s="12">
        <v>45470.749888715276</v>
      </c>
      <c r="D18" t="s" s="13">
        <v>602</v>
      </c>
      <c r="E18" t="s" s="13">
        <v>686</v>
      </c>
      <c r="F18" s="14">
        <v>3</v>
      </c>
      <c r="G18" s="15">
        <v>175</v>
      </c>
      <c r="H18" s="15">
        <v>525</v>
      </c>
    </row>
    <row r="19" ht="12.9" customHeight="1">
      <c r="A19" t="s" s="10">
        <v>1529</v>
      </c>
      <c r="B19" t="s" s="11">
        <v>1530</v>
      </c>
      <c r="C19" s="12">
        <v>45470.693787916665</v>
      </c>
      <c r="D19" t="s" s="13">
        <v>89</v>
      </c>
      <c r="E19" t="s" s="13">
        <v>90</v>
      </c>
      <c r="F19" s="14">
        <v>1</v>
      </c>
      <c r="G19" s="15">
        <v>59.99</v>
      </c>
      <c r="H19" s="15">
        <v>59.99</v>
      </c>
    </row>
    <row r="20" ht="12.9" customHeight="1">
      <c r="A20" t="s" s="10">
        <v>1531</v>
      </c>
      <c r="B20" t="s" s="11">
        <v>1532</v>
      </c>
      <c r="C20" s="12">
        <v>45470.257168379627</v>
      </c>
      <c r="D20" t="s" s="13">
        <v>171</v>
      </c>
      <c r="E20" t="s" s="13">
        <v>172</v>
      </c>
      <c r="F20" s="14">
        <v>2</v>
      </c>
      <c r="G20" s="15">
        <v>549.99</v>
      </c>
      <c r="H20" s="15">
        <v>1099.98</v>
      </c>
    </row>
    <row r="21" ht="12.9" customHeight="1">
      <c r="A21" t="s" s="10">
        <v>1533</v>
      </c>
      <c r="B21" t="s" s="11">
        <v>1534</v>
      </c>
      <c r="C21" s="12">
        <v>45470.168527511574</v>
      </c>
      <c r="D21" t="s" s="13">
        <v>139</v>
      </c>
      <c r="E21" t="s" s="13">
        <v>140</v>
      </c>
      <c r="F21" s="14">
        <v>1</v>
      </c>
      <c r="G21" s="15">
        <v>49.99</v>
      </c>
      <c r="H21" s="15">
        <v>49.99</v>
      </c>
    </row>
    <row r="22" ht="12.9" customHeight="1">
      <c r="A22" t="s" s="10">
        <v>1533</v>
      </c>
      <c r="B22" t="s" s="11">
        <v>1534</v>
      </c>
      <c r="C22" s="12">
        <v>45470.168527511574</v>
      </c>
      <c r="D22" t="s" s="13">
        <v>15</v>
      </c>
      <c r="E22" t="s" s="13">
        <v>16</v>
      </c>
      <c r="F22" s="14">
        <v>1</v>
      </c>
      <c r="G22" s="15">
        <v>0</v>
      </c>
      <c r="H22" s="15">
        <v>0</v>
      </c>
    </row>
    <row r="23" ht="12.9" customHeight="1">
      <c r="A23" t="s" s="10">
        <v>1535</v>
      </c>
      <c r="B23" t="s" s="11">
        <v>1536</v>
      </c>
      <c r="C23" s="12">
        <v>45470</v>
      </c>
      <c r="D23" t="s" s="13">
        <v>63</v>
      </c>
      <c r="E23" s="16"/>
      <c r="F23" s="14">
        <v>1</v>
      </c>
      <c r="G23" s="15">
        <v>53.55</v>
      </c>
      <c r="H23" s="15">
        <v>53.55</v>
      </c>
    </row>
    <row r="24" ht="12.9" customHeight="1">
      <c r="A24" t="s" s="10">
        <v>1535</v>
      </c>
      <c r="B24" t="s" s="11">
        <v>1536</v>
      </c>
      <c r="C24" s="12">
        <v>45470</v>
      </c>
      <c r="D24" t="s" s="13">
        <v>50</v>
      </c>
      <c r="E24" t="s" s="13">
        <v>83</v>
      </c>
      <c r="F24" s="14">
        <v>3</v>
      </c>
      <c r="G24" s="15">
        <v>29.99</v>
      </c>
      <c r="H24" s="15">
        <v>89.97</v>
      </c>
    </row>
    <row r="25" ht="12.9" customHeight="1">
      <c r="A25" t="s" s="10">
        <v>1537</v>
      </c>
      <c r="B25" t="s" s="11">
        <v>1074</v>
      </c>
      <c r="C25" s="12">
        <v>45469.797124085650</v>
      </c>
      <c r="D25" t="s" s="13">
        <v>95</v>
      </c>
      <c r="E25" t="s" s="13">
        <v>12</v>
      </c>
      <c r="F25" s="14">
        <v>1</v>
      </c>
      <c r="G25" s="15">
        <v>349.99</v>
      </c>
      <c r="H25" s="15">
        <v>349.99</v>
      </c>
    </row>
    <row r="26" ht="12.9" customHeight="1">
      <c r="A26" t="s" s="10">
        <v>1538</v>
      </c>
      <c r="B26" t="s" s="11">
        <v>1539</v>
      </c>
      <c r="C26" s="12">
        <v>45469.670182442133</v>
      </c>
      <c r="D26" t="s" s="13">
        <v>73</v>
      </c>
      <c r="E26" t="s" s="13">
        <v>74</v>
      </c>
      <c r="F26" s="14">
        <v>1</v>
      </c>
      <c r="G26" s="15">
        <v>399.99</v>
      </c>
      <c r="H26" s="15">
        <v>399.99</v>
      </c>
    </row>
    <row r="27" ht="12.9" customHeight="1">
      <c r="A27" t="s" s="10">
        <v>1540</v>
      </c>
      <c r="B27" t="s" s="11">
        <v>1541</v>
      </c>
      <c r="C27" s="12">
        <v>45469.649453842590</v>
      </c>
      <c r="D27" t="s" s="13">
        <v>35</v>
      </c>
      <c r="E27" t="s" s="13">
        <v>36</v>
      </c>
      <c r="F27" s="14">
        <v>1</v>
      </c>
      <c r="G27" s="15">
        <v>49.99</v>
      </c>
      <c r="H27" s="15">
        <v>49.99</v>
      </c>
    </row>
    <row r="28" ht="12.9" customHeight="1">
      <c r="A28" t="s" s="10">
        <v>1542</v>
      </c>
      <c r="B28" t="s" s="11">
        <v>1543</v>
      </c>
      <c r="C28" s="12">
        <v>45469.003802164349</v>
      </c>
      <c r="D28" t="s" s="13">
        <v>146</v>
      </c>
      <c r="E28" t="s" s="13">
        <v>147</v>
      </c>
      <c r="F28" s="14">
        <v>1</v>
      </c>
      <c r="G28" s="15">
        <v>19.99</v>
      </c>
      <c r="H28" s="15">
        <v>19.99</v>
      </c>
    </row>
    <row r="29" ht="12.9" customHeight="1">
      <c r="A29" t="s" s="10">
        <v>1542</v>
      </c>
      <c r="B29" t="s" s="11">
        <v>1543</v>
      </c>
      <c r="C29" s="12">
        <v>45469.003802164349</v>
      </c>
      <c r="D29" t="s" s="13">
        <v>77</v>
      </c>
      <c r="E29" t="s" s="13">
        <v>78</v>
      </c>
      <c r="F29" s="14">
        <v>1</v>
      </c>
      <c r="G29" s="15">
        <v>19.99</v>
      </c>
      <c r="H29" s="15">
        <v>19.99</v>
      </c>
    </row>
    <row r="30" ht="12.9" customHeight="1">
      <c r="A30" t="s" s="10">
        <v>1542</v>
      </c>
      <c r="B30" t="s" s="11">
        <v>1543</v>
      </c>
      <c r="C30" s="12">
        <v>45469.003802164349</v>
      </c>
      <c r="D30" t="s" s="13">
        <v>39</v>
      </c>
      <c r="E30" t="s" s="13">
        <v>40</v>
      </c>
      <c r="F30" s="14">
        <v>1</v>
      </c>
      <c r="G30" s="15">
        <v>109.99</v>
      </c>
      <c r="H30" s="15">
        <v>109.99</v>
      </c>
    </row>
    <row r="31" ht="12.9" customHeight="1">
      <c r="A31" t="s" s="10">
        <v>1544</v>
      </c>
      <c r="B31" t="s" s="11">
        <v>1545</v>
      </c>
      <c r="C31" s="12">
        <v>45469</v>
      </c>
      <c r="D31" t="s" s="13">
        <v>1546</v>
      </c>
      <c r="E31" t="s" s="13">
        <v>1547</v>
      </c>
      <c r="F31" s="14">
        <v>1</v>
      </c>
      <c r="G31" s="15">
        <v>350</v>
      </c>
      <c r="H31" s="15">
        <v>350</v>
      </c>
    </row>
    <row r="32" ht="12.9" customHeight="1">
      <c r="A32" t="s" s="10">
        <v>1544</v>
      </c>
      <c r="B32" t="s" s="11">
        <v>1545</v>
      </c>
      <c r="C32" s="12">
        <v>45469</v>
      </c>
      <c r="D32" t="s" s="13">
        <v>861</v>
      </c>
      <c r="E32" s="16"/>
      <c r="F32" s="14">
        <v>1</v>
      </c>
      <c r="G32" s="15">
        <v>218.75</v>
      </c>
      <c r="H32" s="15">
        <v>218.75</v>
      </c>
    </row>
    <row r="33" ht="12.9" customHeight="1">
      <c r="A33" t="s" s="10">
        <v>1544</v>
      </c>
      <c r="B33" t="s" s="11">
        <v>1545</v>
      </c>
      <c r="C33" s="12">
        <v>45469</v>
      </c>
      <c r="D33" t="s" s="13">
        <v>73</v>
      </c>
      <c r="E33" t="s" s="13">
        <v>74</v>
      </c>
      <c r="F33" s="14">
        <v>1</v>
      </c>
      <c r="G33" s="15">
        <v>399.99</v>
      </c>
      <c r="H33" s="15">
        <v>399.99</v>
      </c>
    </row>
    <row r="34" ht="12.9" customHeight="1">
      <c r="A34" t="s" s="10">
        <v>1544</v>
      </c>
      <c r="B34" t="s" s="11">
        <v>1545</v>
      </c>
      <c r="C34" s="12">
        <v>45469</v>
      </c>
      <c r="D34" t="s" s="13">
        <v>59</v>
      </c>
      <c r="E34" t="s" s="13">
        <v>60</v>
      </c>
      <c r="F34" s="14">
        <v>1</v>
      </c>
      <c r="G34" s="15">
        <v>1199.99</v>
      </c>
      <c r="H34" s="15">
        <v>1199.99</v>
      </c>
    </row>
    <row r="35" ht="12.9" customHeight="1">
      <c r="A35" t="s" s="10">
        <v>1544</v>
      </c>
      <c r="B35" t="s" s="11">
        <v>1545</v>
      </c>
      <c r="C35" s="12">
        <v>45469</v>
      </c>
      <c r="D35" t="s" s="13">
        <v>171</v>
      </c>
      <c r="E35" t="s" s="13">
        <v>172</v>
      </c>
      <c r="F35" s="14">
        <v>1</v>
      </c>
      <c r="G35" s="15">
        <v>549.99</v>
      </c>
      <c r="H35" s="15">
        <v>549.99</v>
      </c>
    </row>
    <row r="36" ht="12.9" customHeight="1">
      <c r="A36" t="s" s="10">
        <v>1548</v>
      </c>
      <c r="B36" t="s" s="11">
        <v>42</v>
      </c>
      <c r="C36" s="12">
        <v>45469</v>
      </c>
      <c r="D36" t="s" s="13">
        <v>315</v>
      </c>
      <c r="E36" t="s" s="13">
        <v>316</v>
      </c>
      <c r="F36" s="14">
        <v>100</v>
      </c>
      <c r="G36" s="15">
        <v>0</v>
      </c>
      <c r="H36" s="15">
        <v>0</v>
      </c>
    </row>
    <row r="37" ht="12.9" customHeight="1">
      <c r="A37" t="s" s="10">
        <v>1549</v>
      </c>
      <c r="B37" t="s" s="11">
        <v>42</v>
      </c>
      <c r="C37" s="12">
        <v>45469</v>
      </c>
      <c r="D37" t="s" s="13">
        <v>47</v>
      </c>
      <c r="E37" s="16"/>
      <c r="F37" s="14">
        <v>1</v>
      </c>
      <c r="G37" s="15">
        <v>680</v>
      </c>
      <c r="H37" s="15">
        <v>680</v>
      </c>
    </row>
    <row r="38" ht="12.9" customHeight="1">
      <c r="A38" t="s" s="10">
        <v>1549</v>
      </c>
      <c r="B38" t="s" s="11">
        <v>42</v>
      </c>
      <c r="C38" s="12">
        <v>45469</v>
      </c>
      <c r="D38" t="s" s="13">
        <v>1550</v>
      </c>
      <c r="E38" t="s" s="13">
        <v>1551</v>
      </c>
      <c r="F38" s="14">
        <v>10</v>
      </c>
      <c r="G38" s="15">
        <v>3500</v>
      </c>
      <c r="H38" s="15">
        <v>35000</v>
      </c>
    </row>
    <row r="39" ht="12.9" customHeight="1">
      <c r="A39" t="s" s="10">
        <v>1549</v>
      </c>
      <c r="B39" t="s" s="11">
        <v>42</v>
      </c>
      <c r="C39" s="12">
        <v>45469</v>
      </c>
      <c r="D39" t="s" s="13">
        <v>317</v>
      </c>
      <c r="E39" t="s" s="13">
        <v>318</v>
      </c>
      <c r="F39" s="14">
        <v>20</v>
      </c>
      <c r="G39" s="15">
        <v>37.4925</v>
      </c>
      <c r="H39" s="15">
        <v>749.85</v>
      </c>
    </row>
    <row r="40" ht="12.9" customHeight="1">
      <c r="A40" t="s" s="10">
        <v>1552</v>
      </c>
      <c r="B40" t="s" s="11">
        <v>1553</v>
      </c>
      <c r="C40" s="12">
        <v>45468.964734409725</v>
      </c>
      <c r="D40" t="s" s="13">
        <v>23</v>
      </c>
      <c r="E40" t="s" s="13">
        <v>24</v>
      </c>
      <c r="F40" s="14">
        <v>1</v>
      </c>
      <c r="G40" s="15">
        <v>149.99</v>
      </c>
      <c r="H40" s="15">
        <v>149.99</v>
      </c>
    </row>
    <row r="41" ht="12.9" customHeight="1">
      <c r="A41" t="s" s="10">
        <v>1552</v>
      </c>
      <c r="B41" t="s" s="11">
        <v>1553</v>
      </c>
      <c r="C41" s="12">
        <v>45468.964734409725</v>
      </c>
      <c r="D41" t="s" s="13">
        <v>15</v>
      </c>
      <c r="E41" t="s" s="13">
        <v>16</v>
      </c>
      <c r="F41" s="14">
        <v>1</v>
      </c>
      <c r="G41" s="15">
        <v>9.99</v>
      </c>
      <c r="H41" s="15">
        <v>9.99</v>
      </c>
    </row>
    <row r="42" ht="12.9" customHeight="1">
      <c r="A42" t="s" s="10">
        <v>1554</v>
      </c>
      <c r="B42" t="s" s="11">
        <v>1555</v>
      </c>
      <c r="C42" s="12">
        <v>45468.804080208334</v>
      </c>
      <c r="D42" t="s" s="13">
        <v>11</v>
      </c>
      <c r="E42" t="s" s="13">
        <v>12</v>
      </c>
      <c r="F42" s="14">
        <v>1</v>
      </c>
      <c r="G42" s="15">
        <v>399.99</v>
      </c>
      <c r="H42" s="15">
        <v>399.99</v>
      </c>
    </row>
    <row r="43" ht="12.9" customHeight="1">
      <c r="A43" t="s" s="10">
        <v>1556</v>
      </c>
      <c r="B43" t="s" s="11">
        <v>1557</v>
      </c>
      <c r="C43" s="12">
        <v>45468.5318290162</v>
      </c>
      <c r="D43" t="s" s="13">
        <v>89</v>
      </c>
      <c r="E43" t="s" s="13">
        <v>90</v>
      </c>
      <c r="F43" s="14">
        <v>1</v>
      </c>
      <c r="G43" s="15">
        <v>59.99</v>
      </c>
      <c r="H43" s="15">
        <v>59.99</v>
      </c>
    </row>
    <row r="44" ht="12.9" customHeight="1">
      <c r="A44" t="s" s="10">
        <v>1558</v>
      </c>
      <c r="B44" t="s" s="11">
        <v>1559</v>
      </c>
      <c r="C44" s="12">
        <v>45468.429176793979</v>
      </c>
      <c r="D44" t="s" s="13">
        <v>35</v>
      </c>
      <c r="E44" t="s" s="13">
        <v>36</v>
      </c>
      <c r="F44" s="14">
        <v>2</v>
      </c>
      <c r="G44" s="15">
        <v>49.99</v>
      </c>
      <c r="H44" s="15">
        <v>99.98</v>
      </c>
    </row>
    <row r="45" ht="12.9" customHeight="1">
      <c r="A45" t="s" s="10">
        <v>1560</v>
      </c>
      <c r="B45" t="s" s="11">
        <v>1561</v>
      </c>
      <c r="C45" s="12">
        <v>45468.303402430553</v>
      </c>
      <c r="D45" t="s" s="13">
        <v>54</v>
      </c>
      <c r="E45" t="s" s="13">
        <v>93</v>
      </c>
      <c r="F45" s="14">
        <v>3</v>
      </c>
      <c r="G45" s="15">
        <v>9.99</v>
      </c>
      <c r="H45" s="15">
        <v>29.97</v>
      </c>
    </row>
    <row r="46" ht="12.9" customHeight="1">
      <c r="A46" t="s" s="10">
        <v>1562</v>
      </c>
      <c r="B46" t="s" s="11">
        <v>1563</v>
      </c>
      <c r="C46" s="12">
        <v>45468.1821680787</v>
      </c>
      <c r="D46" t="s" s="13">
        <v>73</v>
      </c>
      <c r="E46" t="s" s="13">
        <v>74</v>
      </c>
      <c r="F46" s="14">
        <v>1</v>
      </c>
      <c r="G46" s="15">
        <v>399.99</v>
      </c>
      <c r="H46" s="15">
        <v>399.99</v>
      </c>
    </row>
    <row r="47" ht="12.9" customHeight="1">
      <c r="A47" t="s" s="10">
        <v>1564</v>
      </c>
      <c r="B47" t="s" s="11">
        <v>831</v>
      </c>
      <c r="C47" s="12">
        <v>45468</v>
      </c>
      <c r="D47" t="s" s="13">
        <v>63</v>
      </c>
      <c r="E47" s="16"/>
      <c r="F47" s="14">
        <v>1</v>
      </c>
      <c r="G47" s="15">
        <v>44</v>
      </c>
      <c r="H47" s="15">
        <v>44</v>
      </c>
    </row>
    <row r="48" ht="12.9" customHeight="1">
      <c r="A48" t="s" s="10">
        <v>1564</v>
      </c>
      <c r="B48" t="s" s="11">
        <v>831</v>
      </c>
      <c r="C48" s="12">
        <v>45468</v>
      </c>
      <c r="D48" t="s" s="13">
        <v>19</v>
      </c>
      <c r="E48" t="s" s="13">
        <v>20</v>
      </c>
      <c r="F48" s="14">
        <v>36</v>
      </c>
      <c r="G48" s="15">
        <v>89.99250000000001</v>
      </c>
      <c r="H48" s="15">
        <v>3239.73</v>
      </c>
    </row>
    <row r="49" ht="12.9" customHeight="1">
      <c r="A49" t="s" s="10">
        <v>1564</v>
      </c>
      <c r="B49" t="s" s="11">
        <v>831</v>
      </c>
      <c r="C49" s="12">
        <v>45468</v>
      </c>
      <c r="D49" t="s" s="13">
        <v>559</v>
      </c>
      <c r="E49" t="s" s="13">
        <v>560</v>
      </c>
      <c r="F49" s="14">
        <v>200</v>
      </c>
      <c r="G49" s="15">
        <v>0</v>
      </c>
      <c r="H49" s="15">
        <v>0</v>
      </c>
    </row>
    <row r="50" ht="12.9" customHeight="1">
      <c r="A50" t="s" s="10">
        <v>1565</v>
      </c>
      <c r="B50" t="s" s="11">
        <v>1566</v>
      </c>
      <c r="C50" s="12">
        <v>45467.643061527779</v>
      </c>
      <c r="D50" t="s" s="13">
        <v>602</v>
      </c>
      <c r="E50" t="s" s="13">
        <v>686</v>
      </c>
      <c r="F50" s="14">
        <v>1</v>
      </c>
      <c r="G50" s="15">
        <v>299.99</v>
      </c>
      <c r="H50" s="15">
        <v>299.99</v>
      </c>
    </row>
    <row r="51" ht="12.9" customHeight="1">
      <c r="A51" t="s" s="10">
        <v>1567</v>
      </c>
      <c r="B51" t="s" s="11">
        <v>1568</v>
      </c>
      <c r="C51" s="12">
        <v>45467.053654930554</v>
      </c>
      <c r="D51" t="s" s="13">
        <v>133</v>
      </c>
      <c r="E51" t="s" s="13">
        <v>134</v>
      </c>
      <c r="F51" s="14">
        <v>2</v>
      </c>
      <c r="G51" s="15">
        <v>199.99</v>
      </c>
      <c r="H51" s="15">
        <v>399.98</v>
      </c>
    </row>
    <row r="52" ht="12.9" customHeight="1">
      <c r="A52" t="s" s="10">
        <v>1569</v>
      </c>
      <c r="B52" t="s" s="11">
        <v>1570</v>
      </c>
      <c r="C52" s="12">
        <v>45467</v>
      </c>
      <c r="D52" t="s" s="13">
        <v>47</v>
      </c>
      <c r="E52" s="16"/>
      <c r="F52" s="14">
        <v>1</v>
      </c>
      <c r="G52" s="15">
        <v>18.95</v>
      </c>
      <c r="H52" s="15">
        <v>18.95</v>
      </c>
    </row>
    <row r="53" ht="12.9" customHeight="1">
      <c r="A53" t="s" s="10">
        <v>1569</v>
      </c>
      <c r="B53" t="s" s="11">
        <v>1570</v>
      </c>
      <c r="C53" s="12">
        <v>45467</v>
      </c>
      <c r="D53" t="s" s="13">
        <v>861</v>
      </c>
      <c r="E53" s="16"/>
      <c r="F53" s="14">
        <v>1</v>
      </c>
      <c r="G53" s="15">
        <v>54.13</v>
      </c>
      <c r="H53" s="15">
        <v>54.13</v>
      </c>
    </row>
    <row r="54" ht="12.9" customHeight="1">
      <c r="A54" t="s" s="10">
        <v>1569</v>
      </c>
      <c r="B54" t="s" s="11">
        <v>1570</v>
      </c>
      <c r="C54" s="12">
        <v>45467</v>
      </c>
      <c r="D54" t="s" s="13">
        <v>1571</v>
      </c>
      <c r="E54" t="s" s="13">
        <v>1572</v>
      </c>
      <c r="F54" s="14">
        <v>20</v>
      </c>
      <c r="G54" s="15">
        <v>22.4925</v>
      </c>
      <c r="H54" s="15">
        <v>449.85</v>
      </c>
    </row>
    <row r="55" ht="12.9" customHeight="1">
      <c r="A55" t="s" s="10">
        <v>1569</v>
      </c>
      <c r="B55" t="s" s="11">
        <v>1570</v>
      </c>
      <c r="C55" s="12">
        <v>45467</v>
      </c>
      <c r="D55" t="s" s="13">
        <v>54</v>
      </c>
      <c r="E55" t="s" s="13">
        <v>93</v>
      </c>
      <c r="F55" s="14">
        <v>20</v>
      </c>
      <c r="G55" s="15">
        <v>7.4925</v>
      </c>
      <c r="H55" s="15">
        <v>149.85</v>
      </c>
    </row>
    <row r="56" ht="12.9" customHeight="1">
      <c r="A56" t="s" s="10">
        <v>1573</v>
      </c>
      <c r="B56" t="s" s="11">
        <v>1200</v>
      </c>
      <c r="C56" s="12">
        <v>45467</v>
      </c>
      <c r="D56" t="s" s="13">
        <v>73</v>
      </c>
      <c r="E56" t="s" s="13">
        <v>74</v>
      </c>
      <c r="F56" s="14">
        <v>1</v>
      </c>
      <c r="G56" s="15">
        <v>0</v>
      </c>
      <c r="H56" s="15">
        <v>0</v>
      </c>
    </row>
    <row r="57" ht="12.9" customHeight="1">
      <c r="A57" t="s" s="10">
        <v>1574</v>
      </c>
      <c r="B57" t="s" s="11">
        <v>329</v>
      </c>
      <c r="C57" s="12">
        <v>45467</v>
      </c>
      <c r="D57" t="s" s="13">
        <v>1575</v>
      </c>
      <c r="E57" t="s" s="13">
        <v>1576</v>
      </c>
      <c r="F57" s="14">
        <v>1</v>
      </c>
      <c r="G57" s="15">
        <v>53.9994</v>
      </c>
      <c r="H57" s="15">
        <v>53.9994</v>
      </c>
    </row>
    <row r="58" ht="12.9" customHeight="1">
      <c r="A58" t="s" s="10">
        <v>1574</v>
      </c>
      <c r="B58" t="s" s="11">
        <v>329</v>
      </c>
      <c r="C58" s="12">
        <v>45467</v>
      </c>
      <c r="D58" t="s" s="13">
        <v>47</v>
      </c>
      <c r="E58" s="16"/>
      <c r="F58" s="14">
        <v>1</v>
      </c>
      <c r="G58" s="15">
        <v>51.36</v>
      </c>
      <c r="H58" s="15">
        <v>51.36</v>
      </c>
    </row>
    <row r="59" ht="12.9" customHeight="1">
      <c r="A59" t="s" s="10">
        <v>1574</v>
      </c>
      <c r="B59" t="s" s="11">
        <v>329</v>
      </c>
      <c r="C59" s="12">
        <v>45467</v>
      </c>
      <c r="D59" t="s" s="13">
        <v>59</v>
      </c>
      <c r="E59" t="s" s="13">
        <v>60</v>
      </c>
      <c r="F59" s="14">
        <v>1</v>
      </c>
      <c r="G59" s="15">
        <v>899.9924999999999</v>
      </c>
      <c r="H59" s="15">
        <v>899.9924999999999</v>
      </c>
    </row>
    <row r="60" ht="12.9" customHeight="1">
      <c r="A60" t="s" s="10">
        <v>1577</v>
      </c>
      <c r="B60" t="s" s="11">
        <v>592</v>
      </c>
      <c r="C60" s="12">
        <v>45467</v>
      </c>
      <c r="D60" t="s" s="13">
        <v>207</v>
      </c>
      <c r="E60" t="s" s="13">
        <v>208</v>
      </c>
      <c r="F60" s="14">
        <v>6</v>
      </c>
      <c r="G60" s="15">
        <v>0</v>
      </c>
      <c r="H60" s="15">
        <v>0</v>
      </c>
    </row>
    <row r="61" ht="12.9" customHeight="1">
      <c r="A61" t="s" s="10">
        <v>1578</v>
      </c>
      <c r="B61" t="s" s="11">
        <v>1563</v>
      </c>
      <c r="C61" s="12">
        <v>45466.948900127318</v>
      </c>
      <c r="D61" t="s" s="13">
        <v>23</v>
      </c>
      <c r="E61" t="s" s="13">
        <v>24</v>
      </c>
      <c r="F61" s="14">
        <v>1</v>
      </c>
      <c r="G61" s="15">
        <v>149.99</v>
      </c>
      <c r="H61" s="15">
        <v>149.99</v>
      </c>
    </row>
    <row r="62" ht="12.9" customHeight="1">
      <c r="A62" t="s" s="10">
        <v>1579</v>
      </c>
      <c r="B62" t="s" s="11">
        <v>1513</v>
      </c>
      <c r="C62" s="12">
        <v>45466.694336805558</v>
      </c>
      <c r="D62" t="s" s="13">
        <v>123</v>
      </c>
      <c r="E62" t="s" s="13">
        <v>124</v>
      </c>
      <c r="F62" s="14">
        <v>1</v>
      </c>
      <c r="G62" s="15">
        <v>179.99</v>
      </c>
      <c r="H62" s="15">
        <v>179.99</v>
      </c>
    </row>
    <row r="63" ht="12.9" customHeight="1">
      <c r="A63" t="s" s="10">
        <v>1579</v>
      </c>
      <c r="B63" t="s" s="11">
        <v>1513</v>
      </c>
      <c r="C63" s="12">
        <v>45466.694336805558</v>
      </c>
      <c r="D63" t="s" s="13">
        <v>299</v>
      </c>
      <c r="E63" t="s" s="13">
        <v>300</v>
      </c>
      <c r="F63" s="14">
        <v>4</v>
      </c>
      <c r="G63" s="15">
        <v>69.98999999999999</v>
      </c>
      <c r="H63" s="15">
        <v>279.96</v>
      </c>
    </row>
    <row r="64" ht="12.9" customHeight="1">
      <c r="A64" t="s" s="10">
        <v>1579</v>
      </c>
      <c r="B64" t="s" s="11">
        <v>1513</v>
      </c>
      <c r="C64" s="12">
        <v>45466.694336805558</v>
      </c>
      <c r="D64" t="s" s="13">
        <v>35</v>
      </c>
      <c r="E64" t="s" s="13">
        <v>36</v>
      </c>
      <c r="F64" s="14">
        <v>1</v>
      </c>
      <c r="G64" s="15">
        <v>49.99</v>
      </c>
      <c r="H64" s="15">
        <v>49.99</v>
      </c>
    </row>
    <row r="65" ht="12.9" customHeight="1">
      <c r="A65" t="s" s="10">
        <v>1579</v>
      </c>
      <c r="B65" t="s" s="11">
        <v>1513</v>
      </c>
      <c r="C65" s="12">
        <v>45466.694336805558</v>
      </c>
      <c r="D65" t="s" s="13">
        <v>15</v>
      </c>
      <c r="E65" t="s" s="13">
        <v>16</v>
      </c>
      <c r="F65" s="14">
        <v>2</v>
      </c>
      <c r="G65" s="15">
        <v>9.99</v>
      </c>
      <c r="H65" s="15">
        <v>19.98</v>
      </c>
    </row>
    <row r="66" ht="12.9" customHeight="1">
      <c r="A66" t="s" s="10">
        <v>1580</v>
      </c>
      <c r="B66" t="s" s="11">
        <v>1581</v>
      </c>
      <c r="C66" s="12">
        <v>45464.758568958336</v>
      </c>
      <c r="D66" t="s" s="13">
        <v>95</v>
      </c>
      <c r="E66" t="s" s="13">
        <v>12</v>
      </c>
      <c r="F66" s="14">
        <v>1</v>
      </c>
      <c r="G66" s="15">
        <v>349.99</v>
      </c>
      <c r="H66" s="15">
        <v>349.99</v>
      </c>
    </row>
    <row r="67" ht="12.9" customHeight="1">
      <c r="A67" t="s" s="10">
        <v>1582</v>
      </c>
      <c r="B67" t="s" s="11">
        <v>1583</v>
      </c>
      <c r="C67" s="12">
        <v>45464.095482291668</v>
      </c>
      <c r="D67" t="s" s="13">
        <v>95</v>
      </c>
      <c r="E67" t="s" s="13">
        <v>12</v>
      </c>
      <c r="F67" s="14">
        <v>1</v>
      </c>
      <c r="G67" s="15">
        <v>349.99</v>
      </c>
      <c r="H67" s="15">
        <v>349.99</v>
      </c>
    </row>
    <row r="68" ht="12.9" customHeight="1">
      <c r="A68" t="s" s="10">
        <v>1584</v>
      </c>
      <c r="B68" t="s" s="11">
        <v>885</v>
      </c>
      <c r="C68" s="12">
        <v>45464.000595011574</v>
      </c>
      <c r="D68" t="s" s="13">
        <v>35</v>
      </c>
      <c r="E68" t="s" s="13">
        <v>36</v>
      </c>
      <c r="F68" s="14">
        <v>2</v>
      </c>
      <c r="G68" s="15">
        <v>49.99</v>
      </c>
      <c r="H68" s="15">
        <v>99.98</v>
      </c>
    </row>
    <row r="69" ht="12.9" customHeight="1">
      <c r="A69" t="s" s="10">
        <v>1585</v>
      </c>
      <c r="B69" t="s" s="11">
        <v>1586</v>
      </c>
      <c r="C69" s="12">
        <v>45464</v>
      </c>
      <c r="D69" t="s" s="13">
        <v>63</v>
      </c>
      <c r="E69" s="16"/>
      <c r="F69" s="14">
        <v>1</v>
      </c>
      <c r="G69" s="15">
        <v>51.42</v>
      </c>
      <c r="H69" s="15">
        <v>51.42</v>
      </c>
    </row>
    <row r="70" ht="12.9" customHeight="1">
      <c r="A70" t="s" s="10">
        <v>1585</v>
      </c>
      <c r="B70" t="s" s="11">
        <v>1586</v>
      </c>
      <c r="C70" s="12">
        <v>45464</v>
      </c>
      <c r="D70" t="s" s="13">
        <v>1587</v>
      </c>
      <c r="E70" t="s" s="13">
        <v>1588</v>
      </c>
      <c r="F70" s="14">
        <v>6</v>
      </c>
      <c r="G70" s="15">
        <v>1.32717375</v>
      </c>
      <c r="H70" s="15">
        <v>7.9630425</v>
      </c>
    </row>
    <row r="71" ht="12.9" customHeight="1">
      <c r="A71" t="s" s="10">
        <v>1585</v>
      </c>
      <c r="B71" t="s" s="11">
        <v>1586</v>
      </c>
      <c r="C71" s="12">
        <v>45464</v>
      </c>
      <c r="D71" t="s" s="13">
        <v>104</v>
      </c>
      <c r="E71" t="s" s="13">
        <v>105</v>
      </c>
      <c r="F71" s="14">
        <v>1</v>
      </c>
      <c r="G71" s="15">
        <v>40.7608695</v>
      </c>
      <c r="H71" s="15">
        <v>40.7608695</v>
      </c>
    </row>
    <row r="72" ht="12.9" customHeight="1">
      <c r="A72" t="s" s="10">
        <v>1585</v>
      </c>
      <c r="B72" t="s" s="11">
        <v>1586</v>
      </c>
      <c r="C72" s="12">
        <v>45464</v>
      </c>
      <c r="D72" t="s" s="13">
        <v>1589</v>
      </c>
      <c r="E72" t="s" s="13">
        <v>1590</v>
      </c>
      <c r="F72" s="14">
        <v>1</v>
      </c>
      <c r="G72" s="15">
        <v>2.2826085</v>
      </c>
      <c r="H72" s="15">
        <v>2.2826085</v>
      </c>
    </row>
    <row r="73" ht="12.9" customHeight="1">
      <c r="A73" t="s" s="10">
        <v>1591</v>
      </c>
      <c r="B73" t="s" s="11">
        <v>476</v>
      </c>
      <c r="C73" s="12">
        <v>45464</v>
      </c>
      <c r="D73" t="s" s="13">
        <v>63</v>
      </c>
      <c r="E73" s="16"/>
      <c r="F73" s="14">
        <v>1</v>
      </c>
      <c r="G73" s="15">
        <v>315.6</v>
      </c>
      <c r="H73" s="15">
        <v>315.6</v>
      </c>
    </row>
    <row r="74" ht="12.9" customHeight="1">
      <c r="A74" t="s" s="10">
        <v>1591</v>
      </c>
      <c r="B74" t="s" s="11">
        <v>476</v>
      </c>
      <c r="C74" s="12">
        <v>45464</v>
      </c>
      <c r="D74" t="s" s="13">
        <v>998</v>
      </c>
      <c r="E74" t="s" s="13">
        <v>999</v>
      </c>
      <c r="F74" s="14">
        <v>20</v>
      </c>
      <c r="G74" s="15">
        <v>974.99</v>
      </c>
      <c r="H74" s="15">
        <v>19499.8</v>
      </c>
    </row>
    <row r="75" ht="12.9" customHeight="1">
      <c r="A75" t="s" s="10">
        <v>1591</v>
      </c>
      <c r="B75" t="s" s="11">
        <v>476</v>
      </c>
      <c r="C75" s="12">
        <v>45464</v>
      </c>
      <c r="D75" t="s" s="13">
        <v>50</v>
      </c>
      <c r="E75" t="s" s="13">
        <v>51</v>
      </c>
      <c r="F75" s="14">
        <v>20</v>
      </c>
      <c r="G75" s="15">
        <v>0</v>
      </c>
      <c r="H75" s="15">
        <v>0</v>
      </c>
    </row>
    <row r="76" ht="12.9" customHeight="1">
      <c r="A76" t="s" s="10">
        <v>1592</v>
      </c>
      <c r="B76" t="s" s="11">
        <v>1570</v>
      </c>
      <c r="C76" s="12">
        <v>45464</v>
      </c>
      <c r="D76" t="s" s="13">
        <v>47</v>
      </c>
      <c r="E76" s="16"/>
      <c r="F76" s="14">
        <v>1</v>
      </c>
      <c r="G76" s="15">
        <v>22.5</v>
      </c>
      <c r="H76" s="15">
        <v>22.5</v>
      </c>
    </row>
    <row r="77" ht="12.9" customHeight="1">
      <c r="A77" t="s" s="10">
        <v>1592</v>
      </c>
      <c r="B77" t="s" s="11">
        <v>1570</v>
      </c>
      <c r="C77" s="12">
        <v>45464</v>
      </c>
      <c r="D77" t="s" s="13">
        <v>861</v>
      </c>
      <c r="E77" s="16"/>
      <c r="F77" s="14">
        <v>1</v>
      </c>
      <c r="G77" s="15">
        <v>70.08</v>
      </c>
      <c r="H77" s="15">
        <v>70.08</v>
      </c>
    </row>
    <row r="78" ht="12.9" customHeight="1">
      <c r="A78" t="s" s="10">
        <v>1592</v>
      </c>
      <c r="B78" t="s" s="11">
        <v>1570</v>
      </c>
      <c r="C78" s="12">
        <v>45464</v>
      </c>
      <c r="D78" t="s" s="13">
        <v>1593</v>
      </c>
      <c r="E78" t="s" s="13">
        <v>240</v>
      </c>
      <c r="F78" s="14">
        <v>4</v>
      </c>
      <c r="G78" s="15">
        <v>74.99250000000001</v>
      </c>
      <c r="H78" s="15">
        <v>299.97</v>
      </c>
    </row>
    <row r="79" ht="12.9" customHeight="1">
      <c r="A79" t="s" s="10">
        <v>1592</v>
      </c>
      <c r="B79" t="s" s="11">
        <v>1570</v>
      </c>
      <c r="C79" s="12">
        <v>45464</v>
      </c>
      <c r="D79" t="s" s="13">
        <v>39</v>
      </c>
      <c r="E79" t="s" s="13">
        <v>40</v>
      </c>
      <c r="F79" s="14">
        <v>4</v>
      </c>
      <c r="G79" s="15">
        <v>82.49250000000001</v>
      </c>
      <c r="H79" s="15">
        <v>329.97</v>
      </c>
    </row>
    <row r="80" ht="12.9" customHeight="1">
      <c r="A80" t="s" s="10">
        <v>1592</v>
      </c>
      <c r="B80" t="s" s="11">
        <v>1570</v>
      </c>
      <c r="C80" s="12">
        <v>45464</v>
      </c>
      <c r="D80" t="s" s="13">
        <v>1594</v>
      </c>
      <c r="E80" t="s" s="13">
        <v>1595</v>
      </c>
      <c r="F80" s="14">
        <v>6</v>
      </c>
      <c r="G80" s="15">
        <v>24.7425</v>
      </c>
      <c r="H80" s="15">
        <v>148.455</v>
      </c>
    </row>
    <row r="81" ht="12.9" customHeight="1">
      <c r="A81" t="s" s="10">
        <v>1596</v>
      </c>
      <c r="B81" t="s" s="11">
        <v>1412</v>
      </c>
      <c r="C81" s="12">
        <v>45463.700563217593</v>
      </c>
      <c r="D81" t="s" s="13">
        <v>81</v>
      </c>
      <c r="E81" t="s" s="13">
        <v>82</v>
      </c>
      <c r="F81" s="14">
        <v>2</v>
      </c>
      <c r="G81" s="15">
        <v>849.99</v>
      </c>
      <c r="H81" s="15">
        <v>1699.98</v>
      </c>
    </row>
    <row r="82" ht="12.9" customHeight="1">
      <c r="A82" t="s" s="10">
        <v>1596</v>
      </c>
      <c r="B82" t="s" s="11">
        <v>1412</v>
      </c>
      <c r="C82" s="12">
        <v>45463.700563217593</v>
      </c>
      <c r="D82" t="s" s="13">
        <v>23</v>
      </c>
      <c r="E82" t="s" s="13">
        <v>24</v>
      </c>
      <c r="F82" s="14">
        <v>2</v>
      </c>
      <c r="G82" s="15">
        <v>0</v>
      </c>
      <c r="H82" s="15">
        <v>0</v>
      </c>
    </row>
    <row r="83" ht="12.9" customHeight="1">
      <c r="A83" t="s" s="10">
        <v>1596</v>
      </c>
      <c r="B83" t="s" s="11">
        <v>1412</v>
      </c>
      <c r="C83" s="12">
        <v>45463.700563217593</v>
      </c>
      <c r="D83" t="s" s="13">
        <v>50</v>
      </c>
      <c r="E83" t="s" s="13">
        <v>83</v>
      </c>
      <c r="F83" s="14">
        <v>2</v>
      </c>
      <c r="G83" s="15">
        <v>0</v>
      </c>
      <c r="H83" s="15">
        <v>0</v>
      </c>
    </row>
    <row r="84" ht="12.9" customHeight="1">
      <c r="A84" t="s" s="10">
        <v>1596</v>
      </c>
      <c r="B84" t="s" s="11">
        <v>1412</v>
      </c>
      <c r="C84" s="12">
        <v>45463.700563217593</v>
      </c>
      <c r="D84" t="s" s="13">
        <v>84</v>
      </c>
      <c r="E84" t="s" s="13">
        <v>85</v>
      </c>
      <c r="F84" s="14">
        <v>2</v>
      </c>
      <c r="G84" s="15">
        <v>0</v>
      </c>
      <c r="H84" s="15">
        <v>0</v>
      </c>
    </row>
    <row r="85" ht="12.9" customHeight="1">
      <c r="A85" t="s" s="10">
        <v>1596</v>
      </c>
      <c r="B85" t="s" s="11">
        <v>1412</v>
      </c>
      <c r="C85" s="12">
        <v>45463.700563217593</v>
      </c>
      <c r="D85" t="s" s="13">
        <v>59</v>
      </c>
      <c r="E85" t="s" s="13">
        <v>60</v>
      </c>
      <c r="F85" s="14">
        <v>1</v>
      </c>
      <c r="G85" s="15">
        <v>1199.99</v>
      </c>
      <c r="H85" s="15">
        <v>1199.99</v>
      </c>
    </row>
    <row r="86" ht="12.9" customHeight="1">
      <c r="A86" t="s" s="10">
        <v>1597</v>
      </c>
      <c r="B86" t="s" s="11">
        <v>1598</v>
      </c>
      <c r="C86" s="12">
        <v>45463.697104826388</v>
      </c>
      <c r="D86" t="s" s="13">
        <v>50</v>
      </c>
      <c r="E86" t="s" s="13">
        <v>83</v>
      </c>
      <c r="F86" s="14">
        <v>2</v>
      </c>
      <c r="G86" s="15">
        <v>29.99</v>
      </c>
      <c r="H86" s="15">
        <v>59.98</v>
      </c>
    </row>
    <row r="87" ht="12.9" customHeight="1">
      <c r="A87" t="s" s="10">
        <v>1599</v>
      </c>
      <c r="B87" t="s" s="11">
        <v>1600</v>
      </c>
      <c r="C87" s="12">
        <v>45463.047266944443</v>
      </c>
      <c r="D87" t="s" s="13">
        <v>589</v>
      </c>
      <c r="E87" t="s" s="13">
        <v>590</v>
      </c>
      <c r="F87" s="14">
        <v>4</v>
      </c>
      <c r="G87" s="15">
        <v>7.49</v>
      </c>
      <c r="H87" s="15">
        <v>29.96</v>
      </c>
    </row>
    <row r="88" ht="12.9" customHeight="1">
      <c r="A88" t="s" s="10">
        <v>1601</v>
      </c>
      <c r="B88" t="s" s="11">
        <v>1412</v>
      </c>
      <c r="C88" s="12">
        <v>45463</v>
      </c>
      <c r="D88" t="s" s="13">
        <v>1602</v>
      </c>
      <c r="E88" s="16"/>
      <c r="F88" s="14">
        <v>1</v>
      </c>
      <c r="G88" s="15">
        <v>12.94</v>
      </c>
      <c r="H88" s="15">
        <v>12.94</v>
      </c>
    </row>
    <row r="89" ht="12.9" customHeight="1">
      <c r="A89" t="s" s="10">
        <v>1603</v>
      </c>
      <c r="B89" t="s" s="11">
        <v>42</v>
      </c>
      <c r="C89" s="12">
        <v>45463</v>
      </c>
      <c r="D89" t="s" s="13">
        <v>63</v>
      </c>
      <c r="E89" s="16"/>
      <c r="F89" s="14">
        <v>1</v>
      </c>
      <c r="G89" s="15">
        <v>55.8</v>
      </c>
      <c r="H89" s="15">
        <v>55.8</v>
      </c>
    </row>
    <row r="90" ht="12.9" customHeight="1">
      <c r="A90" t="s" s="10">
        <v>1603</v>
      </c>
      <c r="B90" t="s" s="11">
        <v>42</v>
      </c>
      <c r="C90" s="12">
        <v>45463</v>
      </c>
      <c r="D90" t="s" s="13">
        <v>48</v>
      </c>
      <c r="E90" t="s" s="13">
        <v>49</v>
      </c>
      <c r="F90" s="14">
        <v>2</v>
      </c>
      <c r="G90" s="15">
        <v>900</v>
      </c>
      <c r="H90" s="15">
        <v>1800</v>
      </c>
    </row>
    <row r="91" ht="12.9" customHeight="1">
      <c r="A91" t="s" s="10">
        <v>1603</v>
      </c>
      <c r="B91" t="s" s="11">
        <v>42</v>
      </c>
      <c r="C91" s="12">
        <v>45463</v>
      </c>
      <c r="D91" t="s" s="13">
        <v>50</v>
      </c>
      <c r="E91" t="s" s="13">
        <v>51</v>
      </c>
      <c r="F91" s="14">
        <v>2</v>
      </c>
      <c r="G91" s="15">
        <v>0</v>
      </c>
      <c r="H91" s="15">
        <v>0</v>
      </c>
    </row>
    <row r="92" ht="12.9" customHeight="1">
      <c r="A92" t="s" s="10">
        <v>1603</v>
      </c>
      <c r="B92" t="s" s="11">
        <v>42</v>
      </c>
      <c r="C92" s="12">
        <v>45463</v>
      </c>
      <c r="D92" t="s" s="13">
        <v>52</v>
      </c>
      <c r="E92" t="s" s="13">
        <v>53</v>
      </c>
      <c r="F92" s="14">
        <v>2</v>
      </c>
      <c r="G92" s="15">
        <v>0</v>
      </c>
      <c r="H92" s="15">
        <v>0</v>
      </c>
    </row>
    <row r="93" ht="12.9" customHeight="1">
      <c r="A93" t="s" s="10">
        <v>1603</v>
      </c>
      <c r="B93" t="s" s="11">
        <v>42</v>
      </c>
      <c r="C93" s="12">
        <v>45463</v>
      </c>
      <c r="D93" t="s" s="13">
        <v>607</v>
      </c>
      <c r="E93" t="s" s="13">
        <v>608</v>
      </c>
      <c r="F93" s="14">
        <v>4</v>
      </c>
      <c r="G93" s="15">
        <v>22.4925</v>
      </c>
      <c r="H93" s="15">
        <v>89.97</v>
      </c>
    </row>
    <row r="94" ht="12.9" customHeight="1">
      <c r="A94" t="s" s="10">
        <v>1604</v>
      </c>
      <c r="B94" t="s" s="11">
        <v>1605</v>
      </c>
      <c r="C94" s="12">
        <v>45463</v>
      </c>
      <c r="D94" t="s" s="13">
        <v>63</v>
      </c>
      <c r="E94" s="16"/>
      <c r="F94" s="14">
        <v>1</v>
      </c>
      <c r="G94" s="15">
        <v>22.45</v>
      </c>
      <c r="H94" s="15">
        <v>22.45</v>
      </c>
    </row>
    <row r="95" ht="12.9" customHeight="1">
      <c r="A95" t="s" s="10">
        <v>1604</v>
      </c>
      <c r="B95" t="s" s="11">
        <v>1605</v>
      </c>
      <c r="C95" s="12">
        <v>45463</v>
      </c>
      <c r="D95" t="s" s="13">
        <v>15</v>
      </c>
      <c r="E95" t="s" s="13">
        <v>16</v>
      </c>
      <c r="F95" s="14">
        <v>2</v>
      </c>
      <c r="G95" s="15">
        <v>7.4925</v>
      </c>
      <c r="H95" s="15">
        <v>14.985</v>
      </c>
    </row>
    <row r="96" ht="12.9" customHeight="1">
      <c r="A96" t="s" s="10">
        <v>1604</v>
      </c>
      <c r="B96" t="s" s="11">
        <v>1605</v>
      </c>
      <c r="C96" s="12">
        <v>45463</v>
      </c>
      <c r="D96" t="s" s="13">
        <v>19</v>
      </c>
      <c r="E96" t="s" s="13">
        <v>20</v>
      </c>
      <c r="F96" s="14">
        <v>6</v>
      </c>
      <c r="G96" s="15">
        <v>89.99250000000001</v>
      </c>
      <c r="H96" s="15">
        <v>539.955</v>
      </c>
    </row>
    <row r="97" ht="12.9" customHeight="1">
      <c r="A97" t="s" s="10">
        <v>1606</v>
      </c>
      <c r="B97" t="s" s="11">
        <v>1607</v>
      </c>
      <c r="C97" s="12">
        <v>45463</v>
      </c>
      <c r="D97" t="s" s="13">
        <v>47</v>
      </c>
      <c r="E97" s="16"/>
      <c r="F97" s="14">
        <v>1</v>
      </c>
      <c r="G97" s="15">
        <v>261.5</v>
      </c>
      <c r="H97" s="15">
        <v>261.5</v>
      </c>
    </row>
    <row r="98" ht="12.9" customHeight="1">
      <c r="A98" t="s" s="10">
        <v>1606</v>
      </c>
      <c r="B98" t="s" s="11">
        <v>1607</v>
      </c>
      <c r="C98" s="12">
        <v>45463</v>
      </c>
      <c r="D98" t="s" s="13">
        <v>933</v>
      </c>
      <c r="E98" t="s" s="13">
        <v>934</v>
      </c>
      <c r="F98" s="14">
        <v>2</v>
      </c>
      <c r="G98" s="15">
        <v>1299.99</v>
      </c>
      <c r="H98" s="15">
        <v>2599.98</v>
      </c>
    </row>
    <row r="99" ht="12.9" customHeight="1">
      <c r="A99" t="s" s="10">
        <v>1606</v>
      </c>
      <c r="B99" t="s" s="11">
        <v>1607</v>
      </c>
      <c r="C99" s="12">
        <v>45463</v>
      </c>
      <c r="D99" t="s" s="13">
        <v>50</v>
      </c>
      <c r="E99" t="s" s="13">
        <v>51</v>
      </c>
      <c r="F99" s="14">
        <v>2</v>
      </c>
      <c r="G99" s="15">
        <v>0</v>
      </c>
      <c r="H99" s="15">
        <v>0</v>
      </c>
    </row>
    <row r="100" ht="12.9" customHeight="1">
      <c r="A100" t="s" s="10">
        <v>1606</v>
      </c>
      <c r="B100" t="s" s="11">
        <v>1607</v>
      </c>
      <c r="C100" s="12">
        <v>45463</v>
      </c>
      <c r="D100" t="s" s="13">
        <v>52</v>
      </c>
      <c r="E100" t="s" s="13">
        <v>53</v>
      </c>
      <c r="F100" s="14">
        <v>2</v>
      </c>
      <c r="G100" s="15">
        <v>0</v>
      </c>
      <c r="H100" s="15">
        <v>0</v>
      </c>
    </row>
    <row r="101" ht="12.9" customHeight="1">
      <c r="A101" t="s" s="10">
        <v>1606</v>
      </c>
      <c r="B101" t="s" s="11">
        <v>1607</v>
      </c>
      <c r="C101" s="12">
        <v>45463</v>
      </c>
      <c r="D101" t="s" s="13">
        <v>133</v>
      </c>
      <c r="E101" t="s" s="13">
        <v>1344</v>
      </c>
      <c r="F101" s="14">
        <v>2</v>
      </c>
      <c r="G101" s="15">
        <v>50</v>
      </c>
      <c r="H101" s="15">
        <v>100</v>
      </c>
    </row>
    <row r="102" ht="12.9" customHeight="1">
      <c r="A102" t="s" s="10">
        <v>1606</v>
      </c>
      <c r="B102" t="s" s="11">
        <v>1607</v>
      </c>
      <c r="C102" s="12">
        <v>45463</v>
      </c>
      <c r="D102" t="s" s="13">
        <v>1054</v>
      </c>
      <c r="E102" t="s" s="13">
        <v>1055</v>
      </c>
      <c r="F102" s="14">
        <v>1</v>
      </c>
      <c r="G102" s="15">
        <v>149.99</v>
      </c>
      <c r="H102" s="15">
        <v>149.99</v>
      </c>
    </row>
    <row r="103" ht="12.9" customHeight="1">
      <c r="A103" t="s" s="10">
        <v>1608</v>
      </c>
      <c r="B103" t="s" s="11">
        <v>831</v>
      </c>
      <c r="C103" s="12">
        <v>45463</v>
      </c>
      <c r="D103" t="s" s="13">
        <v>27</v>
      </c>
      <c r="E103" t="s" s="13">
        <v>28</v>
      </c>
      <c r="F103" s="14">
        <v>1</v>
      </c>
      <c r="G103" s="15">
        <v>0</v>
      </c>
      <c r="H103" s="15">
        <v>0</v>
      </c>
    </row>
    <row r="104" ht="12.9" customHeight="1">
      <c r="A104" t="s" s="10">
        <v>1609</v>
      </c>
      <c r="B104" t="s" s="11">
        <v>391</v>
      </c>
      <c r="C104" s="12">
        <v>45463</v>
      </c>
      <c r="D104" t="s" s="13">
        <v>63</v>
      </c>
      <c r="E104" s="16"/>
      <c r="F104" s="14">
        <v>1</v>
      </c>
      <c r="G104" s="15">
        <v>98.40000000000001</v>
      </c>
      <c r="H104" s="15">
        <v>98.40000000000001</v>
      </c>
    </row>
    <row r="105" ht="12.9" customHeight="1">
      <c r="A105" t="s" s="10">
        <v>1609</v>
      </c>
      <c r="B105" t="s" s="11">
        <v>391</v>
      </c>
      <c r="C105" s="12">
        <v>45463</v>
      </c>
      <c r="D105" t="s" s="13">
        <v>95</v>
      </c>
      <c r="E105" t="s" s="13">
        <v>12</v>
      </c>
      <c r="F105" s="14">
        <v>1</v>
      </c>
      <c r="G105" s="15">
        <v>262.4925</v>
      </c>
      <c r="H105" s="15">
        <v>262.4925</v>
      </c>
    </row>
    <row r="106" ht="12.9" customHeight="1">
      <c r="A106" t="s" s="10">
        <v>1609</v>
      </c>
      <c r="B106" t="s" s="11">
        <v>391</v>
      </c>
      <c r="C106" s="12">
        <v>45463</v>
      </c>
      <c r="D106" t="s" s="13">
        <v>11</v>
      </c>
      <c r="E106" t="s" s="13">
        <v>12</v>
      </c>
      <c r="F106" s="14">
        <v>1</v>
      </c>
      <c r="G106" s="15">
        <v>299.9925</v>
      </c>
      <c r="H106" s="15">
        <v>299.9925</v>
      </c>
    </row>
    <row r="107" ht="12.9" customHeight="1">
      <c r="A107" t="s" s="10">
        <v>1610</v>
      </c>
      <c r="B107" t="s" s="11">
        <v>1406</v>
      </c>
      <c r="C107" s="12">
        <v>45463</v>
      </c>
      <c r="D107" t="s" s="13">
        <v>63</v>
      </c>
      <c r="E107" s="16"/>
      <c r="F107" s="14">
        <v>1</v>
      </c>
      <c r="G107" s="15">
        <v>13.5</v>
      </c>
      <c r="H107" s="15">
        <v>13.5</v>
      </c>
    </row>
    <row r="108" ht="12.9" customHeight="1">
      <c r="A108" t="s" s="10">
        <v>1610</v>
      </c>
      <c r="B108" t="s" s="11">
        <v>1406</v>
      </c>
      <c r="C108" s="12">
        <v>45463</v>
      </c>
      <c r="D108" t="s" s="13">
        <v>59</v>
      </c>
      <c r="E108" t="s" s="13">
        <v>60</v>
      </c>
      <c r="F108" s="14">
        <v>1</v>
      </c>
      <c r="G108" s="15">
        <v>1000</v>
      </c>
      <c r="H108" s="15">
        <v>1000</v>
      </c>
    </row>
    <row r="109" ht="12.9" customHeight="1">
      <c r="A109" t="s" s="10">
        <v>1611</v>
      </c>
      <c r="B109" t="s" s="11">
        <v>1612</v>
      </c>
      <c r="C109" s="12">
        <v>45462.284691666668</v>
      </c>
      <c r="D109" t="s" s="13">
        <v>73</v>
      </c>
      <c r="E109" t="s" s="13">
        <v>74</v>
      </c>
      <c r="F109" s="14">
        <v>1</v>
      </c>
      <c r="G109" s="15">
        <v>399.99</v>
      </c>
      <c r="H109" s="15">
        <v>399.99</v>
      </c>
    </row>
    <row r="110" ht="12.9" customHeight="1">
      <c r="A110" t="s" s="10">
        <v>1613</v>
      </c>
      <c r="B110" t="s" s="11">
        <v>1614</v>
      </c>
      <c r="C110" s="12">
        <v>45462.019859050924</v>
      </c>
      <c r="D110" t="s" s="13">
        <v>73</v>
      </c>
      <c r="E110" t="s" s="13">
        <v>74</v>
      </c>
      <c r="F110" s="14">
        <v>1</v>
      </c>
      <c r="G110" s="15">
        <v>399.99</v>
      </c>
      <c r="H110" s="15">
        <v>399.99</v>
      </c>
    </row>
    <row r="111" ht="12.9" customHeight="1">
      <c r="A111" t="s" s="10">
        <v>1615</v>
      </c>
      <c r="B111" t="s" s="11">
        <v>42</v>
      </c>
      <c r="C111" s="12">
        <v>45462</v>
      </c>
      <c r="D111" t="s" s="13">
        <v>47</v>
      </c>
      <c r="E111" s="16"/>
      <c r="F111" s="14">
        <v>1</v>
      </c>
      <c r="G111" s="15">
        <v>50</v>
      </c>
      <c r="H111" s="15">
        <v>50</v>
      </c>
    </row>
    <row r="112" ht="12.9" customHeight="1">
      <c r="A112" t="s" s="10">
        <v>1615</v>
      </c>
      <c r="B112" t="s" s="11">
        <v>42</v>
      </c>
      <c r="C112" s="12">
        <v>45462</v>
      </c>
      <c r="D112" t="s" s="13">
        <v>1616</v>
      </c>
      <c r="E112" t="s" s="13">
        <v>1617</v>
      </c>
      <c r="F112" s="14">
        <v>4</v>
      </c>
      <c r="G112" s="15">
        <v>224.9925</v>
      </c>
      <c r="H112" s="15">
        <v>899.97</v>
      </c>
    </row>
    <row r="113" ht="12.9" customHeight="1">
      <c r="A113" t="s" s="10">
        <v>1615</v>
      </c>
      <c r="B113" t="s" s="11">
        <v>42</v>
      </c>
      <c r="C113" s="12">
        <v>45462</v>
      </c>
      <c r="D113" t="s" s="13">
        <v>602</v>
      </c>
      <c r="E113" t="s" s="13">
        <v>686</v>
      </c>
      <c r="F113" s="14">
        <v>4</v>
      </c>
      <c r="G113" s="15">
        <v>224.9925</v>
      </c>
      <c r="H113" s="15">
        <v>899.97</v>
      </c>
    </row>
    <row r="114" ht="12.9" customHeight="1">
      <c r="A114" t="s" s="10">
        <v>1615</v>
      </c>
      <c r="B114" t="s" s="11">
        <v>42</v>
      </c>
      <c r="C114" s="12">
        <v>45462</v>
      </c>
      <c r="D114" t="s" s="13">
        <v>54</v>
      </c>
      <c r="E114" t="s" s="13">
        <v>93</v>
      </c>
      <c r="F114" s="14">
        <v>4</v>
      </c>
      <c r="G114" s="15">
        <v>0</v>
      </c>
      <c r="H114" s="15">
        <v>0</v>
      </c>
    </row>
    <row r="115" ht="12.9" customHeight="1">
      <c r="A115" t="s" s="10">
        <v>1618</v>
      </c>
      <c r="B115" t="s" s="11">
        <v>592</v>
      </c>
      <c r="C115" s="12">
        <v>45462</v>
      </c>
      <c r="D115" t="s" s="13">
        <v>47</v>
      </c>
      <c r="E115" s="16"/>
      <c r="F115" s="14">
        <v>1</v>
      </c>
      <c r="G115" s="15">
        <v>65</v>
      </c>
      <c r="H115" s="15">
        <v>65</v>
      </c>
    </row>
    <row r="116" ht="12.9" customHeight="1">
      <c r="A116" t="s" s="10">
        <v>1618</v>
      </c>
      <c r="B116" t="s" s="11">
        <v>592</v>
      </c>
      <c r="C116" s="12">
        <v>45462</v>
      </c>
      <c r="D116" t="s" s="13">
        <v>109</v>
      </c>
      <c r="E116" t="s" s="13">
        <v>109</v>
      </c>
      <c r="F116" s="14">
        <v>10</v>
      </c>
      <c r="G116" s="15">
        <v>110</v>
      </c>
      <c r="H116" s="15">
        <v>1100</v>
      </c>
    </row>
    <row r="117" ht="12.9" customHeight="1">
      <c r="A117" t="s" s="10">
        <v>1618</v>
      </c>
      <c r="B117" t="s" s="11">
        <v>592</v>
      </c>
      <c r="C117" s="12">
        <v>45462</v>
      </c>
      <c r="D117" t="s" s="13">
        <v>775</v>
      </c>
      <c r="E117" t="s" s="13">
        <v>775</v>
      </c>
      <c r="F117" s="14">
        <v>10</v>
      </c>
      <c r="G117" s="15">
        <v>52.5</v>
      </c>
      <c r="H117" s="15">
        <v>525</v>
      </c>
    </row>
    <row r="118" ht="12.9" customHeight="1">
      <c r="A118" t="s" s="10">
        <v>1618</v>
      </c>
      <c r="B118" t="s" s="11">
        <v>592</v>
      </c>
      <c r="C118" s="12">
        <v>45462</v>
      </c>
      <c r="D118" t="s" s="13">
        <v>1619</v>
      </c>
      <c r="E118" t="s" s="13">
        <v>1620</v>
      </c>
      <c r="F118" s="14">
        <v>10</v>
      </c>
      <c r="G118" s="15">
        <v>20</v>
      </c>
      <c r="H118" s="15">
        <v>200</v>
      </c>
    </row>
    <row r="119" ht="12.9" customHeight="1">
      <c r="A119" t="s" s="10">
        <v>1621</v>
      </c>
      <c r="B119" t="s" s="11">
        <v>1622</v>
      </c>
      <c r="C119" s="12">
        <v>45462</v>
      </c>
      <c r="D119" t="s" s="13">
        <v>47</v>
      </c>
      <c r="E119" s="16"/>
      <c r="F119" s="14">
        <v>1</v>
      </c>
      <c r="G119" s="15">
        <v>55</v>
      </c>
      <c r="H119" s="15">
        <v>55</v>
      </c>
    </row>
    <row r="120" ht="12.9" customHeight="1">
      <c r="A120" t="s" s="10">
        <v>1621</v>
      </c>
      <c r="B120" t="s" s="11">
        <v>1622</v>
      </c>
      <c r="C120" s="12">
        <v>45462</v>
      </c>
      <c r="D120" t="s" s="13">
        <v>81</v>
      </c>
      <c r="E120" t="s" s="13">
        <v>82</v>
      </c>
      <c r="F120" s="14">
        <v>2</v>
      </c>
      <c r="G120" s="15">
        <v>637.4924999999999</v>
      </c>
      <c r="H120" s="15">
        <v>1274.985</v>
      </c>
    </row>
    <row r="121" ht="12.9" customHeight="1">
      <c r="A121" t="s" s="10">
        <v>1621</v>
      </c>
      <c r="B121" t="s" s="11">
        <v>1622</v>
      </c>
      <c r="C121" s="12">
        <v>45462</v>
      </c>
      <c r="D121" t="s" s="13">
        <v>50</v>
      </c>
      <c r="E121" t="s" s="13">
        <v>51</v>
      </c>
      <c r="F121" s="14">
        <v>2</v>
      </c>
      <c r="G121" s="15">
        <v>0</v>
      </c>
      <c r="H121" s="15">
        <v>0</v>
      </c>
    </row>
    <row r="122" ht="12.9" customHeight="1">
      <c r="A122" t="s" s="10">
        <v>1621</v>
      </c>
      <c r="B122" t="s" s="11">
        <v>1622</v>
      </c>
      <c r="C122" s="12">
        <v>45462</v>
      </c>
      <c r="D122" t="s" s="13">
        <v>23</v>
      </c>
      <c r="E122" t="s" s="13">
        <v>56</v>
      </c>
      <c r="F122" s="14">
        <v>2</v>
      </c>
      <c r="G122" s="15">
        <v>0</v>
      </c>
      <c r="H122" s="15">
        <v>0</v>
      </c>
    </row>
    <row r="123" ht="12.9" customHeight="1">
      <c r="A123" t="s" s="10">
        <v>1621</v>
      </c>
      <c r="B123" t="s" s="11">
        <v>1622</v>
      </c>
      <c r="C123" s="12">
        <v>45462</v>
      </c>
      <c r="D123" t="s" s="13">
        <v>54</v>
      </c>
      <c r="E123" t="s" s="13">
        <v>55</v>
      </c>
      <c r="F123" s="14">
        <v>2</v>
      </c>
      <c r="G123" s="15">
        <v>0</v>
      </c>
      <c r="H123" s="15">
        <v>0</v>
      </c>
    </row>
    <row r="124" ht="12.9" customHeight="1">
      <c r="A124" t="s" s="10">
        <v>1621</v>
      </c>
      <c r="B124" t="s" s="11">
        <v>1622</v>
      </c>
      <c r="C124" s="12">
        <v>45462</v>
      </c>
      <c r="D124" t="s" s="13">
        <v>73</v>
      </c>
      <c r="E124" t="s" s="13">
        <v>74</v>
      </c>
      <c r="F124" s="14">
        <v>1</v>
      </c>
      <c r="G124" s="15">
        <v>299.9925</v>
      </c>
      <c r="H124" s="15">
        <v>299.9925</v>
      </c>
    </row>
    <row r="125" ht="12.9" customHeight="1">
      <c r="A125" t="s" s="10">
        <v>1623</v>
      </c>
      <c r="B125" t="s" s="11">
        <v>1624</v>
      </c>
      <c r="C125" s="12">
        <v>45462</v>
      </c>
      <c r="D125" t="s" s="13">
        <v>63</v>
      </c>
      <c r="E125" s="16"/>
      <c r="F125" s="14">
        <v>1</v>
      </c>
      <c r="G125" s="15">
        <v>40</v>
      </c>
      <c r="H125" s="15">
        <v>40</v>
      </c>
    </row>
    <row r="126" ht="12.9" customHeight="1">
      <c r="A126" t="s" s="10">
        <v>1623</v>
      </c>
      <c r="B126" t="s" s="11">
        <v>1624</v>
      </c>
      <c r="C126" s="12">
        <v>45462</v>
      </c>
      <c r="D126" t="s" s="13">
        <v>1616</v>
      </c>
      <c r="E126" t="s" s="13">
        <v>1617</v>
      </c>
      <c r="F126" s="14">
        <v>1</v>
      </c>
      <c r="G126" s="15">
        <v>224.9925</v>
      </c>
      <c r="H126" s="15">
        <v>224.9925</v>
      </c>
    </row>
    <row r="127" ht="12.9" customHeight="1">
      <c r="A127" t="s" s="10">
        <v>1625</v>
      </c>
      <c r="B127" t="s" s="11">
        <v>1412</v>
      </c>
      <c r="C127" s="12">
        <v>45461.935818379628</v>
      </c>
      <c r="D127" t="s" s="13">
        <v>73</v>
      </c>
      <c r="E127" t="s" s="13">
        <v>74</v>
      </c>
      <c r="F127" s="14">
        <v>1</v>
      </c>
      <c r="G127" s="15">
        <v>399.99</v>
      </c>
      <c r="H127" s="15">
        <v>399.99</v>
      </c>
    </row>
    <row r="128" ht="12.9" customHeight="1">
      <c r="A128" t="s" s="10">
        <v>1626</v>
      </c>
      <c r="B128" t="s" s="11">
        <v>1627</v>
      </c>
      <c r="C128" s="12">
        <v>45461.877085821761</v>
      </c>
      <c r="D128" t="s" s="13">
        <v>11</v>
      </c>
      <c r="E128" t="s" s="13">
        <v>12</v>
      </c>
      <c r="F128" s="14">
        <v>1</v>
      </c>
      <c r="G128" s="15">
        <v>399.99</v>
      </c>
      <c r="H128" s="15">
        <v>399.99</v>
      </c>
    </row>
    <row r="129" ht="12.9" customHeight="1">
      <c r="A129" t="s" s="10">
        <v>1628</v>
      </c>
      <c r="B129" t="s" s="11">
        <v>1629</v>
      </c>
      <c r="C129" s="12">
        <v>45461.244865856483</v>
      </c>
      <c r="D129" t="s" s="13">
        <v>146</v>
      </c>
      <c r="E129" t="s" s="13">
        <v>147</v>
      </c>
      <c r="F129" s="14">
        <v>4</v>
      </c>
      <c r="G129" s="15">
        <v>19.99</v>
      </c>
      <c r="H129" s="15">
        <v>79.95999999999999</v>
      </c>
    </row>
    <row r="130" ht="12.9" customHeight="1">
      <c r="A130" t="s" s="10">
        <v>1630</v>
      </c>
      <c r="B130" t="s" s="11">
        <v>1631</v>
      </c>
      <c r="C130" s="12">
        <v>45461.022926909725</v>
      </c>
      <c r="D130" t="s" s="13">
        <v>73</v>
      </c>
      <c r="E130" t="s" s="13">
        <v>74</v>
      </c>
      <c r="F130" s="14">
        <v>1</v>
      </c>
      <c r="G130" s="15">
        <v>399.99</v>
      </c>
      <c r="H130" s="15">
        <v>399.99</v>
      </c>
    </row>
    <row r="131" ht="12.9" customHeight="1">
      <c r="A131" t="s" s="10">
        <v>1632</v>
      </c>
      <c r="B131" t="s" s="11">
        <v>1406</v>
      </c>
      <c r="C131" s="12">
        <v>45461</v>
      </c>
      <c r="D131" t="s" s="13">
        <v>47</v>
      </c>
      <c r="E131" s="16"/>
      <c r="F131" s="14">
        <v>1</v>
      </c>
      <c r="G131" s="15">
        <v>186.4</v>
      </c>
      <c r="H131" s="15">
        <v>186.4</v>
      </c>
    </row>
    <row r="132" ht="12.9" customHeight="1">
      <c r="A132" t="s" s="10">
        <v>1632</v>
      </c>
      <c r="B132" t="s" s="11">
        <v>1406</v>
      </c>
      <c r="C132" s="12">
        <v>45461</v>
      </c>
      <c r="D132" t="s" s="13">
        <v>489</v>
      </c>
      <c r="E132" t="s" s="13">
        <v>490</v>
      </c>
      <c r="F132" s="14">
        <v>1</v>
      </c>
      <c r="G132" s="15">
        <v>1439.991</v>
      </c>
      <c r="H132" s="15">
        <v>1439.991</v>
      </c>
    </row>
    <row r="133" ht="12.9" customHeight="1">
      <c r="A133" t="s" s="10">
        <v>1632</v>
      </c>
      <c r="B133" t="s" s="11">
        <v>1406</v>
      </c>
      <c r="C133" s="12">
        <v>45461</v>
      </c>
      <c r="D133" t="s" s="13">
        <v>1633</v>
      </c>
      <c r="E133" t="s" s="13">
        <v>1634</v>
      </c>
      <c r="F133" s="14">
        <v>1</v>
      </c>
      <c r="G133" s="15">
        <v>0</v>
      </c>
      <c r="H133" s="15">
        <v>0</v>
      </c>
    </row>
    <row r="134" ht="12.9" customHeight="1">
      <c r="A134" t="s" s="10">
        <v>1632</v>
      </c>
      <c r="B134" t="s" s="11">
        <v>1406</v>
      </c>
      <c r="C134" s="12">
        <v>45461</v>
      </c>
      <c r="D134" t="s" s="13">
        <v>491</v>
      </c>
      <c r="E134" t="s" s="13">
        <v>492</v>
      </c>
      <c r="F134" s="14">
        <v>2</v>
      </c>
      <c r="G134" s="15">
        <v>0</v>
      </c>
      <c r="H134" s="15">
        <v>0</v>
      </c>
    </row>
    <row r="135" ht="12.9" customHeight="1">
      <c r="A135" t="s" s="10">
        <v>1632</v>
      </c>
      <c r="B135" t="s" s="11">
        <v>1406</v>
      </c>
      <c r="C135" s="12">
        <v>45461</v>
      </c>
      <c r="D135" t="s" s="13">
        <v>493</v>
      </c>
      <c r="E135" t="s" s="13">
        <v>494</v>
      </c>
      <c r="F135" s="14">
        <v>1</v>
      </c>
      <c r="G135" s="15">
        <v>0</v>
      </c>
      <c r="H135" s="15">
        <v>0</v>
      </c>
    </row>
    <row r="136" ht="12.9" customHeight="1">
      <c r="A136" t="s" s="10">
        <v>1632</v>
      </c>
      <c r="B136" t="s" s="11">
        <v>1406</v>
      </c>
      <c r="C136" s="12">
        <v>45461</v>
      </c>
      <c r="D136" t="s" s="13">
        <v>589</v>
      </c>
      <c r="E136" t="s" s="13">
        <v>1635</v>
      </c>
      <c r="F136" s="14">
        <v>2</v>
      </c>
      <c r="G136" s="15">
        <v>0</v>
      </c>
      <c r="H136" s="15">
        <v>0</v>
      </c>
    </row>
    <row r="137" ht="12.9" customHeight="1">
      <c r="A137" t="s" s="10">
        <v>1632</v>
      </c>
      <c r="B137" t="s" s="11">
        <v>1406</v>
      </c>
      <c r="C137" s="12">
        <v>45461</v>
      </c>
      <c r="D137" t="s" s="13">
        <v>15</v>
      </c>
      <c r="E137" t="s" s="13">
        <v>1636</v>
      </c>
      <c r="F137" s="14">
        <v>2</v>
      </c>
      <c r="G137" s="15">
        <v>0</v>
      </c>
      <c r="H137" s="15">
        <v>0</v>
      </c>
    </row>
    <row r="138" ht="12.9" customHeight="1">
      <c r="A138" t="s" s="10">
        <v>1632</v>
      </c>
      <c r="B138" t="s" s="11">
        <v>1406</v>
      </c>
      <c r="C138" s="12">
        <v>45461</v>
      </c>
      <c r="D138" t="s" s="13">
        <v>1054</v>
      </c>
      <c r="E138" t="s" s="13">
        <v>1055</v>
      </c>
      <c r="F138" s="14">
        <v>3</v>
      </c>
      <c r="G138" s="15">
        <v>149.99</v>
      </c>
      <c r="H138" s="15">
        <v>449.97</v>
      </c>
    </row>
    <row r="139" ht="12.9" customHeight="1">
      <c r="A139" t="s" s="10">
        <v>1632</v>
      </c>
      <c r="B139" t="s" s="11">
        <v>1406</v>
      </c>
      <c r="C139" s="12">
        <v>45461</v>
      </c>
      <c r="D139" t="s" s="13">
        <v>1407</v>
      </c>
      <c r="E139" t="s" s="13">
        <v>1637</v>
      </c>
      <c r="F139" s="14">
        <v>1</v>
      </c>
      <c r="G139" s="15">
        <v>0</v>
      </c>
      <c r="H139" s="15">
        <v>0</v>
      </c>
    </row>
    <row r="140" ht="12.9" customHeight="1">
      <c r="A140" t="s" s="10">
        <v>1632</v>
      </c>
      <c r="B140" t="s" s="11">
        <v>1406</v>
      </c>
      <c r="C140" s="12">
        <v>45461</v>
      </c>
      <c r="D140" t="s" s="13">
        <v>48</v>
      </c>
      <c r="E140" t="s" s="13">
        <v>49</v>
      </c>
      <c r="F140" s="14">
        <v>4</v>
      </c>
      <c r="G140" s="15">
        <v>1104.9915</v>
      </c>
      <c r="H140" s="15">
        <v>4419.966</v>
      </c>
    </row>
    <row r="141" ht="12.9" customHeight="1">
      <c r="A141" t="s" s="10">
        <v>1632</v>
      </c>
      <c r="B141" t="s" s="11">
        <v>1406</v>
      </c>
      <c r="C141" s="12">
        <v>45461</v>
      </c>
      <c r="D141" t="s" s="13">
        <v>52</v>
      </c>
      <c r="E141" t="s" s="13">
        <v>321</v>
      </c>
      <c r="F141" s="14">
        <v>4</v>
      </c>
      <c r="G141" s="15">
        <v>0</v>
      </c>
      <c r="H141" s="15">
        <v>0</v>
      </c>
    </row>
    <row r="142" ht="12.9" customHeight="1">
      <c r="A142" t="s" s="10">
        <v>1632</v>
      </c>
      <c r="B142" t="s" s="11">
        <v>1406</v>
      </c>
      <c r="C142" s="12">
        <v>45461</v>
      </c>
      <c r="D142" t="s" s="13">
        <v>50</v>
      </c>
      <c r="E142" t="s" s="13">
        <v>83</v>
      </c>
      <c r="F142" s="14">
        <v>4</v>
      </c>
      <c r="G142" s="15">
        <v>0</v>
      </c>
      <c r="H142" s="15">
        <v>0</v>
      </c>
    </row>
    <row r="143" ht="12.9" customHeight="1">
      <c r="A143" t="s" s="10">
        <v>1632</v>
      </c>
      <c r="B143" t="s" s="11">
        <v>1406</v>
      </c>
      <c r="C143" s="12">
        <v>45461</v>
      </c>
      <c r="D143" t="s" s="13">
        <v>23</v>
      </c>
      <c r="E143" t="s" s="13">
        <v>24</v>
      </c>
      <c r="F143" s="14">
        <v>4</v>
      </c>
      <c r="G143" s="15">
        <v>0</v>
      </c>
      <c r="H143" s="15">
        <v>0</v>
      </c>
    </row>
    <row r="144" ht="12.9" customHeight="1">
      <c r="A144" t="s" s="10">
        <v>1632</v>
      </c>
      <c r="B144" t="s" s="11">
        <v>1406</v>
      </c>
      <c r="C144" s="12">
        <v>45461</v>
      </c>
      <c r="D144" t="s" s="13">
        <v>54</v>
      </c>
      <c r="E144" t="s" s="13">
        <v>93</v>
      </c>
      <c r="F144" s="14">
        <v>4</v>
      </c>
      <c r="G144" s="15">
        <v>0</v>
      </c>
      <c r="H144" s="15">
        <v>0</v>
      </c>
    </row>
    <row r="145" ht="12.9" customHeight="1">
      <c r="A145" t="s" s="10">
        <v>1632</v>
      </c>
      <c r="B145" t="s" s="11">
        <v>1406</v>
      </c>
      <c r="C145" s="12">
        <v>45461</v>
      </c>
      <c r="D145" t="s" s="13">
        <v>1638</v>
      </c>
      <c r="E145" t="s" s="13">
        <v>58</v>
      </c>
      <c r="F145" s="14">
        <v>4</v>
      </c>
      <c r="G145" s="15">
        <v>749.99</v>
      </c>
      <c r="H145" s="15">
        <v>2999.96</v>
      </c>
    </row>
    <row r="146" ht="12.9" customHeight="1">
      <c r="A146" t="s" s="10">
        <v>1632</v>
      </c>
      <c r="B146" t="s" s="11">
        <v>1406</v>
      </c>
      <c r="C146" s="12">
        <v>45461</v>
      </c>
      <c r="D146" t="s" s="13">
        <v>1639</v>
      </c>
      <c r="E146" t="s" s="13">
        <v>1640</v>
      </c>
      <c r="F146" s="14">
        <v>4</v>
      </c>
      <c r="G146" s="15">
        <v>0</v>
      </c>
      <c r="H146" s="15">
        <v>0</v>
      </c>
    </row>
    <row r="147" ht="12.9" customHeight="1">
      <c r="A147" t="s" s="10">
        <v>1641</v>
      </c>
      <c r="B147" t="s" s="11">
        <v>1642</v>
      </c>
      <c r="C147" s="12">
        <v>45461</v>
      </c>
      <c r="D147" t="s" s="13">
        <v>409</v>
      </c>
      <c r="E147" t="s" s="13">
        <v>409</v>
      </c>
      <c r="F147" s="14">
        <v>1</v>
      </c>
      <c r="G147" s="15">
        <v>0</v>
      </c>
      <c r="H147" s="15">
        <v>0</v>
      </c>
    </row>
    <row r="148" ht="12.9" customHeight="1">
      <c r="A148" t="s" s="10">
        <v>1643</v>
      </c>
      <c r="B148" t="s" s="11">
        <v>1644</v>
      </c>
      <c r="C148" s="12">
        <v>45460.747631724538</v>
      </c>
      <c r="D148" t="s" s="13">
        <v>11</v>
      </c>
      <c r="E148" t="s" s="13">
        <v>12</v>
      </c>
      <c r="F148" s="14">
        <v>1</v>
      </c>
      <c r="G148" s="15">
        <v>399.99</v>
      </c>
      <c r="H148" s="15">
        <v>399.99</v>
      </c>
    </row>
    <row r="149" ht="12.9" customHeight="1">
      <c r="A149" t="s" s="10">
        <v>1645</v>
      </c>
      <c r="B149" t="s" s="11">
        <v>755</v>
      </c>
      <c r="C149" s="12">
        <v>45460.629083067128</v>
      </c>
      <c r="D149" t="s" s="13">
        <v>31</v>
      </c>
      <c r="E149" t="s" s="13">
        <v>32</v>
      </c>
      <c r="F149" s="14">
        <v>1</v>
      </c>
      <c r="G149" s="15">
        <v>599.99</v>
      </c>
      <c r="H149" s="15">
        <v>599.99</v>
      </c>
    </row>
    <row r="150" ht="12.9" customHeight="1">
      <c r="A150" t="s" s="10">
        <v>1646</v>
      </c>
      <c r="B150" t="s" s="11">
        <v>1385</v>
      </c>
      <c r="C150" s="12">
        <v>45460</v>
      </c>
      <c r="D150" t="s" s="13">
        <v>1647</v>
      </c>
      <c r="E150" s="16"/>
      <c r="F150" s="14">
        <v>1</v>
      </c>
      <c r="G150" s="15">
        <v>0</v>
      </c>
      <c r="H150" s="15">
        <v>0</v>
      </c>
    </row>
    <row r="151" ht="12.9" customHeight="1">
      <c r="A151" t="s" s="10">
        <v>1646</v>
      </c>
      <c r="B151" t="s" s="11">
        <v>1385</v>
      </c>
      <c r="C151" s="12">
        <v>45460</v>
      </c>
      <c r="D151" t="s" s="13">
        <v>497</v>
      </c>
      <c r="E151" t="s" s="13">
        <v>498</v>
      </c>
      <c r="F151" s="14">
        <v>1</v>
      </c>
      <c r="G151" s="15">
        <v>0</v>
      </c>
      <c r="H151" s="15">
        <v>0</v>
      </c>
    </row>
    <row r="152" ht="12.9" customHeight="1">
      <c r="A152" t="s" s="10">
        <v>1648</v>
      </c>
      <c r="B152" t="s" s="11">
        <v>1649</v>
      </c>
      <c r="C152" s="12">
        <v>45458</v>
      </c>
      <c r="D152" t="s" s="13">
        <v>47</v>
      </c>
      <c r="E152" s="16"/>
      <c r="F152" s="14">
        <v>1</v>
      </c>
      <c r="G152" s="15">
        <v>72.5</v>
      </c>
      <c r="H152" s="15">
        <v>72.5</v>
      </c>
    </row>
    <row r="153" ht="12.9" customHeight="1">
      <c r="A153" t="s" s="10">
        <v>1648</v>
      </c>
      <c r="B153" t="s" s="11">
        <v>1649</v>
      </c>
      <c r="C153" s="12">
        <v>45458</v>
      </c>
      <c r="D153" t="s" s="13">
        <v>57</v>
      </c>
      <c r="E153" t="s" s="13">
        <v>58</v>
      </c>
      <c r="F153" s="14">
        <v>19</v>
      </c>
      <c r="G153" s="15">
        <v>599.9924999999999</v>
      </c>
      <c r="H153" s="15">
        <v>11399.8575</v>
      </c>
    </row>
    <row r="154" ht="12.9" customHeight="1">
      <c r="A154" t="s" s="10">
        <v>1650</v>
      </c>
      <c r="B154" t="s" s="11">
        <v>1651</v>
      </c>
      <c r="C154" s="12">
        <v>45457.863900520832</v>
      </c>
      <c r="D154" t="s" s="13">
        <v>19</v>
      </c>
      <c r="E154" t="s" s="13">
        <v>20</v>
      </c>
      <c r="F154" s="14">
        <v>4</v>
      </c>
      <c r="G154" s="15">
        <v>119.99</v>
      </c>
      <c r="H154" s="15">
        <v>479.96</v>
      </c>
    </row>
    <row r="155" ht="12.9" customHeight="1">
      <c r="A155" t="s" s="10">
        <v>1652</v>
      </c>
      <c r="B155" t="s" s="11">
        <v>1653</v>
      </c>
      <c r="C155" s="12">
        <v>45457.861692175924</v>
      </c>
      <c r="D155" t="s" s="13">
        <v>589</v>
      </c>
      <c r="E155" t="s" s="13">
        <v>590</v>
      </c>
      <c r="F155" s="14">
        <v>2</v>
      </c>
      <c r="G155" s="15">
        <v>7.49</v>
      </c>
      <c r="H155" s="15">
        <v>14.98</v>
      </c>
    </row>
    <row r="156" ht="12.9" customHeight="1">
      <c r="A156" t="s" s="10">
        <v>1654</v>
      </c>
      <c r="B156" t="s" s="11">
        <v>1655</v>
      </c>
      <c r="C156" s="12">
        <v>45457.795797673614</v>
      </c>
      <c r="D156" t="s" s="13">
        <v>139</v>
      </c>
      <c r="E156" t="s" s="13">
        <v>1656</v>
      </c>
      <c r="F156" s="14">
        <v>1</v>
      </c>
      <c r="G156" s="15">
        <v>49.99</v>
      </c>
      <c r="H156" s="15">
        <v>49.99</v>
      </c>
    </row>
    <row r="157" ht="12.9" customHeight="1">
      <c r="A157" t="s" s="10">
        <v>1654</v>
      </c>
      <c r="B157" t="s" s="11">
        <v>1655</v>
      </c>
      <c r="C157" s="12">
        <v>45457.795797673614</v>
      </c>
      <c r="D157" t="s" s="13">
        <v>15</v>
      </c>
      <c r="E157" t="s" s="13">
        <v>16</v>
      </c>
      <c r="F157" s="14">
        <v>1</v>
      </c>
      <c r="G157" s="15">
        <v>0</v>
      </c>
      <c r="H157" s="15">
        <v>0</v>
      </c>
    </row>
    <row r="158" ht="12.9" customHeight="1">
      <c r="A158" t="s" s="10">
        <v>1657</v>
      </c>
      <c r="B158" t="s" s="11">
        <v>1658</v>
      </c>
      <c r="C158" s="12">
        <v>45457.353707361108</v>
      </c>
      <c r="D158" t="s" s="13">
        <v>77</v>
      </c>
      <c r="E158" t="s" s="13">
        <v>78</v>
      </c>
      <c r="F158" s="14">
        <v>1</v>
      </c>
      <c r="G158" s="15">
        <v>19.99</v>
      </c>
      <c r="H158" s="15">
        <v>19.99</v>
      </c>
    </row>
    <row r="159" ht="12.9" customHeight="1">
      <c r="A159" t="s" s="10">
        <v>1657</v>
      </c>
      <c r="B159" t="s" s="11">
        <v>1658</v>
      </c>
      <c r="C159" s="12">
        <v>45457.353707361108</v>
      </c>
      <c r="D159" t="s" s="13">
        <v>54</v>
      </c>
      <c r="E159" t="s" s="13">
        <v>93</v>
      </c>
      <c r="F159" s="14">
        <v>1</v>
      </c>
      <c r="G159" s="15">
        <v>9.99</v>
      </c>
      <c r="H159" s="15">
        <v>9.99</v>
      </c>
    </row>
    <row r="160" ht="12.9" customHeight="1">
      <c r="A160" t="s" s="10">
        <v>1659</v>
      </c>
      <c r="B160" t="s" s="11">
        <v>1660</v>
      </c>
      <c r="C160" s="12">
        <v>45457.044269143516</v>
      </c>
      <c r="D160" t="s" s="13">
        <v>139</v>
      </c>
      <c r="E160" t="s" s="13">
        <v>1656</v>
      </c>
      <c r="F160" s="14">
        <v>1</v>
      </c>
      <c r="G160" s="15">
        <v>49.99</v>
      </c>
      <c r="H160" s="15">
        <v>49.99</v>
      </c>
    </row>
    <row r="161" ht="12.9" customHeight="1">
      <c r="A161" t="s" s="10">
        <v>1659</v>
      </c>
      <c r="B161" t="s" s="11">
        <v>1660</v>
      </c>
      <c r="C161" s="12">
        <v>45457.044269143516</v>
      </c>
      <c r="D161" t="s" s="13">
        <v>15</v>
      </c>
      <c r="E161" t="s" s="13">
        <v>16</v>
      </c>
      <c r="F161" s="14">
        <v>1</v>
      </c>
      <c r="G161" s="15">
        <v>0</v>
      </c>
      <c r="H161" s="15">
        <v>0</v>
      </c>
    </row>
    <row r="162" ht="12.9" customHeight="1">
      <c r="A162" t="s" s="10">
        <v>1661</v>
      </c>
      <c r="B162" t="s" s="11">
        <v>476</v>
      </c>
      <c r="C162" s="12">
        <v>45457</v>
      </c>
      <c r="D162" t="s" s="13">
        <v>1662</v>
      </c>
      <c r="E162" t="s" s="13">
        <v>1663</v>
      </c>
      <c r="F162" s="14">
        <v>1</v>
      </c>
      <c r="G162" s="15">
        <v>6472.23</v>
      </c>
      <c r="H162" s="15">
        <v>6472.23</v>
      </c>
    </row>
    <row r="163" ht="12.9" customHeight="1">
      <c r="A163" t="s" s="10">
        <v>1661</v>
      </c>
      <c r="B163" t="s" s="11">
        <v>476</v>
      </c>
      <c r="C163" s="12">
        <v>45457</v>
      </c>
      <c r="D163" t="s" s="13">
        <v>1664</v>
      </c>
      <c r="E163" t="s" s="13">
        <v>1665</v>
      </c>
      <c r="F163" s="14">
        <v>1</v>
      </c>
      <c r="G163" s="15">
        <v>308.23</v>
      </c>
      <c r="H163" s="15">
        <v>308.23</v>
      </c>
    </row>
    <row r="164" ht="12.9" customHeight="1">
      <c r="A164" t="s" s="10">
        <v>1661</v>
      </c>
      <c r="B164" t="s" s="11">
        <v>476</v>
      </c>
      <c r="C164" s="12">
        <v>45457</v>
      </c>
      <c r="D164" t="s" s="13">
        <v>1666</v>
      </c>
      <c r="E164" t="s" s="13">
        <v>1667</v>
      </c>
      <c r="F164" s="14">
        <v>1</v>
      </c>
      <c r="G164" s="15">
        <v>-4000</v>
      </c>
      <c r="H164" s="15">
        <v>-4000</v>
      </c>
    </row>
    <row r="165" ht="12.9" customHeight="1">
      <c r="A165" t="s" s="10">
        <v>1668</v>
      </c>
      <c r="B165" t="s" s="11">
        <v>1669</v>
      </c>
      <c r="C165" s="12">
        <v>45457</v>
      </c>
      <c r="D165" t="s" s="13">
        <v>63</v>
      </c>
      <c r="E165" s="16"/>
      <c r="F165" s="14">
        <v>1</v>
      </c>
      <c r="G165" s="15">
        <v>11.5</v>
      </c>
      <c r="H165" s="15">
        <v>11.5</v>
      </c>
    </row>
    <row r="166" ht="12.9" customHeight="1">
      <c r="A166" t="s" s="10">
        <v>1668</v>
      </c>
      <c r="B166" t="s" s="11">
        <v>1669</v>
      </c>
      <c r="C166" s="12">
        <v>45457</v>
      </c>
      <c r="D166" t="s" s="13">
        <v>254</v>
      </c>
      <c r="E166" t="s" s="13">
        <v>1670</v>
      </c>
      <c r="F166" s="14">
        <v>1</v>
      </c>
      <c r="G166" s="15">
        <v>40</v>
      </c>
      <c r="H166" s="15">
        <v>40</v>
      </c>
    </row>
    <row r="167" ht="12.9" customHeight="1">
      <c r="A167" t="s" s="10">
        <v>1668</v>
      </c>
      <c r="B167" t="s" s="11">
        <v>1669</v>
      </c>
      <c r="C167" s="12">
        <v>45457</v>
      </c>
      <c r="D167" t="s" s="13">
        <v>762</v>
      </c>
      <c r="E167" t="s" s="13">
        <v>763</v>
      </c>
      <c r="F167" s="14">
        <v>1</v>
      </c>
      <c r="G167" s="15">
        <v>0</v>
      </c>
      <c r="H167" s="15">
        <v>0</v>
      </c>
    </row>
    <row r="168" ht="12.9" customHeight="1">
      <c r="A168" t="s" s="10">
        <v>1668</v>
      </c>
      <c r="B168" t="s" s="11">
        <v>1669</v>
      </c>
      <c r="C168" s="12">
        <v>45457</v>
      </c>
      <c r="D168" t="s" s="13">
        <v>764</v>
      </c>
      <c r="E168" t="s" s="13">
        <v>765</v>
      </c>
      <c r="F168" s="14">
        <v>1</v>
      </c>
      <c r="G168" s="15">
        <v>0</v>
      </c>
      <c r="H168" s="15">
        <v>0</v>
      </c>
    </row>
    <row r="169" ht="12.9" customHeight="1">
      <c r="A169" t="s" s="10">
        <v>1668</v>
      </c>
      <c r="B169" t="s" s="11">
        <v>1669</v>
      </c>
      <c r="C169" s="12">
        <v>45457</v>
      </c>
      <c r="D169" t="s" s="13">
        <v>402</v>
      </c>
      <c r="E169" t="s" s="13">
        <v>403</v>
      </c>
      <c r="F169" s="14">
        <v>1</v>
      </c>
      <c r="G169" s="15">
        <v>0</v>
      </c>
      <c r="H169" s="15">
        <v>0</v>
      </c>
    </row>
    <row r="170" ht="12.9" customHeight="1">
      <c r="A170" t="s" s="10">
        <v>1668</v>
      </c>
      <c r="B170" t="s" s="11">
        <v>1669</v>
      </c>
      <c r="C170" s="12">
        <v>45457</v>
      </c>
      <c r="D170" t="s" s="13">
        <v>766</v>
      </c>
      <c r="E170" t="s" s="13">
        <v>767</v>
      </c>
      <c r="F170" s="14">
        <v>1</v>
      </c>
      <c r="G170" s="15">
        <v>0</v>
      </c>
      <c r="H170" s="15">
        <v>0</v>
      </c>
    </row>
    <row r="171" ht="12.9" customHeight="1">
      <c r="A171" t="s" s="10">
        <v>1668</v>
      </c>
      <c r="B171" t="s" s="11">
        <v>1669</v>
      </c>
      <c r="C171" s="12">
        <v>45457</v>
      </c>
      <c r="D171" t="s" s="13">
        <v>1671</v>
      </c>
      <c r="E171" t="s" s="13">
        <v>1672</v>
      </c>
      <c r="F171" s="14">
        <v>1</v>
      </c>
      <c r="G171" s="15">
        <v>0</v>
      </c>
      <c r="H171" s="15">
        <v>0</v>
      </c>
    </row>
    <row r="172" ht="12.9" customHeight="1">
      <c r="A172" t="s" s="10">
        <v>1668</v>
      </c>
      <c r="B172" t="s" s="11">
        <v>1669</v>
      </c>
      <c r="C172" s="12">
        <v>45457</v>
      </c>
      <c r="D172" t="s" s="13">
        <v>589</v>
      </c>
      <c r="E172" t="s" s="13">
        <v>590</v>
      </c>
      <c r="F172" s="14">
        <v>1</v>
      </c>
      <c r="G172" s="15">
        <v>0</v>
      </c>
      <c r="H172" s="15">
        <v>0</v>
      </c>
    </row>
    <row r="173" ht="12.9" customHeight="1">
      <c r="A173" t="s" s="10">
        <v>1673</v>
      </c>
      <c r="B173" t="s" s="11">
        <v>1674</v>
      </c>
      <c r="C173" s="12">
        <v>45456.999926423610</v>
      </c>
      <c r="D173" t="s" s="13">
        <v>11</v>
      </c>
      <c r="E173" t="s" s="13">
        <v>12</v>
      </c>
      <c r="F173" s="14">
        <v>1</v>
      </c>
      <c r="G173" s="15">
        <v>399.99</v>
      </c>
      <c r="H173" s="15">
        <v>399.99</v>
      </c>
    </row>
    <row r="174" ht="12.9" customHeight="1">
      <c r="A174" t="s" s="10">
        <v>1675</v>
      </c>
      <c r="B174" t="s" s="11">
        <v>1412</v>
      </c>
      <c r="C174" s="12">
        <v>45456.808861620368</v>
      </c>
      <c r="D174" t="s" s="13">
        <v>50</v>
      </c>
      <c r="E174" t="s" s="13">
        <v>83</v>
      </c>
      <c r="F174" s="14">
        <v>2</v>
      </c>
      <c r="G174" s="15">
        <v>29.99</v>
      </c>
      <c r="H174" s="15">
        <v>59.98</v>
      </c>
    </row>
    <row r="175" ht="12.9" customHeight="1">
      <c r="A175" t="s" s="10">
        <v>1676</v>
      </c>
      <c r="B175" t="s" s="11">
        <v>1677</v>
      </c>
      <c r="C175" s="12">
        <v>45456.606748946760</v>
      </c>
      <c r="D175" t="s" s="13">
        <v>35</v>
      </c>
      <c r="E175" t="s" s="13">
        <v>36</v>
      </c>
      <c r="F175" s="14">
        <v>1</v>
      </c>
      <c r="G175" s="15">
        <v>49.99</v>
      </c>
      <c r="H175" s="15">
        <v>49.99</v>
      </c>
    </row>
    <row r="176" ht="12.9" customHeight="1">
      <c r="A176" t="s" s="10">
        <v>1676</v>
      </c>
      <c r="B176" t="s" s="11">
        <v>1677</v>
      </c>
      <c r="C176" s="12">
        <v>45456.606748946760</v>
      </c>
      <c r="D176" t="s" s="13">
        <v>89</v>
      </c>
      <c r="E176" t="s" s="13">
        <v>90</v>
      </c>
      <c r="F176" s="14">
        <v>1</v>
      </c>
      <c r="G176" s="15">
        <v>59.99</v>
      </c>
      <c r="H176" s="15">
        <v>59.99</v>
      </c>
    </row>
    <row r="177" ht="12.9" customHeight="1">
      <c r="A177" t="s" s="10">
        <v>1678</v>
      </c>
      <c r="B177" t="s" s="11">
        <v>1536</v>
      </c>
      <c r="C177" s="12">
        <v>45456</v>
      </c>
      <c r="D177" t="s" s="13">
        <v>63</v>
      </c>
      <c r="E177" s="16"/>
      <c r="F177" s="14">
        <v>1</v>
      </c>
      <c r="G177" s="15">
        <v>540</v>
      </c>
      <c r="H177" s="15">
        <v>540</v>
      </c>
    </row>
    <row r="178" ht="12.9" customHeight="1">
      <c r="A178" t="s" s="10">
        <v>1678</v>
      </c>
      <c r="B178" t="s" s="11">
        <v>1536</v>
      </c>
      <c r="C178" s="12">
        <v>45456</v>
      </c>
      <c r="D178" t="s" s="13">
        <v>1550</v>
      </c>
      <c r="E178" t="s" s="13">
        <v>1551</v>
      </c>
      <c r="F178" s="14">
        <v>1</v>
      </c>
      <c r="G178" s="15">
        <v>3999.99</v>
      </c>
      <c r="H178" s="15">
        <v>3999.99</v>
      </c>
    </row>
    <row r="179" ht="12.9" customHeight="1">
      <c r="A179" t="s" s="10">
        <v>1678</v>
      </c>
      <c r="B179" t="s" s="11">
        <v>1536</v>
      </c>
      <c r="C179" s="12">
        <v>45456</v>
      </c>
      <c r="D179" t="s" s="13">
        <v>23</v>
      </c>
      <c r="E179" t="s" s="13">
        <v>56</v>
      </c>
      <c r="F179" s="14">
        <v>1</v>
      </c>
      <c r="G179" s="15">
        <v>0</v>
      </c>
      <c r="H179" s="15">
        <v>0</v>
      </c>
    </row>
    <row r="180" ht="12.9" customHeight="1">
      <c r="A180" t="s" s="10">
        <v>1678</v>
      </c>
      <c r="B180" t="s" s="11">
        <v>1536</v>
      </c>
      <c r="C180" s="12">
        <v>45456</v>
      </c>
      <c r="D180" t="s" s="13">
        <v>54</v>
      </c>
      <c r="E180" t="s" s="13">
        <v>55</v>
      </c>
      <c r="F180" s="14">
        <v>1</v>
      </c>
      <c r="G180" s="15">
        <v>0</v>
      </c>
      <c r="H180" s="15">
        <v>0</v>
      </c>
    </row>
    <row r="181" ht="12.9" customHeight="1">
      <c r="A181" t="s" s="10">
        <v>1679</v>
      </c>
      <c r="B181" t="s" s="11">
        <v>1680</v>
      </c>
      <c r="C181" s="12">
        <v>45455.883005347219</v>
      </c>
      <c r="D181" t="s" s="13">
        <v>73</v>
      </c>
      <c r="E181" t="s" s="13">
        <v>74</v>
      </c>
      <c r="F181" s="14">
        <v>1</v>
      </c>
      <c r="G181" s="15">
        <v>399.99</v>
      </c>
      <c r="H181" s="15">
        <v>399.99</v>
      </c>
    </row>
    <row r="182" ht="12.9" customHeight="1">
      <c r="A182" t="s" s="10">
        <v>1681</v>
      </c>
      <c r="B182" t="s" s="11">
        <v>1682</v>
      </c>
      <c r="C182" s="12">
        <v>45455.834455185184</v>
      </c>
      <c r="D182" t="s" s="13">
        <v>412</v>
      </c>
      <c r="E182" t="s" s="13">
        <v>413</v>
      </c>
      <c r="F182" s="14">
        <v>6</v>
      </c>
      <c r="G182" s="15">
        <v>1.99</v>
      </c>
      <c r="H182" s="15">
        <v>11.94</v>
      </c>
    </row>
    <row r="183" ht="12.9" customHeight="1">
      <c r="A183" t="s" s="10">
        <v>1681</v>
      </c>
      <c r="B183" t="s" s="11">
        <v>1682</v>
      </c>
      <c r="C183" s="12">
        <v>45455.834455185184</v>
      </c>
      <c r="D183" t="s" s="13">
        <v>15</v>
      </c>
      <c r="E183" t="s" s="13">
        <v>16</v>
      </c>
      <c r="F183" s="14">
        <v>1</v>
      </c>
      <c r="G183" s="15">
        <v>9.99</v>
      </c>
      <c r="H183" s="15">
        <v>9.99</v>
      </c>
    </row>
    <row r="184" ht="12.9" customHeight="1">
      <c r="A184" t="s" s="10">
        <v>1683</v>
      </c>
      <c r="B184" t="s" s="11">
        <v>1684</v>
      </c>
      <c r="C184" s="12">
        <v>45455.639048831021</v>
      </c>
      <c r="D184" t="s" s="13">
        <v>95</v>
      </c>
      <c r="E184" t="s" s="13">
        <v>12</v>
      </c>
      <c r="F184" s="14">
        <v>1</v>
      </c>
      <c r="G184" s="15">
        <v>349.99</v>
      </c>
      <c r="H184" s="15">
        <v>349.99</v>
      </c>
    </row>
    <row r="185" ht="12.9" customHeight="1">
      <c r="A185" t="s" s="10">
        <v>1685</v>
      </c>
      <c r="B185" t="s" s="11">
        <v>1686</v>
      </c>
      <c r="C185" s="12">
        <v>45455.027803356483</v>
      </c>
      <c r="D185" t="s" s="13">
        <v>39</v>
      </c>
      <c r="E185" t="s" s="13">
        <v>40</v>
      </c>
      <c r="F185" s="14">
        <v>2</v>
      </c>
      <c r="G185" s="15">
        <v>109.99</v>
      </c>
      <c r="H185" s="15">
        <v>219.98</v>
      </c>
    </row>
    <row r="186" ht="12.9" customHeight="1">
      <c r="A186" t="s" s="10">
        <v>1687</v>
      </c>
      <c r="B186" t="s" s="11">
        <v>721</v>
      </c>
      <c r="C186" s="12">
        <v>45455</v>
      </c>
      <c r="D186" t="s" s="13">
        <v>47</v>
      </c>
      <c r="E186" s="16"/>
      <c r="F186" s="14">
        <v>1</v>
      </c>
      <c r="G186" s="15">
        <v>134.65</v>
      </c>
      <c r="H186" s="15">
        <v>134.65</v>
      </c>
    </row>
    <row r="187" ht="12.9" customHeight="1">
      <c r="A187" t="s" s="10">
        <v>1687</v>
      </c>
      <c r="B187" t="s" s="11">
        <v>721</v>
      </c>
      <c r="C187" s="12">
        <v>45455</v>
      </c>
      <c r="D187" t="s" s="13">
        <v>123</v>
      </c>
      <c r="E187" t="s" s="13">
        <v>124</v>
      </c>
      <c r="F187" s="14">
        <v>8</v>
      </c>
      <c r="G187" s="15">
        <v>134.9925</v>
      </c>
      <c r="H187" s="15">
        <v>1079.94</v>
      </c>
    </row>
    <row r="188" ht="12.9" customHeight="1">
      <c r="A188" t="s" s="10">
        <v>1687</v>
      </c>
      <c r="B188" t="s" s="11">
        <v>721</v>
      </c>
      <c r="C188" s="12">
        <v>45455</v>
      </c>
      <c r="D188" t="s" s="13">
        <v>1688</v>
      </c>
      <c r="E188" t="s" s="13">
        <v>1689</v>
      </c>
      <c r="F188" s="14">
        <v>4</v>
      </c>
      <c r="G188" s="15">
        <v>172.4925</v>
      </c>
      <c r="H188" s="15">
        <v>689.97</v>
      </c>
    </row>
    <row r="189" ht="12.9" customHeight="1">
      <c r="A189" t="s" s="10">
        <v>1687</v>
      </c>
      <c r="B189" t="s" s="11">
        <v>721</v>
      </c>
      <c r="C189" s="12">
        <v>45455</v>
      </c>
      <c r="D189" t="s" s="13">
        <v>369</v>
      </c>
      <c r="E189" t="s" s="13">
        <v>370</v>
      </c>
      <c r="F189" s="14">
        <v>4</v>
      </c>
      <c r="G189" s="15">
        <v>9.7425</v>
      </c>
      <c r="H189" s="15">
        <v>38.97</v>
      </c>
    </row>
    <row r="190" ht="12.9" customHeight="1">
      <c r="A190" t="s" s="10">
        <v>1690</v>
      </c>
      <c r="B190" t="s" s="11">
        <v>941</v>
      </c>
      <c r="C190" s="12">
        <v>45455</v>
      </c>
      <c r="D190" t="s" s="13">
        <v>47</v>
      </c>
      <c r="E190" s="16"/>
      <c r="F190" s="14">
        <v>1</v>
      </c>
      <c r="G190" s="15">
        <v>45.8</v>
      </c>
      <c r="H190" s="15">
        <v>45.8</v>
      </c>
    </row>
    <row r="191" ht="12.9" customHeight="1">
      <c r="A191" t="s" s="10">
        <v>1690</v>
      </c>
      <c r="B191" t="s" s="11">
        <v>941</v>
      </c>
      <c r="C191" s="12">
        <v>45455</v>
      </c>
      <c r="D191" t="s" s="13">
        <v>1257</v>
      </c>
      <c r="E191" t="s" s="13">
        <v>1691</v>
      </c>
      <c r="F191" s="14">
        <v>2</v>
      </c>
      <c r="G191" s="15">
        <v>337.4925</v>
      </c>
      <c r="H191" s="15">
        <v>674.985</v>
      </c>
    </row>
    <row r="192" ht="12.9" customHeight="1">
      <c r="A192" t="s" s="10">
        <v>1690</v>
      </c>
      <c r="B192" t="s" s="11">
        <v>941</v>
      </c>
      <c r="C192" s="12">
        <v>45455</v>
      </c>
      <c r="D192" t="s" s="13">
        <v>1257</v>
      </c>
      <c r="E192" t="s" s="13">
        <v>1692</v>
      </c>
      <c r="F192" s="14">
        <v>6</v>
      </c>
      <c r="G192" s="15">
        <v>108.7425</v>
      </c>
      <c r="H192" s="15">
        <v>652.455</v>
      </c>
    </row>
    <row r="193" ht="12.9" customHeight="1">
      <c r="A193" t="s" s="10">
        <v>1690</v>
      </c>
      <c r="B193" t="s" s="11">
        <v>941</v>
      </c>
      <c r="C193" s="12">
        <v>45455</v>
      </c>
      <c r="D193" t="s" s="13">
        <v>77</v>
      </c>
      <c r="E193" t="s" s="13">
        <v>78</v>
      </c>
      <c r="F193" s="14">
        <v>6</v>
      </c>
      <c r="G193" s="15">
        <v>14.9925</v>
      </c>
      <c r="H193" s="15">
        <v>89.955</v>
      </c>
    </row>
    <row r="194" ht="12.9" customHeight="1">
      <c r="A194" t="s" s="10">
        <v>1693</v>
      </c>
      <c r="B194" t="s" s="11">
        <v>1694</v>
      </c>
      <c r="C194" s="12">
        <v>45455</v>
      </c>
      <c r="D194" t="s" s="13">
        <v>19</v>
      </c>
      <c r="E194" t="s" s="13">
        <v>20</v>
      </c>
      <c r="F194" s="14">
        <v>2</v>
      </c>
      <c r="G194" s="15">
        <v>99.98999999999999</v>
      </c>
      <c r="H194" s="15">
        <v>199.98</v>
      </c>
    </row>
    <row r="195" ht="12.9" customHeight="1">
      <c r="A195" t="s" s="10">
        <v>1693</v>
      </c>
      <c r="B195" t="s" s="11">
        <v>1694</v>
      </c>
      <c r="C195" s="12">
        <v>45455</v>
      </c>
      <c r="D195" t="s" s="13">
        <v>1695</v>
      </c>
      <c r="E195" t="s" s="13">
        <v>140</v>
      </c>
      <c r="F195" s="14">
        <v>1</v>
      </c>
      <c r="G195" s="15">
        <v>0</v>
      </c>
      <c r="H195" s="15">
        <v>0</v>
      </c>
    </row>
    <row r="196" ht="12.9" customHeight="1">
      <c r="A196" t="s" s="10">
        <v>1693</v>
      </c>
      <c r="B196" t="s" s="11">
        <v>1694</v>
      </c>
      <c r="C196" s="12">
        <v>45455</v>
      </c>
      <c r="D196" t="s" s="13">
        <v>15</v>
      </c>
      <c r="E196" t="s" s="13">
        <v>16</v>
      </c>
      <c r="F196" s="14">
        <v>1</v>
      </c>
      <c r="G196" s="15">
        <v>0</v>
      </c>
      <c r="H196" s="15">
        <v>0</v>
      </c>
    </row>
    <row r="197" ht="12.9" customHeight="1">
      <c r="A197" t="s" s="10">
        <v>1696</v>
      </c>
      <c r="B197" t="s" s="11">
        <v>1697</v>
      </c>
      <c r="C197" s="12">
        <v>45455</v>
      </c>
      <c r="D197" t="s" s="13">
        <v>404</v>
      </c>
      <c r="E197" t="s" s="13">
        <v>405</v>
      </c>
      <c r="F197" s="14">
        <v>1</v>
      </c>
      <c r="G197" s="15">
        <v>0</v>
      </c>
      <c r="H197" s="15">
        <v>0</v>
      </c>
    </row>
    <row r="198" ht="12.9" customHeight="1">
      <c r="A198" t="s" s="10">
        <v>1696</v>
      </c>
      <c r="B198" t="s" s="11">
        <v>1697</v>
      </c>
      <c r="C198" s="12">
        <v>45455</v>
      </c>
      <c r="D198" t="s" s="13">
        <v>369</v>
      </c>
      <c r="E198" t="s" s="13">
        <v>370</v>
      </c>
      <c r="F198" s="14">
        <v>1</v>
      </c>
      <c r="G198" s="15">
        <v>0</v>
      </c>
      <c r="H198" s="15">
        <v>0</v>
      </c>
    </row>
    <row r="199" ht="12.9" customHeight="1">
      <c r="A199" t="s" s="10">
        <v>1698</v>
      </c>
      <c r="B199" t="s" s="11">
        <v>1699</v>
      </c>
      <c r="C199" s="12">
        <v>45454.800278865740</v>
      </c>
      <c r="D199" t="s" s="13">
        <v>95</v>
      </c>
      <c r="E199" t="s" s="13">
        <v>12</v>
      </c>
      <c r="F199" s="14">
        <v>1</v>
      </c>
      <c r="G199" s="15">
        <v>349.99</v>
      </c>
      <c r="H199" s="15">
        <v>349.99</v>
      </c>
    </row>
    <row r="200" ht="12.9" customHeight="1">
      <c r="A200" t="s" s="10">
        <v>1700</v>
      </c>
      <c r="B200" t="s" s="11">
        <v>1701</v>
      </c>
      <c r="C200" s="12">
        <v>45454.675232465277</v>
      </c>
      <c r="D200" t="s" s="13">
        <v>81</v>
      </c>
      <c r="E200" t="s" s="13">
        <v>82</v>
      </c>
      <c r="F200" s="14">
        <v>10</v>
      </c>
      <c r="G200" s="15">
        <v>849.99</v>
      </c>
      <c r="H200" s="15">
        <v>8499.9</v>
      </c>
    </row>
    <row r="201" ht="12.9" customHeight="1">
      <c r="A201" t="s" s="10">
        <v>1700</v>
      </c>
      <c r="B201" t="s" s="11">
        <v>1701</v>
      </c>
      <c r="C201" s="12">
        <v>45454.675232465277</v>
      </c>
      <c r="D201" t="s" s="13">
        <v>602</v>
      </c>
      <c r="E201" t="s" s="13">
        <v>686</v>
      </c>
      <c r="F201" s="14">
        <v>10</v>
      </c>
      <c r="G201" s="15">
        <v>175</v>
      </c>
      <c r="H201" s="15">
        <v>1750</v>
      </c>
    </row>
    <row r="202" ht="12.9" customHeight="1">
      <c r="A202" t="s" s="10">
        <v>1700</v>
      </c>
      <c r="B202" t="s" s="11">
        <v>1701</v>
      </c>
      <c r="C202" s="12">
        <v>45454.675232465277</v>
      </c>
      <c r="D202" t="s" s="13">
        <v>50</v>
      </c>
      <c r="E202" t="s" s="13">
        <v>83</v>
      </c>
      <c r="F202" s="14">
        <v>10</v>
      </c>
      <c r="G202" s="15">
        <v>0</v>
      </c>
      <c r="H202" s="15">
        <v>0</v>
      </c>
    </row>
    <row r="203" ht="12.9" customHeight="1">
      <c r="A203" t="s" s="10">
        <v>1700</v>
      </c>
      <c r="B203" t="s" s="11">
        <v>1701</v>
      </c>
      <c r="C203" s="12">
        <v>45454.675232465277</v>
      </c>
      <c r="D203" t="s" s="13">
        <v>84</v>
      </c>
      <c r="E203" t="s" s="13">
        <v>85</v>
      </c>
      <c r="F203" s="14">
        <v>10</v>
      </c>
      <c r="G203" s="15">
        <v>0</v>
      </c>
      <c r="H203" s="15">
        <v>0</v>
      </c>
    </row>
    <row r="204" ht="12.9" customHeight="1">
      <c r="A204" t="s" s="10">
        <v>1700</v>
      </c>
      <c r="B204" t="s" s="11">
        <v>1701</v>
      </c>
      <c r="C204" s="12">
        <v>45454.675232465277</v>
      </c>
      <c r="D204" t="s" s="13">
        <v>123</v>
      </c>
      <c r="E204" t="s" s="13">
        <v>124</v>
      </c>
      <c r="F204" s="14">
        <v>10</v>
      </c>
      <c r="G204" s="15">
        <v>179.99</v>
      </c>
      <c r="H204" s="15">
        <v>1799.9</v>
      </c>
    </row>
    <row r="205" ht="12.9" customHeight="1">
      <c r="A205" t="s" s="10">
        <v>1700</v>
      </c>
      <c r="B205" t="s" s="11">
        <v>1701</v>
      </c>
      <c r="C205" s="12">
        <v>45454.675232465277</v>
      </c>
      <c r="D205" t="s" s="13">
        <v>882</v>
      </c>
      <c r="E205" t="s" s="13">
        <v>883</v>
      </c>
      <c r="F205" s="14">
        <v>20</v>
      </c>
      <c r="G205" s="15">
        <v>74.98999999999999</v>
      </c>
      <c r="H205" s="15">
        <v>1499.8</v>
      </c>
    </row>
    <row r="206" ht="12.9" customHeight="1">
      <c r="A206" t="s" s="10">
        <v>1702</v>
      </c>
      <c r="B206" t="s" s="11">
        <v>1126</v>
      </c>
      <c r="C206" s="12">
        <v>45454.655656550924</v>
      </c>
      <c r="D206" t="s" s="13">
        <v>77</v>
      </c>
      <c r="E206" t="s" s="13">
        <v>78</v>
      </c>
      <c r="F206" s="14">
        <v>1</v>
      </c>
      <c r="G206" s="15">
        <v>19.99</v>
      </c>
      <c r="H206" s="15">
        <v>19.99</v>
      </c>
    </row>
    <row r="207" ht="12.9" customHeight="1">
      <c r="A207" t="s" s="10">
        <v>1702</v>
      </c>
      <c r="B207" t="s" s="11">
        <v>1126</v>
      </c>
      <c r="C207" s="12">
        <v>45454.655656550924</v>
      </c>
      <c r="D207" t="s" s="13">
        <v>359</v>
      </c>
      <c r="E207" t="s" s="13">
        <v>360</v>
      </c>
      <c r="F207" s="14">
        <v>1</v>
      </c>
      <c r="G207" s="15">
        <v>29.99</v>
      </c>
      <c r="H207" s="15">
        <v>29.99</v>
      </c>
    </row>
    <row r="208" ht="12.9" customHeight="1">
      <c r="A208" t="s" s="10">
        <v>1703</v>
      </c>
      <c r="B208" t="s" s="11">
        <v>1704</v>
      </c>
      <c r="C208" s="12">
        <v>45454</v>
      </c>
      <c r="D208" t="s" s="13">
        <v>1705</v>
      </c>
      <c r="E208" t="s" s="13">
        <v>1706</v>
      </c>
      <c r="F208" s="14">
        <v>3</v>
      </c>
      <c r="G208" s="15">
        <v>24.99</v>
      </c>
      <c r="H208" s="15">
        <v>74.97</v>
      </c>
    </row>
    <row r="209" ht="12.9" customHeight="1">
      <c r="A209" t="s" s="10">
        <v>1703</v>
      </c>
      <c r="B209" t="s" s="11">
        <v>1704</v>
      </c>
      <c r="C209" s="12">
        <v>45454</v>
      </c>
      <c r="D209" t="s" s="13">
        <v>497</v>
      </c>
      <c r="E209" t="s" s="13">
        <v>498</v>
      </c>
      <c r="F209" s="14">
        <v>3</v>
      </c>
      <c r="G209" s="15">
        <v>29.99</v>
      </c>
      <c r="H209" s="15">
        <v>89.97</v>
      </c>
    </row>
    <row r="210" ht="12.9" customHeight="1">
      <c r="A210" t="s" s="10">
        <v>1703</v>
      </c>
      <c r="B210" t="s" s="11">
        <v>1704</v>
      </c>
      <c r="C210" s="12">
        <v>45454</v>
      </c>
      <c r="D210" t="s" s="13">
        <v>1707</v>
      </c>
      <c r="E210" t="s" s="13">
        <v>1708</v>
      </c>
      <c r="F210" s="14">
        <v>3</v>
      </c>
      <c r="G210" s="15">
        <v>0</v>
      </c>
      <c r="H210" s="15">
        <v>0</v>
      </c>
    </row>
    <row r="211" ht="12.9" customHeight="1">
      <c r="A211" t="s" s="10">
        <v>1709</v>
      </c>
      <c r="B211" t="s" s="11">
        <v>1710</v>
      </c>
      <c r="C211" s="12">
        <v>45454</v>
      </c>
      <c r="D211" t="s" s="13">
        <v>585</v>
      </c>
      <c r="E211" t="s" s="13">
        <v>586</v>
      </c>
      <c r="F211" s="14">
        <v>1</v>
      </c>
      <c r="G211" s="15">
        <v>499.99</v>
      </c>
      <c r="H211" s="15">
        <v>499.99</v>
      </c>
    </row>
    <row r="212" ht="12.9" customHeight="1">
      <c r="A212" t="s" s="10">
        <v>1709</v>
      </c>
      <c r="B212" t="s" s="11">
        <v>1710</v>
      </c>
      <c r="C212" s="12">
        <v>45454</v>
      </c>
      <c r="D212" t="s" s="13">
        <v>50</v>
      </c>
      <c r="E212" t="s" s="13">
        <v>83</v>
      </c>
      <c r="F212" s="14">
        <v>1</v>
      </c>
      <c r="G212" s="15">
        <v>29.99</v>
      </c>
      <c r="H212" s="15">
        <v>29.99</v>
      </c>
    </row>
    <row r="213" ht="12.9" customHeight="1">
      <c r="A213" t="s" s="10">
        <v>1709</v>
      </c>
      <c r="B213" t="s" s="11">
        <v>1710</v>
      </c>
      <c r="C213" s="12">
        <v>45454</v>
      </c>
      <c r="D213" t="s" s="13">
        <v>445</v>
      </c>
      <c r="E213" t="s" s="13">
        <v>446</v>
      </c>
      <c r="F213" s="14">
        <v>1</v>
      </c>
      <c r="G213" s="15">
        <v>149.99</v>
      </c>
      <c r="H213" s="15">
        <v>149.99</v>
      </c>
    </row>
    <row r="214" ht="12.9" customHeight="1">
      <c r="A214" t="s" s="10">
        <v>1711</v>
      </c>
      <c r="B214" t="s" s="11">
        <v>563</v>
      </c>
      <c r="C214" s="12">
        <v>45454</v>
      </c>
      <c r="D214" t="s" s="13">
        <v>63</v>
      </c>
      <c r="E214" s="16"/>
      <c r="F214" s="14">
        <v>1</v>
      </c>
      <c r="G214" s="15">
        <v>13.5</v>
      </c>
      <c r="H214" s="15">
        <v>13.5</v>
      </c>
    </row>
    <row r="215" ht="12.9" customHeight="1">
      <c r="A215" t="s" s="10">
        <v>1711</v>
      </c>
      <c r="B215" t="s" s="11">
        <v>563</v>
      </c>
      <c r="C215" s="12">
        <v>45454</v>
      </c>
      <c r="D215" t="s" s="13">
        <v>35</v>
      </c>
      <c r="E215" t="s" s="13">
        <v>36</v>
      </c>
      <c r="F215" s="14">
        <v>1</v>
      </c>
      <c r="G215" s="15">
        <v>37.4925</v>
      </c>
      <c r="H215" s="15">
        <v>37.4925</v>
      </c>
    </row>
    <row r="216" ht="12.9" customHeight="1">
      <c r="A216" t="s" s="10">
        <v>1712</v>
      </c>
      <c r="B216" t="s" s="11">
        <v>1497</v>
      </c>
      <c r="C216" s="12">
        <v>45453.931373981482</v>
      </c>
      <c r="D216" t="s" s="13">
        <v>11</v>
      </c>
      <c r="E216" t="s" s="13">
        <v>12</v>
      </c>
      <c r="F216" s="14">
        <v>1</v>
      </c>
      <c r="G216" s="15">
        <v>399.99</v>
      </c>
      <c r="H216" s="15">
        <v>399.99</v>
      </c>
    </row>
    <row r="217" ht="12.9" customHeight="1">
      <c r="A217" t="s" s="10">
        <v>1713</v>
      </c>
      <c r="B217" t="s" s="11">
        <v>1511</v>
      </c>
      <c r="C217" s="12">
        <v>45453.905514236110</v>
      </c>
      <c r="D217" t="s" s="13">
        <v>73</v>
      </c>
      <c r="E217" t="s" s="13">
        <v>74</v>
      </c>
      <c r="F217" s="14">
        <v>1</v>
      </c>
      <c r="G217" s="15">
        <v>399.99</v>
      </c>
      <c r="H217" s="15">
        <v>399.99</v>
      </c>
    </row>
    <row r="218" ht="12.9" customHeight="1">
      <c r="A218" t="s" s="10">
        <v>1714</v>
      </c>
      <c r="B218" t="s" s="11">
        <v>1166</v>
      </c>
      <c r="C218" s="12">
        <v>45453.864508773149</v>
      </c>
      <c r="D218" t="s" s="13">
        <v>27</v>
      </c>
      <c r="E218" t="s" s="13">
        <v>28</v>
      </c>
      <c r="F218" s="14">
        <v>2</v>
      </c>
      <c r="G218" s="15">
        <v>79.98999999999999</v>
      </c>
      <c r="H218" s="15">
        <v>159.98</v>
      </c>
    </row>
    <row r="219" ht="12.9" customHeight="1">
      <c r="A219" t="s" s="10">
        <v>1715</v>
      </c>
      <c r="B219" t="s" s="11">
        <v>1716</v>
      </c>
      <c r="C219" s="12">
        <v>45453.853789317131</v>
      </c>
      <c r="D219" t="s" s="13">
        <v>123</v>
      </c>
      <c r="E219" t="s" s="13">
        <v>124</v>
      </c>
      <c r="F219" s="14">
        <v>1</v>
      </c>
      <c r="G219" s="15">
        <v>179.99</v>
      </c>
      <c r="H219" s="15">
        <v>179.99</v>
      </c>
    </row>
    <row r="220" ht="12.9" customHeight="1">
      <c r="A220" t="s" s="10">
        <v>1715</v>
      </c>
      <c r="B220" t="s" s="11">
        <v>1716</v>
      </c>
      <c r="C220" s="12">
        <v>45453.853789317131</v>
      </c>
      <c r="D220" t="s" s="13">
        <v>125</v>
      </c>
      <c r="E220" t="s" s="13">
        <v>126</v>
      </c>
      <c r="F220" s="14">
        <v>4</v>
      </c>
      <c r="G220" s="15">
        <v>64.98999999999999</v>
      </c>
      <c r="H220" s="15">
        <v>259.96</v>
      </c>
    </row>
    <row r="221" ht="12.9" customHeight="1">
      <c r="A221" t="s" s="10">
        <v>1715</v>
      </c>
      <c r="B221" t="s" s="11">
        <v>1716</v>
      </c>
      <c r="C221" s="12">
        <v>45453.853789317131</v>
      </c>
      <c r="D221" t="s" s="13">
        <v>123</v>
      </c>
      <c r="E221" t="s" s="13">
        <v>124</v>
      </c>
      <c r="F221" s="14">
        <v>1</v>
      </c>
      <c r="G221" s="15">
        <v>179.99</v>
      </c>
      <c r="H221" s="15">
        <v>179.99</v>
      </c>
    </row>
    <row r="222" ht="12.9" customHeight="1">
      <c r="A222" t="s" s="10">
        <v>1715</v>
      </c>
      <c r="B222" t="s" s="11">
        <v>1716</v>
      </c>
      <c r="C222" s="12">
        <v>45453.853789317131</v>
      </c>
      <c r="D222" t="s" s="13">
        <v>1717</v>
      </c>
      <c r="E222" t="s" s="13">
        <v>1718</v>
      </c>
      <c r="F222" s="14">
        <v>1</v>
      </c>
      <c r="G222" s="15">
        <v>99.98999999999999</v>
      </c>
      <c r="H222" s="15">
        <v>99.98999999999999</v>
      </c>
    </row>
    <row r="223" ht="12.9" customHeight="1">
      <c r="A223" t="s" s="10">
        <v>1719</v>
      </c>
      <c r="B223" t="s" s="11">
        <v>1720</v>
      </c>
      <c r="C223" s="12">
        <v>45453.834252037035</v>
      </c>
      <c r="D223" t="s" s="13">
        <v>35</v>
      </c>
      <c r="E223" t="s" s="13">
        <v>36</v>
      </c>
      <c r="F223" s="14">
        <v>1</v>
      </c>
      <c r="G223" s="15">
        <v>49.99</v>
      </c>
      <c r="H223" s="15">
        <v>49.99</v>
      </c>
    </row>
    <row r="224" ht="12.9" customHeight="1">
      <c r="A224" t="s" s="10">
        <v>1721</v>
      </c>
      <c r="B224" t="s" s="11">
        <v>1722</v>
      </c>
      <c r="C224" s="12">
        <v>45453.797203194445</v>
      </c>
      <c r="D224" t="s" s="13">
        <v>19</v>
      </c>
      <c r="E224" t="s" s="13">
        <v>20</v>
      </c>
      <c r="F224" s="14">
        <v>2</v>
      </c>
      <c r="G224" s="15">
        <v>119.99</v>
      </c>
      <c r="H224" s="15">
        <v>239.98</v>
      </c>
    </row>
    <row r="225" ht="12.9" customHeight="1">
      <c r="A225" t="s" s="10">
        <v>1723</v>
      </c>
      <c r="B225" t="s" s="11">
        <v>1724</v>
      </c>
      <c r="C225" s="12">
        <v>45453.719477037041</v>
      </c>
      <c r="D225" t="s" s="13">
        <v>95</v>
      </c>
      <c r="E225" t="s" s="13">
        <v>12</v>
      </c>
      <c r="F225" s="14">
        <v>2</v>
      </c>
      <c r="G225" s="15">
        <v>349.99</v>
      </c>
      <c r="H225" s="15">
        <v>699.98</v>
      </c>
    </row>
    <row r="226" ht="12.9" customHeight="1">
      <c r="A226" t="s" s="10">
        <v>1725</v>
      </c>
      <c r="B226" t="s" s="11">
        <v>1726</v>
      </c>
      <c r="C226" s="12">
        <v>45453</v>
      </c>
      <c r="D226" t="s" s="13">
        <v>47</v>
      </c>
      <c r="E226" s="16"/>
      <c r="F226" s="14">
        <v>1</v>
      </c>
      <c r="G226" s="15">
        <v>65</v>
      </c>
      <c r="H226" s="15">
        <v>65</v>
      </c>
    </row>
    <row r="227" ht="12.9" customHeight="1">
      <c r="A227" t="s" s="10">
        <v>1725</v>
      </c>
      <c r="B227" t="s" s="11">
        <v>1726</v>
      </c>
      <c r="C227" s="12">
        <v>45453</v>
      </c>
      <c r="D227" t="s" s="13">
        <v>35</v>
      </c>
      <c r="E227" t="s" s="13">
        <v>36</v>
      </c>
      <c r="F227" s="14">
        <v>30</v>
      </c>
      <c r="G227" s="15">
        <v>44.991</v>
      </c>
      <c r="H227" s="15">
        <v>1349.73</v>
      </c>
    </row>
    <row r="228" ht="12.9" customHeight="1">
      <c r="A228" t="s" s="10">
        <v>1725</v>
      </c>
      <c r="B228" t="s" s="11">
        <v>1726</v>
      </c>
      <c r="C228" s="12">
        <v>45453</v>
      </c>
      <c r="D228" t="s" s="13">
        <v>89</v>
      </c>
      <c r="E228" t="s" s="13">
        <v>90</v>
      </c>
      <c r="F228" s="14">
        <v>10</v>
      </c>
      <c r="G228" s="15">
        <v>53.991</v>
      </c>
      <c r="H228" s="15">
        <v>539.91</v>
      </c>
    </row>
    <row r="229" ht="12.9" customHeight="1">
      <c r="A229" t="s" s="10">
        <v>1727</v>
      </c>
      <c r="B229" t="s" s="11">
        <v>1704</v>
      </c>
      <c r="C229" s="12">
        <v>45453</v>
      </c>
      <c r="D229" t="s" s="13">
        <v>47</v>
      </c>
      <c r="E229" t="s" s="13">
        <v>1728</v>
      </c>
      <c r="F229" s="14">
        <v>1</v>
      </c>
      <c r="G229" s="15">
        <v>9.99</v>
      </c>
      <c r="H229" s="15">
        <v>9.99</v>
      </c>
    </row>
    <row r="230" ht="12.9" customHeight="1">
      <c r="A230" t="s" s="10">
        <v>1727</v>
      </c>
      <c r="B230" t="s" s="11">
        <v>1704</v>
      </c>
      <c r="C230" s="12">
        <v>45453</v>
      </c>
      <c r="D230" t="s" s="13">
        <v>1729</v>
      </c>
      <c r="E230" t="s" s="13">
        <v>1730</v>
      </c>
      <c r="F230" s="14">
        <v>1</v>
      </c>
      <c r="G230" s="15">
        <v>19.99</v>
      </c>
      <c r="H230" s="15">
        <v>19.99</v>
      </c>
    </row>
    <row r="231" ht="12.9" customHeight="1">
      <c r="A231" t="s" s="10">
        <v>1727</v>
      </c>
      <c r="B231" t="s" s="11">
        <v>1704</v>
      </c>
      <c r="C231" s="12">
        <v>45453</v>
      </c>
      <c r="D231" t="s" s="13">
        <v>1731</v>
      </c>
      <c r="E231" t="s" s="13">
        <v>1732</v>
      </c>
      <c r="F231" s="14">
        <v>2</v>
      </c>
      <c r="G231" s="15">
        <v>24.99</v>
      </c>
      <c r="H231" s="15">
        <v>49.98</v>
      </c>
    </row>
    <row r="232" ht="12.9" customHeight="1">
      <c r="A232" t="s" s="10">
        <v>1733</v>
      </c>
      <c r="B232" t="s" s="11">
        <v>1734</v>
      </c>
      <c r="C232" s="12">
        <v>45451.792974606484</v>
      </c>
      <c r="D232" t="s" s="13">
        <v>345</v>
      </c>
      <c r="E232" t="s" s="13">
        <v>346</v>
      </c>
      <c r="F232" s="14">
        <v>1</v>
      </c>
      <c r="G232" s="15">
        <v>219.99</v>
      </c>
      <c r="H232" s="15">
        <v>219.99</v>
      </c>
    </row>
    <row r="233" ht="12.9" customHeight="1">
      <c r="A233" t="s" s="10">
        <v>1735</v>
      </c>
      <c r="B233" t="s" s="11">
        <v>1736</v>
      </c>
      <c r="C233" s="12">
        <v>45450.742126493053</v>
      </c>
      <c r="D233" t="s" s="13">
        <v>73</v>
      </c>
      <c r="E233" t="s" s="13">
        <v>74</v>
      </c>
      <c r="F233" s="14">
        <v>1</v>
      </c>
      <c r="G233" s="15">
        <v>399.99</v>
      </c>
      <c r="H233" s="15">
        <v>399.99</v>
      </c>
    </row>
    <row r="234" ht="12.9" customHeight="1">
      <c r="A234" t="s" s="10">
        <v>1737</v>
      </c>
      <c r="B234" t="s" s="11">
        <v>174</v>
      </c>
      <c r="C234" s="12">
        <v>45450.719971192128</v>
      </c>
      <c r="D234" t="s" s="13">
        <v>1695</v>
      </c>
      <c r="E234" t="s" s="13">
        <v>140</v>
      </c>
      <c r="F234" s="14">
        <v>1</v>
      </c>
      <c r="G234" s="15">
        <v>49.99</v>
      </c>
      <c r="H234" s="15">
        <v>49.99</v>
      </c>
    </row>
    <row r="235" ht="12.9" customHeight="1">
      <c r="A235" t="s" s="10">
        <v>1737</v>
      </c>
      <c r="B235" t="s" s="11">
        <v>174</v>
      </c>
      <c r="C235" s="12">
        <v>45450.719971192128</v>
      </c>
      <c r="D235" t="s" s="13">
        <v>15</v>
      </c>
      <c r="E235" t="s" s="13">
        <v>16</v>
      </c>
      <c r="F235" s="14">
        <v>1</v>
      </c>
      <c r="G235" s="15">
        <v>0</v>
      </c>
      <c r="H235" s="15">
        <v>0</v>
      </c>
    </row>
    <row r="236" ht="12.9" customHeight="1">
      <c r="A236" t="s" s="10">
        <v>1738</v>
      </c>
      <c r="B236" t="s" s="11">
        <v>1739</v>
      </c>
      <c r="C236" s="12">
        <v>45450.641326307872</v>
      </c>
      <c r="D236" t="s" s="13">
        <v>19</v>
      </c>
      <c r="E236" t="s" s="13">
        <v>20</v>
      </c>
      <c r="F236" s="14">
        <v>1</v>
      </c>
      <c r="G236" s="15">
        <v>119.99</v>
      </c>
      <c r="H236" s="15">
        <v>119.99</v>
      </c>
    </row>
    <row r="237" ht="12.9" customHeight="1">
      <c r="A237" t="s" s="10">
        <v>1740</v>
      </c>
      <c r="B237" t="s" s="11">
        <v>1741</v>
      </c>
      <c r="C237" s="12">
        <v>45450.3007394676</v>
      </c>
      <c r="D237" t="s" s="13">
        <v>27</v>
      </c>
      <c r="E237" t="s" s="13">
        <v>28</v>
      </c>
      <c r="F237" s="14">
        <v>3</v>
      </c>
      <c r="G237" s="15">
        <v>79.98999999999999</v>
      </c>
      <c r="H237" s="15">
        <v>239.97</v>
      </c>
    </row>
    <row r="238" ht="12.9" customHeight="1">
      <c r="A238" t="s" s="10">
        <v>1742</v>
      </c>
      <c r="B238" t="s" s="11">
        <v>1743</v>
      </c>
      <c r="C238" s="12">
        <v>45450</v>
      </c>
      <c r="D238" t="s" s="13">
        <v>1428</v>
      </c>
      <c r="E238" t="s" s="13">
        <v>1429</v>
      </c>
      <c r="F238" s="14">
        <v>1</v>
      </c>
      <c r="G238" s="15">
        <v>337.3395</v>
      </c>
      <c r="H238" s="15">
        <v>337.3395</v>
      </c>
    </row>
    <row r="239" ht="12.9" customHeight="1">
      <c r="A239" t="s" s="10">
        <v>1742</v>
      </c>
      <c r="B239" t="s" s="11">
        <v>1743</v>
      </c>
      <c r="C239" s="12">
        <v>45450</v>
      </c>
      <c r="D239" t="s" s="13">
        <v>47</v>
      </c>
      <c r="E239" s="16"/>
      <c r="F239" s="14">
        <v>1</v>
      </c>
      <c r="G239" s="15">
        <v>422.6</v>
      </c>
      <c r="H239" s="15">
        <v>422.6</v>
      </c>
    </row>
    <row r="240" ht="12.9" customHeight="1">
      <c r="A240" t="s" s="10">
        <v>1742</v>
      </c>
      <c r="B240" t="s" s="11">
        <v>1743</v>
      </c>
      <c r="C240" s="12">
        <v>45450</v>
      </c>
      <c r="D240" t="s" s="13">
        <v>1744</v>
      </c>
      <c r="E240" t="s" s="13">
        <v>1745</v>
      </c>
      <c r="F240" s="14">
        <v>2</v>
      </c>
      <c r="G240" s="15">
        <v>1774.973426</v>
      </c>
      <c r="H240" s="15">
        <v>3549.946852</v>
      </c>
    </row>
    <row r="241" ht="12.9" customHeight="1">
      <c r="A241" t="s" s="10">
        <v>1742</v>
      </c>
      <c r="B241" t="s" s="11">
        <v>1743</v>
      </c>
      <c r="C241" s="12">
        <v>45450</v>
      </c>
      <c r="D241" t="s" s="13">
        <v>50</v>
      </c>
      <c r="E241" t="s" s="13">
        <v>51</v>
      </c>
      <c r="F241" s="14">
        <v>2</v>
      </c>
      <c r="G241" s="15">
        <v>0</v>
      </c>
      <c r="H241" s="15">
        <v>0</v>
      </c>
    </row>
    <row r="242" ht="12.9" customHeight="1">
      <c r="A242" t="s" s="10">
        <v>1742</v>
      </c>
      <c r="B242" t="s" s="11">
        <v>1743</v>
      </c>
      <c r="C242" s="12">
        <v>45450</v>
      </c>
      <c r="D242" t="s" s="13">
        <v>1257</v>
      </c>
      <c r="E242" t="s" s="13">
        <v>1746</v>
      </c>
      <c r="F242" s="14">
        <v>1</v>
      </c>
      <c r="G242" s="15">
        <v>0</v>
      </c>
      <c r="H242" s="15">
        <v>0</v>
      </c>
    </row>
    <row r="243" ht="12.9" customHeight="1">
      <c r="A243" t="s" s="10">
        <v>1742</v>
      </c>
      <c r="B243" t="s" s="11">
        <v>1743</v>
      </c>
      <c r="C243" s="12">
        <v>45450</v>
      </c>
      <c r="D243" t="s" s="13">
        <v>585</v>
      </c>
      <c r="E243" t="s" s="13">
        <v>586</v>
      </c>
      <c r="F243" s="14">
        <v>20</v>
      </c>
      <c r="G243" s="15">
        <v>374.9925</v>
      </c>
      <c r="H243" s="15">
        <v>7499.85</v>
      </c>
    </row>
    <row r="244" ht="12.9" customHeight="1">
      <c r="A244" t="s" s="10">
        <v>1742</v>
      </c>
      <c r="B244" t="s" s="11">
        <v>1743</v>
      </c>
      <c r="C244" s="12">
        <v>45450</v>
      </c>
      <c r="D244" t="s" s="13">
        <v>167</v>
      </c>
      <c r="E244" t="s" s="13">
        <v>495</v>
      </c>
      <c r="F244" s="14">
        <v>20</v>
      </c>
      <c r="G244" s="15">
        <v>0</v>
      </c>
      <c r="H244" s="15">
        <v>0</v>
      </c>
    </row>
    <row r="245" ht="12.9" customHeight="1">
      <c r="A245" t="s" s="10">
        <v>1742</v>
      </c>
      <c r="B245" t="s" s="11">
        <v>1743</v>
      </c>
      <c r="C245" s="12">
        <v>45450</v>
      </c>
      <c r="D245" t="s" s="13">
        <v>587</v>
      </c>
      <c r="E245" t="s" s="13">
        <v>588</v>
      </c>
      <c r="F245" s="14">
        <v>20</v>
      </c>
      <c r="G245" s="15">
        <v>9.7425</v>
      </c>
      <c r="H245" s="15">
        <v>194.85</v>
      </c>
    </row>
    <row r="246" ht="12.9" customHeight="1">
      <c r="A246" t="s" s="10">
        <v>1747</v>
      </c>
      <c r="B246" t="s" s="11">
        <v>329</v>
      </c>
      <c r="C246" s="12">
        <v>45450</v>
      </c>
      <c r="D246" t="s" s="13">
        <v>1575</v>
      </c>
      <c r="E246" t="s" s="13">
        <v>1576</v>
      </c>
      <c r="F246" s="14">
        <v>1</v>
      </c>
      <c r="G246" s="15">
        <v>152.9982</v>
      </c>
      <c r="H246" s="15">
        <v>152.9982</v>
      </c>
    </row>
    <row r="247" ht="12.9" customHeight="1">
      <c r="A247" t="s" s="10">
        <v>1747</v>
      </c>
      <c r="B247" t="s" s="11">
        <v>329</v>
      </c>
      <c r="C247" s="12">
        <v>45450</v>
      </c>
      <c r="D247" t="s" s="13">
        <v>47</v>
      </c>
      <c r="E247" s="16"/>
      <c r="F247" s="14">
        <v>1</v>
      </c>
      <c r="G247" s="15">
        <v>135.8</v>
      </c>
      <c r="H247" s="15">
        <v>135.8</v>
      </c>
    </row>
    <row r="248" ht="12.9" customHeight="1">
      <c r="A248" t="s" s="10">
        <v>1747</v>
      </c>
      <c r="B248" t="s" s="11">
        <v>329</v>
      </c>
      <c r="C248" s="12">
        <v>45450</v>
      </c>
      <c r="D248" t="s" s="13">
        <v>81</v>
      </c>
      <c r="E248" t="s" s="13">
        <v>82</v>
      </c>
      <c r="F248" s="14">
        <v>4</v>
      </c>
      <c r="G248" s="15">
        <v>637.4924999999999</v>
      </c>
      <c r="H248" s="15">
        <v>2549.97</v>
      </c>
    </row>
    <row r="249" ht="12.9" customHeight="1">
      <c r="A249" t="s" s="10">
        <v>1747</v>
      </c>
      <c r="B249" t="s" s="11">
        <v>329</v>
      </c>
      <c r="C249" s="12">
        <v>45450</v>
      </c>
      <c r="D249" t="s" s="13">
        <v>50</v>
      </c>
      <c r="E249" t="s" s="13">
        <v>51</v>
      </c>
      <c r="F249" s="14">
        <v>4</v>
      </c>
      <c r="G249" s="15">
        <v>0</v>
      </c>
      <c r="H249" s="15">
        <v>0</v>
      </c>
    </row>
    <row r="250" ht="12.9" customHeight="1">
      <c r="A250" t="s" s="10">
        <v>1747</v>
      </c>
      <c r="B250" t="s" s="11">
        <v>329</v>
      </c>
      <c r="C250" s="12">
        <v>45450</v>
      </c>
      <c r="D250" t="s" s="13">
        <v>23</v>
      </c>
      <c r="E250" t="s" s="13">
        <v>56</v>
      </c>
      <c r="F250" s="14">
        <v>4</v>
      </c>
      <c r="G250" s="15">
        <v>0</v>
      </c>
      <c r="H250" s="15">
        <v>0</v>
      </c>
    </row>
    <row r="251" ht="12.9" customHeight="1">
      <c r="A251" t="s" s="10">
        <v>1747</v>
      </c>
      <c r="B251" t="s" s="11">
        <v>329</v>
      </c>
      <c r="C251" s="12">
        <v>45450</v>
      </c>
      <c r="D251" t="s" s="13">
        <v>54</v>
      </c>
      <c r="E251" t="s" s="13">
        <v>55</v>
      </c>
      <c r="F251" s="14">
        <v>4</v>
      </c>
      <c r="G251" s="15">
        <v>0</v>
      </c>
      <c r="H251" s="15">
        <v>0</v>
      </c>
    </row>
    <row r="252" ht="12.9" customHeight="1">
      <c r="A252" t="s" s="10">
        <v>1748</v>
      </c>
      <c r="B252" t="s" s="11">
        <v>1749</v>
      </c>
      <c r="C252" s="12">
        <v>45449.813940057873</v>
      </c>
      <c r="D252" t="s" s="13">
        <v>1695</v>
      </c>
      <c r="E252" t="s" s="13">
        <v>140</v>
      </c>
      <c r="F252" s="14">
        <v>1</v>
      </c>
      <c r="G252" s="15">
        <v>49.99</v>
      </c>
      <c r="H252" s="15">
        <v>49.99</v>
      </c>
    </row>
    <row r="253" ht="12.9" customHeight="1">
      <c r="A253" t="s" s="10">
        <v>1748</v>
      </c>
      <c r="B253" t="s" s="11">
        <v>1749</v>
      </c>
      <c r="C253" s="12">
        <v>45449.813940057873</v>
      </c>
      <c r="D253" t="s" s="13">
        <v>15</v>
      </c>
      <c r="E253" t="s" s="13">
        <v>16</v>
      </c>
      <c r="F253" s="14">
        <v>1</v>
      </c>
      <c r="G253" s="15">
        <v>0</v>
      </c>
      <c r="H253" s="15">
        <v>0</v>
      </c>
    </row>
    <row r="254" ht="12.9" customHeight="1">
      <c r="A254" t="s" s="10">
        <v>1748</v>
      </c>
      <c r="B254" t="s" s="11">
        <v>1749</v>
      </c>
      <c r="C254" s="12">
        <v>45449.813940057873</v>
      </c>
      <c r="D254" t="s" s="13">
        <v>119</v>
      </c>
      <c r="E254" t="s" s="13">
        <v>120</v>
      </c>
      <c r="F254" s="14">
        <v>2</v>
      </c>
      <c r="G254" s="15">
        <v>1.99</v>
      </c>
      <c r="H254" s="15">
        <v>3.98</v>
      </c>
    </row>
    <row r="255" ht="12.9" customHeight="1">
      <c r="A255" t="s" s="10">
        <v>1750</v>
      </c>
      <c r="B255" t="s" s="11">
        <v>1751</v>
      </c>
      <c r="C255" s="12">
        <v>45449.682584259259</v>
      </c>
      <c r="D255" t="s" s="13">
        <v>95</v>
      </c>
      <c r="E255" t="s" s="13">
        <v>12</v>
      </c>
      <c r="F255" s="14">
        <v>1</v>
      </c>
      <c r="G255" s="15">
        <v>349.99</v>
      </c>
      <c r="H255" s="15">
        <v>349.99</v>
      </c>
    </row>
    <row r="256" ht="12.9" customHeight="1">
      <c r="A256" t="s" s="10">
        <v>1752</v>
      </c>
      <c r="B256" t="s" s="11">
        <v>1753</v>
      </c>
      <c r="C256" s="12">
        <v>45449.633128402776</v>
      </c>
      <c r="D256" t="s" s="13">
        <v>35</v>
      </c>
      <c r="E256" t="s" s="13">
        <v>36</v>
      </c>
      <c r="F256" s="14">
        <v>6</v>
      </c>
      <c r="G256" s="15">
        <v>49.99</v>
      </c>
      <c r="H256" s="15">
        <v>299.94</v>
      </c>
    </row>
    <row r="257" ht="12.9" customHeight="1">
      <c r="A257" t="s" s="10">
        <v>1754</v>
      </c>
      <c r="B257" t="s" s="11">
        <v>1755</v>
      </c>
      <c r="C257" s="12">
        <v>45449.292106493056</v>
      </c>
      <c r="D257" t="s" s="13">
        <v>73</v>
      </c>
      <c r="E257" t="s" s="13">
        <v>74</v>
      </c>
      <c r="F257" s="14">
        <v>1</v>
      </c>
      <c r="G257" s="15">
        <v>399.99</v>
      </c>
      <c r="H257" s="15">
        <v>399.99</v>
      </c>
    </row>
    <row r="258" ht="12.9" customHeight="1">
      <c r="A258" t="s" s="10">
        <v>1756</v>
      </c>
      <c r="B258" t="s" s="11">
        <v>1757</v>
      </c>
      <c r="C258" s="12">
        <v>45449</v>
      </c>
      <c r="D258" t="s" s="13">
        <v>81</v>
      </c>
      <c r="E258" t="s" s="13">
        <v>82</v>
      </c>
      <c r="F258" s="14">
        <v>4</v>
      </c>
      <c r="G258" s="15">
        <v>849.99</v>
      </c>
      <c r="H258" s="15">
        <v>3399.96</v>
      </c>
    </row>
    <row r="259" ht="12.9" customHeight="1">
      <c r="A259" t="s" s="10">
        <v>1756</v>
      </c>
      <c r="B259" t="s" s="11">
        <v>1757</v>
      </c>
      <c r="C259" s="12">
        <v>45449</v>
      </c>
      <c r="D259" t="s" s="13">
        <v>50</v>
      </c>
      <c r="E259" t="s" s="13">
        <v>51</v>
      </c>
      <c r="F259" s="14">
        <v>4</v>
      </c>
      <c r="G259" s="15">
        <v>0</v>
      </c>
      <c r="H259" s="15">
        <v>0</v>
      </c>
    </row>
    <row r="260" ht="12.9" customHeight="1">
      <c r="A260" t="s" s="10">
        <v>1756</v>
      </c>
      <c r="B260" t="s" s="11">
        <v>1757</v>
      </c>
      <c r="C260" s="12">
        <v>45449</v>
      </c>
      <c r="D260" t="s" s="13">
        <v>602</v>
      </c>
      <c r="E260" t="s" s="13">
        <v>603</v>
      </c>
      <c r="F260" s="14">
        <v>4</v>
      </c>
      <c r="G260" s="15">
        <v>87.5</v>
      </c>
      <c r="H260" s="15">
        <v>350</v>
      </c>
    </row>
    <row r="261" ht="12.9" customHeight="1">
      <c r="A261" t="s" s="10">
        <v>1756</v>
      </c>
      <c r="B261" t="s" s="11">
        <v>1757</v>
      </c>
      <c r="C261" s="12">
        <v>45449</v>
      </c>
      <c r="D261" t="s" s="13">
        <v>54</v>
      </c>
      <c r="E261" t="s" s="13">
        <v>55</v>
      </c>
      <c r="F261" s="14">
        <v>4</v>
      </c>
      <c r="G261" s="15">
        <v>0</v>
      </c>
      <c r="H261" s="15">
        <v>0</v>
      </c>
    </row>
    <row r="262" ht="12.9" customHeight="1">
      <c r="A262" t="s" s="10">
        <v>1758</v>
      </c>
      <c r="B262" t="s" s="11">
        <v>1759</v>
      </c>
      <c r="C262" s="12">
        <v>45449</v>
      </c>
      <c r="D262" t="s" s="13">
        <v>63</v>
      </c>
      <c r="E262" s="16"/>
      <c r="F262" s="14">
        <v>1</v>
      </c>
      <c r="G262" s="15">
        <v>51.65</v>
      </c>
      <c r="H262" s="15">
        <v>51.65</v>
      </c>
    </row>
    <row r="263" ht="12.9" customHeight="1">
      <c r="A263" t="s" s="10">
        <v>1758</v>
      </c>
      <c r="B263" t="s" s="11">
        <v>1759</v>
      </c>
      <c r="C263" s="12">
        <v>45449</v>
      </c>
      <c r="D263" t="s" s="13">
        <v>19</v>
      </c>
      <c r="E263" t="s" s="13">
        <v>20</v>
      </c>
      <c r="F263" s="14">
        <v>2</v>
      </c>
      <c r="G263" s="15">
        <v>89.99250000000001</v>
      </c>
      <c r="H263" s="15">
        <v>179.985</v>
      </c>
    </row>
    <row r="264" ht="12.9" customHeight="1">
      <c r="A264" t="s" s="10">
        <v>1758</v>
      </c>
      <c r="B264" t="s" s="11">
        <v>1759</v>
      </c>
      <c r="C264" s="12">
        <v>45449</v>
      </c>
      <c r="D264" t="s" s="13">
        <v>1695</v>
      </c>
      <c r="E264" t="s" s="13">
        <v>140</v>
      </c>
      <c r="F264" s="14">
        <v>2</v>
      </c>
      <c r="G264" s="15">
        <v>37.4925</v>
      </c>
      <c r="H264" s="15">
        <v>74.985</v>
      </c>
    </row>
    <row r="265" ht="12.9" customHeight="1">
      <c r="A265" t="s" s="10">
        <v>1760</v>
      </c>
      <c r="B265" t="s" s="11">
        <v>1761</v>
      </c>
      <c r="C265" s="12">
        <v>45448.976899675923</v>
      </c>
      <c r="D265" t="s" s="13">
        <v>589</v>
      </c>
      <c r="E265" t="s" s="13">
        <v>590</v>
      </c>
      <c r="F265" s="14">
        <v>2</v>
      </c>
      <c r="G265" s="15">
        <v>7.49</v>
      </c>
      <c r="H265" s="15">
        <v>14.98</v>
      </c>
    </row>
    <row r="266" ht="12.9" customHeight="1">
      <c r="A266" t="s" s="10">
        <v>1760</v>
      </c>
      <c r="B266" t="s" s="11">
        <v>1761</v>
      </c>
      <c r="C266" s="12">
        <v>45448.976899675923</v>
      </c>
      <c r="D266" t="s" s="13">
        <v>19</v>
      </c>
      <c r="E266" t="s" s="13">
        <v>20</v>
      </c>
      <c r="F266" s="14">
        <v>4</v>
      </c>
      <c r="G266" s="15">
        <v>119.99</v>
      </c>
      <c r="H266" s="15">
        <v>479.96</v>
      </c>
    </row>
    <row r="267" ht="12.9" customHeight="1">
      <c r="A267" t="s" s="10">
        <v>1762</v>
      </c>
      <c r="B267" t="s" s="11">
        <v>1763</v>
      </c>
      <c r="C267" s="12">
        <v>45448.9207127199</v>
      </c>
      <c r="D267" t="s" s="13">
        <v>171</v>
      </c>
      <c r="E267" t="s" s="13">
        <v>172</v>
      </c>
      <c r="F267" s="14">
        <v>2</v>
      </c>
      <c r="G267" s="15">
        <v>549.99</v>
      </c>
      <c r="H267" s="15">
        <v>1099.98</v>
      </c>
    </row>
    <row r="268" ht="12.9" customHeight="1">
      <c r="A268" t="s" s="10">
        <v>1764</v>
      </c>
      <c r="B268" t="s" s="11">
        <v>1765</v>
      </c>
      <c r="C268" s="12">
        <v>45448.728761539351</v>
      </c>
      <c r="D268" t="s" s="13">
        <v>146</v>
      </c>
      <c r="E268" t="s" s="13">
        <v>147</v>
      </c>
      <c r="F268" s="14">
        <v>8</v>
      </c>
      <c r="G268" s="15">
        <v>19.99</v>
      </c>
      <c r="H268" s="15">
        <v>159.92</v>
      </c>
    </row>
    <row r="269" ht="12.9" customHeight="1">
      <c r="A269" t="s" s="10">
        <v>1766</v>
      </c>
      <c r="B269" t="s" s="11">
        <v>1767</v>
      </c>
      <c r="C269" s="12">
        <v>45448.108184444442</v>
      </c>
      <c r="D269" t="s" s="13">
        <v>95</v>
      </c>
      <c r="E269" t="s" s="13">
        <v>12</v>
      </c>
      <c r="F269" s="14">
        <v>1</v>
      </c>
      <c r="G269" s="15">
        <v>349.99</v>
      </c>
      <c r="H269" s="15">
        <v>349.99</v>
      </c>
    </row>
    <row r="270" ht="12.9" customHeight="1">
      <c r="A270" t="s" s="10">
        <v>1768</v>
      </c>
      <c r="B270" t="s" s="11">
        <v>1769</v>
      </c>
      <c r="C270" s="12">
        <v>45448.0847937963</v>
      </c>
      <c r="D270" t="s" s="13">
        <v>73</v>
      </c>
      <c r="E270" t="s" s="13">
        <v>74</v>
      </c>
      <c r="F270" s="14">
        <v>1</v>
      </c>
      <c r="G270" s="15">
        <v>399.99</v>
      </c>
      <c r="H270" s="15">
        <v>399.99</v>
      </c>
    </row>
    <row r="271" ht="12.9" customHeight="1">
      <c r="A271" t="s" s="10">
        <v>1770</v>
      </c>
      <c r="B271" t="s" s="11">
        <v>1771</v>
      </c>
      <c r="C271" s="12">
        <v>45448</v>
      </c>
      <c r="D271" t="s" s="13">
        <v>1097</v>
      </c>
      <c r="E271" t="s" s="13">
        <v>1098</v>
      </c>
      <c r="F271" s="14">
        <v>3</v>
      </c>
      <c r="G271" s="15">
        <v>0</v>
      </c>
      <c r="H271" s="15">
        <v>0</v>
      </c>
    </row>
    <row r="272" ht="12.9" customHeight="1">
      <c r="A272" t="s" s="10">
        <v>1772</v>
      </c>
      <c r="B272" t="s" s="11">
        <v>69</v>
      </c>
      <c r="C272" s="12">
        <v>45448</v>
      </c>
      <c r="D272" t="s" s="13">
        <v>47</v>
      </c>
      <c r="E272" s="16"/>
      <c r="F272" s="14">
        <v>1</v>
      </c>
      <c r="G272" s="15">
        <v>50</v>
      </c>
      <c r="H272" s="15">
        <v>50</v>
      </c>
    </row>
    <row r="273" ht="12.9" customHeight="1">
      <c r="A273" t="s" s="10">
        <v>1772</v>
      </c>
      <c r="B273" t="s" s="11">
        <v>69</v>
      </c>
      <c r="C273" s="12">
        <v>45448</v>
      </c>
      <c r="D273" t="s" s="13">
        <v>933</v>
      </c>
      <c r="E273" t="s" s="13">
        <v>1773</v>
      </c>
      <c r="F273" s="14">
        <v>5</v>
      </c>
      <c r="G273" s="15">
        <v>900</v>
      </c>
      <c r="H273" s="15">
        <v>4500</v>
      </c>
    </row>
    <row r="274" ht="12.9" customHeight="1">
      <c r="A274" t="s" s="10">
        <v>1772</v>
      </c>
      <c r="B274" t="s" s="11">
        <v>69</v>
      </c>
      <c r="C274" s="12">
        <v>45448</v>
      </c>
      <c r="D274" t="s" s="13">
        <v>52</v>
      </c>
      <c r="E274" t="s" s="13">
        <v>321</v>
      </c>
      <c r="F274" s="14">
        <v>5</v>
      </c>
      <c r="G274" s="15">
        <v>0</v>
      </c>
      <c r="H274" s="15">
        <v>0</v>
      </c>
    </row>
    <row r="275" ht="12.9" customHeight="1">
      <c r="A275" t="s" s="10">
        <v>1772</v>
      </c>
      <c r="B275" t="s" s="11">
        <v>69</v>
      </c>
      <c r="C275" s="12">
        <v>45448</v>
      </c>
      <c r="D275" t="s" s="13">
        <v>50</v>
      </c>
      <c r="E275" t="s" s="13">
        <v>83</v>
      </c>
      <c r="F275" s="14">
        <v>5</v>
      </c>
      <c r="G275" s="15">
        <v>0</v>
      </c>
      <c r="H275" s="15">
        <v>0</v>
      </c>
    </row>
    <row r="276" ht="12.9" customHeight="1">
      <c r="A276" t="s" s="10">
        <v>1774</v>
      </c>
      <c r="B276" t="s" s="11">
        <v>563</v>
      </c>
      <c r="C276" s="12">
        <v>45448</v>
      </c>
      <c r="D276" t="s" s="13">
        <v>63</v>
      </c>
      <c r="E276" s="16"/>
      <c r="F276" s="14">
        <v>1</v>
      </c>
      <c r="G276" s="15">
        <v>35.65</v>
      </c>
      <c r="H276" s="15">
        <v>35.65</v>
      </c>
    </row>
    <row r="277" ht="12.9" customHeight="1">
      <c r="A277" t="s" s="10">
        <v>1774</v>
      </c>
      <c r="B277" t="s" s="11">
        <v>563</v>
      </c>
      <c r="C277" s="12">
        <v>45448</v>
      </c>
      <c r="D277" t="s" s="13">
        <v>345</v>
      </c>
      <c r="E277" t="s" s="13">
        <v>346</v>
      </c>
      <c r="F277" s="14">
        <v>2</v>
      </c>
      <c r="G277" s="15">
        <v>164.9925</v>
      </c>
      <c r="H277" s="15">
        <v>329.985</v>
      </c>
    </row>
    <row r="278" ht="12.9" customHeight="1">
      <c r="A278" t="s" s="10">
        <v>1774</v>
      </c>
      <c r="B278" t="s" s="11">
        <v>563</v>
      </c>
      <c r="C278" s="12">
        <v>45448</v>
      </c>
      <c r="D278" t="s" s="13">
        <v>73</v>
      </c>
      <c r="E278" t="s" s="13">
        <v>74</v>
      </c>
      <c r="F278" s="14">
        <v>1</v>
      </c>
      <c r="G278" s="15">
        <v>299.9925</v>
      </c>
      <c r="H278" s="15">
        <v>299.9925</v>
      </c>
    </row>
    <row r="279" ht="12.9" customHeight="1">
      <c r="A279" t="s" s="10">
        <v>1775</v>
      </c>
      <c r="B279" t="s" s="11">
        <v>1110</v>
      </c>
      <c r="C279" s="12">
        <v>45448</v>
      </c>
      <c r="D279" t="s" s="13">
        <v>59</v>
      </c>
      <c r="E279" t="s" s="13">
        <v>60</v>
      </c>
      <c r="F279" s="14">
        <v>1</v>
      </c>
      <c r="G279" s="15">
        <v>899.9924999999999</v>
      </c>
      <c r="H279" s="15">
        <v>899.9924999999999</v>
      </c>
    </row>
    <row r="280" ht="12.9" customHeight="1">
      <c r="A280" t="s" s="10">
        <v>1776</v>
      </c>
      <c r="B280" t="s" s="11">
        <v>1777</v>
      </c>
      <c r="C280" s="12">
        <v>45447.932837546294</v>
      </c>
      <c r="D280" t="s" s="13">
        <v>27</v>
      </c>
      <c r="E280" t="s" s="13">
        <v>28</v>
      </c>
      <c r="F280" s="14">
        <v>1</v>
      </c>
      <c r="G280" s="15">
        <v>79.98999999999999</v>
      </c>
      <c r="H280" s="15">
        <v>79.98999999999999</v>
      </c>
    </row>
    <row r="281" ht="12.9" customHeight="1">
      <c r="A281" t="s" s="10">
        <v>1778</v>
      </c>
      <c r="B281" t="s" s="11">
        <v>1779</v>
      </c>
      <c r="C281" s="12">
        <v>45447.784012650460</v>
      </c>
      <c r="D281" t="s" s="13">
        <v>19</v>
      </c>
      <c r="E281" t="s" s="13">
        <v>20</v>
      </c>
      <c r="F281" s="14">
        <v>2</v>
      </c>
      <c r="G281" s="15">
        <v>119.99</v>
      </c>
      <c r="H281" s="15">
        <v>239.98</v>
      </c>
    </row>
    <row r="282" ht="12.9" customHeight="1">
      <c r="A282" t="s" s="10">
        <v>1780</v>
      </c>
      <c r="B282" t="s" s="11">
        <v>1166</v>
      </c>
      <c r="C282" s="12">
        <v>45447.6786478125</v>
      </c>
      <c r="D282" t="s" s="13">
        <v>27</v>
      </c>
      <c r="E282" t="s" s="13">
        <v>28</v>
      </c>
      <c r="F282" s="14">
        <v>6</v>
      </c>
      <c r="G282" s="15">
        <v>79.98999999999999</v>
      </c>
      <c r="H282" s="15">
        <v>479.94</v>
      </c>
    </row>
    <row r="283" ht="12.9" customHeight="1">
      <c r="A283" t="s" s="10">
        <v>1781</v>
      </c>
      <c r="B283" t="s" s="11">
        <v>1782</v>
      </c>
      <c r="C283" s="12">
        <v>45447.643925833334</v>
      </c>
      <c r="D283" t="s" s="13">
        <v>77</v>
      </c>
      <c r="E283" t="s" s="13">
        <v>78</v>
      </c>
      <c r="F283" s="14">
        <v>2</v>
      </c>
      <c r="G283" s="15">
        <v>19.99</v>
      </c>
      <c r="H283" s="15">
        <v>39.98</v>
      </c>
    </row>
    <row r="284" ht="12.9" customHeight="1">
      <c r="A284" t="s" s="10">
        <v>1783</v>
      </c>
      <c r="B284" t="s" s="11">
        <v>1784</v>
      </c>
      <c r="C284" s="12">
        <v>45447.187124988428</v>
      </c>
      <c r="D284" t="s" s="13">
        <v>345</v>
      </c>
      <c r="E284" t="s" s="13">
        <v>346</v>
      </c>
      <c r="F284" s="14">
        <v>2</v>
      </c>
      <c r="G284" s="15">
        <v>219.99</v>
      </c>
      <c r="H284" s="15">
        <v>439.98</v>
      </c>
    </row>
    <row r="285" ht="12.9" customHeight="1">
      <c r="A285" t="s" s="10">
        <v>1785</v>
      </c>
      <c r="B285" t="s" s="11">
        <v>1786</v>
      </c>
      <c r="C285" s="12">
        <v>45447</v>
      </c>
      <c r="D285" t="s" s="13">
        <v>254</v>
      </c>
      <c r="E285" t="s" s="13">
        <v>1787</v>
      </c>
      <c r="F285" s="14">
        <v>1</v>
      </c>
      <c r="G285" s="15">
        <v>0</v>
      </c>
      <c r="H285" s="15">
        <v>0</v>
      </c>
    </row>
    <row r="286" ht="12.9" customHeight="1">
      <c r="A286" t="s" s="10">
        <v>1788</v>
      </c>
      <c r="B286" t="s" s="11">
        <v>1789</v>
      </c>
      <c r="C286" s="12">
        <v>45447</v>
      </c>
      <c r="D286" t="s" s="13">
        <v>73</v>
      </c>
      <c r="E286" t="s" s="13">
        <v>74</v>
      </c>
      <c r="F286" s="14">
        <v>1</v>
      </c>
      <c r="G286" s="15">
        <v>299.9925</v>
      </c>
      <c r="H286" s="15">
        <v>299.9925</v>
      </c>
    </row>
    <row r="287" ht="12.9" customHeight="1">
      <c r="A287" t="s" s="10">
        <v>1788</v>
      </c>
      <c r="B287" t="s" s="11">
        <v>1789</v>
      </c>
      <c r="C287" s="12">
        <v>45447</v>
      </c>
      <c r="D287" t="s" s="13">
        <v>487</v>
      </c>
      <c r="E287" t="s" s="13">
        <v>488</v>
      </c>
      <c r="F287" s="14">
        <v>2</v>
      </c>
      <c r="G287" s="15">
        <v>82.49250000000001</v>
      </c>
      <c r="H287" s="15">
        <v>164.985</v>
      </c>
    </row>
    <row r="288" ht="12.9" customHeight="1">
      <c r="A288" t="s" s="10">
        <v>1788</v>
      </c>
      <c r="B288" t="s" s="11">
        <v>1789</v>
      </c>
      <c r="C288" s="12">
        <v>45447</v>
      </c>
      <c r="D288" t="s" s="13">
        <v>1054</v>
      </c>
      <c r="E288" t="s" s="13">
        <v>1055</v>
      </c>
      <c r="F288" s="14">
        <v>1</v>
      </c>
      <c r="G288" s="15">
        <v>112.4925</v>
      </c>
      <c r="H288" s="15">
        <v>112.4925</v>
      </c>
    </row>
    <row r="289" ht="12.9" customHeight="1">
      <c r="A289" t="s" s="10">
        <v>1790</v>
      </c>
      <c r="B289" t="s" s="11">
        <v>161</v>
      </c>
      <c r="C289" s="12">
        <v>45447</v>
      </c>
      <c r="D289" t="s" s="13">
        <v>63</v>
      </c>
      <c r="E289" s="16"/>
      <c r="F289" s="14">
        <v>1</v>
      </c>
      <c r="G289" s="15">
        <v>98.75</v>
      </c>
      <c r="H289" s="15">
        <v>98.75</v>
      </c>
    </row>
    <row r="290" ht="12.9" customHeight="1">
      <c r="A290" t="s" s="10">
        <v>1790</v>
      </c>
      <c r="B290" t="s" s="11">
        <v>161</v>
      </c>
      <c r="C290" s="12">
        <v>45447</v>
      </c>
      <c r="D290" t="s" s="13">
        <v>585</v>
      </c>
      <c r="E290" t="s" s="13">
        <v>586</v>
      </c>
      <c r="F290" s="14">
        <v>2</v>
      </c>
      <c r="G290" s="15">
        <v>374.9925</v>
      </c>
      <c r="H290" s="15">
        <v>749.985</v>
      </c>
    </row>
    <row r="291" ht="12.9" customHeight="1">
      <c r="A291" t="s" s="10">
        <v>1790</v>
      </c>
      <c r="B291" t="s" s="11">
        <v>161</v>
      </c>
      <c r="C291" s="12">
        <v>45447</v>
      </c>
      <c r="D291" t="s" s="13">
        <v>167</v>
      </c>
      <c r="E291" t="s" s="13">
        <v>495</v>
      </c>
      <c r="F291" s="14">
        <v>2</v>
      </c>
      <c r="G291" s="15">
        <v>0</v>
      </c>
      <c r="H291" s="15">
        <v>0</v>
      </c>
    </row>
    <row r="292" ht="12.9" customHeight="1">
      <c r="A292" t="s" s="10">
        <v>1790</v>
      </c>
      <c r="B292" t="s" s="11">
        <v>161</v>
      </c>
      <c r="C292" s="12">
        <v>45447</v>
      </c>
      <c r="D292" t="s" s="13">
        <v>1791</v>
      </c>
      <c r="E292" t="s" s="13">
        <v>1792</v>
      </c>
      <c r="F292" s="14">
        <v>2</v>
      </c>
      <c r="G292" s="15">
        <v>0</v>
      </c>
      <c r="H292" s="15">
        <v>0</v>
      </c>
    </row>
    <row r="293" ht="12.9" customHeight="1">
      <c r="A293" t="s" s="10">
        <v>1790</v>
      </c>
      <c r="B293" t="s" s="11">
        <v>161</v>
      </c>
      <c r="C293" s="12">
        <v>45447</v>
      </c>
      <c r="D293" t="s" s="13">
        <v>824</v>
      </c>
      <c r="E293" t="s" s="13">
        <v>1164</v>
      </c>
      <c r="F293" s="14">
        <v>2</v>
      </c>
      <c r="G293" s="15">
        <v>224.9925</v>
      </c>
      <c r="H293" s="15">
        <v>449.985</v>
      </c>
    </row>
    <row r="294" ht="12.9" customHeight="1">
      <c r="A294" t="s" s="10">
        <v>1793</v>
      </c>
      <c r="B294" t="s" s="11">
        <v>1794</v>
      </c>
      <c r="C294" s="12">
        <v>45446.940374884260</v>
      </c>
      <c r="D294" t="s" s="13">
        <v>89</v>
      </c>
      <c r="E294" t="s" s="13">
        <v>90</v>
      </c>
      <c r="F294" s="14">
        <v>1</v>
      </c>
      <c r="G294" s="15">
        <v>59.99</v>
      </c>
      <c r="H294" s="15">
        <v>59.99</v>
      </c>
    </row>
    <row r="295" ht="12.9" customHeight="1">
      <c r="A295" t="s" s="10">
        <v>1795</v>
      </c>
      <c r="B295" t="s" s="11">
        <v>1782</v>
      </c>
      <c r="C295" s="12">
        <v>45446.838070648148</v>
      </c>
      <c r="D295" t="s" s="13">
        <v>146</v>
      </c>
      <c r="E295" t="s" s="13">
        <v>147</v>
      </c>
      <c r="F295" s="14">
        <v>6</v>
      </c>
      <c r="G295" s="15">
        <v>19.99</v>
      </c>
      <c r="H295" s="15">
        <v>119.94</v>
      </c>
    </row>
    <row r="296" ht="12.9" customHeight="1">
      <c r="A296" t="s" s="10">
        <v>1796</v>
      </c>
      <c r="B296" t="s" s="11">
        <v>885</v>
      </c>
      <c r="C296" s="12">
        <v>45446.797958356481</v>
      </c>
      <c r="D296" t="s" s="13">
        <v>722</v>
      </c>
      <c r="E296" t="s" s="13">
        <v>82</v>
      </c>
      <c r="F296" s="14">
        <v>2</v>
      </c>
      <c r="G296" s="15">
        <v>869.99</v>
      </c>
      <c r="H296" s="15">
        <v>1739.98</v>
      </c>
    </row>
    <row r="297" ht="12.9" customHeight="1">
      <c r="A297" t="s" s="10">
        <v>1796</v>
      </c>
      <c r="B297" t="s" s="11">
        <v>885</v>
      </c>
      <c r="C297" s="12">
        <v>45446.797958356481</v>
      </c>
      <c r="D297" t="s" s="13">
        <v>23</v>
      </c>
      <c r="E297" t="s" s="13">
        <v>24</v>
      </c>
      <c r="F297" s="14">
        <v>2</v>
      </c>
      <c r="G297" s="15">
        <v>0</v>
      </c>
      <c r="H297" s="15">
        <v>0</v>
      </c>
    </row>
    <row r="298" ht="12.9" customHeight="1">
      <c r="A298" t="s" s="10">
        <v>1796</v>
      </c>
      <c r="B298" t="s" s="11">
        <v>885</v>
      </c>
      <c r="C298" s="12">
        <v>45446.797958356481</v>
      </c>
      <c r="D298" t="s" s="13">
        <v>50</v>
      </c>
      <c r="E298" t="s" s="13">
        <v>83</v>
      </c>
      <c r="F298" s="14">
        <v>2</v>
      </c>
      <c r="G298" s="15">
        <v>0</v>
      </c>
      <c r="H298" s="15">
        <v>0</v>
      </c>
    </row>
    <row r="299" ht="12.9" customHeight="1">
      <c r="A299" t="s" s="10">
        <v>1796</v>
      </c>
      <c r="B299" t="s" s="11">
        <v>885</v>
      </c>
      <c r="C299" s="12">
        <v>45446.797958356481</v>
      </c>
      <c r="D299" t="s" s="13">
        <v>84</v>
      </c>
      <c r="E299" t="s" s="13">
        <v>85</v>
      </c>
      <c r="F299" s="14">
        <v>2</v>
      </c>
      <c r="G299" s="15">
        <v>0</v>
      </c>
      <c r="H299" s="15">
        <v>0</v>
      </c>
    </row>
    <row r="300" ht="12.9" customHeight="1">
      <c r="A300" t="s" s="10">
        <v>1796</v>
      </c>
      <c r="B300" t="s" s="11">
        <v>885</v>
      </c>
      <c r="C300" s="12">
        <v>45446.797958356481</v>
      </c>
      <c r="D300" t="s" s="13">
        <v>73</v>
      </c>
      <c r="E300" t="s" s="13">
        <v>74</v>
      </c>
      <c r="F300" s="14">
        <v>1</v>
      </c>
      <c r="G300" s="15">
        <v>399.99</v>
      </c>
      <c r="H300" s="15">
        <v>399.99</v>
      </c>
    </row>
    <row r="301" ht="12.9" customHeight="1">
      <c r="A301" t="s" s="10">
        <v>1797</v>
      </c>
      <c r="B301" t="s" s="11">
        <v>1798</v>
      </c>
      <c r="C301" s="12">
        <v>45446.683288761575</v>
      </c>
      <c r="D301" t="s" s="13">
        <v>27</v>
      </c>
      <c r="E301" t="s" s="13">
        <v>28</v>
      </c>
      <c r="F301" s="14">
        <v>1</v>
      </c>
      <c r="G301" s="15">
        <v>79.98999999999999</v>
      </c>
      <c r="H301" s="15">
        <v>79.98999999999999</v>
      </c>
    </row>
    <row r="302" ht="12.9" customHeight="1">
      <c r="A302" t="s" s="10">
        <v>1799</v>
      </c>
      <c r="B302" t="s" s="11">
        <v>1800</v>
      </c>
      <c r="C302" s="12">
        <v>45446.614225219906</v>
      </c>
      <c r="D302" t="s" s="13">
        <v>95</v>
      </c>
      <c r="E302" t="s" s="13">
        <v>12</v>
      </c>
      <c r="F302" s="14">
        <v>2</v>
      </c>
      <c r="G302" s="15">
        <v>349.99</v>
      </c>
      <c r="H302" s="15">
        <v>699.98</v>
      </c>
    </row>
    <row r="303" ht="12.9" customHeight="1">
      <c r="A303" t="s" s="10">
        <v>1801</v>
      </c>
      <c r="B303" t="s" s="11">
        <v>1802</v>
      </c>
      <c r="C303" s="12">
        <v>45446.110703333332</v>
      </c>
      <c r="D303" t="s" s="13">
        <v>19</v>
      </c>
      <c r="E303" t="s" s="13">
        <v>20</v>
      </c>
      <c r="F303" s="14">
        <v>1</v>
      </c>
      <c r="G303" s="15">
        <v>119.99</v>
      </c>
      <c r="H303" s="15">
        <v>119.99</v>
      </c>
    </row>
    <row r="304" ht="12.9" customHeight="1">
      <c r="A304" t="s" s="10">
        <v>1801</v>
      </c>
      <c r="B304" t="s" s="11">
        <v>1802</v>
      </c>
      <c r="C304" s="12">
        <v>45446.110703333332</v>
      </c>
      <c r="D304" t="s" s="13">
        <v>35</v>
      </c>
      <c r="E304" t="s" s="13">
        <v>36</v>
      </c>
      <c r="F304" s="14">
        <v>2</v>
      </c>
      <c r="G304" s="15">
        <v>49.99</v>
      </c>
      <c r="H304" s="15">
        <v>99.98</v>
      </c>
    </row>
    <row r="305" ht="12.9" customHeight="1">
      <c r="A305" t="s" s="10">
        <v>1801</v>
      </c>
      <c r="B305" t="s" s="11">
        <v>1802</v>
      </c>
      <c r="C305" s="12">
        <v>45446.110703333332</v>
      </c>
      <c r="D305" t="s" s="13">
        <v>23</v>
      </c>
      <c r="E305" t="s" s="13">
        <v>24</v>
      </c>
      <c r="F305" s="14">
        <v>1</v>
      </c>
      <c r="G305" s="15">
        <v>149.99</v>
      </c>
      <c r="H305" s="15">
        <v>149.99</v>
      </c>
    </row>
    <row r="306" ht="12.9" customHeight="1">
      <c r="A306" t="s" s="10">
        <v>1801</v>
      </c>
      <c r="B306" t="s" s="11">
        <v>1802</v>
      </c>
      <c r="C306" s="12">
        <v>45446.110703333332</v>
      </c>
      <c r="D306" t="s" s="13">
        <v>54</v>
      </c>
      <c r="E306" t="s" s="13">
        <v>93</v>
      </c>
      <c r="F306" s="14">
        <v>1</v>
      </c>
      <c r="G306" s="15">
        <v>9.99</v>
      </c>
      <c r="H306" s="15">
        <v>9.99</v>
      </c>
    </row>
    <row r="307" ht="12.9" customHeight="1">
      <c r="A307" t="s" s="10">
        <v>1803</v>
      </c>
      <c r="B307" t="s" s="11">
        <v>174</v>
      </c>
      <c r="C307" s="12">
        <v>45445.19183125</v>
      </c>
      <c r="D307" t="s" s="13">
        <v>1695</v>
      </c>
      <c r="E307" t="s" s="13">
        <v>140</v>
      </c>
      <c r="F307" s="14">
        <v>1</v>
      </c>
      <c r="G307" s="15">
        <v>49.99</v>
      </c>
      <c r="H307" s="15">
        <v>49.99</v>
      </c>
    </row>
    <row r="308" ht="12.9" customHeight="1">
      <c r="A308" t="s" s="10">
        <v>1803</v>
      </c>
      <c r="B308" t="s" s="11">
        <v>174</v>
      </c>
      <c r="C308" s="12">
        <v>45445.19183125</v>
      </c>
      <c r="D308" t="s" s="13">
        <v>15</v>
      </c>
      <c r="E308" t="s" s="13">
        <v>16</v>
      </c>
      <c r="F308" s="14">
        <v>1</v>
      </c>
      <c r="G308" s="15">
        <v>0</v>
      </c>
      <c r="H308" s="15">
        <v>0</v>
      </c>
    </row>
    <row r="309" ht="12.9" customHeight="1">
      <c r="A309" t="s" s="10">
        <v>1804</v>
      </c>
      <c r="B309" t="s" s="11">
        <v>1805</v>
      </c>
      <c r="C309" s="12">
        <v>45444.5113190162</v>
      </c>
      <c r="D309" t="s" s="13">
        <v>23</v>
      </c>
      <c r="E309" t="s" s="13">
        <v>24</v>
      </c>
      <c r="F309" s="14">
        <v>3</v>
      </c>
      <c r="G309" s="15">
        <v>149.99</v>
      </c>
      <c r="H309" s="15">
        <v>449.97</v>
      </c>
    </row>
    <row r="310" ht="12.9" customHeight="1">
      <c r="A310" t="s" s="10">
        <v>1804</v>
      </c>
      <c r="B310" t="s" s="11">
        <v>1805</v>
      </c>
      <c r="C310" s="12">
        <v>45444.5113190162</v>
      </c>
      <c r="D310" t="s" s="13">
        <v>77</v>
      </c>
      <c r="E310" t="s" s="13">
        <v>78</v>
      </c>
      <c r="F310" s="14">
        <v>3</v>
      </c>
      <c r="G310" s="15">
        <v>19.99</v>
      </c>
      <c r="H310" s="15">
        <v>59.97</v>
      </c>
    </row>
    <row r="311" ht="12.9" customHeight="1">
      <c r="A311" t="s" s="10">
        <v>1806</v>
      </c>
      <c r="B311" t="s" s="11">
        <v>1658</v>
      </c>
      <c r="C311" s="12">
        <v>45444.173363472219</v>
      </c>
      <c r="D311" t="s" s="13">
        <v>11</v>
      </c>
      <c r="E311" t="s" s="13">
        <v>12</v>
      </c>
      <c r="F311" s="14">
        <v>1</v>
      </c>
      <c r="G311" s="15">
        <v>399.99</v>
      </c>
      <c r="H311" s="15">
        <v>399.99</v>
      </c>
    </row>
    <row r="312" ht="12.9" customHeight="1">
      <c r="A312" s="17"/>
      <c r="B312" s="18"/>
      <c r="C312" s="12"/>
      <c r="D312" s="16"/>
      <c r="E312" s="16"/>
      <c r="F312" s="16"/>
      <c r="G312" s="15"/>
      <c r="H312" s="15"/>
    </row>
    <row r="313" ht="12.9" customHeight="1">
      <c r="A313" s="17"/>
      <c r="B313" s="18"/>
      <c r="C313" s="12"/>
      <c r="D313" s="16"/>
      <c r="E313" s="16"/>
      <c r="F313" s="16"/>
      <c r="G313" s="15"/>
      <c r="H313" s="15"/>
    </row>
    <row r="314" ht="12.9" customHeight="1">
      <c r="A314" s="17"/>
      <c r="B314" s="18"/>
      <c r="C314" s="12"/>
      <c r="D314" s="16"/>
      <c r="E314" s="16"/>
      <c r="F314" s="16"/>
      <c r="G314" s="15"/>
      <c r="H314" s="15"/>
    </row>
    <row r="315" ht="12.9" customHeight="1">
      <c r="A315" s="17"/>
      <c r="B315" s="18"/>
      <c r="C315" s="12"/>
      <c r="D315" s="16"/>
      <c r="E315" s="16"/>
      <c r="F315" s="16"/>
      <c r="G315" s="15"/>
      <c r="H315" s="15"/>
    </row>
    <row r="316" ht="12.9" customHeight="1">
      <c r="A316" s="17"/>
      <c r="B316" s="18"/>
      <c r="C316" s="12"/>
      <c r="D316" s="16"/>
      <c r="E316" s="16"/>
      <c r="F316" s="16"/>
      <c r="G316" s="15"/>
      <c r="H316" s="15"/>
    </row>
    <row r="317" ht="12.9" customHeight="1">
      <c r="A317" s="17"/>
      <c r="B317" s="18"/>
      <c r="C317" s="12"/>
      <c r="D317" s="16"/>
      <c r="E317" s="16"/>
      <c r="F317" s="16"/>
      <c r="G317" s="15"/>
      <c r="H317" s="15"/>
    </row>
    <row r="318" ht="12.9" customHeight="1">
      <c r="A318" s="17"/>
      <c r="B318" s="18"/>
      <c r="C318" s="12"/>
      <c r="D318" s="16"/>
      <c r="E318" s="16"/>
      <c r="F318" s="16"/>
      <c r="G318" s="15"/>
      <c r="H318" s="15"/>
    </row>
    <row r="319" ht="12.9" customHeight="1">
      <c r="A319" s="17"/>
      <c r="B319" s="18"/>
      <c r="C319" s="12"/>
      <c r="D319" s="16"/>
      <c r="E319" s="16"/>
      <c r="F319" s="16"/>
      <c r="G319" s="15"/>
      <c r="H319" s="15"/>
    </row>
    <row r="320" ht="12.9" customHeight="1">
      <c r="A320" s="17"/>
      <c r="B320" s="18"/>
      <c r="C320" s="12"/>
      <c r="D320" s="16"/>
      <c r="E320" s="16"/>
      <c r="F320" s="16"/>
      <c r="G320" s="15"/>
      <c r="H320" s="15"/>
    </row>
    <row r="321" ht="12.9" customHeight="1">
      <c r="A321" s="17"/>
      <c r="B321" s="18"/>
      <c r="C321" s="12"/>
      <c r="D321" s="16"/>
      <c r="E321" s="16"/>
      <c r="F321" s="16"/>
      <c r="G321" s="15"/>
      <c r="H321" s="15"/>
    </row>
    <row r="322" ht="12.9" customHeight="1">
      <c r="A322" s="17"/>
      <c r="B322" s="18"/>
      <c r="C322" s="12"/>
      <c r="D322" s="16"/>
      <c r="E322" s="16"/>
      <c r="F322" s="16"/>
      <c r="G322" s="15"/>
      <c r="H322" s="15"/>
    </row>
    <row r="323" ht="12.9" customHeight="1">
      <c r="A323" s="17"/>
      <c r="B323" s="18"/>
      <c r="C323" s="12"/>
      <c r="D323" s="16"/>
      <c r="E323" s="16"/>
      <c r="F323" s="16"/>
      <c r="G323" s="15"/>
      <c r="H323" s="15"/>
    </row>
    <row r="324" ht="12.9" customHeight="1">
      <c r="A324" s="17"/>
      <c r="B324" s="18"/>
      <c r="C324" s="12"/>
      <c r="D324" s="16"/>
      <c r="E324" s="16"/>
      <c r="F324" s="16"/>
      <c r="G324" s="15"/>
      <c r="H324" s="15"/>
    </row>
    <row r="325" ht="12.9" customHeight="1">
      <c r="A325" s="17"/>
      <c r="B325" s="18"/>
      <c r="C325" s="12"/>
      <c r="D325" s="16"/>
      <c r="E325" s="16"/>
      <c r="F325" s="16"/>
      <c r="G325" s="15"/>
      <c r="H325" s="15"/>
    </row>
    <row r="326" ht="12.9" customHeight="1">
      <c r="A326" s="17"/>
      <c r="B326" s="18"/>
      <c r="C326" s="12"/>
      <c r="D326" s="16"/>
      <c r="E326" s="16"/>
      <c r="F326" s="16"/>
      <c r="G326" s="15"/>
      <c r="H326" s="15"/>
    </row>
    <row r="327" ht="12.9" customHeight="1">
      <c r="A327" s="17"/>
      <c r="B327" s="18"/>
      <c r="C327" s="12"/>
      <c r="D327" s="16"/>
      <c r="E327" s="16"/>
      <c r="F327" s="16"/>
      <c r="G327" s="15"/>
      <c r="H327" s="15"/>
    </row>
    <row r="328" ht="12.9" customHeight="1">
      <c r="A328" s="17"/>
      <c r="B328" s="18"/>
      <c r="C328" s="12"/>
      <c r="D328" s="16"/>
      <c r="E328" s="16"/>
      <c r="F328" s="16"/>
      <c r="G328" s="15"/>
      <c r="H328" s="15"/>
    </row>
    <row r="329" ht="12.9" customHeight="1">
      <c r="A329" s="17"/>
      <c r="B329" s="18"/>
      <c r="C329" s="12"/>
      <c r="D329" s="16"/>
      <c r="E329" s="16"/>
      <c r="F329" s="16"/>
      <c r="G329" s="15"/>
      <c r="H329" s="15"/>
    </row>
    <row r="330" ht="12.9" customHeight="1">
      <c r="A330" s="17"/>
      <c r="B330" s="18"/>
      <c r="C330" s="12"/>
      <c r="D330" s="16"/>
      <c r="E330" s="16"/>
      <c r="F330" s="16"/>
      <c r="G330" s="15"/>
      <c r="H330" s="15"/>
    </row>
    <row r="331" ht="12.9" customHeight="1">
      <c r="A331" s="17"/>
      <c r="B331" s="18"/>
      <c r="C331" s="12"/>
      <c r="D331" s="16"/>
      <c r="E331" s="16"/>
      <c r="F331" s="16"/>
      <c r="G331" s="15"/>
      <c r="H331" s="15"/>
    </row>
    <row r="332" ht="12.9" customHeight="1">
      <c r="A332" s="17"/>
      <c r="B332" s="18"/>
      <c r="C332" s="12"/>
      <c r="D332" s="16"/>
      <c r="E332" s="16"/>
      <c r="F332" s="16"/>
      <c r="G332" s="15"/>
      <c r="H332" s="15"/>
    </row>
    <row r="333" ht="12.9" customHeight="1">
      <c r="A333" s="17"/>
      <c r="B333" s="18"/>
      <c r="C333" s="12"/>
      <c r="D333" s="16"/>
      <c r="E333" s="16"/>
      <c r="F333" s="16"/>
      <c r="G333" s="15"/>
      <c r="H333" s="15"/>
    </row>
    <row r="334" ht="12.9" customHeight="1">
      <c r="A334" s="17"/>
      <c r="B334" s="18"/>
      <c r="C334" s="12"/>
      <c r="D334" s="16"/>
      <c r="E334" s="16"/>
      <c r="F334" s="16"/>
      <c r="G334" s="15"/>
      <c r="H334" s="15"/>
    </row>
    <row r="335" ht="12.9" customHeight="1">
      <c r="A335" s="17"/>
      <c r="B335" s="18"/>
      <c r="C335" s="12"/>
      <c r="D335" s="16"/>
      <c r="E335" s="16"/>
      <c r="F335" s="16"/>
      <c r="G335" s="15"/>
      <c r="H335" s="15"/>
    </row>
    <row r="336" ht="12.9" customHeight="1">
      <c r="A336" s="17"/>
      <c r="B336" s="18"/>
      <c r="C336" s="12"/>
      <c r="D336" s="16"/>
      <c r="E336" s="16"/>
      <c r="F336" s="16"/>
      <c r="G336" s="15"/>
      <c r="H336" s="15"/>
    </row>
    <row r="337" ht="12.9" customHeight="1">
      <c r="A337" s="17"/>
      <c r="B337" s="18"/>
      <c r="C337" s="12"/>
      <c r="D337" s="16"/>
      <c r="E337" s="16"/>
      <c r="F337" s="16"/>
      <c r="G337" s="15"/>
      <c r="H337" s="15"/>
    </row>
    <row r="338" ht="12.9" customHeight="1">
      <c r="A338" s="17"/>
      <c r="B338" s="18"/>
      <c r="C338" s="12"/>
      <c r="D338" s="16"/>
      <c r="E338" s="16"/>
      <c r="F338" s="16"/>
      <c r="G338" s="15"/>
      <c r="H338" s="15"/>
    </row>
    <row r="339" ht="12.9" customHeight="1">
      <c r="A339" s="17"/>
      <c r="B339" s="18"/>
      <c r="C339" s="12"/>
      <c r="D339" s="16"/>
      <c r="E339" s="16"/>
      <c r="F339" s="16"/>
      <c r="G339" s="15"/>
      <c r="H339" s="15"/>
    </row>
    <row r="340" ht="12.9" customHeight="1">
      <c r="A340" s="17"/>
      <c r="B340" s="18"/>
      <c r="C340" s="12"/>
      <c r="D340" s="16"/>
      <c r="E340" s="16"/>
      <c r="F340" s="16"/>
      <c r="G340" s="15"/>
      <c r="H340" s="15"/>
    </row>
    <row r="341" ht="12.9" customHeight="1">
      <c r="A341" s="17"/>
      <c r="B341" s="18"/>
      <c r="C341" s="12"/>
      <c r="D341" s="16"/>
      <c r="E341" s="16"/>
      <c r="F341" s="16"/>
      <c r="G341" s="15"/>
      <c r="H341" s="15"/>
    </row>
    <row r="342" ht="12.9" customHeight="1">
      <c r="A342" s="17"/>
      <c r="B342" s="18"/>
      <c r="C342" s="12"/>
      <c r="D342" s="16"/>
      <c r="E342" s="16"/>
      <c r="F342" s="16"/>
      <c r="G342" s="15"/>
      <c r="H342" s="15"/>
    </row>
    <row r="343" ht="12.9" customHeight="1">
      <c r="A343" s="17"/>
      <c r="B343" s="18"/>
      <c r="C343" s="12"/>
      <c r="D343" s="16"/>
      <c r="E343" s="16"/>
      <c r="F343" s="16"/>
      <c r="G343" s="15"/>
      <c r="H343" s="15"/>
    </row>
    <row r="344" ht="12.9" customHeight="1">
      <c r="A344" s="17"/>
      <c r="B344" s="18"/>
      <c r="C344" s="12"/>
      <c r="D344" s="16"/>
      <c r="E344" s="16"/>
      <c r="F344" s="16"/>
      <c r="G344" s="15"/>
      <c r="H344" s="15"/>
    </row>
    <row r="345" ht="12.9" customHeight="1">
      <c r="A345" s="17"/>
      <c r="B345" s="18"/>
      <c r="C345" s="12"/>
      <c r="D345" s="16"/>
      <c r="E345" s="16"/>
      <c r="F345" s="16"/>
      <c r="G345" s="15"/>
      <c r="H345" s="15"/>
    </row>
    <row r="346" ht="12.9" customHeight="1">
      <c r="A346" s="17"/>
      <c r="B346" s="18"/>
      <c r="C346" s="12"/>
      <c r="D346" s="16"/>
      <c r="E346" s="16"/>
      <c r="F346" s="16"/>
      <c r="G346" s="15"/>
      <c r="H346" s="15"/>
    </row>
    <row r="347" ht="12.9" customHeight="1">
      <c r="A347" s="17"/>
      <c r="B347" s="18"/>
      <c r="C347" s="12"/>
      <c r="D347" s="16"/>
      <c r="E347" s="16"/>
      <c r="F347" s="16"/>
      <c r="G347" s="15"/>
      <c r="H347" s="15"/>
    </row>
    <row r="348" ht="12.9" customHeight="1">
      <c r="A348" s="17"/>
      <c r="B348" s="18"/>
      <c r="C348" s="12"/>
      <c r="D348" s="16"/>
      <c r="E348" s="16"/>
      <c r="F348" s="16"/>
      <c r="G348" s="15"/>
      <c r="H348" s="15"/>
    </row>
    <row r="349" ht="12.9" customHeight="1">
      <c r="A349" s="17"/>
      <c r="B349" s="18"/>
      <c r="C349" s="12"/>
      <c r="D349" s="16"/>
      <c r="E349" s="16"/>
      <c r="F349" s="16"/>
      <c r="G349" s="15"/>
      <c r="H349" s="15"/>
    </row>
    <row r="350" ht="12.9" customHeight="1">
      <c r="A350" s="17"/>
      <c r="B350" s="18"/>
      <c r="C350" s="12"/>
      <c r="D350" s="16"/>
      <c r="E350" s="16"/>
      <c r="F350" s="16"/>
      <c r="G350" s="15"/>
      <c r="H350" s="15"/>
    </row>
    <row r="351" ht="12.9" customHeight="1">
      <c r="A351" s="17"/>
      <c r="B351" s="18"/>
      <c r="C351" s="12"/>
      <c r="D351" s="16"/>
      <c r="E351" s="16"/>
      <c r="F351" s="16"/>
      <c r="G351" s="15"/>
      <c r="H351" s="15"/>
    </row>
    <row r="352" ht="12.9" customHeight="1">
      <c r="A352" s="17"/>
      <c r="B352" s="18"/>
      <c r="C352" s="12"/>
      <c r="D352" s="16"/>
      <c r="E352" s="16"/>
      <c r="F352" s="16"/>
      <c r="G352" s="15"/>
      <c r="H352" s="15"/>
    </row>
    <row r="353" ht="12.9" customHeight="1">
      <c r="A353" s="17"/>
      <c r="B353" s="18"/>
      <c r="C353" s="12"/>
      <c r="D353" s="16"/>
      <c r="E353" s="16"/>
      <c r="F353" s="16"/>
      <c r="G353" s="15"/>
      <c r="H353" s="15"/>
    </row>
    <row r="354" ht="12.9" customHeight="1">
      <c r="A354" s="17"/>
      <c r="B354" s="18"/>
      <c r="C354" s="12"/>
      <c r="D354" s="16"/>
      <c r="E354" s="16"/>
      <c r="F354" s="16"/>
      <c r="G354" s="15"/>
      <c r="H354" s="15"/>
    </row>
    <row r="355" ht="12.9" customHeight="1">
      <c r="A355" s="17"/>
      <c r="B355" s="18"/>
      <c r="C355" s="12"/>
      <c r="D355" s="16"/>
      <c r="E355" s="16"/>
      <c r="F355" s="16"/>
      <c r="G355" s="15"/>
      <c r="H355" s="15"/>
    </row>
    <row r="356" ht="12.9" customHeight="1">
      <c r="A356" s="17"/>
      <c r="B356" s="18"/>
      <c r="C356" s="12"/>
      <c r="D356" s="16"/>
      <c r="E356" s="16"/>
      <c r="F356" s="16"/>
      <c r="G356" s="15"/>
      <c r="H356" s="15"/>
    </row>
    <row r="357" ht="12.9" customHeight="1">
      <c r="A357" s="17"/>
      <c r="B357" s="18"/>
      <c r="C357" s="12"/>
      <c r="D357" s="16"/>
      <c r="E357" s="16"/>
      <c r="F357" s="16"/>
      <c r="G357" s="15"/>
      <c r="H357" s="15"/>
    </row>
    <row r="358" ht="12.9" customHeight="1">
      <c r="A358" s="17"/>
      <c r="B358" s="18"/>
      <c r="C358" s="12"/>
      <c r="D358" s="16"/>
      <c r="E358" s="16"/>
      <c r="F358" s="16"/>
      <c r="G358" s="15"/>
      <c r="H358" s="15"/>
    </row>
    <row r="359" ht="12.9" customHeight="1">
      <c r="A359" s="17"/>
      <c r="B359" s="18"/>
      <c r="C359" s="12"/>
      <c r="D359" s="16"/>
      <c r="E359" s="16"/>
      <c r="F359" s="16"/>
      <c r="G359" s="15"/>
      <c r="H359" s="15"/>
    </row>
    <row r="360" ht="12.9" customHeight="1">
      <c r="A360" s="17"/>
      <c r="B360" s="18"/>
      <c r="C360" s="12"/>
      <c r="D360" s="16"/>
      <c r="E360" s="16"/>
      <c r="F360" s="16"/>
      <c r="G360" s="15"/>
      <c r="H360" s="15"/>
    </row>
    <row r="361" ht="12.9" customHeight="1">
      <c r="A361" s="17"/>
      <c r="B361" s="18"/>
      <c r="C361" s="12"/>
      <c r="D361" s="16"/>
      <c r="E361" s="16"/>
      <c r="F361" s="16"/>
      <c r="G361" s="15"/>
      <c r="H361" s="15"/>
    </row>
    <row r="362" ht="12.9" customHeight="1">
      <c r="A362" s="17"/>
      <c r="B362" s="18"/>
      <c r="C362" s="12"/>
      <c r="D362" s="16"/>
      <c r="E362" s="16"/>
      <c r="F362" s="16"/>
      <c r="G362" s="15"/>
      <c r="H362" s="15"/>
    </row>
    <row r="363" ht="12.9" customHeight="1">
      <c r="A363" s="17"/>
      <c r="B363" s="18"/>
      <c r="C363" s="12"/>
      <c r="D363" s="16"/>
      <c r="E363" s="16"/>
      <c r="F363" s="16"/>
      <c r="G363" s="15"/>
      <c r="H363" s="15"/>
    </row>
    <row r="364" ht="12.9" customHeight="1">
      <c r="A364" s="17"/>
      <c r="B364" s="18"/>
      <c r="C364" s="12"/>
      <c r="D364" s="16"/>
      <c r="E364" s="16"/>
      <c r="F364" s="16"/>
      <c r="G364" s="15"/>
      <c r="H364" s="15"/>
    </row>
    <row r="365" ht="12.9" customHeight="1">
      <c r="A365" s="17"/>
      <c r="B365" s="18"/>
      <c r="C365" s="12"/>
      <c r="D365" s="16"/>
      <c r="E365" s="16"/>
      <c r="F365" s="16"/>
      <c r="G365" s="15"/>
      <c r="H365" s="15"/>
    </row>
    <row r="366" ht="12.9" customHeight="1">
      <c r="A366" s="17"/>
      <c r="B366" s="18"/>
      <c r="C366" s="12"/>
      <c r="D366" s="16"/>
      <c r="E366" s="16"/>
      <c r="F366" s="16"/>
      <c r="G366" s="15"/>
      <c r="H366" s="15"/>
    </row>
    <row r="367" ht="12.9" customHeight="1">
      <c r="A367" s="17"/>
      <c r="B367" s="18"/>
      <c r="C367" s="12"/>
      <c r="D367" s="16"/>
      <c r="E367" s="16"/>
      <c r="F367" s="16"/>
      <c r="G367" s="15"/>
      <c r="H367" s="15"/>
    </row>
    <row r="368" ht="12.9" customHeight="1">
      <c r="A368" s="17"/>
      <c r="B368" s="18"/>
      <c r="C368" s="12"/>
      <c r="D368" s="16"/>
      <c r="E368" s="16"/>
      <c r="F368" s="16"/>
      <c r="G368" s="15"/>
      <c r="H368" s="15"/>
    </row>
    <row r="369" ht="12.9" customHeight="1">
      <c r="A369" s="17"/>
      <c r="B369" s="18"/>
      <c r="C369" s="12"/>
      <c r="D369" s="16"/>
      <c r="E369" s="16"/>
      <c r="F369" s="16"/>
      <c r="G369" s="15"/>
      <c r="H369" s="15"/>
    </row>
    <row r="370" ht="12.9" customHeight="1">
      <c r="A370" s="17"/>
      <c r="B370" s="18"/>
      <c r="C370" s="12"/>
      <c r="D370" s="16"/>
      <c r="E370" s="16"/>
      <c r="F370" s="16"/>
      <c r="G370" s="15"/>
      <c r="H370" s="15"/>
    </row>
    <row r="371" ht="12.9" customHeight="1">
      <c r="A371" s="17"/>
      <c r="B371" s="18"/>
      <c r="C371" s="12"/>
      <c r="D371" s="16"/>
      <c r="E371" s="16"/>
      <c r="F371" s="16"/>
      <c r="G371" s="15"/>
      <c r="H371" s="15"/>
    </row>
    <row r="372" ht="12.9" customHeight="1">
      <c r="A372" s="17"/>
      <c r="B372" s="18"/>
      <c r="C372" s="12"/>
      <c r="D372" s="16"/>
      <c r="E372" s="16"/>
      <c r="F372" s="16"/>
      <c r="G372" s="15"/>
      <c r="H372" s="15"/>
    </row>
    <row r="373" ht="12.9" customHeight="1">
      <c r="A373" s="17"/>
      <c r="B373" s="18"/>
      <c r="C373" s="12"/>
      <c r="D373" s="16"/>
      <c r="E373" s="16"/>
      <c r="F373" s="16"/>
      <c r="G373" s="15"/>
      <c r="H373" s="15"/>
    </row>
    <row r="374" ht="12.9" customHeight="1">
      <c r="A374" s="17"/>
      <c r="B374" s="18"/>
      <c r="C374" s="12"/>
      <c r="D374" s="16"/>
      <c r="E374" s="16"/>
      <c r="F374" s="16"/>
      <c r="G374" s="15"/>
      <c r="H374" s="15"/>
    </row>
    <row r="375" ht="12.9" customHeight="1">
      <c r="A375" s="17"/>
      <c r="B375" s="18"/>
      <c r="C375" s="12"/>
      <c r="D375" s="16"/>
      <c r="E375" s="16"/>
      <c r="F375" s="16"/>
      <c r="G375" s="15"/>
      <c r="H375" s="15"/>
    </row>
    <row r="376" ht="12.9" customHeight="1">
      <c r="A376" s="17"/>
      <c r="B376" s="18"/>
      <c r="C376" s="12"/>
      <c r="D376" s="16"/>
      <c r="E376" s="16"/>
      <c r="F376" s="16"/>
      <c r="G376" s="15"/>
      <c r="H376" s="15"/>
    </row>
    <row r="377" ht="12.9" customHeight="1">
      <c r="A377" s="17"/>
      <c r="B377" s="18"/>
      <c r="C377" s="12"/>
      <c r="D377" s="16"/>
      <c r="E377" s="16"/>
      <c r="F377" s="16"/>
      <c r="G377" s="15"/>
      <c r="H377" s="15"/>
    </row>
    <row r="378" ht="12.9" customHeight="1">
      <c r="A378" s="17"/>
      <c r="B378" s="18"/>
      <c r="C378" s="12"/>
      <c r="D378" s="16"/>
      <c r="E378" s="16"/>
      <c r="F378" s="16"/>
      <c r="G378" s="15"/>
      <c r="H378" s="15"/>
    </row>
    <row r="379" ht="12.9" customHeight="1">
      <c r="A379" s="17"/>
      <c r="B379" s="18"/>
      <c r="C379" s="12"/>
      <c r="D379" s="16"/>
      <c r="E379" s="16"/>
      <c r="F379" s="16"/>
      <c r="G379" s="15"/>
      <c r="H379" s="15"/>
    </row>
    <row r="380" ht="12.9" customHeight="1">
      <c r="A380" s="17"/>
      <c r="B380" s="18"/>
      <c r="C380" s="12"/>
      <c r="D380" s="16"/>
      <c r="E380" s="16"/>
      <c r="F380" s="16"/>
      <c r="G380" s="15"/>
      <c r="H380" s="15"/>
    </row>
    <row r="381" ht="12.9" customHeight="1">
      <c r="A381" s="17"/>
      <c r="B381" s="18"/>
      <c r="C381" s="12"/>
      <c r="D381" s="16"/>
      <c r="E381" s="16"/>
      <c r="F381" s="16"/>
      <c r="G381" s="15"/>
      <c r="H381" s="15"/>
    </row>
    <row r="382" ht="12.9" customHeight="1">
      <c r="A382" s="17"/>
      <c r="B382" s="18"/>
      <c r="C382" s="12"/>
      <c r="D382" s="16"/>
      <c r="E382" s="16"/>
      <c r="F382" s="16"/>
      <c r="G382" s="15"/>
      <c r="H382" s="15"/>
    </row>
    <row r="383" ht="12.9" customHeight="1">
      <c r="A383" s="17"/>
      <c r="B383" s="18"/>
      <c r="C383" s="12"/>
      <c r="D383" s="16"/>
      <c r="E383" s="16"/>
      <c r="F383" s="16"/>
      <c r="G383" s="15"/>
      <c r="H383" s="15"/>
    </row>
    <row r="384" ht="12.9" customHeight="1">
      <c r="A384" s="17"/>
      <c r="B384" s="18"/>
      <c r="C384" s="12"/>
      <c r="D384" s="16"/>
      <c r="E384" s="16"/>
      <c r="F384" s="16"/>
      <c r="G384" s="15"/>
      <c r="H384" s="15"/>
    </row>
    <row r="385" ht="12.9" customHeight="1">
      <c r="A385" s="17"/>
      <c r="B385" s="18"/>
      <c r="C385" s="12"/>
      <c r="D385" s="16"/>
      <c r="E385" s="16"/>
      <c r="F385" s="16"/>
      <c r="G385" s="15"/>
      <c r="H385" s="15"/>
    </row>
    <row r="386" ht="12.9" customHeight="1">
      <c r="A386" s="17"/>
      <c r="B386" s="18"/>
      <c r="C386" s="12"/>
      <c r="D386" s="16"/>
      <c r="E386" s="16"/>
      <c r="F386" s="16"/>
      <c r="G386" s="15"/>
      <c r="H386" s="15"/>
    </row>
    <row r="387" ht="12.9" customHeight="1">
      <c r="A387" s="17"/>
      <c r="B387" s="18"/>
      <c r="C387" s="12"/>
      <c r="D387" s="16"/>
      <c r="E387" s="16"/>
      <c r="F387" s="16"/>
      <c r="G387" s="15"/>
      <c r="H387" s="15"/>
    </row>
    <row r="388" ht="12.9" customHeight="1">
      <c r="A388" s="17"/>
      <c r="B388" s="18"/>
      <c r="C388" s="12"/>
      <c r="D388" s="16"/>
      <c r="E388" s="16"/>
      <c r="F388" s="16"/>
      <c r="G388" s="15"/>
      <c r="H388" s="15"/>
    </row>
    <row r="389" ht="12.9" customHeight="1">
      <c r="A389" s="17"/>
      <c r="B389" s="18"/>
      <c r="C389" s="12"/>
      <c r="D389" s="16"/>
      <c r="E389" s="16"/>
      <c r="F389" s="16"/>
      <c r="G389" s="15"/>
      <c r="H389" s="15"/>
    </row>
    <row r="390" ht="12.9" customHeight="1">
      <c r="A390" s="17"/>
      <c r="B390" s="18"/>
      <c r="C390" s="12"/>
      <c r="D390" s="16"/>
      <c r="E390" s="16"/>
      <c r="F390" s="16"/>
      <c r="G390" s="15"/>
      <c r="H390" s="15"/>
    </row>
    <row r="391" ht="12.9" customHeight="1">
      <c r="A391" s="17"/>
      <c r="B391" s="18"/>
      <c r="C391" s="12"/>
      <c r="D391" s="16"/>
      <c r="E391" s="16"/>
      <c r="F391" s="16"/>
      <c r="G391" s="15"/>
      <c r="H391" s="15"/>
    </row>
    <row r="392" ht="12.9" customHeight="1">
      <c r="A392" s="17"/>
      <c r="B392" s="18"/>
      <c r="C392" s="12"/>
      <c r="D392" s="16"/>
      <c r="E392" s="16"/>
      <c r="F392" s="16"/>
      <c r="G392" s="15"/>
      <c r="H392" s="15"/>
    </row>
    <row r="393" ht="12.9" customHeight="1">
      <c r="A393" s="17"/>
      <c r="B393" s="18"/>
      <c r="C393" s="12"/>
      <c r="D393" s="16"/>
      <c r="E393" s="16"/>
      <c r="F393" s="16"/>
      <c r="G393" s="15"/>
      <c r="H393" s="15"/>
    </row>
    <row r="394" ht="12.9" customHeight="1">
      <c r="A394" s="17"/>
      <c r="B394" s="18"/>
      <c r="C394" s="12"/>
      <c r="D394" s="16"/>
      <c r="E394" s="16"/>
      <c r="F394" s="16"/>
      <c r="G394" s="15"/>
      <c r="H394" s="15"/>
    </row>
    <row r="395" ht="12.9" customHeight="1">
      <c r="A395" s="17"/>
      <c r="B395" s="18"/>
      <c r="C395" s="12"/>
      <c r="D395" s="16"/>
      <c r="E395" s="16"/>
      <c r="F395" s="16"/>
      <c r="G395" s="15"/>
      <c r="H395" s="15"/>
    </row>
    <row r="396" ht="12.9" customHeight="1">
      <c r="A396" s="17"/>
      <c r="B396" s="18"/>
      <c r="C396" s="12"/>
      <c r="D396" s="16"/>
      <c r="E396" s="16"/>
      <c r="F396" s="16"/>
      <c r="G396" s="15"/>
      <c r="H396" s="15"/>
    </row>
    <row r="397" ht="12.9" customHeight="1">
      <c r="A397" s="17"/>
      <c r="B397" s="18"/>
      <c r="C397" s="12"/>
      <c r="D397" s="16"/>
      <c r="E397" s="16"/>
      <c r="F397" s="16"/>
      <c r="G397" s="15"/>
      <c r="H397" s="15"/>
    </row>
    <row r="398" ht="12.9" customHeight="1">
      <c r="A398" s="17"/>
      <c r="B398" s="18"/>
      <c r="C398" s="12"/>
      <c r="D398" s="16"/>
      <c r="E398" s="16"/>
      <c r="F398" s="16"/>
      <c r="G398" s="15"/>
      <c r="H398" s="15"/>
    </row>
    <row r="399" ht="12.9" customHeight="1">
      <c r="A399" s="17"/>
      <c r="B399" s="18"/>
      <c r="C399" s="12"/>
      <c r="D399" s="16"/>
      <c r="E399" s="16"/>
      <c r="F399" s="16"/>
      <c r="G399" s="15"/>
      <c r="H399" s="15"/>
    </row>
    <row r="400" ht="12.9" customHeight="1">
      <c r="A400" s="17"/>
      <c r="B400" s="18"/>
      <c r="C400" s="12"/>
      <c r="D400" s="16"/>
      <c r="E400" s="16"/>
      <c r="F400" s="16"/>
      <c r="G400" s="15"/>
      <c r="H400" s="15"/>
    </row>
    <row r="401" ht="12.9" customHeight="1">
      <c r="A401" s="17"/>
      <c r="B401" s="18"/>
      <c r="C401" s="12"/>
      <c r="D401" s="16"/>
      <c r="E401" s="16"/>
      <c r="F401" s="16"/>
      <c r="G401" s="15"/>
      <c r="H401" s="15"/>
    </row>
    <row r="402" ht="12.9" customHeight="1">
      <c r="A402" s="17"/>
      <c r="B402" s="18"/>
      <c r="C402" s="12"/>
      <c r="D402" s="16"/>
      <c r="E402" s="16"/>
      <c r="F402" s="16"/>
      <c r="G402" s="15"/>
      <c r="H402" s="15"/>
    </row>
    <row r="403" ht="12.9" customHeight="1">
      <c r="A403" s="17"/>
      <c r="B403" s="18"/>
      <c r="C403" s="12"/>
      <c r="D403" s="16"/>
      <c r="E403" s="16"/>
      <c r="F403" s="16"/>
      <c r="G403" s="15"/>
      <c r="H403" s="15"/>
    </row>
    <row r="404" ht="12.9" customHeight="1">
      <c r="A404" s="17"/>
      <c r="B404" s="18"/>
      <c r="C404" s="12"/>
      <c r="D404" s="16"/>
      <c r="E404" s="16"/>
      <c r="F404" s="16"/>
      <c r="G404" s="15"/>
      <c r="H404" s="15"/>
    </row>
    <row r="405" ht="12.9" customHeight="1">
      <c r="A405" s="17"/>
      <c r="B405" s="18"/>
      <c r="C405" s="12"/>
      <c r="D405" s="16"/>
      <c r="E405" s="16"/>
      <c r="F405" s="16"/>
      <c r="G405" s="15"/>
      <c r="H405" s="15"/>
    </row>
    <row r="406" ht="12.9" customHeight="1">
      <c r="A406" s="17"/>
      <c r="B406" s="18"/>
      <c r="C406" s="12"/>
      <c r="D406" s="16"/>
      <c r="E406" s="16"/>
      <c r="F406" s="16"/>
      <c r="G406" s="15"/>
      <c r="H406" s="15"/>
    </row>
    <row r="407" ht="12.9" customHeight="1">
      <c r="A407" s="17"/>
      <c r="B407" s="18"/>
      <c r="C407" s="12"/>
      <c r="D407" s="16"/>
      <c r="E407" s="16"/>
      <c r="F407" s="16"/>
      <c r="G407" s="15"/>
      <c r="H407" s="15"/>
    </row>
    <row r="408" ht="12.9" customHeight="1">
      <c r="A408" s="17"/>
      <c r="B408" s="18"/>
      <c r="C408" s="12"/>
      <c r="D408" s="16"/>
      <c r="E408" s="16"/>
      <c r="F408" s="16"/>
      <c r="G408" s="15"/>
      <c r="H408" s="15"/>
    </row>
    <row r="409" ht="12.9" customHeight="1">
      <c r="A409" s="17"/>
      <c r="B409" s="18"/>
      <c r="C409" s="12"/>
      <c r="D409" s="16"/>
      <c r="E409" s="16"/>
      <c r="F409" s="16"/>
      <c r="G409" s="15"/>
      <c r="H409" s="15"/>
    </row>
    <row r="410" ht="12.9" customHeight="1">
      <c r="A410" s="17"/>
      <c r="B410" s="18"/>
      <c r="C410" s="12"/>
      <c r="D410" s="16"/>
      <c r="E410" s="16"/>
      <c r="F410" s="16"/>
      <c r="G410" s="15"/>
      <c r="H410" s="15"/>
    </row>
    <row r="411" ht="12.9" customHeight="1">
      <c r="A411" s="17"/>
      <c r="B411" s="18"/>
      <c r="C411" s="12"/>
      <c r="D411" s="16"/>
      <c r="E411" s="16"/>
      <c r="F411" s="16"/>
      <c r="G411" s="15"/>
      <c r="H411" s="15"/>
    </row>
    <row r="412" ht="12.9" customHeight="1">
      <c r="A412" s="17"/>
      <c r="B412" s="18"/>
      <c r="C412" s="12"/>
      <c r="D412" s="16"/>
      <c r="E412" s="16"/>
      <c r="F412" s="16"/>
      <c r="G412" s="15"/>
      <c r="H412" s="15"/>
    </row>
    <row r="413" ht="12.9" customHeight="1">
      <c r="A413" s="17"/>
      <c r="B413" s="18"/>
      <c r="C413" s="12"/>
      <c r="D413" s="16"/>
      <c r="E413" s="16"/>
      <c r="F413" s="16"/>
      <c r="G413" s="15"/>
      <c r="H413" s="15"/>
    </row>
    <row r="414" ht="12.9" customHeight="1">
      <c r="A414" s="17"/>
      <c r="B414" s="18"/>
      <c r="C414" s="12"/>
      <c r="D414" s="16"/>
      <c r="E414" s="16"/>
      <c r="F414" s="16"/>
      <c r="G414" s="15"/>
      <c r="H414" s="15"/>
    </row>
    <row r="415" ht="12.9" customHeight="1">
      <c r="A415" s="17"/>
      <c r="B415" s="18"/>
      <c r="C415" s="12"/>
      <c r="D415" s="16"/>
      <c r="E415" s="16"/>
      <c r="F415" s="16"/>
      <c r="G415" s="15"/>
      <c r="H415" s="15"/>
    </row>
    <row r="416" ht="12.9" customHeight="1">
      <c r="A416" s="17"/>
      <c r="B416" s="18"/>
      <c r="C416" s="12"/>
      <c r="D416" s="16"/>
      <c r="E416" s="16"/>
      <c r="F416" s="16"/>
      <c r="G416" s="15"/>
      <c r="H416" s="15"/>
    </row>
    <row r="417" ht="12.9" customHeight="1">
      <c r="A417" s="17"/>
      <c r="B417" s="18"/>
      <c r="C417" s="12"/>
      <c r="D417" s="16"/>
      <c r="E417" s="16"/>
      <c r="F417" s="16"/>
      <c r="G417" s="15"/>
      <c r="H417" s="15"/>
    </row>
    <row r="418" ht="12.9" customHeight="1">
      <c r="A418" s="17"/>
      <c r="B418" s="18"/>
      <c r="C418" s="12"/>
      <c r="D418" s="16"/>
      <c r="E418" s="16"/>
      <c r="F418" s="16"/>
      <c r="G418" s="15"/>
      <c r="H418" s="15"/>
    </row>
    <row r="419" ht="12.9" customHeight="1">
      <c r="A419" s="17"/>
      <c r="B419" s="18"/>
      <c r="C419" s="12"/>
      <c r="D419" s="16"/>
      <c r="E419" s="16"/>
      <c r="F419" s="16"/>
      <c r="G419" s="15"/>
      <c r="H419" s="15"/>
    </row>
    <row r="420" ht="12.9" customHeight="1">
      <c r="A420" s="17"/>
      <c r="B420" s="18"/>
      <c r="C420" s="12"/>
      <c r="D420" s="16"/>
      <c r="E420" s="16"/>
      <c r="F420" s="16"/>
      <c r="G420" s="15"/>
      <c r="H420" s="15"/>
    </row>
    <row r="421" ht="12.9" customHeight="1">
      <c r="A421" s="17"/>
      <c r="B421" s="18"/>
      <c r="C421" s="12"/>
      <c r="D421" s="16"/>
      <c r="E421" s="16"/>
      <c r="F421" s="16"/>
      <c r="G421" s="15"/>
      <c r="H421" s="15"/>
    </row>
    <row r="422" ht="12.9" customHeight="1">
      <c r="A422" s="17"/>
      <c r="B422" s="18"/>
      <c r="C422" s="12"/>
      <c r="D422" s="16"/>
      <c r="E422" s="16"/>
      <c r="F422" s="16"/>
      <c r="G422" s="15"/>
      <c r="H422" s="15"/>
    </row>
    <row r="423" ht="12.9" customHeight="1">
      <c r="A423" s="17"/>
      <c r="B423" s="18"/>
      <c r="C423" s="12"/>
      <c r="D423" s="16"/>
      <c r="E423" s="16"/>
      <c r="F423" s="16"/>
      <c r="G423" s="15"/>
      <c r="H423" s="15"/>
    </row>
    <row r="424" ht="12.9" customHeight="1">
      <c r="A424" s="17"/>
      <c r="B424" s="18"/>
      <c r="C424" s="12"/>
      <c r="D424" s="16"/>
      <c r="E424" s="16"/>
      <c r="F424" s="16"/>
      <c r="G424" s="15"/>
      <c r="H424" s="15"/>
    </row>
    <row r="425" ht="12.9" customHeight="1">
      <c r="A425" s="17"/>
      <c r="B425" s="18"/>
      <c r="C425" s="12"/>
      <c r="D425" s="16"/>
      <c r="E425" s="16"/>
      <c r="F425" s="16"/>
      <c r="G425" s="15"/>
      <c r="H425" s="15"/>
    </row>
    <row r="426" ht="12.9" customHeight="1">
      <c r="A426" s="17"/>
      <c r="B426" s="18"/>
      <c r="C426" s="12"/>
      <c r="D426" s="16"/>
      <c r="E426" s="16"/>
      <c r="F426" s="16"/>
      <c r="G426" s="15"/>
      <c r="H426" s="15"/>
    </row>
    <row r="427" ht="12.9" customHeight="1">
      <c r="A427" s="17"/>
      <c r="B427" s="18"/>
      <c r="C427" s="12"/>
      <c r="D427" s="16"/>
      <c r="E427" s="16"/>
      <c r="F427" s="16"/>
      <c r="G427" s="15"/>
      <c r="H427" s="15"/>
    </row>
    <row r="429" ht="15.55" customHeight="1">
      <c r="I429" t="s" s="2">
        <v>1807</v>
      </c>
      <c r="J429" s="2"/>
      <c r="K429" s="2"/>
      <c r="L429" s="2"/>
      <c r="M429" s="2"/>
      <c r="N429" s="2"/>
      <c r="O429" s="2"/>
    </row>
    <row r="431" ht="13.1" customHeight="1">
      <c r="I431" t="s" s="20">
        <v>2</v>
      </c>
      <c r="J431" t="s" s="21">
        <v>1</v>
      </c>
      <c r="K431" t="s" s="21">
        <v>616</v>
      </c>
      <c r="L431" t="s" s="22">
        <v>4</v>
      </c>
      <c r="M431" t="s" s="23">
        <v>617</v>
      </c>
      <c r="N431" t="s" s="3">
        <v>618</v>
      </c>
      <c r="O431" t="s" s="3">
        <v>619</v>
      </c>
    </row>
    <row r="432" ht="15.4" customHeight="1">
      <c r="I432" t="s" s="24">
        <v>1545</v>
      </c>
      <c r="M432" s="25">
        <v>5</v>
      </c>
      <c r="N432" s="96">
        <v>2718.72</v>
      </c>
      <c r="O432" s="96">
        <v>2718.72</v>
      </c>
    </row>
    <row r="433" ht="15.55" customHeight="1">
      <c r="I433" t="s" s="27">
        <v>1658</v>
      </c>
      <c r="M433" s="28">
        <v>3</v>
      </c>
      <c r="N433" s="97">
        <v>429.97</v>
      </c>
      <c r="O433" s="97">
        <v>429.97</v>
      </c>
    </row>
    <row r="434" ht="15.55" customHeight="1">
      <c r="I434" t="s" s="27">
        <v>1110</v>
      </c>
      <c r="M434" s="28">
        <v>1</v>
      </c>
      <c r="N434" s="97">
        <v>899.9924999999999</v>
      </c>
      <c r="O434" s="97">
        <v>899.9924999999999</v>
      </c>
    </row>
    <row r="435" ht="15.55" customHeight="1">
      <c r="I435" t="s" s="27">
        <v>161</v>
      </c>
      <c r="M435" s="28">
        <v>9</v>
      </c>
      <c r="N435" s="97">
        <v>698.735</v>
      </c>
      <c r="O435" s="97">
        <v>1298.72</v>
      </c>
    </row>
    <row r="436" ht="15.55" customHeight="1">
      <c r="I436" t="s" s="27">
        <v>1614</v>
      </c>
      <c r="M436" s="28">
        <v>1</v>
      </c>
      <c r="N436" s="97">
        <v>399.99</v>
      </c>
      <c r="O436" s="97">
        <v>399.99</v>
      </c>
    </row>
    <row r="437" ht="15.55" customHeight="1">
      <c r="I437" t="s" s="27">
        <v>1765</v>
      </c>
      <c r="M437" s="28">
        <v>8</v>
      </c>
      <c r="N437" s="97">
        <v>19.99</v>
      </c>
      <c r="O437" s="97">
        <v>159.92</v>
      </c>
    </row>
    <row r="438" ht="15.55" customHeight="1">
      <c r="I438" t="s" s="27">
        <v>1561</v>
      </c>
      <c r="M438" s="28">
        <v>3</v>
      </c>
      <c r="N438" s="97">
        <v>9.99</v>
      </c>
      <c r="O438" s="97">
        <v>29.97</v>
      </c>
    </row>
    <row r="439" ht="15.55" customHeight="1">
      <c r="I439" t="s" s="27">
        <v>1513</v>
      </c>
      <c r="M439" s="28">
        <v>9</v>
      </c>
      <c r="N439" s="97">
        <v>329.95</v>
      </c>
      <c r="O439" s="97">
        <v>549.91</v>
      </c>
    </row>
    <row r="440" ht="15.55" customHeight="1">
      <c r="I440" t="s" s="27">
        <v>202</v>
      </c>
      <c r="M440" s="28">
        <v>4</v>
      </c>
      <c r="N440" s="97">
        <v>49.99</v>
      </c>
      <c r="O440" s="97">
        <v>199.96</v>
      </c>
    </row>
    <row r="441" ht="15.55" customHeight="1">
      <c r="I441" t="s" s="27">
        <v>1684</v>
      </c>
      <c r="M441" s="28">
        <v>1</v>
      </c>
      <c r="N441" s="97">
        <v>349.99</v>
      </c>
      <c r="O441" s="97">
        <v>349.99</v>
      </c>
    </row>
    <row r="442" ht="15.55" customHeight="1">
      <c r="I442" t="s" s="27">
        <v>1771</v>
      </c>
      <c r="M442" s="28">
        <v>3</v>
      </c>
      <c r="N442" s="98">
        <v>0</v>
      </c>
      <c r="O442" s="98">
        <v>0</v>
      </c>
    </row>
    <row r="443" ht="15.55" customHeight="1">
      <c r="I443" t="s" s="27">
        <v>1536</v>
      </c>
      <c r="M443" s="28">
        <v>8</v>
      </c>
      <c r="N443" s="97">
        <v>4623.53</v>
      </c>
      <c r="O443" s="97">
        <v>4683.51</v>
      </c>
    </row>
    <row r="444" ht="15.55" customHeight="1">
      <c r="I444" t="s" s="27">
        <v>1526</v>
      </c>
      <c r="M444" s="28">
        <v>1</v>
      </c>
      <c r="N444" s="97">
        <v>119.99</v>
      </c>
      <c r="O444" s="97">
        <v>119.99</v>
      </c>
    </row>
    <row r="445" ht="15.55" customHeight="1">
      <c r="I445" t="s" s="27">
        <v>1126</v>
      </c>
      <c r="M445" s="28">
        <v>2</v>
      </c>
      <c r="N445" s="97">
        <v>49.98</v>
      </c>
      <c r="O445" s="97">
        <v>49.98</v>
      </c>
    </row>
    <row r="446" ht="15.55" customHeight="1">
      <c r="I446" t="s" s="27">
        <v>1704</v>
      </c>
      <c r="M446" s="28">
        <v>13</v>
      </c>
      <c r="N446" s="97">
        <v>109.95</v>
      </c>
      <c r="O446" s="97">
        <v>244.9</v>
      </c>
    </row>
    <row r="447" ht="15.55" customHeight="1">
      <c r="I447" t="s" s="27">
        <v>1598</v>
      </c>
      <c r="M447" s="28">
        <v>2</v>
      </c>
      <c r="N447" s="97">
        <v>29.99</v>
      </c>
      <c r="O447" s="97">
        <v>59.98</v>
      </c>
    </row>
    <row r="448" ht="15.55" customHeight="1">
      <c r="I448" t="s" s="27">
        <v>1607</v>
      </c>
      <c r="M448" s="28">
        <v>10</v>
      </c>
      <c r="N448" s="97">
        <v>1761.48</v>
      </c>
      <c r="O448" s="97">
        <v>3111.47</v>
      </c>
    </row>
    <row r="449" ht="15.55" customHeight="1">
      <c r="I449" t="s" s="27">
        <v>1532</v>
      </c>
      <c r="M449" s="28">
        <v>2</v>
      </c>
      <c r="N449" s="97">
        <v>549.99</v>
      </c>
      <c r="O449" s="97">
        <v>1099.98</v>
      </c>
    </row>
    <row r="450" ht="15.55" customHeight="1">
      <c r="I450" t="s" s="27">
        <v>1511</v>
      </c>
      <c r="M450" s="28">
        <v>2</v>
      </c>
      <c r="N450" s="97">
        <v>799.98</v>
      </c>
      <c r="O450" s="97">
        <v>799.98</v>
      </c>
    </row>
    <row r="451" ht="15.55" customHeight="1">
      <c r="I451" t="s" s="27">
        <v>1802</v>
      </c>
      <c r="M451" s="28">
        <v>5</v>
      </c>
      <c r="N451" s="97">
        <v>329.96</v>
      </c>
      <c r="O451" s="97">
        <v>379.95</v>
      </c>
    </row>
    <row r="452" ht="15.55" customHeight="1">
      <c r="I452" t="s" s="27">
        <v>1644</v>
      </c>
      <c r="M452" s="28">
        <v>1</v>
      </c>
      <c r="N452" s="97">
        <v>399.99</v>
      </c>
      <c r="O452" s="97">
        <v>399.99</v>
      </c>
    </row>
    <row r="453" ht="15.55" customHeight="1">
      <c r="I453" t="s" s="27">
        <v>831</v>
      </c>
      <c r="M453" s="28">
        <v>238</v>
      </c>
      <c r="N453" s="97">
        <v>133.9925</v>
      </c>
      <c r="O453" s="97">
        <v>3283.73</v>
      </c>
    </row>
    <row r="454" ht="15.55" customHeight="1">
      <c r="I454" t="s" s="27">
        <v>1534</v>
      </c>
      <c r="M454" s="28">
        <v>2</v>
      </c>
      <c r="N454" s="97">
        <v>49.99</v>
      </c>
      <c r="O454" s="97">
        <v>49.99</v>
      </c>
    </row>
    <row r="455" ht="15.55" customHeight="1">
      <c r="I455" t="s" s="27">
        <v>1749</v>
      </c>
      <c r="M455" s="28">
        <v>4</v>
      </c>
      <c r="N455" s="97">
        <v>51.98</v>
      </c>
      <c r="O455" s="97">
        <v>53.97</v>
      </c>
    </row>
    <row r="456" ht="15.55" customHeight="1">
      <c r="I456" t="s" s="27">
        <v>1570</v>
      </c>
      <c r="M456" s="28">
        <v>58</v>
      </c>
      <c r="N456" s="97">
        <v>377.8725</v>
      </c>
      <c r="O456" s="97">
        <v>1543.755</v>
      </c>
    </row>
    <row r="457" ht="15.55" customHeight="1">
      <c r="I457" t="s" s="27">
        <v>1385</v>
      </c>
      <c r="M457" s="28">
        <v>2</v>
      </c>
      <c r="N457" s="98">
        <v>0</v>
      </c>
      <c r="O457" s="98">
        <v>0</v>
      </c>
    </row>
    <row r="458" ht="15.55" customHeight="1">
      <c r="I458" t="s" s="27">
        <v>1497</v>
      </c>
      <c r="M458" s="28">
        <v>1</v>
      </c>
      <c r="N458" s="97">
        <v>399.99</v>
      </c>
      <c r="O458" s="97">
        <v>399.99</v>
      </c>
    </row>
    <row r="459" ht="15.55" customHeight="1">
      <c r="I459" t="s" s="27">
        <v>391</v>
      </c>
      <c r="M459" s="28">
        <v>3</v>
      </c>
      <c r="N459" s="97">
        <v>660.885</v>
      </c>
      <c r="O459" s="97">
        <v>660.885</v>
      </c>
    </row>
    <row r="460" ht="15.55" customHeight="1">
      <c r="I460" t="s" s="27">
        <v>1605</v>
      </c>
      <c r="M460" s="28">
        <v>9</v>
      </c>
      <c r="N460" s="97">
        <v>119.935</v>
      </c>
      <c r="O460" s="97">
        <v>577.39</v>
      </c>
    </row>
    <row r="461" ht="15.55" customHeight="1">
      <c r="I461" t="s" s="27">
        <v>1720</v>
      </c>
      <c r="M461" s="28">
        <v>1</v>
      </c>
      <c r="N461" s="97">
        <v>49.99</v>
      </c>
      <c r="O461" s="97">
        <v>49.99</v>
      </c>
    </row>
    <row r="462" ht="15.55" customHeight="1">
      <c r="I462" t="s" s="27">
        <v>69</v>
      </c>
      <c r="M462" s="28">
        <v>16</v>
      </c>
      <c r="N462" s="97">
        <v>950</v>
      </c>
      <c r="O462" s="97">
        <v>4550</v>
      </c>
    </row>
    <row r="463" ht="15.55" customHeight="1">
      <c r="I463" t="s" s="27">
        <v>1674</v>
      </c>
      <c r="M463" s="28">
        <v>1</v>
      </c>
      <c r="N463" s="97">
        <v>399.99</v>
      </c>
      <c r="O463" s="97">
        <v>399.99</v>
      </c>
    </row>
    <row r="464" ht="15.55" customHeight="1">
      <c r="I464" t="s" s="27">
        <v>592</v>
      </c>
      <c r="M464" s="28">
        <v>37</v>
      </c>
      <c r="N464" s="97">
        <v>247.5</v>
      </c>
      <c r="O464" s="97">
        <v>1890</v>
      </c>
    </row>
    <row r="465" ht="15.55" customHeight="1">
      <c r="I465" t="s" s="27">
        <v>1716</v>
      </c>
      <c r="M465" s="28">
        <v>7</v>
      </c>
      <c r="N465" s="97">
        <v>524.96</v>
      </c>
      <c r="O465" s="97">
        <v>719.9299999999999</v>
      </c>
    </row>
    <row r="466" ht="15.55" customHeight="1">
      <c r="I466" t="s" s="27">
        <v>1406</v>
      </c>
      <c r="M466" s="28">
        <v>44</v>
      </c>
      <c r="N466" s="97">
        <v>4644.8625</v>
      </c>
      <c r="O466" s="97">
        <v>10509.787</v>
      </c>
    </row>
    <row r="467" ht="15.55" customHeight="1">
      <c r="I467" t="s" s="27">
        <v>1521</v>
      </c>
      <c r="M467" s="28">
        <v>2</v>
      </c>
      <c r="N467" s="97">
        <v>29.99</v>
      </c>
      <c r="O467" s="97">
        <v>59.98</v>
      </c>
    </row>
    <row r="468" ht="15.55" customHeight="1">
      <c r="I468" t="s" s="27">
        <v>563</v>
      </c>
      <c r="M468" s="28">
        <v>6</v>
      </c>
      <c r="N468" s="97">
        <v>551.6275000000001</v>
      </c>
      <c r="O468" s="97">
        <v>716.62</v>
      </c>
    </row>
    <row r="469" ht="15.55" customHeight="1">
      <c r="I469" t="s" s="27">
        <v>1074</v>
      </c>
      <c r="M469" s="28">
        <v>1</v>
      </c>
      <c r="N469" s="97">
        <v>349.99</v>
      </c>
      <c r="O469" s="97">
        <v>349.99</v>
      </c>
    </row>
    <row r="470" ht="15.55" customHeight="1">
      <c r="I470" t="s" s="27">
        <v>1166</v>
      </c>
      <c r="M470" s="28">
        <v>8</v>
      </c>
      <c r="N470" s="97">
        <v>159.98</v>
      </c>
      <c r="O470" s="97">
        <v>639.92</v>
      </c>
    </row>
    <row r="471" ht="15.55" customHeight="1">
      <c r="I471" t="s" s="27">
        <v>1751</v>
      </c>
      <c r="M471" s="28">
        <v>1</v>
      </c>
      <c r="N471" s="97">
        <v>349.99</v>
      </c>
      <c r="O471" s="97">
        <v>349.99</v>
      </c>
    </row>
    <row r="472" ht="15.55" customHeight="1">
      <c r="I472" t="s" s="27">
        <v>174</v>
      </c>
      <c r="M472" s="28">
        <v>4</v>
      </c>
      <c r="N472" s="97">
        <v>99.98</v>
      </c>
      <c r="O472" s="97">
        <v>99.98</v>
      </c>
    </row>
    <row r="473" ht="15.55" customHeight="1">
      <c r="I473" t="s" s="27">
        <v>1612</v>
      </c>
      <c r="M473" s="28">
        <v>1</v>
      </c>
      <c r="N473" s="97">
        <v>399.99</v>
      </c>
      <c r="O473" s="97">
        <v>399.99</v>
      </c>
    </row>
    <row r="474" ht="15.55" customHeight="1">
      <c r="I474" t="s" s="27">
        <v>1779</v>
      </c>
      <c r="M474" s="28">
        <v>2</v>
      </c>
      <c r="N474" s="97">
        <v>119.99</v>
      </c>
      <c r="O474" s="97">
        <v>239.98</v>
      </c>
    </row>
    <row r="475" ht="15.55" customHeight="1">
      <c r="I475" t="s" s="27">
        <v>1557</v>
      </c>
      <c r="M475" s="28">
        <v>1</v>
      </c>
      <c r="N475" s="97">
        <v>59.99</v>
      </c>
      <c r="O475" s="97">
        <v>59.99</v>
      </c>
    </row>
    <row r="476" ht="15.55" customHeight="1">
      <c r="I476" t="s" s="27">
        <v>476</v>
      </c>
      <c r="M476" s="28">
        <v>44</v>
      </c>
      <c r="N476" s="97">
        <v>4071.05</v>
      </c>
      <c r="O476" s="97">
        <v>22595.86</v>
      </c>
    </row>
    <row r="477" ht="15.55" customHeight="1">
      <c r="I477" t="s" s="27">
        <v>1509</v>
      </c>
      <c r="M477" s="28">
        <v>2</v>
      </c>
      <c r="N477" s="97">
        <v>49.99</v>
      </c>
      <c r="O477" s="97">
        <v>99.98</v>
      </c>
    </row>
    <row r="478" ht="15.55" customHeight="1">
      <c r="I478" t="s" s="27">
        <v>1541</v>
      </c>
      <c r="M478" s="28">
        <v>1</v>
      </c>
      <c r="N478" s="97">
        <v>49.99</v>
      </c>
      <c r="O478" s="97">
        <v>49.99</v>
      </c>
    </row>
    <row r="479" ht="15.55" customHeight="1">
      <c r="I479" t="s" s="27">
        <v>1722</v>
      </c>
      <c r="M479" s="28">
        <v>2</v>
      </c>
      <c r="N479" s="97">
        <v>119.99</v>
      </c>
      <c r="O479" s="97">
        <v>239.98</v>
      </c>
    </row>
    <row r="480" ht="15.55" customHeight="1">
      <c r="I480" t="s" s="27">
        <v>885</v>
      </c>
      <c r="M480" s="28">
        <v>11</v>
      </c>
      <c r="N480" s="97">
        <v>1319.97</v>
      </c>
      <c r="O480" s="97">
        <v>2239.95</v>
      </c>
    </row>
    <row r="481" ht="15.55" customHeight="1">
      <c r="I481" t="s" s="27">
        <v>1800</v>
      </c>
      <c r="M481" s="28">
        <v>2</v>
      </c>
      <c r="N481" s="97">
        <v>349.99</v>
      </c>
      <c r="O481" s="97">
        <v>699.98</v>
      </c>
    </row>
    <row r="482" ht="15.55" customHeight="1">
      <c r="I482" t="s" s="27">
        <v>941</v>
      </c>
      <c r="M482" s="28">
        <v>15</v>
      </c>
      <c r="N482" s="97">
        <v>507.0275</v>
      </c>
      <c r="O482" s="97">
        <v>1463.195</v>
      </c>
    </row>
    <row r="483" ht="15.55" customHeight="1">
      <c r="I483" t="s" s="27">
        <v>1789</v>
      </c>
      <c r="M483" s="28">
        <v>4</v>
      </c>
      <c r="N483" s="97">
        <v>494.9775</v>
      </c>
      <c r="O483" s="97">
        <v>577.47</v>
      </c>
    </row>
    <row r="484" ht="15.55" customHeight="1">
      <c r="I484" t="s" s="27">
        <v>1724</v>
      </c>
      <c r="M484" s="28">
        <v>2</v>
      </c>
      <c r="N484" s="97">
        <v>349.99</v>
      </c>
      <c r="O484" s="97">
        <v>699.98</v>
      </c>
    </row>
    <row r="485" ht="15.55" customHeight="1">
      <c r="I485" t="s" s="27">
        <v>329</v>
      </c>
      <c r="M485" s="28">
        <v>21</v>
      </c>
      <c r="N485" s="97">
        <v>1931.6426</v>
      </c>
      <c r="O485" s="97">
        <v>3844.1201</v>
      </c>
    </row>
    <row r="486" ht="15.55" customHeight="1">
      <c r="I486" t="s" s="27">
        <v>1543</v>
      </c>
      <c r="M486" s="28">
        <v>3</v>
      </c>
      <c r="N486" s="97">
        <v>149.97</v>
      </c>
      <c r="O486" s="97">
        <v>149.97</v>
      </c>
    </row>
    <row r="487" ht="15.55" customHeight="1">
      <c r="I487" t="s" s="27">
        <v>1680</v>
      </c>
      <c r="M487" s="28">
        <v>1</v>
      </c>
      <c r="N487" s="97">
        <v>399.99</v>
      </c>
      <c r="O487" s="97">
        <v>399.99</v>
      </c>
    </row>
    <row r="488" ht="15.55" customHeight="1">
      <c r="I488" t="s" s="27">
        <v>1555</v>
      </c>
      <c r="M488" s="28">
        <v>1</v>
      </c>
      <c r="N488" s="97">
        <v>399.99</v>
      </c>
      <c r="O488" s="97">
        <v>399.99</v>
      </c>
    </row>
    <row r="489" ht="15.55" customHeight="1">
      <c r="I489" t="s" s="27">
        <v>1631</v>
      </c>
      <c r="M489" s="28">
        <v>1</v>
      </c>
      <c r="N489" s="97">
        <v>399.99</v>
      </c>
      <c r="O489" s="97">
        <v>399.99</v>
      </c>
    </row>
    <row r="490" ht="15.55" customHeight="1">
      <c r="I490" t="s" s="27">
        <v>1412</v>
      </c>
      <c r="M490" s="28">
        <v>13</v>
      </c>
      <c r="N490" s="97">
        <v>2492.9</v>
      </c>
      <c r="O490" s="97">
        <v>3372.88</v>
      </c>
    </row>
    <row r="491" ht="15.55" customHeight="1">
      <c r="I491" t="s" s="27">
        <v>1763</v>
      </c>
      <c r="M491" s="28">
        <v>2</v>
      </c>
      <c r="N491" s="97">
        <v>549.99</v>
      </c>
      <c r="O491" s="97">
        <v>1099.98</v>
      </c>
    </row>
    <row r="492" ht="15.55" customHeight="1">
      <c r="I492" t="s" s="27">
        <v>1741</v>
      </c>
      <c r="M492" s="28">
        <v>3</v>
      </c>
      <c r="N492" s="97">
        <v>79.98999999999999</v>
      </c>
      <c r="O492" s="97">
        <v>239.97</v>
      </c>
    </row>
    <row r="493" ht="15.55" customHeight="1">
      <c r="I493" t="s" s="27">
        <v>1798</v>
      </c>
      <c r="M493" s="28">
        <v>1</v>
      </c>
      <c r="N493" s="97">
        <v>79.98999999999999</v>
      </c>
      <c r="O493" s="97">
        <v>79.98999999999999</v>
      </c>
    </row>
    <row r="494" ht="15.55" customHeight="1">
      <c r="I494" t="s" s="27">
        <v>1528</v>
      </c>
      <c r="M494" s="28">
        <v>15</v>
      </c>
      <c r="N494" s="97">
        <v>1474.99</v>
      </c>
      <c r="O494" s="97">
        <v>4424.97</v>
      </c>
    </row>
    <row r="495" ht="15.55" customHeight="1">
      <c r="I495" t="s" s="27">
        <v>1782</v>
      </c>
      <c r="M495" s="28">
        <v>8</v>
      </c>
      <c r="N495" s="97">
        <v>39.98</v>
      </c>
      <c r="O495" s="97">
        <v>159.92</v>
      </c>
    </row>
    <row r="496" ht="15.55" customHeight="1">
      <c r="I496" t="s" s="27">
        <v>1697</v>
      </c>
      <c r="M496" s="28">
        <v>2</v>
      </c>
      <c r="N496" s="98">
        <v>0</v>
      </c>
      <c r="O496" s="98">
        <v>0</v>
      </c>
    </row>
    <row r="497" ht="15.55" customHeight="1">
      <c r="I497" t="s" s="27">
        <v>1769</v>
      </c>
      <c r="M497" s="28">
        <v>1</v>
      </c>
      <c r="N497" s="97">
        <v>399.99</v>
      </c>
      <c r="O497" s="97">
        <v>399.99</v>
      </c>
    </row>
    <row r="498" ht="15.55" customHeight="1">
      <c r="I498" t="s" s="27">
        <v>1767</v>
      </c>
      <c r="M498" s="28">
        <v>1</v>
      </c>
      <c r="N498" s="97">
        <v>349.99</v>
      </c>
      <c r="O498" s="97">
        <v>349.99</v>
      </c>
    </row>
    <row r="499" ht="15.55" customHeight="1">
      <c r="I499" t="s" s="27">
        <v>1627</v>
      </c>
      <c r="M499" s="28">
        <v>1</v>
      </c>
      <c r="N499" s="97">
        <v>399.99</v>
      </c>
      <c r="O499" s="97">
        <v>399.99</v>
      </c>
    </row>
    <row r="500" ht="15.55" customHeight="1">
      <c r="I500" t="s" s="27">
        <v>1519</v>
      </c>
      <c r="M500" s="28">
        <v>2</v>
      </c>
      <c r="N500" s="97">
        <v>49.99</v>
      </c>
      <c r="O500" s="97">
        <v>99.98</v>
      </c>
    </row>
    <row r="501" ht="15.55" customHeight="1">
      <c r="I501" t="s" s="27">
        <v>1734</v>
      </c>
      <c r="M501" s="28">
        <v>1</v>
      </c>
      <c r="N501" s="97">
        <v>219.99</v>
      </c>
      <c r="O501" s="97">
        <v>219.99</v>
      </c>
    </row>
    <row r="502" ht="15.55" customHeight="1">
      <c r="I502" t="s" s="27">
        <v>1539</v>
      </c>
      <c r="M502" s="28">
        <v>1</v>
      </c>
      <c r="N502" s="97">
        <v>399.99</v>
      </c>
      <c r="O502" s="97">
        <v>399.99</v>
      </c>
    </row>
    <row r="503" ht="15.55" customHeight="1">
      <c r="I503" t="s" s="27">
        <v>1736</v>
      </c>
      <c r="M503" s="28">
        <v>1</v>
      </c>
      <c r="N503" s="97">
        <v>399.99</v>
      </c>
      <c r="O503" s="97">
        <v>399.99</v>
      </c>
    </row>
    <row r="504" ht="15.55" customHeight="1">
      <c r="I504" t="s" s="27">
        <v>1753</v>
      </c>
      <c r="M504" s="28">
        <v>6</v>
      </c>
      <c r="N504" s="97">
        <v>49.99</v>
      </c>
      <c r="O504" s="97">
        <v>299.94</v>
      </c>
    </row>
    <row r="505" ht="15.55" customHeight="1">
      <c r="I505" t="s" s="27">
        <v>755</v>
      </c>
      <c r="M505" s="28">
        <v>1</v>
      </c>
      <c r="N505" s="97">
        <v>599.99</v>
      </c>
      <c r="O505" s="97">
        <v>599.99</v>
      </c>
    </row>
    <row r="506" ht="15.55" customHeight="1">
      <c r="I506" t="s" s="27">
        <v>1586</v>
      </c>
      <c r="M506" s="28">
        <v>9</v>
      </c>
      <c r="N506" s="97">
        <v>95.79065174999999</v>
      </c>
      <c r="O506" s="97">
        <v>102.4265205</v>
      </c>
    </row>
    <row r="507" ht="15.55" customHeight="1">
      <c r="I507" t="s" s="27">
        <v>1600</v>
      </c>
      <c r="M507" s="28">
        <v>4</v>
      </c>
      <c r="N507" s="97">
        <v>7.49</v>
      </c>
      <c r="O507" s="97">
        <v>29.96</v>
      </c>
    </row>
    <row r="508" ht="15.55" customHeight="1">
      <c r="I508" t="s" s="27">
        <v>1694</v>
      </c>
      <c r="M508" s="28">
        <v>4</v>
      </c>
      <c r="N508" s="97">
        <v>99.98999999999999</v>
      </c>
      <c r="O508" s="97">
        <v>199.98</v>
      </c>
    </row>
    <row r="509" ht="15.55" customHeight="1">
      <c r="I509" t="s" s="27">
        <v>1524</v>
      </c>
      <c r="M509" s="28">
        <v>3</v>
      </c>
      <c r="N509" s="97">
        <v>633.3099999999999</v>
      </c>
      <c r="O509" s="97">
        <v>674.97</v>
      </c>
    </row>
    <row r="510" ht="15.55" customHeight="1">
      <c r="I510" t="s" s="27">
        <v>1686</v>
      </c>
      <c r="M510" s="28">
        <v>2</v>
      </c>
      <c r="N510" s="97">
        <v>109.99</v>
      </c>
      <c r="O510" s="97">
        <v>219.98</v>
      </c>
    </row>
    <row r="511" ht="15.55" customHeight="1">
      <c r="I511" t="s" s="27">
        <v>1739</v>
      </c>
      <c r="M511" s="28">
        <v>1</v>
      </c>
      <c r="N511" s="97">
        <v>119.99</v>
      </c>
      <c r="O511" s="97">
        <v>119.99</v>
      </c>
    </row>
    <row r="512" ht="15.55" customHeight="1">
      <c r="I512" t="s" s="27">
        <v>1726</v>
      </c>
      <c r="M512" s="28">
        <v>41</v>
      </c>
      <c r="N512" s="97">
        <v>163.982</v>
      </c>
      <c r="O512" s="97">
        <v>1954.64</v>
      </c>
    </row>
    <row r="513" ht="15.55" customHeight="1">
      <c r="I513" t="s" s="27">
        <v>1629</v>
      </c>
      <c r="M513" s="28">
        <v>4</v>
      </c>
      <c r="N513" s="97">
        <v>19.99</v>
      </c>
      <c r="O513" s="97">
        <v>79.95999999999999</v>
      </c>
    </row>
    <row r="514" ht="15.55" customHeight="1">
      <c r="I514" t="s" s="27">
        <v>1743</v>
      </c>
      <c r="M514" s="28">
        <v>67</v>
      </c>
      <c r="N514" s="97">
        <v>2919.647926</v>
      </c>
      <c r="O514" s="97">
        <v>12004.586352</v>
      </c>
    </row>
    <row r="515" ht="15.55" customHeight="1">
      <c r="I515" t="s" s="27">
        <v>42</v>
      </c>
      <c r="M515" s="28">
        <v>155</v>
      </c>
      <c r="N515" s="97">
        <v>5695.77</v>
      </c>
      <c r="O515" s="97">
        <v>40225.56</v>
      </c>
    </row>
    <row r="516" ht="15.55" customHeight="1">
      <c r="I516" t="s" s="27">
        <v>1530</v>
      </c>
      <c r="M516" s="28">
        <v>1</v>
      </c>
      <c r="N516" s="97">
        <v>59.99</v>
      </c>
      <c r="O516" s="97">
        <v>59.99</v>
      </c>
    </row>
    <row r="517" ht="15.55" customHeight="1">
      <c r="I517" t="s" s="27">
        <v>1559</v>
      </c>
      <c r="M517" s="28">
        <v>2</v>
      </c>
      <c r="N517" s="97">
        <v>49.99</v>
      </c>
      <c r="O517" s="97">
        <v>99.98</v>
      </c>
    </row>
    <row r="518" ht="15.55" customHeight="1">
      <c r="I518" t="s" s="27">
        <v>1805</v>
      </c>
      <c r="M518" s="28">
        <v>6</v>
      </c>
      <c r="N518" s="97">
        <v>169.98</v>
      </c>
      <c r="O518" s="97">
        <v>509.94</v>
      </c>
    </row>
    <row r="519" ht="15.55" customHeight="1">
      <c r="I519" t="s" s="27">
        <v>1581</v>
      </c>
      <c r="M519" s="28">
        <v>1</v>
      </c>
      <c r="N519" s="97">
        <v>349.99</v>
      </c>
      <c r="O519" s="97">
        <v>349.99</v>
      </c>
    </row>
    <row r="520" ht="15.55" customHeight="1">
      <c r="I520" t="s" s="27">
        <v>1200</v>
      </c>
      <c r="M520" s="28">
        <v>1</v>
      </c>
      <c r="N520" s="98">
        <v>0</v>
      </c>
      <c r="O520" s="98">
        <v>0</v>
      </c>
    </row>
    <row r="521" ht="15.55" customHeight="1">
      <c r="I521" t="s" s="27">
        <v>1759</v>
      </c>
      <c r="M521" s="28">
        <v>5</v>
      </c>
      <c r="N521" s="97">
        <v>179.135</v>
      </c>
      <c r="O521" s="97">
        <v>306.62</v>
      </c>
    </row>
    <row r="522" ht="15.55" customHeight="1">
      <c r="I522" t="s" s="27">
        <v>1651</v>
      </c>
      <c r="M522" s="28">
        <v>4</v>
      </c>
      <c r="N522" s="97">
        <v>119.99</v>
      </c>
      <c r="O522" s="97">
        <v>479.96</v>
      </c>
    </row>
    <row r="523" ht="15.55" customHeight="1">
      <c r="I523" t="s" s="27">
        <v>1649</v>
      </c>
      <c r="M523" s="28">
        <v>20</v>
      </c>
      <c r="N523" s="97">
        <v>672.4924999999999</v>
      </c>
      <c r="O523" s="97">
        <v>11472.3575</v>
      </c>
    </row>
    <row r="524" ht="15.55" customHeight="1">
      <c r="I524" t="s" s="27">
        <v>1755</v>
      </c>
      <c r="M524" s="28">
        <v>1</v>
      </c>
      <c r="N524" s="97">
        <v>399.99</v>
      </c>
      <c r="O524" s="97">
        <v>399.99</v>
      </c>
    </row>
    <row r="525" ht="15.55" customHeight="1">
      <c r="I525" t="s" s="27">
        <v>1710</v>
      </c>
      <c r="M525" s="28">
        <v>3</v>
      </c>
      <c r="N525" s="97">
        <v>679.97</v>
      </c>
      <c r="O525" s="97">
        <v>679.97</v>
      </c>
    </row>
    <row r="526" ht="15.55" customHeight="1">
      <c r="I526" t="s" s="27">
        <v>1757</v>
      </c>
      <c r="M526" s="28">
        <v>16</v>
      </c>
      <c r="N526" s="97">
        <v>937.49</v>
      </c>
      <c r="O526" s="97">
        <v>3749.96</v>
      </c>
    </row>
    <row r="527" ht="15.55" customHeight="1">
      <c r="I527" t="s" s="27">
        <v>1699</v>
      </c>
      <c r="M527" s="28">
        <v>1</v>
      </c>
      <c r="N527" s="97">
        <v>349.99</v>
      </c>
      <c r="O527" s="97">
        <v>349.99</v>
      </c>
    </row>
    <row r="528" ht="15.55" customHeight="1">
      <c r="I528" t="s" s="27">
        <v>1642</v>
      </c>
      <c r="M528" s="28">
        <v>1</v>
      </c>
      <c r="N528" s="98">
        <v>0</v>
      </c>
      <c r="O528" s="98">
        <v>0</v>
      </c>
    </row>
    <row r="529" ht="15.55" customHeight="1">
      <c r="I529" t="s" s="27">
        <v>1655</v>
      </c>
      <c r="M529" s="28">
        <v>2</v>
      </c>
      <c r="N529" s="97">
        <v>49.99</v>
      </c>
      <c r="O529" s="97">
        <v>49.99</v>
      </c>
    </row>
    <row r="530" ht="15.55" customHeight="1">
      <c r="I530" t="s" s="27">
        <v>1653</v>
      </c>
      <c r="M530" s="28">
        <v>2</v>
      </c>
      <c r="N530" s="97">
        <v>7.49</v>
      </c>
      <c r="O530" s="97">
        <v>14.98</v>
      </c>
    </row>
    <row r="531" ht="15.55" customHeight="1">
      <c r="I531" t="s" s="27">
        <v>1568</v>
      </c>
      <c r="M531" s="28">
        <v>2</v>
      </c>
      <c r="N531" s="97">
        <v>199.99</v>
      </c>
      <c r="O531" s="97">
        <v>399.98</v>
      </c>
    </row>
    <row r="532" ht="15.55" customHeight="1">
      <c r="I532" t="s" s="27">
        <v>721</v>
      </c>
      <c r="M532" s="28">
        <v>17</v>
      </c>
      <c r="N532" s="97">
        <v>451.8775</v>
      </c>
      <c r="O532" s="97">
        <v>1943.53</v>
      </c>
    </row>
    <row r="533" ht="15.55" customHeight="1">
      <c r="I533" t="s" s="27">
        <v>1517</v>
      </c>
      <c r="M533" s="28">
        <v>7</v>
      </c>
      <c r="N533" s="97">
        <v>9.99</v>
      </c>
      <c r="O533" s="97">
        <v>69.93000000000001</v>
      </c>
    </row>
    <row r="534" ht="15.55" customHeight="1">
      <c r="I534" t="s" s="27">
        <v>1669</v>
      </c>
      <c r="M534" s="28">
        <v>8</v>
      </c>
      <c r="N534" s="97">
        <v>51.5</v>
      </c>
      <c r="O534" s="97">
        <v>51.5</v>
      </c>
    </row>
    <row r="535" ht="15.55" customHeight="1">
      <c r="I535" t="s" s="27">
        <v>1784</v>
      </c>
      <c r="M535" s="28">
        <v>2</v>
      </c>
      <c r="N535" s="97">
        <v>219.99</v>
      </c>
      <c r="O535" s="97">
        <v>439.98</v>
      </c>
    </row>
    <row r="536" ht="15.55" customHeight="1">
      <c r="I536" t="s" s="27">
        <v>1622</v>
      </c>
      <c r="M536" s="28">
        <v>10</v>
      </c>
      <c r="N536" s="97">
        <v>992.485</v>
      </c>
      <c r="O536" s="97">
        <v>1629.9775</v>
      </c>
    </row>
    <row r="537" ht="15.55" customHeight="1">
      <c r="I537" t="s" s="27">
        <v>1624</v>
      </c>
      <c r="M537" s="28">
        <v>2</v>
      </c>
      <c r="N537" s="97">
        <v>264.9925</v>
      </c>
      <c r="O537" s="97">
        <v>264.9925</v>
      </c>
    </row>
    <row r="538" ht="15.55" customHeight="1">
      <c r="I538" t="s" s="27">
        <v>1553</v>
      </c>
      <c r="M538" s="28">
        <v>2</v>
      </c>
      <c r="N538" s="97">
        <v>159.98</v>
      </c>
      <c r="O538" s="97">
        <v>159.98</v>
      </c>
    </row>
    <row r="539" ht="15.55" customHeight="1">
      <c r="I539" t="s" s="27">
        <v>1777</v>
      </c>
      <c r="M539" s="28">
        <v>1</v>
      </c>
      <c r="N539" s="97">
        <v>79.98999999999999</v>
      </c>
      <c r="O539" s="97">
        <v>79.98999999999999</v>
      </c>
    </row>
    <row r="540" ht="15.55" customHeight="1">
      <c r="I540" t="s" s="27">
        <v>1682</v>
      </c>
      <c r="M540" s="28">
        <v>7</v>
      </c>
      <c r="N540" s="97">
        <v>11.98</v>
      </c>
      <c r="O540" s="97">
        <v>21.93</v>
      </c>
    </row>
    <row r="541" ht="15.55" customHeight="1">
      <c r="I541" t="s" s="27">
        <v>1786</v>
      </c>
      <c r="M541" s="28">
        <v>1</v>
      </c>
      <c r="N541" s="98">
        <v>0</v>
      </c>
      <c r="O541" s="98">
        <v>0</v>
      </c>
    </row>
    <row r="542" ht="15.55" customHeight="1">
      <c r="I542" t="s" s="27">
        <v>1583</v>
      </c>
      <c r="M542" s="28">
        <v>1</v>
      </c>
      <c r="N542" s="97">
        <v>349.99</v>
      </c>
      <c r="O542" s="97">
        <v>349.99</v>
      </c>
    </row>
    <row r="543" ht="15.55" customHeight="1">
      <c r="I543" t="s" s="27">
        <v>1701</v>
      </c>
      <c r="M543" s="28">
        <v>70</v>
      </c>
      <c r="N543" s="97">
        <v>1279.97</v>
      </c>
      <c r="O543" s="97">
        <v>13549.6</v>
      </c>
    </row>
    <row r="544" ht="15.55" customHeight="1">
      <c r="I544" t="s" s="27">
        <v>1515</v>
      </c>
      <c r="M544" s="28">
        <v>1</v>
      </c>
      <c r="N544" s="97">
        <v>399.99</v>
      </c>
      <c r="O544" s="97">
        <v>399.99</v>
      </c>
    </row>
    <row r="545" ht="15.55" customHeight="1">
      <c r="I545" t="s" s="27">
        <v>1563</v>
      </c>
      <c r="M545" s="28">
        <v>2</v>
      </c>
      <c r="N545" s="97">
        <v>549.98</v>
      </c>
      <c r="O545" s="97">
        <v>549.98</v>
      </c>
    </row>
    <row r="546" ht="15.55" customHeight="1">
      <c r="I546" t="s" s="27">
        <v>1566</v>
      </c>
      <c r="M546" s="28">
        <v>1</v>
      </c>
      <c r="N546" s="97">
        <v>299.99</v>
      </c>
      <c r="O546" s="97">
        <v>299.99</v>
      </c>
    </row>
    <row r="547" ht="15.55" customHeight="1">
      <c r="I547" t="s" s="27">
        <v>1794</v>
      </c>
      <c r="M547" s="28">
        <v>1</v>
      </c>
      <c r="N547" s="97">
        <v>59.99</v>
      </c>
      <c r="O547" s="97">
        <v>59.99</v>
      </c>
    </row>
    <row r="548" ht="15.55" customHeight="1">
      <c r="I548" t="s" s="27">
        <v>1677</v>
      </c>
      <c r="M548" s="28">
        <v>2</v>
      </c>
      <c r="N548" s="97">
        <v>109.98</v>
      </c>
      <c r="O548" s="97">
        <v>109.98</v>
      </c>
    </row>
    <row r="549" ht="15.55" customHeight="1">
      <c r="I549" t="s" s="27">
        <v>1660</v>
      </c>
      <c r="M549" s="28">
        <v>2</v>
      </c>
      <c r="N549" s="97">
        <v>49.99</v>
      </c>
      <c r="O549" s="97">
        <v>49.99</v>
      </c>
    </row>
    <row r="550" ht="15.4" customHeight="1">
      <c r="I550" t="s" s="30">
        <v>1761</v>
      </c>
      <c r="M550" s="31">
        <v>6</v>
      </c>
      <c r="N550" s="99">
        <v>127.48</v>
      </c>
      <c r="O550" s="99">
        <v>494.94</v>
      </c>
    </row>
    <row r="551" ht="13.1" customHeight="1">
      <c r="I551" t="s" s="33">
        <v>620</v>
      </c>
      <c r="M551" s="34">
        <v>1212</v>
      </c>
      <c r="N551" s="100">
        <v>63160.51317775</v>
      </c>
      <c r="O551" s="100">
        <v>187062.7349725</v>
      </c>
    </row>
    <row r="553" ht="15.55" customHeight="1">
      <c r="P553" t="s" s="2">
        <v>1808</v>
      </c>
      <c r="Q553" s="2"/>
    </row>
    <row r="554" ht="13.1" customHeight="1">
      <c r="P554" t="s" s="37">
        <v>4</v>
      </c>
      <c r="Q554" t="s" s="23">
        <v>617</v>
      </c>
    </row>
    <row r="555" ht="13.1" customHeight="1">
      <c r="P555" t="s" s="38">
        <v>109</v>
      </c>
      <c r="Q555" s="39">
        <v>10</v>
      </c>
    </row>
    <row r="556" ht="12.9" customHeight="1">
      <c r="P556" t="s" s="40">
        <v>775</v>
      </c>
      <c r="Q556" s="41">
        <v>10</v>
      </c>
    </row>
    <row r="557" ht="12.9" customHeight="1">
      <c r="P557" t="s" s="40">
        <v>104</v>
      </c>
      <c r="Q557" s="41">
        <v>1</v>
      </c>
    </row>
    <row r="558" ht="12.9" customHeight="1">
      <c r="P558" t="s" s="40">
        <v>1587</v>
      </c>
      <c r="Q558" s="41">
        <v>6</v>
      </c>
    </row>
    <row r="559" ht="12.9" customHeight="1">
      <c r="P559" t="s" s="40">
        <v>1662</v>
      </c>
      <c r="Q559" s="41">
        <v>1</v>
      </c>
    </row>
    <row r="560" ht="12.9" customHeight="1">
      <c r="P560" t="s" s="40">
        <v>1647</v>
      </c>
      <c r="Q560" s="41">
        <v>1</v>
      </c>
    </row>
    <row r="561" ht="12.9" customHeight="1">
      <c r="P561" t="s" s="40">
        <v>123</v>
      </c>
      <c r="Q561" s="41">
        <v>21</v>
      </c>
    </row>
    <row r="562" ht="12.9" customHeight="1">
      <c r="P562" t="s" s="40">
        <v>1688</v>
      </c>
      <c r="Q562" s="41">
        <v>4</v>
      </c>
    </row>
    <row r="563" ht="12.9" customHeight="1">
      <c r="P563" t="s" s="40">
        <v>19</v>
      </c>
      <c r="Q563" s="41">
        <v>61</v>
      </c>
    </row>
    <row r="564" ht="12.9" customHeight="1">
      <c r="P564" t="s" s="40">
        <v>317</v>
      </c>
      <c r="Q564" s="41">
        <v>20</v>
      </c>
    </row>
    <row r="565" ht="12.9" customHeight="1">
      <c r="P565" t="s" s="40">
        <v>167</v>
      </c>
      <c r="Q565" s="41">
        <v>22</v>
      </c>
    </row>
    <row r="566" ht="12.9" customHeight="1">
      <c r="P566" t="s" s="40">
        <v>54</v>
      </c>
      <c r="Q566" s="41">
        <v>44</v>
      </c>
    </row>
    <row r="567" ht="12.9" customHeight="1">
      <c r="P567" t="s" s="40">
        <v>1695</v>
      </c>
      <c r="Q567" s="41">
        <v>6</v>
      </c>
    </row>
    <row r="568" ht="12.9" customHeight="1">
      <c r="P568" t="s" s="40">
        <v>139</v>
      </c>
      <c r="Q568" s="41">
        <v>3</v>
      </c>
    </row>
    <row r="569" ht="12.9" customHeight="1">
      <c r="P569" t="s" s="40">
        <v>1594</v>
      </c>
      <c r="Q569" s="41">
        <v>6</v>
      </c>
    </row>
    <row r="570" ht="12.9" customHeight="1">
      <c r="P570" t="s" s="40">
        <v>57</v>
      </c>
      <c r="Q570" s="41">
        <v>19</v>
      </c>
    </row>
    <row r="571" ht="12.9" customHeight="1">
      <c r="P571" t="s" s="40">
        <v>1638</v>
      </c>
      <c r="Q571" s="41">
        <v>4</v>
      </c>
    </row>
    <row r="572" ht="12.9" customHeight="1">
      <c r="P572" t="s" s="40">
        <v>1639</v>
      </c>
      <c r="Q572" s="41">
        <v>4</v>
      </c>
    </row>
    <row r="573" ht="12.9" customHeight="1">
      <c r="P573" t="s" s="40">
        <v>369</v>
      </c>
      <c r="Q573" s="41">
        <v>5</v>
      </c>
    </row>
    <row r="574" ht="12.9" customHeight="1">
      <c r="P574" t="s" s="40">
        <v>84</v>
      </c>
      <c r="Q574" s="41">
        <v>17</v>
      </c>
    </row>
    <row r="575" ht="12.9" customHeight="1">
      <c r="P575" t="s" s="40">
        <v>179</v>
      </c>
      <c r="Q575" s="41">
        <v>4</v>
      </c>
    </row>
    <row r="576" ht="12.9" customHeight="1">
      <c r="P576" t="s" s="40">
        <v>412</v>
      </c>
      <c r="Q576" s="41">
        <v>6</v>
      </c>
    </row>
    <row r="577" ht="12.9" customHeight="1">
      <c r="P577" t="s" s="40">
        <v>119</v>
      </c>
      <c r="Q577" s="41">
        <v>2</v>
      </c>
    </row>
    <row r="578" ht="12.9" customHeight="1">
      <c r="P578" t="s" s="40">
        <v>589</v>
      </c>
      <c r="Q578" s="41">
        <v>11</v>
      </c>
    </row>
    <row r="579" ht="12.9" customHeight="1">
      <c r="P579" t="s" s="40">
        <v>587</v>
      </c>
      <c r="Q579" s="41">
        <v>20</v>
      </c>
    </row>
    <row r="580" ht="12.9" customHeight="1">
      <c r="P580" t="s" s="40">
        <v>345</v>
      </c>
      <c r="Q580" s="41">
        <v>5</v>
      </c>
    </row>
    <row r="581" ht="12.9" customHeight="1">
      <c r="P581" t="s" s="40">
        <v>585</v>
      </c>
      <c r="Q581" s="41">
        <v>23</v>
      </c>
    </row>
    <row r="582" ht="12.9" customHeight="1">
      <c r="P582" t="s" s="40">
        <v>1791</v>
      </c>
      <c r="Q582" s="41">
        <v>2</v>
      </c>
    </row>
    <row r="583" ht="12.9" customHeight="1">
      <c r="P583" t="s" s="40">
        <v>125</v>
      </c>
      <c r="Q583" s="41">
        <v>4</v>
      </c>
    </row>
    <row r="584" ht="12.9" customHeight="1">
      <c r="P584" t="s" s="40">
        <v>299</v>
      </c>
      <c r="Q584" s="41">
        <v>4</v>
      </c>
    </row>
    <row r="585" ht="12.9" customHeight="1">
      <c r="P585" t="s" s="40">
        <v>1717</v>
      </c>
      <c r="Q585" s="41">
        <v>1</v>
      </c>
    </row>
    <row r="586" ht="12.9" customHeight="1">
      <c r="P586" t="s" s="40">
        <v>882</v>
      </c>
      <c r="Q586" s="41">
        <v>20</v>
      </c>
    </row>
    <row r="587" ht="12.9" customHeight="1">
      <c r="P587" t="s" s="40">
        <v>1593</v>
      </c>
      <c r="Q587" s="41">
        <v>4</v>
      </c>
    </row>
    <row r="588" ht="12.9" customHeight="1">
      <c r="P588" t="s" s="40">
        <v>487</v>
      </c>
      <c r="Q588" s="41">
        <v>2</v>
      </c>
    </row>
    <row r="589" ht="12.9" customHeight="1">
      <c r="P589" t="s" s="40">
        <v>39</v>
      </c>
      <c r="Q589" s="41">
        <v>7</v>
      </c>
    </row>
    <row r="590" ht="12.9" customHeight="1">
      <c r="P590" t="s" s="40">
        <v>1054</v>
      </c>
      <c r="Q590" s="41">
        <v>5</v>
      </c>
    </row>
    <row r="591" ht="12.9" customHeight="1">
      <c r="P591" t="s" s="40">
        <v>23</v>
      </c>
      <c r="Q591" s="41">
        <v>21</v>
      </c>
    </row>
    <row r="592" ht="12.9" customHeight="1">
      <c r="P592" t="s" s="40">
        <v>133</v>
      </c>
      <c r="Q592" s="41">
        <v>4</v>
      </c>
    </row>
    <row r="593" ht="12.9" customHeight="1">
      <c r="P593" t="s" s="40">
        <v>602</v>
      </c>
      <c r="Q593" s="41">
        <v>22</v>
      </c>
    </row>
    <row r="594" ht="12.9" customHeight="1">
      <c r="P594" t="s" s="40">
        <v>1257</v>
      </c>
      <c r="Q594" s="41">
        <v>9</v>
      </c>
    </row>
    <row r="595" ht="12.9" customHeight="1">
      <c r="P595" t="s" s="40">
        <v>35</v>
      </c>
      <c r="Q595" s="41">
        <v>53</v>
      </c>
    </row>
    <row r="596" ht="12.9" customHeight="1">
      <c r="P596" t="s" s="40">
        <v>89</v>
      </c>
      <c r="Q596" s="41">
        <v>14</v>
      </c>
    </row>
    <row r="597" ht="12.9" customHeight="1">
      <c r="P597" t="s" s="40">
        <v>1619</v>
      </c>
      <c r="Q597" s="41">
        <v>10</v>
      </c>
    </row>
    <row r="598" ht="12.9" customHeight="1">
      <c r="P598" t="s" s="40">
        <v>52</v>
      </c>
      <c r="Q598" s="41">
        <v>16</v>
      </c>
    </row>
    <row r="599" ht="12.9" customHeight="1">
      <c r="P599" t="s" s="40">
        <v>359</v>
      </c>
      <c r="Q599" s="41">
        <v>1</v>
      </c>
    </row>
    <row r="600" ht="12.9" customHeight="1">
      <c r="P600" t="s" s="40">
        <v>1571</v>
      </c>
      <c r="Q600" s="41">
        <v>20</v>
      </c>
    </row>
    <row r="601" ht="12.9" customHeight="1">
      <c r="P601" t="s" s="40">
        <v>607</v>
      </c>
      <c r="Q601" s="41">
        <v>4</v>
      </c>
    </row>
    <row r="602" ht="12.9" customHeight="1">
      <c r="P602" t="s" s="40">
        <v>497</v>
      </c>
      <c r="Q602" s="41">
        <v>4</v>
      </c>
    </row>
    <row r="603" ht="12.9" customHeight="1">
      <c r="P603" t="s" s="40">
        <v>1731</v>
      </c>
      <c r="Q603" s="41">
        <v>2</v>
      </c>
    </row>
    <row r="604" ht="12.9" customHeight="1">
      <c r="P604" t="s" s="40">
        <v>77</v>
      </c>
      <c r="Q604" s="41">
        <v>14</v>
      </c>
    </row>
    <row r="605" ht="12.9" customHeight="1">
      <c r="P605" t="s" s="40">
        <v>1705</v>
      </c>
      <c r="Q605" s="41">
        <v>3</v>
      </c>
    </row>
    <row r="606" ht="12.9" customHeight="1">
      <c r="P606" t="s" s="40">
        <v>146</v>
      </c>
      <c r="Q606" s="41">
        <v>20</v>
      </c>
    </row>
    <row r="607" ht="12.9" customHeight="1">
      <c r="P607" t="s" s="40">
        <v>1407</v>
      </c>
      <c r="Q607" s="41">
        <v>1</v>
      </c>
    </row>
    <row r="608" ht="12.9" customHeight="1">
      <c r="P608" t="s" s="40">
        <v>1729</v>
      </c>
      <c r="Q608" s="41">
        <v>1</v>
      </c>
    </row>
    <row r="609" ht="12.9" customHeight="1">
      <c r="P609" t="s" s="40">
        <v>95</v>
      </c>
      <c r="Q609" s="41">
        <v>12</v>
      </c>
    </row>
    <row r="610" ht="12.9" customHeight="1">
      <c r="P610" t="s" s="40">
        <v>171</v>
      </c>
      <c r="Q610" s="41">
        <v>5</v>
      </c>
    </row>
    <row r="611" ht="12.9" customHeight="1">
      <c r="P611" t="s" s="40">
        <v>11</v>
      </c>
      <c r="Q611" s="41">
        <v>8</v>
      </c>
    </row>
    <row r="612" ht="12.9" customHeight="1">
      <c r="P612" t="s" s="40">
        <v>31</v>
      </c>
      <c r="Q612" s="41">
        <v>2</v>
      </c>
    </row>
    <row r="613" ht="12.9" customHeight="1">
      <c r="P613" t="s" s="40">
        <v>81</v>
      </c>
      <c r="Q613" s="41">
        <v>22</v>
      </c>
    </row>
    <row r="614" ht="12.9" customHeight="1">
      <c r="P614" t="s" s="40">
        <v>722</v>
      </c>
      <c r="Q614" s="41">
        <v>2</v>
      </c>
    </row>
    <row r="615" ht="12.9" customHeight="1">
      <c r="P615" t="s" s="40">
        <v>50</v>
      </c>
      <c r="Q615" s="41">
        <v>72</v>
      </c>
    </row>
    <row r="616" ht="12.9" customHeight="1">
      <c r="P616" t="s" s="40">
        <v>48</v>
      </c>
      <c r="Q616" s="41">
        <v>9</v>
      </c>
    </row>
    <row r="617" ht="12.9" customHeight="1">
      <c r="P617" t="s" s="40">
        <v>998</v>
      </c>
      <c r="Q617" s="41">
        <v>20</v>
      </c>
    </row>
    <row r="618" ht="12.9" customHeight="1">
      <c r="P618" t="s" s="40">
        <v>933</v>
      </c>
      <c r="Q618" s="41">
        <v>7</v>
      </c>
    </row>
    <row r="619" ht="12.9" customHeight="1">
      <c r="P619" t="s" s="40">
        <v>1744</v>
      </c>
      <c r="Q619" s="41">
        <v>2</v>
      </c>
    </row>
    <row r="620" ht="12.9" customHeight="1">
      <c r="P620" t="s" s="40">
        <v>489</v>
      </c>
      <c r="Q620" s="41">
        <v>1</v>
      </c>
    </row>
    <row r="621" ht="12.9" customHeight="1">
      <c r="P621" t="s" s="40">
        <v>1633</v>
      </c>
      <c r="Q621" s="41">
        <v>1</v>
      </c>
    </row>
    <row r="622" ht="12.9" customHeight="1">
      <c r="P622" t="s" s="40">
        <v>491</v>
      </c>
      <c r="Q622" s="41">
        <v>2</v>
      </c>
    </row>
    <row r="623" ht="12.9" customHeight="1">
      <c r="P623" t="s" s="40">
        <v>824</v>
      </c>
      <c r="Q623" s="41">
        <v>2</v>
      </c>
    </row>
    <row r="624" ht="12.9" customHeight="1">
      <c r="P624" t="s" s="40">
        <v>493</v>
      </c>
      <c r="Q624" s="41">
        <v>1</v>
      </c>
    </row>
    <row r="625" ht="12.9" customHeight="1">
      <c r="P625" t="s" s="40">
        <v>59</v>
      </c>
      <c r="Q625" s="41">
        <v>5</v>
      </c>
    </row>
    <row r="626" ht="12.9" customHeight="1">
      <c r="P626" t="s" s="40">
        <v>73</v>
      </c>
      <c r="Q626" s="41">
        <v>18</v>
      </c>
    </row>
    <row r="627" ht="12.9" customHeight="1">
      <c r="P627" t="s" s="40">
        <v>27</v>
      </c>
      <c r="Q627" s="41">
        <v>14</v>
      </c>
    </row>
    <row r="628" ht="12.9" customHeight="1">
      <c r="P628" t="s" s="40">
        <v>559</v>
      </c>
      <c r="Q628" s="41">
        <v>200</v>
      </c>
    </row>
    <row r="629" ht="12.9" customHeight="1">
      <c r="P629" t="s" s="40">
        <v>15</v>
      </c>
      <c r="Q629" s="41">
        <v>22</v>
      </c>
    </row>
    <row r="630" ht="12.9" customHeight="1">
      <c r="P630" t="s" s="40">
        <v>315</v>
      </c>
      <c r="Q630" s="41">
        <v>100</v>
      </c>
    </row>
    <row r="631" ht="12.9" customHeight="1">
      <c r="P631" t="s" s="40">
        <v>207</v>
      </c>
      <c r="Q631" s="41">
        <v>6</v>
      </c>
    </row>
    <row r="632" ht="12.9" customHeight="1">
      <c r="P632" t="s" s="40">
        <v>1428</v>
      </c>
      <c r="Q632" s="41">
        <v>1</v>
      </c>
    </row>
    <row r="633" ht="12.9" customHeight="1">
      <c r="P633" t="s" s="40">
        <v>1546</v>
      </c>
      <c r="Q633" s="41">
        <v>1</v>
      </c>
    </row>
    <row r="634" ht="12.9" customHeight="1">
      <c r="P634" t="s" s="40">
        <v>1097</v>
      </c>
      <c r="Q634" s="41">
        <v>3</v>
      </c>
    </row>
    <row r="635" ht="12.9" customHeight="1">
      <c r="P635" t="s" s="40">
        <v>766</v>
      </c>
      <c r="Q635" s="41">
        <v>1</v>
      </c>
    </row>
    <row r="636" ht="12.9" customHeight="1">
      <c r="P636" t="s" s="40">
        <v>764</v>
      </c>
      <c r="Q636" s="41">
        <v>1</v>
      </c>
    </row>
    <row r="637" ht="12.9" customHeight="1">
      <c r="P637" t="s" s="40">
        <v>1666</v>
      </c>
      <c r="Q637" s="41">
        <v>1</v>
      </c>
    </row>
    <row r="638" ht="12.9" customHeight="1">
      <c r="P638" t="s" s="40">
        <v>1664</v>
      </c>
      <c r="Q638" s="41">
        <v>1</v>
      </c>
    </row>
    <row r="639" ht="12.9" customHeight="1">
      <c r="P639" t="s" s="40">
        <v>1616</v>
      </c>
      <c r="Q639" s="41">
        <v>5</v>
      </c>
    </row>
    <row r="640" ht="12.9" customHeight="1">
      <c r="P640" t="s" s="40">
        <v>402</v>
      </c>
      <c r="Q640" s="41">
        <v>1</v>
      </c>
    </row>
    <row r="641" ht="12.9" customHeight="1">
      <c r="P641" t="s" s="40">
        <v>404</v>
      </c>
      <c r="Q641" s="41">
        <v>1</v>
      </c>
    </row>
    <row r="642" ht="12.9" customHeight="1">
      <c r="P642" t="s" s="40">
        <v>445</v>
      </c>
      <c r="Q642" s="41">
        <v>1</v>
      </c>
    </row>
    <row r="643" ht="12.9" customHeight="1">
      <c r="P643" t="s" s="40">
        <v>1550</v>
      </c>
      <c r="Q643" s="41">
        <v>11</v>
      </c>
    </row>
    <row r="644" ht="12.9" customHeight="1">
      <c r="P644" t="s" s="40">
        <v>1707</v>
      </c>
      <c r="Q644" s="41">
        <v>3</v>
      </c>
    </row>
    <row r="645" ht="12.9" customHeight="1">
      <c r="P645" t="s" s="40">
        <v>409</v>
      </c>
      <c r="Q645" s="41">
        <v>1</v>
      </c>
    </row>
    <row r="646" ht="12.9" customHeight="1">
      <c r="P646" t="s" s="40">
        <v>1575</v>
      </c>
      <c r="Q646" s="41">
        <v>2</v>
      </c>
    </row>
    <row r="647" ht="12.9" customHeight="1">
      <c r="P647" t="s" s="40">
        <v>254</v>
      </c>
      <c r="Q647" s="41">
        <v>2</v>
      </c>
    </row>
    <row r="648" ht="12.9" customHeight="1">
      <c r="P648" t="s" s="40">
        <v>63</v>
      </c>
      <c r="Q648" s="41">
        <v>15</v>
      </c>
    </row>
    <row r="649" ht="12.9" customHeight="1">
      <c r="P649" t="s" s="40">
        <v>47</v>
      </c>
      <c r="Q649" s="41">
        <v>17</v>
      </c>
    </row>
    <row r="650" ht="12.9" customHeight="1">
      <c r="P650" t="s" s="40">
        <v>1602</v>
      </c>
      <c r="Q650" s="41">
        <v>1</v>
      </c>
    </row>
    <row r="651" ht="12.9" customHeight="1">
      <c r="P651" t="s" s="40">
        <v>1671</v>
      </c>
      <c r="Q651" s="41">
        <v>1</v>
      </c>
    </row>
    <row r="652" ht="12.9" customHeight="1">
      <c r="P652" t="s" s="40">
        <v>1589</v>
      </c>
      <c r="Q652" s="41">
        <v>1</v>
      </c>
    </row>
    <row r="653" ht="12.9" customHeight="1">
      <c r="P653" t="s" s="40">
        <v>861</v>
      </c>
      <c r="Q653" s="41">
        <v>3</v>
      </c>
    </row>
    <row r="654" ht="13.1" customHeight="1">
      <c r="P654" t="s" s="42">
        <v>762</v>
      </c>
      <c r="Q654" s="43">
        <v>1</v>
      </c>
    </row>
    <row r="655" ht="13.1" customHeight="1">
      <c r="P655" t="s" s="44">
        <v>620</v>
      </c>
      <c r="Q655" s="34">
        <v>1212</v>
      </c>
    </row>
    <row r="657" ht="15.55" customHeight="1">
      <c r="R657" t="s" s="2">
        <v>1809</v>
      </c>
      <c r="S657" s="2"/>
    </row>
    <row r="658" ht="13.1" customHeight="1">
      <c r="R658" t="s" s="37">
        <v>4</v>
      </c>
      <c r="S658" t="s" s="23">
        <v>619</v>
      </c>
    </row>
    <row r="659" ht="13.1" customHeight="1">
      <c r="R659" t="s" s="38">
        <v>109</v>
      </c>
      <c r="S659" s="103">
        <v>1100</v>
      </c>
    </row>
    <row r="660" ht="12.9" customHeight="1">
      <c r="R660" t="s" s="40">
        <v>775</v>
      </c>
      <c r="S660" s="47">
        <v>525</v>
      </c>
    </row>
    <row r="661" ht="12.9" customHeight="1">
      <c r="R661" t="s" s="40">
        <v>104</v>
      </c>
      <c r="S661" s="47">
        <v>40.7608695</v>
      </c>
    </row>
    <row r="662" ht="12.9" customHeight="1">
      <c r="R662" t="s" s="40">
        <v>1587</v>
      </c>
      <c r="S662" s="47">
        <v>7.9630425</v>
      </c>
    </row>
    <row r="663" ht="12.9" customHeight="1">
      <c r="R663" t="s" s="40">
        <v>1662</v>
      </c>
      <c r="S663" s="47">
        <v>6472.23</v>
      </c>
    </row>
    <row r="664" ht="12.9" customHeight="1">
      <c r="R664" t="s" s="40">
        <v>1647</v>
      </c>
      <c r="S664" s="47">
        <v>0</v>
      </c>
    </row>
    <row r="665" ht="12.9" customHeight="1">
      <c r="R665" t="s" s="40">
        <v>123</v>
      </c>
      <c r="S665" s="47">
        <v>3419.81</v>
      </c>
    </row>
    <row r="666" ht="12.9" customHeight="1">
      <c r="R666" t="s" s="40">
        <v>1688</v>
      </c>
      <c r="S666" s="47">
        <v>689.97</v>
      </c>
    </row>
    <row r="667" ht="12.9" customHeight="1">
      <c r="R667" t="s" s="40">
        <v>19</v>
      </c>
      <c r="S667" s="47">
        <v>5959.5</v>
      </c>
    </row>
    <row r="668" ht="12.9" customHeight="1">
      <c r="R668" t="s" s="40">
        <v>317</v>
      </c>
      <c r="S668" s="47">
        <v>749.85</v>
      </c>
    </row>
    <row r="669" ht="12.9" customHeight="1">
      <c r="R669" t="s" s="40">
        <v>167</v>
      </c>
      <c r="S669" s="47">
        <v>0</v>
      </c>
    </row>
    <row r="670" ht="12.9" customHeight="1">
      <c r="R670" t="s" s="40">
        <v>54</v>
      </c>
      <c r="S670" s="47">
        <v>199.8</v>
      </c>
    </row>
    <row r="671" ht="12.9" customHeight="1">
      <c r="R671" t="s" s="40">
        <v>1695</v>
      </c>
      <c r="S671" s="47">
        <v>224.955</v>
      </c>
    </row>
    <row r="672" ht="12.9" customHeight="1">
      <c r="R672" t="s" s="40">
        <v>139</v>
      </c>
      <c r="S672" s="47">
        <v>149.97</v>
      </c>
    </row>
    <row r="673" ht="12.9" customHeight="1">
      <c r="R673" t="s" s="40">
        <v>1594</v>
      </c>
      <c r="S673" s="47">
        <v>148.455</v>
      </c>
    </row>
    <row r="674" ht="12.9" customHeight="1">
      <c r="R674" t="s" s="40">
        <v>57</v>
      </c>
      <c r="S674" s="47">
        <v>11399.8575</v>
      </c>
    </row>
    <row r="675" ht="12.9" customHeight="1">
      <c r="R675" t="s" s="40">
        <v>1638</v>
      </c>
      <c r="S675" s="47">
        <v>2999.96</v>
      </c>
    </row>
    <row r="676" ht="12.9" customHeight="1">
      <c r="R676" t="s" s="40">
        <v>1639</v>
      </c>
      <c r="S676" s="47">
        <v>0</v>
      </c>
    </row>
    <row r="677" ht="12.9" customHeight="1">
      <c r="R677" t="s" s="40">
        <v>369</v>
      </c>
      <c r="S677" s="47">
        <v>38.97</v>
      </c>
    </row>
    <row r="678" ht="12.9" customHeight="1">
      <c r="R678" t="s" s="40">
        <v>84</v>
      </c>
      <c r="S678" s="47">
        <v>0</v>
      </c>
    </row>
    <row r="679" ht="12.9" customHeight="1">
      <c r="R679" t="s" s="40">
        <v>179</v>
      </c>
      <c r="S679" s="47">
        <v>199.96</v>
      </c>
    </row>
    <row r="680" ht="12.9" customHeight="1">
      <c r="R680" t="s" s="40">
        <v>412</v>
      </c>
      <c r="S680" s="47">
        <v>11.94</v>
      </c>
    </row>
    <row r="681" ht="12.9" customHeight="1">
      <c r="R681" t="s" s="40">
        <v>119</v>
      </c>
      <c r="S681" s="47">
        <v>3.98</v>
      </c>
    </row>
    <row r="682" ht="12.9" customHeight="1">
      <c r="R682" t="s" s="40">
        <v>589</v>
      </c>
      <c r="S682" s="47">
        <v>59.92</v>
      </c>
    </row>
    <row r="683" ht="12.9" customHeight="1">
      <c r="R683" t="s" s="40">
        <v>587</v>
      </c>
      <c r="S683" s="47">
        <v>194.85</v>
      </c>
    </row>
    <row r="684" ht="12.9" customHeight="1">
      <c r="R684" t="s" s="40">
        <v>345</v>
      </c>
      <c r="S684" s="47">
        <v>989.955</v>
      </c>
    </row>
    <row r="685" ht="12.9" customHeight="1">
      <c r="R685" t="s" s="40">
        <v>585</v>
      </c>
      <c r="S685" s="47">
        <v>8749.825000000001</v>
      </c>
    </row>
    <row r="686" ht="12.9" customHeight="1">
      <c r="R686" t="s" s="40">
        <v>1791</v>
      </c>
      <c r="S686" s="47">
        <v>0</v>
      </c>
    </row>
    <row r="687" ht="12.9" customHeight="1">
      <c r="R687" t="s" s="40">
        <v>125</v>
      </c>
      <c r="S687" s="47">
        <v>259.96</v>
      </c>
    </row>
    <row r="688" ht="12.9" customHeight="1">
      <c r="R688" t="s" s="40">
        <v>299</v>
      </c>
      <c r="S688" s="47">
        <v>279.96</v>
      </c>
    </row>
    <row r="689" ht="12.9" customHeight="1">
      <c r="R689" t="s" s="40">
        <v>1717</v>
      </c>
      <c r="S689" s="47">
        <v>99.98999999999999</v>
      </c>
    </row>
    <row r="690" ht="12.9" customHeight="1">
      <c r="R690" t="s" s="40">
        <v>882</v>
      </c>
      <c r="S690" s="47">
        <v>1499.8</v>
      </c>
    </row>
    <row r="691" ht="12.9" customHeight="1">
      <c r="R691" t="s" s="40">
        <v>1593</v>
      </c>
      <c r="S691" s="47">
        <v>299.97</v>
      </c>
    </row>
    <row r="692" ht="12.9" customHeight="1">
      <c r="R692" t="s" s="40">
        <v>487</v>
      </c>
      <c r="S692" s="47">
        <v>164.985</v>
      </c>
    </row>
    <row r="693" ht="12.9" customHeight="1">
      <c r="R693" t="s" s="40">
        <v>39</v>
      </c>
      <c r="S693" s="47">
        <v>659.9400000000001</v>
      </c>
    </row>
    <row r="694" ht="12.9" customHeight="1">
      <c r="R694" t="s" s="40">
        <v>1054</v>
      </c>
      <c r="S694" s="47">
        <v>712.4525</v>
      </c>
    </row>
    <row r="695" ht="12.9" customHeight="1">
      <c r="R695" t="s" s="40">
        <v>23</v>
      </c>
      <c r="S695" s="47">
        <v>899.9400000000001</v>
      </c>
    </row>
    <row r="696" ht="12.9" customHeight="1">
      <c r="R696" t="s" s="40">
        <v>133</v>
      </c>
      <c r="S696" s="47">
        <v>499.98</v>
      </c>
    </row>
    <row r="697" ht="12.9" customHeight="1">
      <c r="R697" t="s" s="40">
        <v>602</v>
      </c>
      <c r="S697" s="47">
        <v>3824.96</v>
      </c>
    </row>
    <row r="698" ht="12.9" customHeight="1">
      <c r="R698" t="s" s="40">
        <v>1257</v>
      </c>
      <c r="S698" s="47">
        <v>1327.44</v>
      </c>
    </row>
    <row r="699" ht="12.9" customHeight="1">
      <c r="R699" t="s" s="40">
        <v>35</v>
      </c>
      <c r="S699" s="47">
        <v>2470.3425</v>
      </c>
    </row>
    <row r="700" ht="12.9" customHeight="1">
      <c r="R700" t="s" s="40">
        <v>89</v>
      </c>
      <c r="S700" s="47">
        <v>779.87</v>
      </c>
    </row>
    <row r="701" ht="12.9" customHeight="1">
      <c r="R701" t="s" s="40">
        <v>1619</v>
      </c>
      <c r="S701" s="47">
        <v>200</v>
      </c>
    </row>
    <row r="702" ht="12.9" customHeight="1">
      <c r="R702" t="s" s="40">
        <v>52</v>
      </c>
      <c r="S702" s="47">
        <v>0</v>
      </c>
    </row>
    <row r="703" ht="12.9" customHeight="1">
      <c r="R703" t="s" s="40">
        <v>359</v>
      </c>
      <c r="S703" s="47">
        <v>29.99</v>
      </c>
    </row>
    <row r="704" ht="12.9" customHeight="1">
      <c r="R704" t="s" s="40">
        <v>1571</v>
      </c>
      <c r="S704" s="47">
        <v>449.85</v>
      </c>
    </row>
    <row r="705" ht="12.9" customHeight="1">
      <c r="R705" t="s" s="40">
        <v>607</v>
      </c>
      <c r="S705" s="47">
        <v>89.97</v>
      </c>
    </row>
    <row r="706" ht="12.9" customHeight="1">
      <c r="R706" t="s" s="40">
        <v>497</v>
      </c>
      <c r="S706" s="47">
        <v>89.97</v>
      </c>
    </row>
    <row r="707" ht="12.9" customHeight="1">
      <c r="R707" t="s" s="40">
        <v>1731</v>
      </c>
      <c r="S707" s="47">
        <v>49.98</v>
      </c>
    </row>
    <row r="708" ht="12.9" customHeight="1">
      <c r="R708" t="s" s="40">
        <v>77</v>
      </c>
      <c r="S708" s="47">
        <v>249.875</v>
      </c>
    </row>
    <row r="709" ht="12.9" customHeight="1">
      <c r="R709" t="s" s="40">
        <v>1705</v>
      </c>
      <c r="S709" s="47">
        <v>74.97</v>
      </c>
    </row>
    <row r="710" ht="12.9" customHeight="1">
      <c r="R710" t="s" s="40">
        <v>146</v>
      </c>
      <c r="S710" s="47">
        <v>399.8</v>
      </c>
    </row>
    <row r="711" ht="12.9" customHeight="1">
      <c r="R711" t="s" s="40">
        <v>1407</v>
      </c>
      <c r="S711" s="47">
        <v>0</v>
      </c>
    </row>
    <row r="712" ht="12.9" customHeight="1">
      <c r="R712" t="s" s="40">
        <v>1729</v>
      </c>
      <c r="S712" s="47">
        <v>19.99</v>
      </c>
    </row>
    <row r="713" ht="12.9" customHeight="1">
      <c r="R713" t="s" s="40">
        <v>95</v>
      </c>
      <c r="S713" s="47">
        <v>4112.3825</v>
      </c>
    </row>
    <row r="714" ht="12.9" customHeight="1">
      <c r="R714" t="s" s="40">
        <v>171</v>
      </c>
      <c r="S714" s="47">
        <v>2749.95</v>
      </c>
    </row>
    <row r="715" ht="12.9" customHeight="1">
      <c r="R715" t="s" s="40">
        <v>11</v>
      </c>
      <c r="S715" s="47">
        <v>3099.9225</v>
      </c>
    </row>
    <row r="716" ht="12.9" customHeight="1">
      <c r="R716" t="s" s="40">
        <v>31</v>
      </c>
      <c r="S716" s="47">
        <v>1191.64</v>
      </c>
    </row>
    <row r="717" ht="12.9" customHeight="1">
      <c r="R717" t="s" s="40">
        <v>81</v>
      </c>
      <c r="S717" s="47">
        <v>17424.795</v>
      </c>
    </row>
    <row r="718" ht="12.9" customHeight="1">
      <c r="R718" t="s" s="40">
        <v>722</v>
      </c>
      <c r="S718" s="47">
        <v>1739.98</v>
      </c>
    </row>
    <row r="719" ht="12.9" customHeight="1">
      <c r="R719" t="s" s="40">
        <v>50</v>
      </c>
      <c r="S719" s="47">
        <v>299.9</v>
      </c>
    </row>
    <row r="720" ht="12.9" customHeight="1">
      <c r="R720" t="s" s="40">
        <v>48</v>
      </c>
      <c r="S720" s="47">
        <v>10119.936</v>
      </c>
    </row>
    <row r="721" ht="12.9" customHeight="1">
      <c r="R721" t="s" s="40">
        <v>998</v>
      </c>
      <c r="S721" s="47">
        <v>19499.8</v>
      </c>
    </row>
    <row r="722" ht="12.9" customHeight="1">
      <c r="R722" t="s" s="40">
        <v>933</v>
      </c>
      <c r="S722" s="47">
        <v>7099.98</v>
      </c>
    </row>
    <row r="723" ht="12.9" customHeight="1">
      <c r="R723" t="s" s="40">
        <v>1744</v>
      </c>
      <c r="S723" s="47">
        <v>3549.946852</v>
      </c>
    </row>
    <row r="724" ht="12.9" customHeight="1">
      <c r="R724" t="s" s="40">
        <v>489</v>
      </c>
      <c r="S724" s="47">
        <v>1439.991</v>
      </c>
    </row>
    <row r="725" ht="12.9" customHeight="1">
      <c r="R725" t="s" s="40">
        <v>1633</v>
      </c>
      <c r="S725" s="47">
        <v>0</v>
      </c>
    </row>
    <row r="726" ht="12.9" customHeight="1">
      <c r="R726" t="s" s="40">
        <v>491</v>
      </c>
      <c r="S726" s="47">
        <v>0</v>
      </c>
    </row>
    <row r="727" ht="12.9" customHeight="1">
      <c r="R727" t="s" s="40">
        <v>824</v>
      </c>
      <c r="S727" s="47">
        <v>449.985</v>
      </c>
    </row>
    <row r="728" ht="12.9" customHeight="1">
      <c r="R728" t="s" s="40">
        <v>493</v>
      </c>
      <c r="S728" s="47">
        <v>0</v>
      </c>
    </row>
    <row r="729" ht="12.9" customHeight="1">
      <c r="R729" t="s" s="40">
        <v>59</v>
      </c>
      <c r="S729" s="47">
        <v>5199.965</v>
      </c>
    </row>
    <row r="730" ht="12.9" customHeight="1">
      <c r="R730" t="s" s="40">
        <v>73</v>
      </c>
      <c r="S730" s="47">
        <v>6499.8375</v>
      </c>
    </row>
    <row r="731" ht="12.9" customHeight="1">
      <c r="R731" t="s" s="40">
        <v>27</v>
      </c>
      <c r="S731" s="47">
        <v>1039.87</v>
      </c>
    </row>
    <row r="732" ht="12.9" customHeight="1">
      <c r="R732" t="s" s="40">
        <v>559</v>
      </c>
      <c r="S732" s="47">
        <v>0</v>
      </c>
    </row>
    <row r="733" ht="12.9" customHeight="1">
      <c r="R733" t="s" s="40">
        <v>15</v>
      </c>
      <c r="S733" s="47">
        <v>124.875</v>
      </c>
    </row>
    <row r="734" ht="12.9" customHeight="1">
      <c r="R734" t="s" s="40">
        <v>315</v>
      </c>
      <c r="S734" s="47">
        <v>0</v>
      </c>
    </row>
    <row r="735" ht="12.9" customHeight="1">
      <c r="R735" t="s" s="40">
        <v>207</v>
      </c>
      <c r="S735" s="47">
        <v>0</v>
      </c>
    </row>
    <row r="736" ht="12.9" customHeight="1">
      <c r="R736" t="s" s="40">
        <v>1428</v>
      </c>
      <c r="S736" s="47">
        <v>337.3395</v>
      </c>
    </row>
    <row r="737" ht="12.9" customHeight="1">
      <c r="R737" t="s" s="40">
        <v>1546</v>
      </c>
      <c r="S737" s="47">
        <v>350</v>
      </c>
    </row>
    <row r="738" ht="12.9" customHeight="1">
      <c r="R738" t="s" s="40">
        <v>1097</v>
      </c>
      <c r="S738" s="47">
        <v>0</v>
      </c>
    </row>
    <row r="739" ht="12.9" customHeight="1">
      <c r="R739" t="s" s="40">
        <v>766</v>
      </c>
      <c r="S739" s="47">
        <v>0</v>
      </c>
    </row>
    <row r="740" ht="12.9" customHeight="1">
      <c r="R740" t="s" s="40">
        <v>764</v>
      </c>
      <c r="S740" s="47">
        <v>0</v>
      </c>
    </row>
    <row r="741" ht="12.9" customHeight="1">
      <c r="R741" t="s" s="40">
        <v>1666</v>
      </c>
      <c r="S741" s="47">
        <v>-4000</v>
      </c>
    </row>
    <row r="742" ht="12.9" customHeight="1">
      <c r="R742" t="s" s="40">
        <v>1664</v>
      </c>
      <c r="S742" s="47">
        <v>308.23</v>
      </c>
    </row>
    <row r="743" ht="12.9" customHeight="1">
      <c r="R743" t="s" s="40">
        <v>1616</v>
      </c>
      <c r="S743" s="47">
        <v>1124.9625</v>
      </c>
    </row>
    <row r="744" ht="12.9" customHeight="1">
      <c r="R744" t="s" s="40">
        <v>402</v>
      </c>
      <c r="S744" s="47">
        <v>0</v>
      </c>
    </row>
    <row r="745" ht="12.9" customHeight="1">
      <c r="R745" t="s" s="40">
        <v>404</v>
      </c>
      <c r="S745" s="47">
        <v>0</v>
      </c>
    </row>
    <row r="746" ht="12.9" customHeight="1">
      <c r="R746" t="s" s="40">
        <v>445</v>
      </c>
      <c r="S746" s="47">
        <v>149.99</v>
      </c>
    </row>
    <row r="747" ht="12.9" customHeight="1">
      <c r="R747" t="s" s="40">
        <v>1550</v>
      </c>
      <c r="S747" s="47">
        <v>38999.99</v>
      </c>
    </row>
    <row r="748" ht="12.9" customHeight="1">
      <c r="R748" t="s" s="40">
        <v>1707</v>
      </c>
      <c r="S748" s="47">
        <v>0</v>
      </c>
    </row>
    <row r="749" ht="12.9" customHeight="1">
      <c r="R749" t="s" s="40">
        <v>409</v>
      </c>
      <c r="S749" s="47">
        <v>0</v>
      </c>
    </row>
    <row r="750" ht="12.9" customHeight="1">
      <c r="R750" t="s" s="40">
        <v>1575</v>
      </c>
      <c r="S750" s="47">
        <v>206.9976</v>
      </c>
    </row>
    <row r="751" ht="12.9" customHeight="1">
      <c r="R751" t="s" s="40">
        <v>254</v>
      </c>
      <c r="S751" s="47">
        <v>40</v>
      </c>
    </row>
    <row r="752" ht="12.9" customHeight="1">
      <c r="R752" t="s" s="40">
        <v>63</v>
      </c>
      <c r="S752" s="47">
        <v>1445.77</v>
      </c>
    </row>
    <row r="753" ht="12.9" customHeight="1">
      <c r="R753" t="s" s="40">
        <v>47</v>
      </c>
      <c r="S753" s="47">
        <v>2327.05</v>
      </c>
    </row>
    <row r="754" ht="12.9" customHeight="1">
      <c r="R754" t="s" s="40">
        <v>1602</v>
      </c>
      <c r="S754" s="47">
        <v>12.94</v>
      </c>
    </row>
    <row r="755" ht="12.9" customHeight="1">
      <c r="R755" t="s" s="40">
        <v>1671</v>
      </c>
      <c r="S755" s="47">
        <v>0</v>
      </c>
    </row>
    <row r="756" ht="12.9" customHeight="1">
      <c r="R756" t="s" s="40">
        <v>1589</v>
      </c>
      <c r="S756" s="47">
        <v>2.2826085</v>
      </c>
    </row>
    <row r="757" ht="12.9" customHeight="1">
      <c r="R757" t="s" s="40">
        <v>861</v>
      </c>
      <c r="S757" s="47">
        <v>342.96</v>
      </c>
    </row>
    <row r="758" ht="13.1" customHeight="1">
      <c r="R758" t="s" s="42">
        <v>762</v>
      </c>
      <c r="S758" s="49">
        <v>0</v>
      </c>
    </row>
    <row r="759" ht="13.1" customHeight="1">
      <c r="R759" t="s" s="44">
        <v>620</v>
      </c>
      <c r="S759" s="104">
        <v>187062.7349725</v>
      </c>
    </row>
  </sheetData>
  <mergeCells count="4">
    <mergeCell ref="A1:H1"/>
    <mergeCell ref="I429:O429"/>
    <mergeCell ref="P553:Q553"/>
    <mergeCell ref="R657:S65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492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6.3516" style="105" customWidth="1"/>
    <col min="2" max="2" width="24.7656" style="105" customWidth="1"/>
    <col min="3" max="3" width="16.3516" style="105" customWidth="1"/>
    <col min="4" max="4" width="30.7578" style="105" customWidth="1"/>
    <col min="5" max="5" width="58.1797" style="105" customWidth="1"/>
    <col min="6" max="8" width="16.3516" style="105" customWidth="1"/>
    <col min="9" max="9" width="31.6719" style="106" customWidth="1"/>
    <col min="10" max="15" width="13.3516" style="106" customWidth="1"/>
    <col min="16" max="16" width="49.3516" style="107" customWidth="1"/>
    <col min="17" max="17" width="13.3516" style="107" customWidth="1"/>
    <col min="18" max="18" width="49.3516" style="108" customWidth="1"/>
    <col min="19" max="19" width="13.3516" style="108" customWidth="1"/>
    <col min="20" max="16384" width="16.3516" style="108" customWidth="1"/>
  </cols>
  <sheetData>
    <row r="1" ht="15.55" customHeight="1">
      <c r="A1" t="s" s="2">
        <v>1810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1811</v>
      </c>
      <c r="B3" t="s" s="5">
        <v>1782</v>
      </c>
      <c r="C3" s="6">
        <v>45443.8377944213</v>
      </c>
      <c r="D3" t="s" s="7">
        <v>123</v>
      </c>
      <c r="E3" t="s" s="7">
        <v>124</v>
      </c>
      <c r="F3" s="8">
        <v>2</v>
      </c>
      <c r="G3" s="9">
        <v>179.99</v>
      </c>
      <c r="H3" s="9">
        <v>359.98</v>
      </c>
    </row>
    <row r="4" ht="12.9" customHeight="1">
      <c r="A4" t="s" s="10">
        <v>1811</v>
      </c>
      <c r="B4" t="s" s="11">
        <v>1782</v>
      </c>
      <c r="C4" s="12">
        <v>45443.8377944213</v>
      </c>
      <c r="D4" t="s" s="13">
        <v>133</v>
      </c>
      <c r="E4" t="s" s="13">
        <v>134</v>
      </c>
      <c r="F4" s="14">
        <v>2</v>
      </c>
      <c r="G4" s="15">
        <v>199.99</v>
      </c>
      <c r="H4" s="15">
        <v>399.98</v>
      </c>
    </row>
    <row r="5" ht="12.9" customHeight="1">
      <c r="A5" t="s" s="10">
        <v>1812</v>
      </c>
      <c r="B5" t="s" s="11">
        <v>1813</v>
      </c>
      <c r="C5" s="12">
        <v>45443.758265613425</v>
      </c>
      <c r="D5" t="s" s="13">
        <v>171</v>
      </c>
      <c r="E5" t="s" s="13">
        <v>172</v>
      </c>
      <c r="F5" s="14">
        <v>1</v>
      </c>
      <c r="G5" s="15">
        <v>549.99</v>
      </c>
      <c r="H5" s="15">
        <v>549.99</v>
      </c>
    </row>
    <row r="6" ht="12.9" customHeight="1">
      <c r="A6" t="s" s="10">
        <v>1814</v>
      </c>
      <c r="B6" t="s" s="11">
        <v>1813</v>
      </c>
      <c r="C6" s="12">
        <v>45443.735903344910</v>
      </c>
      <c r="D6" t="s" s="13">
        <v>602</v>
      </c>
      <c r="E6" t="s" s="13">
        <v>686</v>
      </c>
      <c r="F6" s="14">
        <v>1</v>
      </c>
      <c r="G6" s="15">
        <v>299.99</v>
      </c>
      <c r="H6" s="15">
        <v>299.99</v>
      </c>
    </row>
    <row r="7" ht="12.9" customHeight="1">
      <c r="A7" t="s" s="10">
        <v>1815</v>
      </c>
      <c r="B7" t="s" s="11">
        <v>1816</v>
      </c>
      <c r="C7" s="12">
        <v>45443.6721293287</v>
      </c>
      <c r="D7" t="s" s="13">
        <v>35</v>
      </c>
      <c r="E7" t="s" s="13">
        <v>36</v>
      </c>
      <c r="F7" s="14">
        <v>1</v>
      </c>
      <c r="G7" s="15">
        <v>49.99</v>
      </c>
      <c r="H7" s="15">
        <v>49.99</v>
      </c>
    </row>
    <row r="8" ht="12.9" customHeight="1">
      <c r="A8" t="s" s="10">
        <v>1817</v>
      </c>
      <c r="B8" t="s" s="11">
        <v>896</v>
      </c>
      <c r="C8" s="12">
        <v>45443</v>
      </c>
      <c r="D8" t="s" s="13">
        <v>143</v>
      </c>
      <c r="E8" t="s" s="13">
        <v>144</v>
      </c>
      <c r="F8" s="14">
        <v>2</v>
      </c>
      <c r="G8" s="15">
        <v>2399.9925</v>
      </c>
      <c r="H8" s="15">
        <v>4799.985</v>
      </c>
    </row>
    <row r="9" ht="12.9" customHeight="1">
      <c r="A9" t="s" s="10">
        <v>1817</v>
      </c>
      <c r="B9" t="s" s="11">
        <v>896</v>
      </c>
      <c r="C9" s="12">
        <v>45443</v>
      </c>
      <c r="D9" t="s" s="13">
        <v>48</v>
      </c>
      <c r="E9" t="s" s="13">
        <v>1818</v>
      </c>
      <c r="F9" s="14">
        <v>1</v>
      </c>
      <c r="G9" s="15">
        <v>974.9924999999999</v>
      </c>
      <c r="H9" s="15">
        <v>974.9924999999999</v>
      </c>
    </row>
    <row r="10" ht="12.9" customHeight="1">
      <c r="A10" t="s" s="10">
        <v>1817</v>
      </c>
      <c r="B10" t="s" s="11">
        <v>896</v>
      </c>
      <c r="C10" s="12">
        <v>45443</v>
      </c>
      <c r="D10" t="s" s="13">
        <v>50</v>
      </c>
      <c r="E10" t="s" s="13">
        <v>51</v>
      </c>
      <c r="F10" s="14">
        <v>1</v>
      </c>
      <c r="G10" s="15">
        <v>0</v>
      </c>
      <c r="H10" s="15">
        <v>0</v>
      </c>
    </row>
    <row r="11" ht="12.9" customHeight="1">
      <c r="A11" t="s" s="10">
        <v>1817</v>
      </c>
      <c r="B11" t="s" s="11">
        <v>896</v>
      </c>
      <c r="C11" s="12">
        <v>45443</v>
      </c>
      <c r="D11" t="s" s="13">
        <v>52</v>
      </c>
      <c r="E11" t="s" s="13">
        <v>321</v>
      </c>
      <c r="F11" s="14">
        <v>1</v>
      </c>
      <c r="G11" s="15">
        <v>0</v>
      </c>
      <c r="H11" s="15">
        <v>0</v>
      </c>
    </row>
    <row r="12" ht="12.9" customHeight="1">
      <c r="A12" t="s" s="10">
        <v>1819</v>
      </c>
      <c r="B12" t="s" s="11">
        <v>1820</v>
      </c>
      <c r="C12" s="12">
        <v>45443</v>
      </c>
      <c r="D12" t="s" s="13">
        <v>63</v>
      </c>
      <c r="E12" s="16"/>
      <c r="F12" s="14">
        <v>1</v>
      </c>
      <c r="G12" s="15">
        <v>101.5</v>
      </c>
      <c r="H12" s="15">
        <v>101.5</v>
      </c>
    </row>
    <row r="13" ht="12.9" customHeight="1">
      <c r="A13" t="s" s="10">
        <v>1819</v>
      </c>
      <c r="B13" t="s" s="11">
        <v>1820</v>
      </c>
      <c r="C13" s="12">
        <v>45443</v>
      </c>
      <c r="D13" t="s" s="13">
        <v>11</v>
      </c>
      <c r="E13" t="s" s="13">
        <v>12</v>
      </c>
      <c r="F13" s="14">
        <v>2</v>
      </c>
      <c r="G13" s="15">
        <v>399.99</v>
      </c>
      <c r="H13" s="15">
        <v>799.98</v>
      </c>
    </row>
    <row r="14" ht="12.9" customHeight="1">
      <c r="A14" t="s" s="10">
        <v>1821</v>
      </c>
      <c r="B14" t="s" s="11">
        <v>1822</v>
      </c>
      <c r="C14" s="12">
        <v>45442.758816307869</v>
      </c>
      <c r="D14" t="s" s="13">
        <v>73</v>
      </c>
      <c r="E14" t="s" s="13">
        <v>74</v>
      </c>
      <c r="F14" s="14">
        <v>1</v>
      </c>
      <c r="G14" s="15">
        <v>399.99</v>
      </c>
      <c r="H14" s="15">
        <v>399.99</v>
      </c>
    </row>
    <row r="15" ht="12.9" customHeight="1">
      <c r="A15" t="s" s="10">
        <v>1823</v>
      </c>
      <c r="B15" t="s" s="11">
        <v>1824</v>
      </c>
      <c r="C15" s="12">
        <v>45442.695758148147</v>
      </c>
      <c r="D15" t="s" s="13">
        <v>95</v>
      </c>
      <c r="E15" t="s" s="13">
        <v>12</v>
      </c>
      <c r="F15" s="14">
        <v>1</v>
      </c>
      <c r="G15" s="15">
        <v>349.99</v>
      </c>
      <c r="H15" s="15">
        <v>349.99</v>
      </c>
    </row>
    <row r="16" ht="25.9" customHeight="1">
      <c r="A16" t="s" s="10">
        <v>1825</v>
      </c>
      <c r="B16" t="s" s="11">
        <v>42</v>
      </c>
      <c r="C16" s="12">
        <v>45442</v>
      </c>
      <c r="D16" t="s" s="13">
        <v>1826</v>
      </c>
      <c r="E16" t="s" s="52">
        <v>1827</v>
      </c>
      <c r="F16" s="14">
        <v>1</v>
      </c>
      <c r="G16" s="15">
        <v>356.79</v>
      </c>
      <c r="H16" s="15">
        <v>356.79</v>
      </c>
    </row>
    <row r="17" ht="12.9" customHeight="1">
      <c r="A17" t="s" s="10">
        <v>1825</v>
      </c>
      <c r="B17" t="s" s="11">
        <v>42</v>
      </c>
      <c r="C17" s="12">
        <v>45442</v>
      </c>
      <c r="D17" t="s" s="13">
        <v>63</v>
      </c>
      <c r="E17" s="16"/>
      <c r="F17" s="14">
        <v>1</v>
      </c>
      <c r="G17" s="15">
        <v>18.4</v>
      </c>
      <c r="H17" s="15">
        <v>18.4</v>
      </c>
    </row>
    <row r="18" ht="12.9" customHeight="1">
      <c r="A18" t="s" s="10">
        <v>1828</v>
      </c>
      <c r="B18" t="s" s="11">
        <v>1829</v>
      </c>
      <c r="C18" s="12">
        <v>45442</v>
      </c>
      <c r="D18" t="s" s="13">
        <v>119</v>
      </c>
      <c r="E18" t="s" s="13">
        <v>120</v>
      </c>
      <c r="F18" s="14">
        <v>1</v>
      </c>
      <c r="G18" s="15">
        <v>0</v>
      </c>
      <c r="H18" s="15">
        <v>0</v>
      </c>
    </row>
    <row r="19" ht="12.9" customHeight="1">
      <c r="A19" t="s" s="10">
        <v>1830</v>
      </c>
      <c r="B19" t="s" s="11">
        <v>1831</v>
      </c>
      <c r="C19" s="12">
        <v>45441.863275300922</v>
      </c>
      <c r="D19" t="s" s="13">
        <v>15</v>
      </c>
      <c r="E19" t="s" s="13">
        <v>16</v>
      </c>
      <c r="F19" s="14">
        <v>1</v>
      </c>
      <c r="G19" s="15">
        <v>9.99</v>
      </c>
      <c r="H19" s="15">
        <v>9.99</v>
      </c>
    </row>
    <row r="20" ht="12.9" customHeight="1">
      <c r="A20" t="s" s="10">
        <v>1832</v>
      </c>
      <c r="B20" t="s" s="11">
        <v>1833</v>
      </c>
      <c r="C20" s="12">
        <v>45441.773559143519</v>
      </c>
      <c r="D20" t="s" s="13">
        <v>35</v>
      </c>
      <c r="E20" t="s" s="13">
        <v>36</v>
      </c>
      <c r="F20" s="14">
        <v>1</v>
      </c>
      <c r="G20" s="15">
        <v>49.99</v>
      </c>
      <c r="H20" s="15">
        <v>49.99</v>
      </c>
    </row>
    <row r="21" ht="12.9" customHeight="1">
      <c r="A21" t="s" s="10">
        <v>1834</v>
      </c>
      <c r="B21" t="s" s="11">
        <v>1835</v>
      </c>
      <c r="C21" s="12">
        <v>45441.492100972224</v>
      </c>
      <c r="D21" t="s" s="13">
        <v>27</v>
      </c>
      <c r="E21" t="s" s="13">
        <v>28</v>
      </c>
      <c r="F21" s="14">
        <v>2</v>
      </c>
      <c r="G21" s="15">
        <v>79.98999999999999</v>
      </c>
      <c r="H21" s="15">
        <v>159.98</v>
      </c>
    </row>
    <row r="22" ht="12.9" customHeight="1">
      <c r="A22" t="s" s="10">
        <v>1836</v>
      </c>
      <c r="B22" t="s" s="11">
        <v>1837</v>
      </c>
      <c r="C22" s="12">
        <v>45441.365868981484</v>
      </c>
      <c r="D22" t="s" s="13">
        <v>11</v>
      </c>
      <c r="E22" t="s" s="13">
        <v>12</v>
      </c>
      <c r="F22" s="14">
        <v>1</v>
      </c>
      <c r="G22" s="15">
        <v>399.99</v>
      </c>
      <c r="H22" s="15">
        <v>399.99</v>
      </c>
    </row>
    <row r="23" ht="12.9" customHeight="1">
      <c r="A23" t="s" s="10">
        <v>1836</v>
      </c>
      <c r="B23" t="s" s="11">
        <v>1837</v>
      </c>
      <c r="C23" s="12">
        <v>45441.365868981484</v>
      </c>
      <c r="D23" t="s" s="13">
        <v>89</v>
      </c>
      <c r="E23" t="s" s="13">
        <v>90</v>
      </c>
      <c r="F23" s="14">
        <v>1</v>
      </c>
      <c r="G23" s="15">
        <v>59.99</v>
      </c>
      <c r="H23" s="15">
        <v>59.99</v>
      </c>
    </row>
    <row r="24" ht="12.9" customHeight="1">
      <c r="A24" t="s" s="10">
        <v>1836</v>
      </c>
      <c r="B24" t="s" s="11">
        <v>1837</v>
      </c>
      <c r="C24" s="12">
        <v>45441.365868981484</v>
      </c>
      <c r="D24" t="s" s="13">
        <v>54</v>
      </c>
      <c r="E24" t="s" s="13">
        <v>93</v>
      </c>
      <c r="F24" s="14">
        <v>1</v>
      </c>
      <c r="G24" s="15">
        <v>9.99</v>
      </c>
      <c r="H24" s="15">
        <v>9.99</v>
      </c>
    </row>
    <row r="25" ht="12.9" customHeight="1">
      <c r="A25" t="s" s="10">
        <v>1838</v>
      </c>
      <c r="B25" t="s" s="11">
        <v>1839</v>
      </c>
      <c r="C25" s="12">
        <v>45441.164652291664</v>
      </c>
      <c r="D25" t="s" s="13">
        <v>171</v>
      </c>
      <c r="E25" t="s" s="13">
        <v>172</v>
      </c>
      <c r="F25" s="14">
        <v>2</v>
      </c>
      <c r="G25" s="15">
        <v>549.99</v>
      </c>
      <c r="H25" s="15">
        <v>1099.98</v>
      </c>
    </row>
    <row r="26" ht="12.9" customHeight="1">
      <c r="A26" t="s" s="10">
        <v>1840</v>
      </c>
      <c r="B26" t="s" s="11">
        <v>1841</v>
      </c>
      <c r="C26" s="12">
        <v>45441.000395462965</v>
      </c>
      <c r="D26" t="s" s="13">
        <v>35</v>
      </c>
      <c r="E26" t="s" s="13">
        <v>36</v>
      </c>
      <c r="F26" s="14">
        <v>2</v>
      </c>
      <c r="G26" s="15">
        <v>49.99</v>
      </c>
      <c r="H26" s="15">
        <v>99.98</v>
      </c>
    </row>
    <row r="27" ht="12.9" customHeight="1">
      <c r="A27" t="s" s="10">
        <v>1842</v>
      </c>
      <c r="B27" t="s" s="11">
        <v>1570</v>
      </c>
      <c r="C27" s="12">
        <v>45441</v>
      </c>
      <c r="D27" t="s" s="13">
        <v>589</v>
      </c>
      <c r="E27" t="s" s="13">
        <v>590</v>
      </c>
      <c r="F27" s="14">
        <v>2</v>
      </c>
      <c r="G27" s="15">
        <v>0</v>
      </c>
      <c r="H27" s="15">
        <v>0</v>
      </c>
    </row>
    <row r="28" ht="12.9" customHeight="1">
      <c r="A28" t="s" s="10">
        <v>1842</v>
      </c>
      <c r="B28" t="s" s="11">
        <v>1570</v>
      </c>
      <c r="C28" s="12">
        <v>45441</v>
      </c>
      <c r="D28" t="s" s="13">
        <v>1186</v>
      </c>
      <c r="E28" t="s" s="13">
        <v>1186</v>
      </c>
      <c r="F28" s="14">
        <v>6</v>
      </c>
      <c r="G28" s="15">
        <v>0</v>
      </c>
      <c r="H28" s="15">
        <v>0</v>
      </c>
    </row>
    <row r="29" ht="12.9" customHeight="1">
      <c r="A29" t="s" s="10">
        <v>1842</v>
      </c>
      <c r="B29" t="s" s="11">
        <v>1570</v>
      </c>
      <c r="C29" s="12">
        <v>45441</v>
      </c>
      <c r="D29" t="s" s="13">
        <v>1187</v>
      </c>
      <c r="E29" t="s" s="13">
        <v>1187</v>
      </c>
      <c r="F29" s="14">
        <v>6</v>
      </c>
      <c r="G29" s="15">
        <v>0</v>
      </c>
      <c r="H29" s="15">
        <v>0</v>
      </c>
    </row>
    <row r="30" ht="12.9" customHeight="1">
      <c r="A30" t="s" s="10">
        <v>1843</v>
      </c>
      <c r="B30" t="s" s="11">
        <v>1844</v>
      </c>
      <c r="C30" s="12">
        <v>45441</v>
      </c>
      <c r="D30" t="s" s="13">
        <v>1845</v>
      </c>
      <c r="E30" t="s" s="13">
        <v>1846</v>
      </c>
      <c r="F30" s="14">
        <v>1</v>
      </c>
      <c r="G30" s="15">
        <v>0</v>
      </c>
      <c r="H30" s="15">
        <v>0</v>
      </c>
    </row>
    <row r="31" ht="12.9" customHeight="1">
      <c r="A31" t="s" s="10">
        <v>1847</v>
      </c>
      <c r="B31" t="s" s="11">
        <v>42</v>
      </c>
      <c r="C31" s="12">
        <v>45441</v>
      </c>
      <c r="D31" t="s" s="13">
        <v>315</v>
      </c>
      <c r="E31" t="s" s="13">
        <v>316</v>
      </c>
      <c r="F31" s="14">
        <v>150</v>
      </c>
      <c r="G31" s="15">
        <v>0.375</v>
      </c>
      <c r="H31" s="15">
        <v>56.25</v>
      </c>
    </row>
    <row r="32" ht="12.9" customHeight="1">
      <c r="A32" t="s" s="10">
        <v>1847</v>
      </c>
      <c r="B32" t="s" s="11">
        <v>42</v>
      </c>
      <c r="C32" s="12">
        <v>45441</v>
      </c>
      <c r="D32" t="s" s="13">
        <v>317</v>
      </c>
      <c r="E32" t="s" s="13">
        <v>318</v>
      </c>
      <c r="F32" s="14">
        <v>14</v>
      </c>
      <c r="G32" s="15">
        <v>37.4925</v>
      </c>
      <c r="H32" s="15">
        <v>524.895</v>
      </c>
    </row>
    <row r="33" ht="12.9" customHeight="1">
      <c r="A33" t="s" s="10">
        <v>1848</v>
      </c>
      <c r="B33" t="s" s="11">
        <v>1849</v>
      </c>
      <c r="C33" s="12">
        <v>45440.983759930554</v>
      </c>
      <c r="D33" t="s" s="13">
        <v>19</v>
      </c>
      <c r="E33" t="s" s="13">
        <v>20</v>
      </c>
      <c r="F33" s="14">
        <v>4</v>
      </c>
      <c r="G33" s="15">
        <v>119.99</v>
      </c>
      <c r="H33" s="15">
        <v>479.96</v>
      </c>
    </row>
    <row r="34" ht="12.9" customHeight="1">
      <c r="A34" t="s" s="10">
        <v>1850</v>
      </c>
      <c r="B34" t="s" s="11">
        <v>1851</v>
      </c>
      <c r="C34" s="12">
        <v>45440.925121504632</v>
      </c>
      <c r="D34" t="s" s="13">
        <v>95</v>
      </c>
      <c r="E34" t="s" s="13">
        <v>12</v>
      </c>
      <c r="F34" s="14">
        <v>1</v>
      </c>
      <c r="G34" s="15">
        <v>349.99</v>
      </c>
      <c r="H34" s="15">
        <v>349.99</v>
      </c>
    </row>
    <row r="35" ht="12.9" customHeight="1">
      <c r="A35" t="s" s="10">
        <v>1852</v>
      </c>
      <c r="B35" t="s" s="11">
        <v>1853</v>
      </c>
      <c r="C35" s="12">
        <v>45440.9055000463</v>
      </c>
      <c r="D35" t="s" s="13">
        <v>35</v>
      </c>
      <c r="E35" t="s" s="13">
        <v>36</v>
      </c>
      <c r="F35" s="14">
        <v>1</v>
      </c>
      <c r="G35" s="15">
        <v>49.99</v>
      </c>
      <c r="H35" s="15">
        <v>49.99</v>
      </c>
    </row>
    <row r="36" ht="12.9" customHeight="1">
      <c r="A36" t="s" s="10">
        <v>1854</v>
      </c>
      <c r="B36" t="s" s="11">
        <v>1166</v>
      </c>
      <c r="C36" s="12">
        <v>45440.634405856479</v>
      </c>
      <c r="D36" t="s" s="13">
        <v>73</v>
      </c>
      <c r="E36" t="s" s="13">
        <v>74</v>
      </c>
      <c r="F36" s="14">
        <v>1</v>
      </c>
      <c r="G36" s="15">
        <v>399.99</v>
      </c>
      <c r="H36" s="15">
        <v>399.99</v>
      </c>
    </row>
    <row r="37" ht="12.9" customHeight="1">
      <c r="A37" t="s" s="10">
        <v>1855</v>
      </c>
      <c r="B37" t="s" s="11">
        <v>391</v>
      </c>
      <c r="C37" s="12">
        <v>45440</v>
      </c>
      <c r="D37" t="s" s="13">
        <v>63</v>
      </c>
      <c r="E37" s="16"/>
      <c r="F37" s="14">
        <v>1</v>
      </c>
      <c r="G37" s="15">
        <v>22.15</v>
      </c>
      <c r="H37" s="15">
        <v>22.15</v>
      </c>
    </row>
    <row r="38" ht="12.9" customHeight="1">
      <c r="A38" t="s" s="10">
        <v>1855</v>
      </c>
      <c r="B38" t="s" s="11">
        <v>391</v>
      </c>
      <c r="C38" s="12">
        <v>45440</v>
      </c>
      <c r="D38" t="s" s="13">
        <v>115</v>
      </c>
      <c r="E38" t="s" s="13">
        <v>1856</v>
      </c>
      <c r="F38" s="14">
        <v>50</v>
      </c>
      <c r="G38" s="15">
        <v>14</v>
      </c>
      <c r="H38" s="15">
        <v>700</v>
      </c>
    </row>
    <row r="39" ht="12.9" customHeight="1">
      <c r="A39" t="s" s="10">
        <v>1857</v>
      </c>
      <c r="B39" t="s" s="11">
        <v>1858</v>
      </c>
      <c r="C39" s="12">
        <v>45439.139829872685</v>
      </c>
      <c r="D39" t="s" s="13">
        <v>27</v>
      </c>
      <c r="E39" t="s" s="13">
        <v>28</v>
      </c>
      <c r="F39" s="14">
        <v>1</v>
      </c>
      <c r="G39" s="15">
        <v>79.98999999999999</v>
      </c>
      <c r="H39" s="15">
        <v>79.98999999999999</v>
      </c>
    </row>
    <row r="40" ht="12.9" customHeight="1">
      <c r="A40" t="s" s="10">
        <v>1859</v>
      </c>
      <c r="B40" t="s" s="11">
        <v>1860</v>
      </c>
      <c r="C40" s="12">
        <v>45437.760340405090</v>
      </c>
      <c r="D40" t="s" s="13">
        <v>73</v>
      </c>
      <c r="E40" t="s" s="13">
        <v>74</v>
      </c>
      <c r="F40" s="14">
        <v>1</v>
      </c>
      <c r="G40" s="15">
        <v>399.99</v>
      </c>
      <c r="H40" s="15">
        <v>399.99</v>
      </c>
    </row>
    <row r="41" ht="12.9" customHeight="1">
      <c r="A41" t="s" s="10">
        <v>1861</v>
      </c>
      <c r="B41" t="s" s="11">
        <v>1862</v>
      </c>
      <c r="C41" s="12">
        <v>45437.717251481481</v>
      </c>
      <c r="D41" t="s" s="13">
        <v>27</v>
      </c>
      <c r="E41" t="s" s="13">
        <v>28</v>
      </c>
      <c r="F41" s="14">
        <v>1</v>
      </c>
      <c r="G41" s="15">
        <v>79.98999999999999</v>
      </c>
      <c r="H41" s="15">
        <v>79.98999999999999</v>
      </c>
    </row>
    <row r="42" ht="12.9" customHeight="1">
      <c r="A42" t="s" s="10">
        <v>1863</v>
      </c>
      <c r="B42" t="s" s="11">
        <v>1614</v>
      </c>
      <c r="C42" s="12">
        <v>45437.113704409720</v>
      </c>
      <c r="D42" t="s" s="13">
        <v>19</v>
      </c>
      <c r="E42" t="s" s="13">
        <v>20</v>
      </c>
      <c r="F42" s="14">
        <v>2</v>
      </c>
      <c r="G42" s="15">
        <v>119.99</v>
      </c>
      <c r="H42" s="15">
        <v>239.98</v>
      </c>
    </row>
    <row r="43" ht="12.9" customHeight="1">
      <c r="A43" t="s" s="10">
        <v>1863</v>
      </c>
      <c r="B43" t="s" s="11">
        <v>1614</v>
      </c>
      <c r="C43" s="12">
        <v>45437.113704409720</v>
      </c>
      <c r="D43" t="s" s="13">
        <v>146</v>
      </c>
      <c r="E43" t="s" s="13">
        <v>147</v>
      </c>
      <c r="F43" s="14">
        <v>2</v>
      </c>
      <c r="G43" s="15">
        <v>19.99</v>
      </c>
      <c r="H43" s="15">
        <v>39.98</v>
      </c>
    </row>
    <row r="44" ht="12.9" customHeight="1">
      <c r="A44" t="s" s="10">
        <v>1864</v>
      </c>
      <c r="B44" t="s" s="11">
        <v>1865</v>
      </c>
      <c r="C44" s="12">
        <v>45436.870839479168</v>
      </c>
      <c r="D44" t="s" s="13">
        <v>1695</v>
      </c>
      <c r="E44" t="s" s="13">
        <v>140</v>
      </c>
      <c r="F44" s="14">
        <v>2</v>
      </c>
      <c r="G44" s="15">
        <v>49.99</v>
      </c>
      <c r="H44" s="15">
        <v>99.98</v>
      </c>
    </row>
    <row r="45" ht="12.9" customHeight="1">
      <c r="A45" t="s" s="10">
        <v>1864</v>
      </c>
      <c r="B45" t="s" s="11">
        <v>1865</v>
      </c>
      <c r="C45" s="12">
        <v>45436.870839479168</v>
      </c>
      <c r="D45" t="s" s="13">
        <v>15</v>
      </c>
      <c r="E45" t="s" s="13">
        <v>16</v>
      </c>
      <c r="F45" s="14">
        <v>2</v>
      </c>
      <c r="G45" s="15">
        <v>0</v>
      </c>
      <c r="H45" s="15">
        <v>0</v>
      </c>
    </row>
    <row r="46" ht="12.9" customHeight="1">
      <c r="A46" t="s" s="10">
        <v>1866</v>
      </c>
      <c r="B46" t="s" s="11">
        <v>1867</v>
      </c>
      <c r="C46" s="12">
        <v>45436.836902337964</v>
      </c>
      <c r="D46" t="s" s="13">
        <v>19</v>
      </c>
      <c r="E46" t="s" s="13">
        <v>20</v>
      </c>
      <c r="F46" s="14">
        <v>10</v>
      </c>
      <c r="G46" s="15">
        <v>119.99</v>
      </c>
      <c r="H46" s="15">
        <v>1199.9</v>
      </c>
    </row>
    <row r="47" ht="12.9" customHeight="1">
      <c r="A47" t="s" s="10">
        <v>1866</v>
      </c>
      <c r="B47" t="s" s="11">
        <v>1867</v>
      </c>
      <c r="C47" s="12">
        <v>45436.836902337964</v>
      </c>
      <c r="D47" t="s" s="13">
        <v>15</v>
      </c>
      <c r="E47" t="s" s="13">
        <v>16</v>
      </c>
      <c r="F47" s="14">
        <v>1</v>
      </c>
      <c r="G47" s="15">
        <v>9.99</v>
      </c>
      <c r="H47" s="15">
        <v>9.99</v>
      </c>
    </row>
    <row r="48" ht="12.9" customHeight="1">
      <c r="A48" t="s" s="10">
        <v>1868</v>
      </c>
      <c r="B48" t="s" s="11">
        <v>1002</v>
      </c>
      <c r="C48" s="12">
        <v>45436.745762326391</v>
      </c>
      <c r="D48" t="s" s="13">
        <v>48</v>
      </c>
      <c r="E48" t="s" s="13">
        <v>49</v>
      </c>
      <c r="F48" s="14">
        <v>8</v>
      </c>
      <c r="G48" s="15">
        <v>1299.99</v>
      </c>
      <c r="H48" s="15">
        <v>10399.92</v>
      </c>
    </row>
    <row r="49" ht="12.9" customHeight="1">
      <c r="A49" t="s" s="10">
        <v>1868</v>
      </c>
      <c r="B49" t="s" s="11">
        <v>1002</v>
      </c>
      <c r="C49" s="12">
        <v>45436.745762326391</v>
      </c>
      <c r="D49" t="s" s="13">
        <v>50</v>
      </c>
      <c r="E49" t="s" s="13">
        <v>83</v>
      </c>
      <c r="F49" s="14">
        <v>8</v>
      </c>
      <c r="G49" s="15">
        <v>0</v>
      </c>
      <c r="H49" s="15">
        <v>0</v>
      </c>
    </row>
    <row r="50" ht="12.9" customHeight="1">
      <c r="A50" t="s" s="10">
        <v>1868</v>
      </c>
      <c r="B50" t="s" s="11">
        <v>1002</v>
      </c>
      <c r="C50" s="12">
        <v>45436.745762326391</v>
      </c>
      <c r="D50" t="s" s="13">
        <v>52</v>
      </c>
      <c r="E50" t="s" s="13">
        <v>321</v>
      </c>
      <c r="F50" s="14">
        <v>8</v>
      </c>
      <c r="G50" s="15">
        <v>0</v>
      </c>
      <c r="H50" s="15">
        <v>0</v>
      </c>
    </row>
    <row r="51" ht="12.9" customHeight="1">
      <c r="A51" t="s" s="10">
        <v>1868</v>
      </c>
      <c r="B51" t="s" s="11">
        <v>1002</v>
      </c>
      <c r="C51" s="12">
        <v>45436.745762326391</v>
      </c>
      <c r="D51" t="s" s="13">
        <v>84</v>
      </c>
      <c r="E51" t="s" s="13">
        <v>85</v>
      </c>
      <c r="F51" s="14">
        <v>8</v>
      </c>
      <c r="G51" s="15">
        <v>0</v>
      </c>
      <c r="H51" s="15">
        <v>0</v>
      </c>
    </row>
    <row r="52" ht="12.9" customHeight="1">
      <c r="A52" t="s" s="10">
        <v>1868</v>
      </c>
      <c r="B52" t="s" s="11">
        <v>1002</v>
      </c>
      <c r="C52" s="12">
        <v>45436.745762326391</v>
      </c>
      <c r="D52" t="s" s="13">
        <v>23</v>
      </c>
      <c r="E52" t="s" s="13">
        <v>24</v>
      </c>
      <c r="F52" s="14">
        <v>8</v>
      </c>
      <c r="G52" s="15">
        <v>0</v>
      </c>
      <c r="H52" s="15">
        <v>0</v>
      </c>
    </row>
    <row r="53" ht="12.9" customHeight="1">
      <c r="A53" t="s" s="10">
        <v>1869</v>
      </c>
      <c r="B53" t="s" s="11">
        <v>1870</v>
      </c>
      <c r="C53" s="12">
        <v>45436.628541122685</v>
      </c>
      <c r="D53" t="s" s="13">
        <v>179</v>
      </c>
      <c r="E53" t="s" s="13">
        <v>180</v>
      </c>
      <c r="F53" s="14">
        <v>2</v>
      </c>
      <c r="G53" s="15">
        <v>49.99</v>
      </c>
      <c r="H53" s="15">
        <v>99.98</v>
      </c>
    </row>
    <row r="54" ht="12.9" customHeight="1">
      <c r="A54" t="s" s="10">
        <v>1869</v>
      </c>
      <c r="B54" t="s" s="11">
        <v>1870</v>
      </c>
      <c r="C54" s="12">
        <v>45436.628541122685</v>
      </c>
      <c r="D54" t="s" s="13">
        <v>19</v>
      </c>
      <c r="E54" t="s" s="13">
        <v>20</v>
      </c>
      <c r="F54" s="14">
        <v>2</v>
      </c>
      <c r="G54" s="15">
        <v>119.99</v>
      </c>
      <c r="H54" s="15">
        <v>239.98</v>
      </c>
    </row>
    <row r="55" ht="12.9" customHeight="1">
      <c r="A55" t="s" s="10">
        <v>1869</v>
      </c>
      <c r="B55" t="s" s="11">
        <v>1870</v>
      </c>
      <c r="C55" s="12">
        <v>45436.628541122685</v>
      </c>
      <c r="D55" t="s" s="13">
        <v>73</v>
      </c>
      <c r="E55" t="s" s="13">
        <v>74</v>
      </c>
      <c r="F55" s="14">
        <v>1</v>
      </c>
      <c r="G55" s="15">
        <v>399.99</v>
      </c>
      <c r="H55" s="15">
        <v>399.99</v>
      </c>
    </row>
    <row r="56" ht="12.9" customHeight="1">
      <c r="A56" t="s" s="10">
        <v>1869</v>
      </c>
      <c r="B56" t="s" s="11">
        <v>1870</v>
      </c>
      <c r="C56" s="12">
        <v>45436.628541122685</v>
      </c>
      <c r="D56" t="s" s="13">
        <v>15</v>
      </c>
      <c r="E56" t="s" s="13">
        <v>16</v>
      </c>
      <c r="F56" s="14">
        <v>1</v>
      </c>
      <c r="G56" s="15">
        <v>9.99</v>
      </c>
      <c r="H56" s="15">
        <v>9.99</v>
      </c>
    </row>
    <row r="57" ht="12.9" customHeight="1">
      <c r="A57" t="s" s="10">
        <v>1871</v>
      </c>
      <c r="B57" t="s" s="11">
        <v>1872</v>
      </c>
      <c r="C57" s="12">
        <v>45436.60336625</v>
      </c>
      <c r="D57" t="s" s="13">
        <v>50</v>
      </c>
      <c r="E57" t="s" s="13">
        <v>83</v>
      </c>
      <c r="F57" s="14">
        <v>6</v>
      </c>
      <c r="G57" s="15">
        <v>29.99</v>
      </c>
      <c r="H57" s="15">
        <v>179.94</v>
      </c>
    </row>
    <row r="58" ht="12.9" customHeight="1">
      <c r="A58" t="s" s="10">
        <v>1873</v>
      </c>
      <c r="B58" t="s" s="11">
        <v>1874</v>
      </c>
      <c r="C58" s="12">
        <v>45436</v>
      </c>
      <c r="D58" t="s" s="13">
        <v>1875</v>
      </c>
      <c r="E58" t="s" s="13">
        <v>1876</v>
      </c>
      <c r="F58" s="14">
        <v>64</v>
      </c>
      <c r="G58" s="15">
        <v>75</v>
      </c>
      <c r="H58" s="15">
        <v>4800</v>
      </c>
    </row>
    <row r="59" ht="12.9" customHeight="1">
      <c r="A59" t="s" s="10">
        <v>1877</v>
      </c>
      <c r="B59" t="s" s="11">
        <v>391</v>
      </c>
      <c r="C59" s="12">
        <v>45436</v>
      </c>
      <c r="D59" t="s" s="13">
        <v>63</v>
      </c>
      <c r="E59" s="16"/>
      <c r="F59" s="14">
        <v>1</v>
      </c>
      <c r="G59" s="15">
        <v>28.5</v>
      </c>
      <c r="H59" s="15">
        <v>28.5</v>
      </c>
    </row>
    <row r="60" ht="12.9" customHeight="1">
      <c r="A60" t="s" s="10">
        <v>1877</v>
      </c>
      <c r="B60" t="s" s="11">
        <v>391</v>
      </c>
      <c r="C60" s="12">
        <v>45436</v>
      </c>
      <c r="D60" t="s" s="13">
        <v>585</v>
      </c>
      <c r="E60" t="s" s="13">
        <v>586</v>
      </c>
      <c r="F60" s="14">
        <v>2</v>
      </c>
      <c r="G60" s="15">
        <v>374.9925</v>
      </c>
      <c r="H60" s="15">
        <v>749.985</v>
      </c>
    </row>
    <row r="61" ht="12.9" customHeight="1">
      <c r="A61" t="s" s="10">
        <v>1877</v>
      </c>
      <c r="B61" t="s" s="11">
        <v>391</v>
      </c>
      <c r="C61" s="12">
        <v>45436</v>
      </c>
      <c r="D61" t="s" s="13">
        <v>587</v>
      </c>
      <c r="E61" t="s" s="13">
        <v>1878</v>
      </c>
      <c r="F61" s="14">
        <v>2</v>
      </c>
      <c r="G61" s="15">
        <v>0</v>
      </c>
      <c r="H61" s="15">
        <v>0</v>
      </c>
    </row>
    <row r="62" ht="12.9" customHeight="1">
      <c r="A62" t="s" s="10">
        <v>1879</v>
      </c>
      <c r="B62" t="s" s="11">
        <v>122</v>
      </c>
      <c r="C62" s="12">
        <v>45436</v>
      </c>
      <c r="D62" t="s" s="13">
        <v>59</v>
      </c>
      <c r="E62" t="s" s="13">
        <v>60</v>
      </c>
      <c r="F62" s="14">
        <v>1</v>
      </c>
      <c r="G62" s="15">
        <v>899.9924999999999</v>
      </c>
      <c r="H62" s="15">
        <v>899.9924999999999</v>
      </c>
    </row>
    <row r="63" ht="12.9" customHeight="1">
      <c r="A63" t="s" s="10">
        <v>1880</v>
      </c>
      <c r="B63" t="s" s="11">
        <v>1881</v>
      </c>
      <c r="C63" s="12">
        <v>45436</v>
      </c>
      <c r="D63" t="s" s="13">
        <v>402</v>
      </c>
      <c r="E63" t="s" s="13">
        <v>403</v>
      </c>
      <c r="F63" s="14">
        <v>4</v>
      </c>
      <c r="G63" s="15">
        <v>0</v>
      </c>
      <c r="H63" s="15">
        <v>0</v>
      </c>
    </row>
    <row r="64" ht="12.9" customHeight="1">
      <c r="A64" t="s" s="10">
        <v>1882</v>
      </c>
      <c r="B64" t="s" s="11">
        <v>42</v>
      </c>
      <c r="C64" s="12">
        <v>45436</v>
      </c>
      <c r="D64" t="s" s="13">
        <v>254</v>
      </c>
      <c r="E64" t="s" s="13">
        <v>1883</v>
      </c>
      <c r="F64" s="14">
        <v>1</v>
      </c>
      <c r="G64" s="15">
        <v>0</v>
      </c>
      <c r="H64" s="15">
        <v>0</v>
      </c>
    </row>
    <row r="65" ht="12.9" customHeight="1">
      <c r="A65" t="s" s="10">
        <v>1884</v>
      </c>
      <c r="B65" t="s" s="11">
        <v>563</v>
      </c>
      <c r="C65" s="12">
        <v>45436</v>
      </c>
      <c r="D65" t="s" s="13">
        <v>1428</v>
      </c>
      <c r="E65" t="s" s="13">
        <v>1429</v>
      </c>
      <c r="F65" s="14">
        <v>1</v>
      </c>
      <c r="G65" s="15">
        <v>1.5519</v>
      </c>
      <c r="H65" s="15">
        <v>1.5519</v>
      </c>
    </row>
    <row r="66" ht="12.9" customHeight="1">
      <c r="A66" t="s" s="10">
        <v>1884</v>
      </c>
      <c r="B66" t="s" s="11">
        <v>563</v>
      </c>
      <c r="C66" s="12">
        <v>45436</v>
      </c>
      <c r="D66" t="s" s="13">
        <v>63</v>
      </c>
      <c r="E66" s="16"/>
      <c r="F66" s="14">
        <v>1</v>
      </c>
      <c r="G66" s="15">
        <v>13.5</v>
      </c>
      <c r="H66" s="15">
        <v>13.5</v>
      </c>
    </row>
    <row r="67" ht="12.9" customHeight="1">
      <c r="A67" t="s" s="10">
        <v>1884</v>
      </c>
      <c r="B67" t="s" s="11">
        <v>563</v>
      </c>
      <c r="C67" s="12">
        <v>45436</v>
      </c>
      <c r="D67" t="s" s="13">
        <v>115</v>
      </c>
      <c r="E67" t="s" s="13">
        <v>1856</v>
      </c>
      <c r="F67" s="14">
        <v>3</v>
      </c>
      <c r="G67" s="15">
        <v>17.2425</v>
      </c>
      <c r="H67" s="15">
        <v>51.7275</v>
      </c>
    </row>
    <row r="68" ht="12.9" customHeight="1">
      <c r="A68" t="s" s="10">
        <v>1885</v>
      </c>
      <c r="B68" t="s" s="11">
        <v>473</v>
      </c>
      <c r="C68" s="12">
        <v>45436</v>
      </c>
      <c r="D68" t="s" s="13">
        <v>254</v>
      </c>
      <c r="E68" t="s" s="13">
        <v>1886</v>
      </c>
      <c r="F68" s="14">
        <v>1</v>
      </c>
      <c r="G68" s="15">
        <v>0</v>
      </c>
      <c r="H68" s="15">
        <v>0</v>
      </c>
    </row>
    <row r="69" ht="12.9" customHeight="1">
      <c r="A69" t="s" s="10">
        <v>1887</v>
      </c>
      <c r="B69" t="s" s="11">
        <v>210</v>
      </c>
      <c r="C69" s="12">
        <v>45435</v>
      </c>
      <c r="D69" t="s" s="13">
        <v>254</v>
      </c>
      <c r="E69" t="s" s="13">
        <v>1888</v>
      </c>
      <c r="F69" s="14">
        <v>1</v>
      </c>
      <c r="G69" s="15">
        <v>125</v>
      </c>
      <c r="H69" s="15">
        <v>125</v>
      </c>
    </row>
    <row r="70" ht="12.9" customHeight="1">
      <c r="A70" t="s" s="10">
        <v>1887</v>
      </c>
      <c r="B70" t="s" s="11">
        <v>210</v>
      </c>
      <c r="C70" s="12">
        <v>45435</v>
      </c>
      <c r="D70" t="s" s="13">
        <v>1889</v>
      </c>
      <c r="E70" t="s" s="13">
        <v>1890</v>
      </c>
      <c r="F70" s="14">
        <v>1</v>
      </c>
      <c r="G70" s="15">
        <v>0</v>
      </c>
      <c r="H70" s="15">
        <v>0</v>
      </c>
    </row>
    <row r="71" ht="12.9" customHeight="1">
      <c r="A71" t="s" s="10">
        <v>1887</v>
      </c>
      <c r="B71" t="s" s="11">
        <v>210</v>
      </c>
      <c r="C71" s="12">
        <v>45435</v>
      </c>
      <c r="D71" t="s" s="13">
        <v>1729</v>
      </c>
      <c r="E71" t="s" s="13">
        <v>1730</v>
      </c>
      <c r="F71" s="14">
        <v>2</v>
      </c>
      <c r="G71" s="15">
        <v>0</v>
      </c>
      <c r="H71" s="15">
        <v>0</v>
      </c>
    </row>
    <row r="72" ht="12.9" customHeight="1">
      <c r="A72" t="s" s="10">
        <v>1887</v>
      </c>
      <c r="B72" t="s" s="11">
        <v>210</v>
      </c>
      <c r="C72" s="12">
        <v>45435</v>
      </c>
      <c r="D72" t="s" s="13">
        <v>1891</v>
      </c>
      <c r="E72" t="s" s="13">
        <v>1891</v>
      </c>
      <c r="F72" s="14">
        <v>2</v>
      </c>
      <c r="G72" s="15">
        <v>0</v>
      </c>
      <c r="H72" s="15">
        <v>0</v>
      </c>
    </row>
    <row r="73" ht="12.9" customHeight="1">
      <c r="A73" t="s" s="10">
        <v>1887</v>
      </c>
      <c r="B73" t="s" s="11">
        <v>210</v>
      </c>
      <c r="C73" s="12">
        <v>45435</v>
      </c>
      <c r="D73" t="s" s="13">
        <v>1892</v>
      </c>
      <c r="E73" t="s" s="13">
        <v>1892</v>
      </c>
      <c r="F73" s="14">
        <v>2</v>
      </c>
      <c r="G73" s="15">
        <v>0</v>
      </c>
      <c r="H73" s="15">
        <v>0</v>
      </c>
    </row>
    <row r="74" ht="25.9" customHeight="1">
      <c r="A74" t="s" s="10">
        <v>1893</v>
      </c>
      <c r="B74" t="s" s="11">
        <v>831</v>
      </c>
      <c r="C74" s="12">
        <v>45435</v>
      </c>
      <c r="D74" t="s" s="13">
        <v>254</v>
      </c>
      <c r="E74" t="s" s="52">
        <v>1894</v>
      </c>
      <c r="F74" s="14">
        <v>1</v>
      </c>
      <c r="G74" s="15">
        <v>0</v>
      </c>
      <c r="H74" s="15">
        <v>0</v>
      </c>
    </row>
    <row r="75" ht="12.9" customHeight="1">
      <c r="A75" t="s" s="10">
        <v>1895</v>
      </c>
      <c r="B75" t="s" s="11">
        <v>1759</v>
      </c>
      <c r="C75" s="12">
        <v>45435</v>
      </c>
      <c r="D75" t="s" s="13">
        <v>47</v>
      </c>
      <c r="E75" s="16"/>
      <c r="F75" s="14">
        <v>1</v>
      </c>
      <c r="G75" s="15">
        <v>40.15</v>
      </c>
      <c r="H75" s="15">
        <v>40.15</v>
      </c>
    </row>
    <row r="76" ht="12.9" customHeight="1">
      <c r="A76" t="s" s="10">
        <v>1895</v>
      </c>
      <c r="B76" t="s" s="11">
        <v>1759</v>
      </c>
      <c r="C76" s="12">
        <v>45435</v>
      </c>
      <c r="D76" t="s" s="13">
        <v>1896</v>
      </c>
      <c r="E76" t="s" s="13">
        <v>1897</v>
      </c>
      <c r="F76" s="14">
        <v>7</v>
      </c>
      <c r="G76" s="15">
        <v>56.2425</v>
      </c>
      <c r="H76" s="15">
        <v>393.6975</v>
      </c>
    </row>
    <row r="77" ht="12.9" customHeight="1">
      <c r="A77" t="s" s="10">
        <v>1895</v>
      </c>
      <c r="B77" t="s" s="11">
        <v>1759</v>
      </c>
      <c r="C77" s="12">
        <v>45435</v>
      </c>
      <c r="D77" t="s" s="13">
        <v>979</v>
      </c>
      <c r="E77" t="s" s="13">
        <v>980</v>
      </c>
      <c r="F77" s="14">
        <v>1</v>
      </c>
      <c r="G77" s="15">
        <v>74.99250000000001</v>
      </c>
      <c r="H77" s="15">
        <v>74.99250000000001</v>
      </c>
    </row>
    <row r="78" ht="12.9" customHeight="1">
      <c r="A78" t="s" s="10">
        <v>1898</v>
      </c>
      <c r="B78" t="s" s="11">
        <v>1899</v>
      </c>
      <c r="C78" s="12">
        <v>45435</v>
      </c>
      <c r="D78" t="s" s="13">
        <v>207</v>
      </c>
      <c r="E78" t="s" s="13">
        <v>208</v>
      </c>
      <c r="F78" s="14">
        <v>2</v>
      </c>
      <c r="G78" s="15">
        <v>0</v>
      </c>
      <c r="H78" s="15">
        <v>0</v>
      </c>
    </row>
    <row r="79" ht="12.9" customHeight="1">
      <c r="A79" t="s" s="10">
        <v>1900</v>
      </c>
      <c r="B79" t="s" s="11">
        <v>1209</v>
      </c>
      <c r="C79" s="12">
        <v>45434.703316608793</v>
      </c>
      <c r="D79" t="s" s="13">
        <v>95</v>
      </c>
      <c r="E79" t="s" s="13">
        <v>12</v>
      </c>
      <c r="F79" s="14">
        <v>1</v>
      </c>
      <c r="G79" s="15">
        <v>349.99</v>
      </c>
      <c r="H79" s="15">
        <v>349.99</v>
      </c>
    </row>
    <row r="80" ht="12.9" customHeight="1">
      <c r="A80" t="s" s="10">
        <v>1901</v>
      </c>
      <c r="B80" t="s" s="11">
        <v>1902</v>
      </c>
      <c r="C80" s="12">
        <v>45434.611268564811</v>
      </c>
      <c r="D80" t="s" s="13">
        <v>11</v>
      </c>
      <c r="E80" t="s" s="13">
        <v>12</v>
      </c>
      <c r="F80" s="14">
        <v>1</v>
      </c>
      <c r="G80" s="15">
        <v>399.99</v>
      </c>
      <c r="H80" s="15">
        <v>399.99</v>
      </c>
    </row>
    <row r="81" ht="12.9" customHeight="1">
      <c r="A81" t="s" s="10">
        <v>1901</v>
      </c>
      <c r="B81" t="s" s="11">
        <v>1902</v>
      </c>
      <c r="C81" s="12">
        <v>45434.611268564811</v>
      </c>
      <c r="D81" t="s" s="13">
        <v>119</v>
      </c>
      <c r="E81" t="s" s="13">
        <v>120</v>
      </c>
      <c r="F81" s="14">
        <v>1</v>
      </c>
      <c r="G81" s="15">
        <v>1.99</v>
      </c>
      <c r="H81" s="15">
        <v>1.99</v>
      </c>
    </row>
    <row r="82" ht="12.9" customHeight="1">
      <c r="A82" t="s" s="10">
        <v>1903</v>
      </c>
      <c r="B82" t="s" s="11">
        <v>1904</v>
      </c>
      <c r="C82" s="12">
        <v>45434.455714004631</v>
      </c>
      <c r="D82" t="s" s="13">
        <v>15</v>
      </c>
      <c r="E82" t="s" s="13">
        <v>16</v>
      </c>
      <c r="F82" s="14">
        <v>2</v>
      </c>
      <c r="G82" s="15">
        <v>9.99</v>
      </c>
      <c r="H82" s="15">
        <v>19.98</v>
      </c>
    </row>
    <row r="83" ht="12.9" customHeight="1">
      <c r="A83" t="s" s="10">
        <v>1903</v>
      </c>
      <c r="B83" t="s" s="11">
        <v>1904</v>
      </c>
      <c r="C83" s="12">
        <v>45434.455714004631</v>
      </c>
      <c r="D83" t="s" s="13">
        <v>27</v>
      </c>
      <c r="E83" t="s" s="13">
        <v>28</v>
      </c>
      <c r="F83" s="14">
        <v>2</v>
      </c>
      <c r="G83" s="15">
        <v>79.98999999999999</v>
      </c>
      <c r="H83" s="15">
        <v>159.98</v>
      </c>
    </row>
    <row r="84" ht="12.9" customHeight="1">
      <c r="A84" t="s" s="10">
        <v>1905</v>
      </c>
      <c r="B84" t="s" s="11">
        <v>1759</v>
      </c>
      <c r="C84" s="12">
        <v>45434</v>
      </c>
      <c r="D84" t="s" s="13">
        <v>1906</v>
      </c>
      <c r="E84" s="16"/>
      <c r="F84" s="14">
        <v>1</v>
      </c>
      <c r="G84" s="15">
        <v>-719.9299999999999</v>
      </c>
      <c r="H84" s="15">
        <v>-719.9299999999999</v>
      </c>
    </row>
    <row r="85" ht="12.9" customHeight="1">
      <c r="A85" t="s" s="10">
        <v>1905</v>
      </c>
      <c r="B85" t="s" s="11">
        <v>1759</v>
      </c>
      <c r="C85" s="12">
        <v>45434</v>
      </c>
      <c r="D85" t="s" s="13">
        <v>47</v>
      </c>
      <c r="E85" s="16"/>
      <c r="F85" s="14">
        <v>1</v>
      </c>
      <c r="G85" s="15">
        <v>45.4</v>
      </c>
      <c r="H85" s="15">
        <v>45.4</v>
      </c>
    </row>
    <row r="86" ht="12.9" customHeight="1">
      <c r="A86" t="s" s="10">
        <v>1905</v>
      </c>
      <c r="B86" t="s" s="11">
        <v>1759</v>
      </c>
      <c r="C86" s="12">
        <v>45434</v>
      </c>
      <c r="D86" t="s" s="13">
        <v>133</v>
      </c>
      <c r="E86" t="s" s="13">
        <v>134</v>
      </c>
      <c r="F86" s="14">
        <v>2</v>
      </c>
      <c r="G86" s="15">
        <v>149.9925</v>
      </c>
      <c r="H86" s="15">
        <v>299.985</v>
      </c>
    </row>
    <row r="87" ht="12.9" customHeight="1">
      <c r="A87" t="s" s="10">
        <v>1905</v>
      </c>
      <c r="B87" t="s" s="11">
        <v>1759</v>
      </c>
      <c r="C87" s="12">
        <v>45434</v>
      </c>
      <c r="D87" t="s" s="13">
        <v>19</v>
      </c>
      <c r="E87" t="s" s="13">
        <v>20</v>
      </c>
      <c r="F87" s="14">
        <v>12</v>
      </c>
      <c r="G87" s="15">
        <v>89.99250000000001</v>
      </c>
      <c r="H87" s="15">
        <v>1079.91</v>
      </c>
    </row>
    <row r="88" ht="12.9" customHeight="1">
      <c r="A88" t="s" s="10">
        <v>1905</v>
      </c>
      <c r="B88" t="s" s="11">
        <v>1759</v>
      </c>
      <c r="C88" s="12">
        <v>45434</v>
      </c>
      <c r="D88" t="s" s="13">
        <v>54</v>
      </c>
      <c r="E88" t="s" s="13">
        <v>1907</v>
      </c>
      <c r="F88" s="14">
        <v>10</v>
      </c>
      <c r="G88" s="15">
        <v>2.4975</v>
      </c>
      <c r="H88" s="15">
        <v>24.975</v>
      </c>
    </row>
    <row r="89" ht="12.9" customHeight="1">
      <c r="A89" t="s" s="10">
        <v>1905</v>
      </c>
      <c r="B89" t="s" s="11">
        <v>1759</v>
      </c>
      <c r="C89" s="12">
        <v>45434</v>
      </c>
      <c r="D89" t="s" s="13">
        <v>559</v>
      </c>
      <c r="E89" t="s" s="13">
        <v>1908</v>
      </c>
      <c r="F89" s="14">
        <v>30</v>
      </c>
      <c r="G89" s="15">
        <v>0</v>
      </c>
      <c r="H89" s="15">
        <v>0</v>
      </c>
    </row>
    <row r="90" ht="12.9" customHeight="1">
      <c r="A90" t="s" s="10">
        <v>1909</v>
      </c>
      <c r="B90" t="s" s="11">
        <v>941</v>
      </c>
      <c r="C90" s="12">
        <v>45434</v>
      </c>
      <c r="D90" t="s" s="13">
        <v>63</v>
      </c>
      <c r="E90" s="16"/>
      <c r="F90" s="14">
        <v>1</v>
      </c>
      <c r="G90" s="15">
        <v>70.65000000000001</v>
      </c>
      <c r="H90" s="15">
        <v>70.65000000000001</v>
      </c>
    </row>
    <row r="91" ht="12.9" customHeight="1">
      <c r="A91" t="s" s="10">
        <v>1909</v>
      </c>
      <c r="B91" t="s" s="11">
        <v>941</v>
      </c>
      <c r="C91" s="12">
        <v>45434</v>
      </c>
      <c r="D91" t="s" s="13">
        <v>722</v>
      </c>
      <c r="E91" t="s" s="13">
        <v>82</v>
      </c>
      <c r="F91" s="14">
        <v>4</v>
      </c>
      <c r="G91" s="15">
        <v>652.4924999999999</v>
      </c>
      <c r="H91" s="15">
        <v>2609.97</v>
      </c>
    </row>
    <row r="92" ht="12.9" customHeight="1">
      <c r="A92" t="s" s="10">
        <v>1909</v>
      </c>
      <c r="B92" t="s" s="11">
        <v>941</v>
      </c>
      <c r="C92" s="12">
        <v>45434</v>
      </c>
      <c r="D92" t="s" s="13">
        <v>50</v>
      </c>
      <c r="E92" t="s" s="13">
        <v>51</v>
      </c>
      <c r="F92" s="14">
        <v>4</v>
      </c>
      <c r="G92" s="15">
        <v>0</v>
      </c>
      <c r="H92" s="15">
        <v>0</v>
      </c>
    </row>
    <row r="93" ht="12.9" customHeight="1">
      <c r="A93" t="s" s="10">
        <v>1909</v>
      </c>
      <c r="B93" t="s" s="11">
        <v>941</v>
      </c>
      <c r="C93" s="12">
        <v>45434</v>
      </c>
      <c r="D93" t="s" s="13">
        <v>1257</v>
      </c>
      <c r="E93" t="s" s="13">
        <v>1910</v>
      </c>
      <c r="F93" s="14">
        <v>4</v>
      </c>
      <c r="G93" s="15">
        <v>150</v>
      </c>
      <c r="H93" s="15">
        <v>600</v>
      </c>
    </row>
    <row r="94" ht="12.9" customHeight="1">
      <c r="A94" t="s" s="10">
        <v>1909</v>
      </c>
      <c r="B94" t="s" s="11">
        <v>941</v>
      </c>
      <c r="C94" s="12">
        <v>45434</v>
      </c>
      <c r="D94" t="s" s="13">
        <v>54</v>
      </c>
      <c r="E94" t="s" s="13">
        <v>55</v>
      </c>
      <c r="F94" s="14">
        <v>4</v>
      </c>
      <c r="G94" s="15">
        <v>0</v>
      </c>
      <c r="H94" s="15">
        <v>0</v>
      </c>
    </row>
    <row r="95" ht="12.9" customHeight="1">
      <c r="A95" t="s" s="10">
        <v>1909</v>
      </c>
      <c r="B95" t="s" s="11">
        <v>941</v>
      </c>
      <c r="C95" s="12">
        <v>45434</v>
      </c>
      <c r="D95" t="s" s="13">
        <v>48</v>
      </c>
      <c r="E95" t="s" s="13">
        <v>49</v>
      </c>
      <c r="F95" s="14">
        <v>2</v>
      </c>
      <c r="G95" s="15">
        <v>974.9924999999999</v>
      </c>
      <c r="H95" s="15">
        <v>1949.985</v>
      </c>
    </row>
    <row r="96" ht="12.9" customHeight="1">
      <c r="A96" t="s" s="10">
        <v>1909</v>
      </c>
      <c r="B96" t="s" s="11">
        <v>941</v>
      </c>
      <c r="C96" s="12">
        <v>45434</v>
      </c>
      <c r="D96" t="s" s="13">
        <v>50</v>
      </c>
      <c r="E96" t="s" s="13">
        <v>51</v>
      </c>
      <c r="F96" s="14">
        <v>2</v>
      </c>
      <c r="G96" s="15">
        <v>0</v>
      </c>
      <c r="H96" s="15">
        <v>0</v>
      </c>
    </row>
    <row r="97" ht="12.9" customHeight="1">
      <c r="A97" t="s" s="10">
        <v>1909</v>
      </c>
      <c r="B97" t="s" s="11">
        <v>941</v>
      </c>
      <c r="C97" s="12">
        <v>45434</v>
      </c>
      <c r="D97" t="s" s="13">
        <v>52</v>
      </c>
      <c r="E97" t="s" s="13">
        <v>53</v>
      </c>
      <c r="F97" s="14">
        <v>2</v>
      </c>
      <c r="G97" s="15">
        <v>0</v>
      </c>
      <c r="H97" s="15">
        <v>0</v>
      </c>
    </row>
    <row r="98" ht="12.9" customHeight="1">
      <c r="A98" t="s" s="10">
        <v>1909</v>
      </c>
      <c r="B98" t="s" s="11">
        <v>941</v>
      </c>
      <c r="C98" s="12">
        <v>45434</v>
      </c>
      <c r="D98" t="s" s="13">
        <v>470</v>
      </c>
      <c r="E98" t="s" s="13">
        <v>471</v>
      </c>
      <c r="F98" s="14">
        <v>2</v>
      </c>
      <c r="G98" s="15">
        <v>75</v>
      </c>
      <c r="H98" s="15">
        <v>150</v>
      </c>
    </row>
    <row r="99" ht="12.9" customHeight="1">
      <c r="A99" t="s" s="10">
        <v>1909</v>
      </c>
      <c r="B99" t="s" s="11">
        <v>941</v>
      </c>
      <c r="C99" s="12">
        <v>45434</v>
      </c>
      <c r="D99" t="s" s="13">
        <v>54</v>
      </c>
      <c r="E99" t="s" s="13">
        <v>55</v>
      </c>
      <c r="F99" s="14">
        <v>2</v>
      </c>
      <c r="G99" s="15">
        <v>0</v>
      </c>
      <c r="H99" s="15">
        <v>0</v>
      </c>
    </row>
    <row r="100" ht="12.9" customHeight="1">
      <c r="A100" t="s" s="10">
        <v>1909</v>
      </c>
      <c r="B100" t="s" s="11">
        <v>941</v>
      </c>
      <c r="C100" s="12">
        <v>45434</v>
      </c>
      <c r="D100" t="s" s="13">
        <v>73</v>
      </c>
      <c r="E100" t="s" s="13">
        <v>74</v>
      </c>
      <c r="F100" s="14">
        <v>1</v>
      </c>
      <c r="G100" s="15">
        <v>299.9925</v>
      </c>
      <c r="H100" s="15">
        <v>299.9925</v>
      </c>
    </row>
    <row r="101" ht="12.9" customHeight="1">
      <c r="A101" t="s" s="10">
        <v>1909</v>
      </c>
      <c r="B101" t="s" s="11">
        <v>941</v>
      </c>
      <c r="C101" s="12">
        <v>45434</v>
      </c>
      <c r="D101" t="s" s="13">
        <v>948</v>
      </c>
      <c r="E101" t="s" s="13">
        <v>1911</v>
      </c>
      <c r="F101" s="14">
        <v>2</v>
      </c>
      <c r="G101" s="15">
        <v>52.4925</v>
      </c>
      <c r="H101" s="15">
        <v>104.985</v>
      </c>
    </row>
    <row r="102" ht="12.9" customHeight="1">
      <c r="A102" t="s" s="10">
        <v>1912</v>
      </c>
      <c r="B102" t="s" s="11">
        <v>1913</v>
      </c>
      <c r="C102" s="12">
        <v>45434</v>
      </c>
      <c r="D102" t="s" s="13">
        <v>63</v>
      </c>
      <c r="E102" s="16"/>
      <c r="F102" s="14">
        <v>1</v>
      </c>
      <c r="G102" s="15">
        <v>14.9</v>
      </c>
      <c r="H102" s="15">
        <v>14.9</v>
      </c>
    </row>
    <row r="103" ht="12.9" customHeight="1">
      <c r="A103" t="s" s="10">
        <v>1912</v>
      </c>
      <c r="B103" t="s" s="11">
        <v>1913</v>
      </c>
      <c r="C103" s="12">
        <v>45434</v>
      </c>
      <c r="D103" t="s" s="13">
        <v>1914</v>
      </c>
      <c r="E103" t="s" s="13">
        <v>1915</v>
      </c>
      <c r="F103" s="14">
        <v>10</v>
      </c>
      <c r="G103" s="15">
        <v>26.25</v>
      </c>
      <c r="H103" s="15">
        <v>262.5</v>
      </c>
    </row>
    <row r="104" ht="12.9" customHeight="1">
      <c r="A104" t="s" s="10">
        <v>1916</v>
      </c>
      <c r="B104" t="s" s="11">
        <v>896</v>
      </c>
      <c r="C104" s="12">
        <v>45434</v>
      </c>
      <c r="D104" t="s" s="13">
        <v>1917</v>
      </c>
      <c r="E104" t="s" s="13">
        <v>1917</v>
      </c>
      <c r="F104" s="14">
        <v>1</v>
      </c>
      <c r="G104" s="15">
        <v>0</v>
      </c>
      <c r="H104" s="15">
        <v>0</v>
      </c>
    </row>
    <row r="105" ht="12.9" customHeight="1">
      <c r="A105" t="s" s="10">
        <v>1918</v>
      </c>
      <c r="B105" t="s" s="11">
        <v>1919</v>
      </c>
      <c r="C105" s="12">
        <v>45433.924610277776</v>
      </c>
      <c r="D105" t="s" s="13">
        <v>11</v>
      </c>
      <c r="E105" t="s" s="13">
        <v>12</v>
      </c>
      <c r="F105" s="14">
        <v>1</v>
      </c>
      <c r="G105" s="15">
        <v>399.99</v>
      </c>
      <c r="H105" s="15">
        <v>399.99</v>
      </c>
    </row>
    <row r="106" ht="12.9" customHeight="1">
      <c r="A106" t="s" s="10">
        <v>1920</v>
      </c>
      <c r="B106" t="s" s="11">
        <v>1921</v>
      </c>
      <c r="C106" s="12">
        <v>45433.903044895837</v>
      </c>
      <c r="D106" t="s" s="13">
        <v>15</v>
      </c>
      <c r="E106" t="s" s="13">
        <v>16</v>
      </c>
      <c r="F106" s="14">
        <v>1</v>
      </c>
      <c r="G106" s="15">
        <v>9.99</v>
      </c>
      <c r="H106" s="15">
        <v>9.99</v>
      </c>
    </row>
    <row r="107" ht="12.9" customHeight="1">
      <c r="A107" t="s" s="10">
        <v>1922</v>
      </c>
      <c r="B107" t="s" s="11">
        <v>1923</v>
      </c>
      <c r="C107" s="12">
        <v>45433.839397592594</v>
      </c>
      <c r="D107" t="s" s="13">
        <v>73</v>
      </c>
      <c r="E107" t="s" s="13">
        <v>74</v>
      </c>
      <c r="F107" s="14">
        <v>1</v>
      </c>
      <c r="G107" s="15">
        <v>399.99</v>
      </c>
      <c r="H107" s="15">
        <v>399.99</v>
      </c>
    </row>
    <row r="108" ht="12.9" customHeight="1">
      <c r="A108" t="s" s="10">
        <v>1924</v>
      </c>
      <c r="B108" t="s" s="11">
        <v>1385</v>
      </c>
      <c r="C108" s="12">
        <v>45433.733310925927</v>
      </c>
      <c r="D108" t="s" s="13">
        <v>19</v>
      </c>
      <c r="E108" t="s" s="13">
        <v>20</v>
      </c>
      <c r="F108" s="14">
        <v>1</v>
      </c>
      <c r="G108" s="15">
        <v>119.99</v>
      </c>
      <c r="H108" s="15">
        <v>119.99</v>
      </c>
    </row>
    <row r="109" ht="12.9" customHeight="1">
      <c r="A109" t="s" s="10">
        <v>1925</v>
      </c>
      <c r="B109" t="s" s="11">
        <v>1926</v>
      </c>
      <c r="C109" s="12">
        <v>45433.721361539348</v>
      </c>
      <c r="D109" t="s" s="13">
        <v>35</v>
      </c>
      <c r="E109" t="s" s="13">
        <v>36</v>
      </c>
      <c r="F109" s="14">
        <v>2</v>
      </c>
      <c r="G109" s="15">
        <v>49.99</v>
      </c>
      <c r="H109" s="15">
        <v>99.98</v>
      </c>
    </row>
    <row r="110" ht="12.9" customHeight="1">
      <c r="A110" t="s" s="10">
        <v>1927</v>
      </c>
      <c r="B110" t="s" s="11">
        <v>579</v>
      </c>
      <c r="C110" s="12">
        <v>45433.719866678242</v>
      </c>
      <c r="D110" t="s" s="13">
        <v>171</v>
      </c>
      <c r="E110" t="s" s="13">
        <v>172</v>
      </c>
      <c r="F110" s="14">
        <v>1</v>
      </c>
      <c r="G110" s="15">
        <v>549.99</v>
      </c>
      <c r="H110" s="15">
        <v>549.99</v>
      </c>
    </row>
    <row r="111" ht="12.9" customHeight="1">
      <c r="A111" t="s" s="10">
        <v>1928</v>
      </c>
      <c r="B111" t="s" s="11">
        <v>1929</v>
      </c>
      <c r="C111" s="12">
        <v>45433.658238715281</v>
      </c>
      <c r="D111" t="s" s="13">
        <v>81</v>
      </c>
      <c r="E111" t="s" s="13">
        <v>82</v>
      </c>
      <c r="F111" s="14">
        <v>2</v>
      </c>
      <c r="G111" s="15">
        <v>849.99</v>
      </c>
      <c r="H111" s="15">
        <v>1699.98</v>
      </c>
    </row>
    <row r="112" ht="12.9" customHeight="1">
      <c r="A112" t="s" s="10">
        <v>1928</v>
      </c>
      <c r="B112" t="s" s="11">
        <v>1929</v>
      </c>
      <c r="C112" s="12">
        <v>45433.658238715281</v>
      </c>
      <c r="D112" t="s" s="13">
        <v>23</v>
      </c>
      <c r="E112" t="s" s="13">
        <v>24</v>
      </c>
      <c r="F112" s="14">
        <v>2</v>
      </c>
      <c r="G112" s="15">
        <v>0</v>
      </c>
      <c r="H112" s="15">
        <v>0</v>
      </c>
    </row>
    <row r="113" ht="12.9" customHeight="1">
      <c r="A113" t="s" s="10">
        <v>1928</v>
      </c>
      <c r="B113" t="s" s="11">
        <v>1929</v>
      </c>
      <c r="C113" s="12">
        <v>45433.658238715281</v>
      </c>
      <c r="D113" t="s" s="13">
        <v>50</v>
      </c>
      <c r="E113" t="s" s="13">
        <v>83</v>
      </c>
      <c r="F113" s="14">
        <v>2</v>
      </c>
      <c r="G113" s="15">
        <v>0</v>
      </c>
      <c r="H113" s="15">
        <v>0</v>
      </c>
    </row>
    <row r="114" ht="12.9" customHeight="1">
      <c r="A114" t="s" s="10">
        <v>1928</v>
      </c>
      <c r="B114" t="s" s="11">
        <v>1929</v>
      </c>
      <c r="C114" s="12">
        <v>45433.658238715281</v>
      </c>
      <c r="D114" t="s" s="13">
        <v>84</v>
      </c>
      <c r="E114" t="s" s="13">
        <v>85</v>
      </c>
      <c r="F114" s="14">
        <v>2</v>
      </c>
      <c r="G114" s="15">
        <v>0</v>
      </c>
      <c r="H114" s="15">
        <v>0</v>
      </c>
    </row>
    <row r="115" ht="12.9" customHeight="1">
      <c r="A115" t="s" s="10">
        <v>1930</v>
      </c>
      <c r="B115" t="s" s="11">
        <v>1931</v>
      </c>
      <c r="C115" s="12">
        <v>45433.635950486110</v>
      </c>
      <c r="D115" t="s" s="13">
        <v>171</v>
      </c>
      <c r="E115" t="s" s="13">
        <v>172</v>
      </c>
      <c r="F115" s="14">
        <v>2</v>
      </c>
      <c r="G115" s="15">
        <v>549.99</v>
      </c>
      <c r="H115" s="15">
        <v>1099.98</v>
      </c>
    </row>
    <row r="116" ht="12.9" customHeight="1">
      <c r="A116" t="s" s="10">
        <v>1930</v>
      </c>
      <c r="B116" t="s" s="11">
        <v>1931</v>
      </c>
      <c r="C116" s="12">
        <v>45433.635950486110</v>
      </c>
      <c r="D116" t="s" s="13">
        <v>35</v>
      </c>
      <c r="E116" t="s" s="13">
        <v>36</v>
      </c>
      <c r="F116" s="14">
        <v>4</v>
      </c>
      <c r="G116" s="15">
        <v>49.99</v>
      </c>
      <c r="H116" s="15">
        <v>199.96</v>
      </c>
    </row>
    <row r="117" ht="12.9" customHeight="1">
      <c r="A117" t="s" s="10">
        <v>1930</v>
      </c>
      <c r="B117" t="s" s="11">
        <v>1931</v>
      </c>
      <c r="C117" s="12">
        <v>45433.635950486110</v>
      </c>
      <c r="D117" t="s" s="13">
        <v>1695</v>
      </c>
      <c r="E117" t="s" s="13">
        <v>140</v>
      </c>
      <c r="F117" s="14">
        <v>1</v>
      </c>
      <c r="G117" s="15">
        <v>49.99</v>
      </c>
      <c r="H117" s="15">
        <v>49.99</v>
      </c>
    </row>
    <row r="118" ht="12.9" customHeight="1">
      <c r="A118" t="s" s="10">
        <v>1930</v>
      </c>
      <c r="B118" t="s" s="11">
        <v>1931</v>
      </c>
      <c r="C118" s="12">
        <v>45433.635950486110</v>
      </c>
      <c r="D118" t="s" s="13">
        <v>15</v>
      </c>
      <c r="E118" t="s" s="13">
        <v>16</v>
      </c>
      <c r="F118" s="14">
        <v>1</v>
      </c>
      <c r="G118" s="15">
        <v>0</v>
      </c>
      <c r="H118" s="15">
        <v>0</v>
      </c>
    </row>
    <row r="119" ht="12.9" customHeight="1">
      <c r="A119" t="s" s="10">
        <v>1932</v>
      </c>
      <c r="B119" t="s" s="11">
        <v>1933</v>
      </c>
      <c r="C119" s="12">
        <v>45433.530151354164</v>
      </c>
      <c r="D119" t="s" s="13">
        <v>35</v>
      </c>
      <c r="E119" t="s" s="13">
        <v>36</v>
      </c>
      <c r="F119" s="14">
        <v>1</v>
      </c>
      <c r="G119" s="15">
        <v>49.99</v>
      </c>
      <c r="H119" s="15">
        <v>49.99</v>
      </c>
    </row>
    <row r="120" ht="12.9" customHeight="1">
      <c r="A120" t="s" s="10">
        <v>1932</v>
      </c>
      <c r="B120" t="s" s="11">
        <v>1933</v>
      </c>
      <c r="C120" s="12">
        <v>45433.530151354164</v>
      </c>
      <c r="D120" t="s" s="13">
        <v>54</v>
      </c>
      <c r="E120" t="s" s="13">
        <v>93</v>
      </c>
      <c r="F120" s="14">
        <v>1</v>
      </c>
      <c r="G120" s="15">
        <v>9.99</v>
      </c>
      <c r="H120" s="15">
        <v>9.99</v>
      </c>
    </row>
    <row r="121" ht="12.9" customHeight="1">
      <c r="A121" t="s" s="10">
        <v>1934</v>
      </c>
      <c r="B121" t="s" s="11">
        <v>555</v>
      </c>
      <c r="C121" s="12">
        <v>45433</v>
      </c>
      <c r="D121" t="s" s="13">
        <v>63</v>
      </c>
      <c r="E121" s="16"/>
      <c r="F121" s="14">
        <v>1</v>
      </c>
      <c r="G121" s="15">
        <v>71.2</v>
      </c>
      <c r="H121" s="15">
        <v>71.2</v>
      </c>
    </row>
    <row r="122" ht="12.9" customHeight="1">
      <c r="A122" t="s" s="10">
        <v>1934</v>
      </c>
      <c r="B122" t="s" s="11">
        <v>555</v>
      </c>
      <c r="C122" s="12">
        <v>45433</v>
      </c>
      <c r="D122" t="s" s="13">
        <v>59</v>
      </c>
      <c r="E122" t="s" s="13">
        <v>60</v>
      </c>
      <c r="F122" s="14">
        <v>1</v>
      </c>
      <c r="G122" s="15">
        <v>899.9924999999999</v>
      </c>
      <c r="H122" s="15">
        <v>899.9924999999999</v>
      </c>
    </row>
    <row r="123" ht="12.9" customHeight="1">
      <c r="A123" t="s" s="10">
        <v>1934</v>
      </c>
      <c r="B123" t="s" s="11">
        <v>555</v>
      </c>
      <c r="C123" s="12">
        <v>45433</v>
      </c>
      <c r="D123" t="s" s="13">
        <v>369</v>
      </c>
      <c r="E123" t="s" s="13">
        <v>1935</v>
      </c>
      <c r="F123" s="14">
        <v>1</v>
      </c>
      <c r="G123" s="15">
        <v>9.7425</v>
      </c>
      <c r="H123" s="15">
        <v>9.7425</v>
      </c>
    </row>
    <row r="124" ht="12.9" customHeight="1">
      <c r="A124" t="s" s="10">
        <v>1934</v>
      </c>
      <c r="B124" t="s" s="11">
        <v>555</v>
      </c>
      <c r="C124" s="12">
        <v>45433</v>
      </c>
      <c r="D124" t="s" s="13">
        <v>73</v>
      </c>
      <c r="E124" t="s" s="13">
        <v>74</v>
      </c>
      <c r="F124" s="14">
        <v>2</v>
      </c>
      <c r="G124" s="15">
        <v>299.9925</v>
      </c>
      <c r="H124" s="15">
        <v>599.985</v>
      </c>
    </row>
    <row r="125" ht="12.9" customHeight="1">
      <c r="A125" t="s" s="10">
        <v>1936</v>
      </c>
      <c r="B125" t="s" s="11">
        <v>1937</v>
      </c>
      <c r="C125" s="12">
        <v>45433</v>
      </c>
      <c r="D125" t="s" s="13">
        <v>47</v>
      </c>
      <c r="E125" s="16"/>
      <c r="F125" s="14">
        <v>1</v>
      </c>
      <c r="G125" s="15">
        <v>48.18</v>
      </c>
      <c r="H125" s="15">
        <v>48.18</v>
      </c>
    </row>
    <row r="126" ht="12.9" customHeight="1">
      <c r="A126" t="s" s="10">
        <v>1936</v>
      </c>
      <c r="B126" t="s" s="11">
        <v>1937</v>
      </c>
      <c r="C126" s="12">
        <v>45433</v>
      </c>
      <c r="D126" t="s" s="13">
        <v>109</v>
      </c>
      <c r="E126" t="s" s="13">
        <v>109</v>
      </c>
      <c r="F126" s="14">
        <v>2</v>
      </c>
      <c r="G126" s="15">
        <v>119.99</v>
      </c>
      <c r="H126" s="15">
        <v>239.98</v>
      </c>
    </row>
    <row r="127" ht="12.9" customHeight="1">
      <c r="A127" t="s" s="10">
        <v>1936</v>
      </c>
      <c r="B127" t="s" s="11">
        <v>1937</v>
      </c>
      <c r="C127" s="12">
        <v>45433</v>
      </c>
      <c r="D127" t="s" s="13">
        <v>207</v>
      </c>
      <c r="E127" t="s" s="13">
        <v>208</v>
      </c>
      <c r="F127" s="14">
        <v>2</v>
      </c>
      <c r="G127" s="15">
        <v>0</v>
      </c>
      <c r="H127" s="15">
        <v>0</v>
      </c>
    </row>
    <row r="128" ht="12.9" customHeight="1">
      <c r="A128" t="s" s="10">
        <v>1938</v>
      </c>
      <c r="B128" t="s" s="11">
        <v>827</v>
      </c>
      <c r="C128" s="12">
        <v>45433</v>
      </c>
      <c r="D128" t="s" s="13">
        <v>63</v>
      </c>
      <c r="E128" s="16"/>
      <c r="F128" s="14">
        <v>1</v>
      </c>
      <c r="G128" s="15">
        <v>46.8</v>
      </c>
      <c r="H128" s="15">
        <v>46.8</v>
      </c>
    </row>
    <row r="129" ht="12.9" customHeight="1">
      <c r="A129" t="s" s="10">
        <v>1938</v>
      </c>
      <c r="B129" t="s" s="11">
        <v>827</v>
      </c>
      <c r="C129" s="12">
        <v>45433</v>
      </c>
      <c r="D129" t="s" s="13">
        <v>409</v>
      </c>
      <c r="E129" t="s" s="13">
        <v>409</v>
      </c>
      <c r="F129" s="14">
        <v>4</v>
      </c>
      <c r="G129" s="15">
        <v>90</v>
      </c>
      <c r="H129" s="15">
        <v>360</v>
      </c>
    </row>
    <row r="130" ht="12.9" customHeight="1">
      <c r="A130" t="s" s="10">
        <v>1939</v>
      </c>
      <c r="B130" t="s" s="11">
        <v>911</v>
      </c>
      <c r="C130" s="12">
        <v>45433</v>
      </c>
      <c r="D130" t="s" s="13">
        <v>15</v>
      </c>
      <c r="E130" t="s" s="13">
        <v>16</v>
      </c>
      <c r="F130" s="14">
        <v>32</v>
      </c>
      <c r="G130" s="15">
        <v>7.99</v>
      </c>
      <c r="H130" s="15">
        <v>255.68</v>
      </c>
    </row>
    <row r="131" ht="12.9" customHeight="1">
      <c r="A131" t="s" s="10">
        <v>1940</v>
      </c>
      <c r="B131" t="s" s="11">
        <v>964</v>
      </c>
      <c r="C131" s="12">
        <v>45433</v>
      </c>
      <c r="D131" t="s" s="13">
        <v>50</v>
      </c>
      <c r="E131" t="s" s="13">
        <v>83</v>
      </c>
      <c r="F131" s="14">
        <v>31</v>
      </c>
      <c r="G131" s="15">
        <v>26.991</v>
      </c>
      <c r="H131" s="15">
        <v>836.721</v>
      </c>
    </row>
    <row r="132" ht="12.9" customHeight="1">
      <c r="A132" t="s" s="10">
        <v>1941</v>
      </c>
      <c r="B132" t="s" s="11">
        <v>1209</v>
      </c>
      <c r="C132" s="12">
        <v>45432.897590289351</v>
      </c>
      <c r="D132" t="s" s="13">
        <v>95</v>
      </c>
      <c r="E132" t="s" s="13">
        <v>12</v>
      </c>
      <c r="F132" s="14">
        <v>1</v>
      </c>
      <c r="G132" s="15">
        <v>349.99</v>
      </c>
      <c r="H132" s="15">
        <v>349.99</v>
      </c>
    </row>
    <row r="133" ht="12.9" customHeight="1">
      <c r="A133" t="s" s="10">
        <v>1942</v>
      </c>
      <c r="B133" t="s" s="11">
        <v>1385</v>
      </c>
      <c r="C133" s="12">
        <v>45432.855310775463</v>
      </c>
      <c r="D133" t="s" s="13">
        <v>171</v>
      </c>
      <c r="E133" t="s" s="13">
        <v>172</v>
      </c>
      <c r="F133" s="14">
        <v>1</v>
      </c>
      <c r="G133" s="15">
        <v>549.99</v>
      </c>
      <c r="H133" s="15">
        <v>549.99</v>
      </c>
    </row>
    <row r="134" ht="12.9" customHeight="1">
      <c r="A134" t="s" s="10">
        <v>1943</v>
      </c>
      <c r="B134" t="s" s="11">
        <v>1944</v>
      </c>
      <c r="C134" s="12">
        <v>45432.812067465275</v>
      </c>
      <c r="D134" t="s" s="13">
        <v>341</v>
      </c>
      <c r="E134" t="s" s="13">
        <v>342</v>
      </c>
      <c r="F134" s="14">
        <v>4</v>
      </c>
      <c r="G134" s="15">
        <v>29.99</v>
      </c>
      <c r="H134" s="15">
        <v>119.96</v>
      </c>
    </row>
    <row r="135" ht="12.9" customHeight="1">
      <c r="A135" t="s" s="10">
        <v>1943</v>
      </c>
      <c r="B135" t="s" s="11">
        <v>1944</v>
      </c>
      <c r="C135" s="12">
        <v>45432.812067465275</v>
      </c>
      <c r="D135" t="s" s="13">
        <v>81</v>
      </c>
      <c r="E135" t="s" s="13">
        <v>82</v>
      </c>
      <c r="F135" s="14">
        <v>2</v>
      </c>
      <c r="G135" s="15">
        <v>849.99</v>
      </c>
      <c r="H135" s="15">
        <v>1699.98</v>
      </c>
    </row>
    <row r="136" ht="12.9" customHeight="1">
      <c r="A136" t="s" s="10">
        <v>1943</v>
      </c>
      <c r="B136" t="s" s="11">
        <v>1944</v>
      </c>
      <c r="C136" s="12">
        <v>45432.812067465275</v>
      </c>
      <c r="D136" t="s" s="13">
        <v>133</v>
      </c>
      <c r="E136" t="s" s="13">
        <v>134</v>
      </c>
      <c r="F136" s="14">
        <v>2</v>
      </c>
      <c r="G136" s="15">
        <v>50</v>
      </c>
      <c r="H136" s="15">
        <v>100</v>
      </c>
    </row>
    <row r="137" ht="12.9" customHeight="1">
      <c r="A137" t="s" s="10">
        <v>1943</v>
      </c>
      <c r="B137" t="s" s="11">
        <v>1944</v>
      </c>
      <c r="C137" s="12">
        <v>45432.812067465275</v>
      </c>
      <c r="D137" t="s" s="13">
        <v>50</v>
      </c>
      <c r="E137" t="s" s="13">
        <v>83</v>
      </c>
      <c r="F137" s="14">
        <v>2</v>
      </c>
      <c r="G137" s="15">
        <v>0</v>
      </c>
      <c r="H137" s="15">
        <v>0</v>
      </c>
    </row>
    <row r="138" ht="12.9" customHeight="1">
      <c r="A138" t="s" s="10">
        <v>1943</v>
      </c>
      <c r="B138" t="s" s="11">
        <v>1944</v>
      </c>
      <c r="C138" s="12">
        <v>45432.812067465275</v>
      </c>
      <c r="D138" t="s" s="13">
        <v>84</v>
      </c>
      <c r="E138" t="s" s="13">
        <v>85</v>
      </c>
      <c r="F138" s="14">
        <v>2</v>
      </c>
      <c r="G138" s="15">
        <v>0</v>
      </c>
      <c r="H138" s="15">
        <v>0</v>
      </c>
    </row>
    <row r="139" ht="12.9" customHeight="1">
      <c r="A139" t="s" s="10">
        <v>1945</v>
      </c>
      <c r="B139" t="s" s="11">
        <v>1614</v>
      </c>
      <c r="C139" s="12">
        <v>45432.742933425929</v>
      </c>
      <c r="D139" t="s" s="13">
        <v>81</v>
      </c>
      <c r="E139" t="s" s="13">
        <v>82</v>
      </c>
      <c r="F139" s="14">
        <v>4</v>
      </c>
      <c r="G139" s="15">
        <v>849.99</v>
      </c>
      <c r="H139" s="15">
        <v>3399.96</v>
      </c>
    </row>
    <row r="140" ht="12.9" customHeight="1">
      <c r="A140" t="s" s="10">
        <v>1945</v>
      </c>
      <c r="B140" t="s" s="11">
        <v>1614</v>
      </c>
      <c r="C140" s="12">
        <v>45432.742933425929</v>
      </c>
      <c r="D140" t="s" s="13">
        <v>133</v>
      </c>
      <c r="E140" t="s" s="13">
        <v>134</v>
      </c>
      <c r="F140" s="14">
        <v>4</v>
      </c>
      <c r="G140" s="15">
        <v>50</v>
      </c>
      <c r="H140" s="15">
        <v>200</v>
      </c>
    </row>
    <row r="141" ht="12.9" customHeight="1">
      <c r="A141" t="s" s="10">
        <v>1945</v>
      </c>
      <c r="B141" t="s" s="11">
        <v>1614</v>
      </c>
      <c r="C141" s="12">
        <v>45432.742933425929</v>
      </c>
      <c r="D141" t="s" s="13">
        <v>50</v>
      </c>
      <c r="E141" t="s" s="13">
        <v>83</v>
      </c>
      <c r="F141" s="14">
        <v>4</v>
      </c>
      <c r="G141" s="15">
        <v>0</v>
      </c>
      <c r="H141" s="15">
        <v>0</v>
      </c>
    </row>
    <row r="142" ht="12.9" customHeight="1">
      <c r="A142" t="s" s="10">
        <v>1945</v>
      </c>
      <c r="B142" t="s" s="11">
        <v>1614</v>
      </c>
      <c r="C142" s="12">
        <v>45432.742933425929</v>
      </c>
      <c r="D142" t="s" s="13">
        <v>84</v>
      </c>
      <c r="E142" t="s" s="13">
        <v>85</v>
      </c>
      <c r="F142" s="14">
        <v>4</v>
      </c>
      <c r="G142" s="15">
        <v>0</v>
      </c>
      <c r="H142" s="15">
        <v>0</v>
      </c>
    </row>
    <row r="143" ht="12.9" customHeight="1">
      <c r="A143" t="s" s="10">
        <v>1945</v>
      </c>
      <c r="B143" t="s" s="11">
        <v>1614</v>
      </c>
      <c r="C143" s="12">
        <v>45432.742933425929</v>
      </c>
      <c r="D143" t="s" s="13">
        <v>23</v>
      </c>
      <c r="E143" t="s" s="13">
        <v>24</v>
      </c>
      <c r="F143" s="14">
        <v>2</v>
      </c>
      <c r="G143" s="15">
        <v>149.99</v>
      </c>
      <c r="H143" s="15">
        <v>299.98</v>
      </c>
    </row>
    <row r="144" ht="12.9" customHeight="1">
      <c r="A144" t="s" s="10">
        <v>1945</v>
      </c>
      <c r="B144" t="s" s="11">
        <v>1614</v>
      </c>
      <c r="C144" s="12">
        <v>45432.742933425929</v>
      </c>
      <c r="D144" t="s" s="13">
        <v>77</v>
      </c>
      <c r="E144" t="s" s="13">
        <v>78</v>
      </c>
      <c r="F144" s="14">
        <v>2</v>
      </c>
      <c r="G144" s="15">
        <v>19.99</v>
      </c>
      <c r="H144" s="15">
        <v>39.98</v>
      </c>
    </row>
    <row r="145" ht="12.9" customHeight="1">
      <c r="A145" t="s" s="10">
        <v>1945</v>
      </c>
      <c r="B145" t="s" s="11">
        <v>1614</v>
      </c>
      <c r="C145" s="12">
        <v>45432.742933425929</v>
      </c>
      <c r="D145" t="s" s="13">
        <v>1695</v>
      </c>
      <c r="E145" t="s" s="13">
        <v>140</v>
      </c>
      <c r="F145" s="14">
        <v>2</v>
      </c>
      <c r="G145" s="15">
        <v>49.99</v>
      </c>
      <c r="H145" s="15">
        <v>99.98</v>
      </c>
    </row>
    <row r="146" ht="12.9" customHeight="1">
      <c r="A146" t="s" s="10">
        <v>1945</v>
      </c>
      <c r="B146" t="s" s="11">
        <v>1614</v>
      </c>
      <c r="C146" s="12">
        <v>45432.742933425929</v>
      </c>
      <c r="D146" t="s" s="13">
        <v>15</v>
      </c>
      <c r="E146" t="s" s="13">
        <v>16</v>
      </c>
      <c r="F146" s="14">
        <v>2</v>
      </c>
      <c r="G146" s="15">
        <v>0</v>
      </c>
      <c r="H146" s="15">
        <v>0</v>
      </c>
    </row>
    <row r="147" ht="12.9" customHeight="1">
      <c r="A147" t="s" s="10">
        <v>1945</v>
      </c>
      <c r="B147" t="s" s="11">
        <v>1614</v>
      </c>
      <c r="C147" s="12">
        <v>45432.742933425929</v>
      </c>
      <c r="D147" t="s" s="13">
        <v>15</v>
      </c>
      <c r="E147" t="s" s="13">
        <v>16</v>
      </c>
      <c r="F147" s="14">
        <v>1</v>
      </c>
      <c r="G147" s="15">
        <v>9.99</v>
      </c>
      <c r="H147" s="15">
        <v>9.99</v>
      </c>
    </row>
    <row r="148" ht="12.9" customHeight="1">
      <c r="A148" t="s" s="10">
        <v>1945</v>
      </c>
      <c r="B148" t="s" s="11">
        <v>1614</v>
      </c>
      <c r="C148" s="12">
        <v>45432.742933425929</v>
      </c>
      <c r="D148" t="s" s="13">
        <v>119</v>
      </c>
      <c r="E148" t="s" s="13">
        <v>120</v>
      </c>
      <c r="F148" s="14">
        <v>8</v>
      </c>
      <c r="G148" s="15">
        <v>1.99</v>
      </c>
      <c r="H148" s="15">
        <v>15.92</v>
      </c>
    </row>
    <row r="149" ht="12.9" customHeight="1">
      <c r="A149" t="s" s="10">
        <v>1946</v>
      </c>
      <c r="B149" t="s" s="11">
        <v>1947</v>
      </c>
      <c r="C149" s="12">
        <v>45432.631109189817</v>
      </c>
      <c r="D149" t="s" s="13">
        <v>73</v>
      </c>
      <c r="E149" t="s" s="13">
        <v>74</v>
      </c>
      <c r="F149" s="14">
        <v>1</v>
      </c>
      <c r="G149" s="15">
        <v>399.99</v>
      </c>
      <c r="H149" s="15">
        <v>399.99</v>
      </c>
    </row>
    <row r="150" ht="12.9" customHeight="1">
      <c r="A150" t="s" s="10">
        <v>1948</v>
      </c>
      <c r="B150" t="s" s="11">
        <v>1949</v>
      </c>
      <c r="C150" s="12">
        <v>45432.6067077199</v>
      </c>
      <c r="D150" t="s" s="13">
        <v>77</v>
      </c>
      <c r="E150" t="s" s="13">
        <v>78</v>
      </c>
      <c r="F150" s="14">
        <v>1</v>
      </c>
      <c r="G150" s="15">
        <v>19.99</v>
      </c>
      <c r="H150" s="15">
        <v>19.99</v>
      </c>
    </row>
    <row r="151" ht="12.9" customHeight="1">
      <c r="A151" t="s" s="10">
        <v>1950</v>
      </c>
      <c r="B151" t="s" s="11">
        <v>1951</v>
      </c>
      <c r="C151" s="12">
        <v>45432.098990324077</v>
      </c>
      <c r="D151" t="s" s="13">
        <v>35</v>
      </c>
      <c r="E151" t="s" s="13">
        <v>36</v>
      </c>
      <c r="F151" s="14">
        <v>2</v>
      </c>
      <c r="G151" s="15">
        <v>49.99</v>
      </c>
      <c r="H151" s="15">
        <v>99.98</v>
      </c>
    </row>
    <row r="152" ht="12.9" customHeight="1">
      <c r="A152" t="s" s="10">
        <v>1952</v>
      </c>
      <c r="B152" t="s" s="11">
        <v>476</v>
      </c>
      <c r="C152" s="12">
        <v>45432</v>
      </c>
      <c r="D152" t="s" s="13">
        <v>1953</v>
      </c>
      <c r="E152" t="s" s="13">
        <v>1954</v>
      </c>
      <c r="F152" s="14">
        <v>1</v>
      </c>
      <c r="G152" s="15">
        <v>30000</v>
      </c>
      <c r="H152" s="15">
        <v>30000</v>
      </c>
    </row>
    <row r="153" ht="12.9" customHeight="1">
      <c r="A153" t="s" s="10">
        <v>1955</v>
      </c>
      <c r="B153" t="s" s="11">
        <v>1956</v>
      </c>
      <c r="C153" s="12">
        <v>45431.991761180558</v>
      </c>
      <c r="D153" t="s" s="13">
        <v>1695</v>
      </c>
      <c r="E153" t="s" s="13">
        <v>140</v>
      </c>
      <c r="F153" s="14">
        <v>2</v>
      </c>
      <c r="G153" s="15">
        <v>49.99</v>
      </c>
      <c r="H153" s="15">
        <v>99.98</v>
      </c>
    </row>
    <row r="154" ht="12.9" customHeight="1">
      <c r="A154" t="s" s="10">
        <v>1955</v>
      </c>
      <c r="B154" t="s" s="11">
        <v>1956</v>
      </c>
      <c r="C154" s="12">
        <v>45431.991761180558</v>
      </c>
      <c r="D154" t="s" s="13">
        <v>15</v>
      </c>
      <c r="E154" t="s" s="13">
        <v>16</v>
      </c>
      <c r="F154" s="14">
        <v>2</v>
      </c>
      <c r="G154" s="15">
        <v>0</v>
      </c>
      <c r="H154" s="15">
        <v>0</v>
      </c>
    </row>
    <row r="155" ht="12.9" customHeight="1">
      <c r="A155" t="s" s="10">
        <v>1957</v>
      </c>
      <c r="B155" t="s" s="11">
        <v>1958</v>
      </c>
      <c r="C155" s="12">
        <v>45431.180549166667</v>
      </c>
      <c r="D155" t="s" s="13">
        <v>11</v>
      </c>
      <c r="E155" t="s" s="13">
        <v>12</v>
      </c>
      <c r="F155" s="14">
        <v>1</v>
      </c>
      <c r="G155" s="15">
        <v>399.99</v>
      </c>
      <c r="H155" s="15">
        <v>399.99</v>
      </c>
    </row>
    <row r="156" ht="12.9" customHeight="1">
      <c r="A156" t="s" s="10">
        <v>1959</v>
      </c>
      <c r="B156" t="s" s="11">
        <v>1960</v>
      </c>
      <c r="C156" s="12">
        <v>45430.208013611111</v>
      </c>
      <c r="D156" t="s" s="13">
        <v>1961</v>
      </c>
      <c r="E156" t="s" s="13">
        <v>1962</v>
      </c>
      <c r="F156" s="14">
        <v>2</v>
      </c>
      <c r="G156" s="15">
        <v>107.49</v>
      </c>
      <c r="H156" s="15">
        <v>214.98</v>
      </c>
    </row>
    <row r="157" ht="12.9" customHeight="1">
      <c r="A157" t="s" s="10">
        <v>1959</v>
      </c>
      <c r="B157" t="s" s="11">
        <v>1960</v>
      </c>
      <c r="C157" s="12">
        <v>45430.208013611111</v>
      </c>
      <c r="D157" t="s" s="13">
        <v>95</v>
      </c>
      <c r="E157" t="s" s="13">
        <v>12</v>
      </c>
      <c r="F157" s="14">
        <v>2</v>
      </c>
      <c r="G157" s="15">
        <v>347.49</v>
      </c>
      <c r="H157" s="15">
        <v>694.98</v>
      </c>
    </row>
    <row r="158" ht="12.9" customHeight="1">
      <c r="A158" t="s" s="10">
        <v>1959</v>
      </c>
      <c r="B158" t="s" s="11">
        <v>1960</v>
      </c>
      <c r="C158" s="12">
        <v>45430.208013611111</v>
      </c>
      <c r="D158" t="s" s="13">
        <v>35</v>
      </c>
      <c r="E158" t="s" s="13">
        <v>36</v>
      </c>
      <c r="F158" s="14">
        <v>4</v>
      </c>
      <c r="G158" s="15">
        <v>47.49</v>
      </c>
      <c r="H158" s="15">
        <v>189.96</v>
      </c>
    </row>
    <row r="159" ht="12.9" customHeight="1">
      <c r="A159" t="s" s="10">
        <v>1959</v>
      </c>
      <c r="B159" t="s" s="11">
        <v>1960</v>
      </c>
      <c r="C159" s="12">
        <v>45430.208013611111</v>
      </c>
      <c r="D159" t="s" s="13">
        <v>19</v>
      </c>
      <c r="E159" t="s" s="13">
        <v>20</v>
      </c>
      <c r="F159" s="14">
        <v>2</v>
      </c>
      <c r="G159" s="15">
        <v>117.49</v>
      </c>
      <c r="H159" s="15">
        <v>234.98</v>
      </c>
    </row>
    <row r="160" ht="12.9" customHeight="1">
      <c r="A160" t="s" s="10">
        <v>1963</v>
      </c>
      <c r="B160" t="s" s="11">
        <v>72</v>
      </c>
      <c r="C160" s="12">
        <v>45429.100344525461</v>
      </c>
      <c r="D160" t="s" s="13">
        <v>73</v>
      </c>
      <c r="E160" t="s" s="13">
        <v>74</v>
      </c>
      <c r="F160" s="14">
        <v>1</v>
      </c>
      <c r="G160" s="15">
        <v>399.99</v>
      </c>
      <c r="H160" s="15">
        <v>399.99</v>
      </c>
    </row>
    <row r="161" ht="12.9" customHeight="1">
      <c r="A161" t="s" s="10">
        <v>1964</v>
      </c>
      <c r="B161" t="s" s="11">
        <v>1965</v>
      </c>
      <c r="C161" s="12">
        <v>45428.746416342590</v>
      </c>
      <c r="D161" t="s" s="13">
        <v>27</v>
      </c>
      <c r="E161" t="s" s="13">
        <v>28</v>
      </c>
      <c r="F161" s="14">
        <v>1</v>
      </c>
      <c r="G161" s="15">
        <v>79.98999999999999</v>
      </c>
      <c r="H161" s="15">
        <v>79.98999999999999</v>
      </c>
    </row>
    <row r="162" ht="12.9" customHeight="1">
      <c r="A162" t="s" s="10">
        <v>1966</v>
      </c>
      <c r="B162" t="s" s="11">
        <v>1967</v>
      </c>
      <c r="C162" s="12">
        <v>45428</v>
      </c>
      <c r="D162" t="s" s="13">
        <v>254</v>
      </c>
      <c r="E162" t="s" s="13">
        <v>1968</v>
      </c>
      <c r="F162" s="14">
        <v>1</v>
      </c>
      <c r="G162" s="15">
        <v>0</v>
      </c>
      <c r="H162" s="15">
        <v>0</v>
      </c>
    </row>
    <row r="163" ht="12.9" customHeight="1">
      <c r="A163" t="s" s="10">
        <v>1969</v>
      </c>
      <c r="B163" t="s" s="11">
        <v>721</v>
      </c>
      <c r="C163" s="12">
        <v>45428</v>
      </c>
      <c r="D163" t="s" s="13">
        <v>63</v>
      </c>
      <c r="E163" s="16"/>
      <c r="F163" s="14">
        <v>1</v>
      </c>
      <c r="G163" s="15">
        <v>66.8</v>
      </c>
      <c r="H163" s="15">
        <v>66.8</v>
      </c>
    </row>
    <row r="164" ht="12.9" customHeight="1">
      <c r="A164" t="s" s="10">
        <v>1969</v>
      </c>
      <c r="B164" t="s" s="11">
        <v>721</v>
      </c>
      <c r="C164" s="12">
        <v>45428</v>
      </c>
      <c r="D164" t="s" s="13">
        <v>171</v>
      </c>
      <c r="E164" t="s" s="13">
        <v>172</v>
      </c>
      <c r="F164" s="14">
        <v>1</v>
      </c>
      <c r="G164" s="15">
        <v>412.4925</v>
      </c>
      <c r="H164" s="15">
        <v>412.4925</v>
      </c>
    </row>
    <row r="165" ht="12.9" customHeight="1">
      <c r="A165" t="s" s="10">
        <v>1969</v>
      </c>
      <c r="B165" t="s" s="11">
        <v>721</v>
      </c>
      <c r="C165" s="12">
        <v>45428</v>
      </c>
      <c r="D165" t="s" s="13">
        <v>27</v>
      </c>
      <c r="E165" t="s" s="13">
        <v>28</v>
      </c>
      <c r="F165" s="14">
        <v>2</v>
      </c>
      <c r="G165" s="15">
        <v>59.9925</v>
      </c>
      <c r="H165" s="15">
        <v>119.985</v>
      </c>
    </row>
    <row r="166" ht="12.9" customHeight="1">
      <c r="A166" t="s" s="10">
        <v>1970</v>
      </c>
      <c r="B166" t="s" s="11">
        <v>1956</v>
      </c>
      <c r="C166" s="12">
        <v>45427.324167071762</v>
      </c>
      <c r="D166" t="s" s="13">
        <v>589</v>
      </c>
      <c r="E166" t="s" s="13">
        <v>590</v>
      </c>
      <c r="F166" s="14">
        <v>2</v>
      </c>
      <c r="G166" s="15">
        <v>7.49</v>
      </c>
      <c r="H166" s="15">
        <v>14.98</v>
      </c>
    </row>
    <row r="167" ht="12.9" customHeight="1">
      <c r="A167" t="s" s="10">
        <v>1970</v>
      </c>
      <c r="B167" t="s" s="11">
        <v>1956</v>
      </c>
      <c r="C167" s="12">
        <v>45427.324167071762</v>
      </c>
      <c r="D167" t="s" s="13">
        <v>19</v>
      </c>
      <c r="E167" t="s" s="13">
        <v>20</v>
      </c>
      <c r="F167" s="14">
        <v>2</v>
      </c>
      <c r="G167" s="15">
        <v>119.99</v>
      </c>
      <c r="H167" s="15">
        <v>239.98</v>
      </c>
    </row>
    <row r="168" ht="12.9" customHeight="1">
      <c r="A168" t="s" s="10">
        <v>1971</v>
      </c>
      <c r="B168" t="s" s="11">
        <v>1972</v>
      </c>
      <c r="C168" s="12">
        <v>45427.186142662038</v>
      </c>
      <c r="D168" t="s" s="13">
        <v>89</v>
      </c>
      <c r="E168" t="s" s="13">
        <v>90</v>
      </c>
      <c r="F168" s="14">
        <v>1</v>
      </c>
      <c r="G168" s="15">
        <v>59.99</v>
      </c>
      <c r="H168" s="15">
        <v>59.99</v>
      </c>
    </row>
    <row r="169" ht="12.9" customHeight="1">
      <c r="A169" t="s" s="10">
        <v>1973</v>
      </c>
      <c r="B169" t="s" s="11">
        <v>476</v>
      </c>
      <c r="C169" s="12">
        <v>45427</v>
      </c>
      <c r="D169" t="s" s="13">
        <v>63</v>
      </c>
      <c r="E169" s="16"/>
      <c r="F169" s="14">
        <v>1</v>
      </c>
      <c r="G169" s="15">
        <v>4000</v>
      </c>
      <c r="H169" s="15">
        <v>4000</v>
      </c>
    </row>
    <row r="170" ht="12.9" customHeight="1">
      <c r="A170" t="s" s="10">
        <v>1973</v>
      </c>
      <c r="B170" t="s" s="11">
        <v>476</v>
      </c>
      <c r="C170" s="12">
        <v>45427</v>
      </c>
      <c r="D170" t="s" s="13">
        <v>1974</v>
      </c>
      <c r="E170" t="s" s="13">
        <v>1975</v>
      </c>
      <c r="F170" s="14">
        <v>25</v>
      </c>
      <c r="G170" s="15">
        <v>1825</v>
      </c>
      <c r="H170" s="15">
        <v>45625</v>
      </c>
    </row>
    <row r="171" ht="12.9" customHeight="1">
      <c r="A171" t="s" s="10">
        <v>1973</v>
      </c>
      <c r="B171" t="s" s="11">
        <v>476</v>
      </c>
      <c r="C171" s="12">
        <v>45427</v>
      </c>
      <c r="D171" t="s" s="13">
        <v>1550</v>
      </c>
      <c r="E171" t="s" s="13">
        <v>1551</v>
      </c>
      <c r="F171" s="14">
        <v>2</v>
      </c>
      <c r="G171" s="15">
        <v>3750</v>
      </c>
      <c r="H171" s="15">
        <v>7500</v>
      </c>
    </row>
    <row r="172" ht="12.9" customHeight="1">
      <c r="A172" t="s" s="10">
        <v>1976</v>
      </c>
      <c r="B172" t="s" s="11">
        <v>1977</v>
      </c>
      <c r="C172" s="12">
        <v>45426.906822754630</v>
      </c>
      <c r="D172" t="s" s="13">
        <v>31</v>
      </c>
      <c r="E172" t="s" s="13">
        <v>32</v>
      </c>
      <c r="F172" s="14">
        <v>1</v>
      </c>
      <c r="G172" s="15">
        <v>599.99</v>
      </c>
      <c r="H172" s="15">
        <v>599.99</v>
      </c>
    </row>
    <row r="173" ht="12.9" customHeight="1">
      <c r="A173" t="s" s="10">
        <v>1978</v>
      </c>
      <c r="B173" t="s" s="11">
        <v>1979</v>
      </c>
      <c r="C173" s="12">
        <v>45426.897148009259</v>
      </c>
      <c r="D173" t="s" s="13">
        <v>31</v>
      </c>
      <c r="E173" t="s" s="13">
        <v>32</v>
      </c>
      <c r="F173" s="14">
        <v>1</v>
      </c>
      <c r="G173" s="15">
        <v>599.99</v>
      </c>
      <c r="H173" s="15">
        <v>599.99</v>
      </c>
    </row>
    <row r="174" ht="12.9" customHeight="1">
      <c r="A174" t="s" s="10">
        <v>1980</v>
      </c>
      <c r="B174" t="s" s="11">
        <v>1981</v>
      </c>
      <c r="C174" s="12">
        <v>45426.862188553241</v>
      </c>
      <c r="D174" t="s" s="13">
        <v>35</v>
      </c>
      <c r="E174" t="s" s="13">
        <v>36</v>
      </c>
      <c r="F174" s="14">
        <v>2</v>
      </c>
      <c r="G174" s="15">
        <v>49.99</v>
      </c>
      <c r="H174" s="15">
        <v>99.98</v>
      </c>
    </row>
    <row r="175" ht="12.9" customHeight="1">
      <c r="A175" t="s" s="10">
        <v>1982</v>
      </c>
      <c r="B175" t="s" s="11">
        <v>391</v>
      </c>
      <c r="C175" s="12">
        <v>45426</v>
      </c>
      <c r="D175" t="s" s="13">
        <v>254</v>
      </c>
      <c r="E175" t="s" s="13">
        <v>1983</v>
      </c>
      <c r="F175" s="14">
        <v>1</v>
      </c>
      <c r="G175" s="15">
        <v>0</v>
      </c>
      <c r="H175" s="15">
        <v>0</v>
      </c>
    </row>
    <row r="176" ht="12.9" customHeight="1">
      <c r="A176" t="s" s="10">
        <v>1982</v>
      </c>
      <c r="B176" t="s" s="11">
        <v>391</v>
      </c>
      <c r="C176" s="12">
        <v>45426</v>
      </c>
      <c r="D176" t="s" s="13">
        <v>1914</v>
      </c>
      <c r="E176" t="s" s="13">
        <v>1915</v>
      </c>
      <c r="F176" s="14">
        <v>2</v>
      </c>
      <c r="G176" s="15">
        <v>0</v>
      </c>
      <c r="H176" s="15">
        <v>0</v>
      </c>
    </row>
    <row r="177" ht="12.9" customHeight="1">
      <c r="A177" t="s" s="10">
        <v>1984</v>
      </c>
      <c r="B177" t="s" s="11">
        <v>1985</v>
      </c>
      <c r="C177" s="12">
        <v>45426</v>
      </c>
      <c r="D177" t="s" s="13">
        <v>1986</v>
      </c>
      <c r="E177" t="s" s="13">
        <v>1986</v>
      </c>
      <c r="F177" s="14">
        <v>5</v>
      </c>
      <c r="G177" s="15">
        <v>72</v>
      </c>
      <c r="H177" s="15">
        <v>360</v>
      </c>
    </row>
    <row r="178" ht="12.9" customHeight="1">
      <c r="A178" t="s" s="10">
        <v>1984</v>
      </c>
      <c r="B178" t="s" s="11">
        <v>1985</v>
      </c>
      <c r="C178" s="12">
        <v>45426</v>
      </c>
      <c r="D178" t="s" s="13">
        <v>115</v>
      </c>
      <c r="E178" t="s" s="13">
        <v>1856</v>
      </c>
      <c r="F178" s="14">
        <v>5</v>
      </c>
      <c r="G178" s="15">
        <v>22.99</v>
      </c>
      <c r="H178" s="15">
        <v>114.95</v>
      </c>
    </row>
    <row r="179" ht="12.9" customHeight="1">
      <c r="A179" t="s" s="10">
        <v>1987</v>
      </c>
      <c r="B179" t="s" s="11">
        <v>353</v>
      </c>
      <c r="C179" s="12">
        <v>45426</v>
      </c>
      <c r="D179" t="s" s="13">
        <v>47</v>
      </c>
      <c r="E179" s="16"/>
      <c r="F179" s="14">
        <v>1</v>
      </c>
      <c r="G179" s="15">
        <v>208.9</v>
      </c>
      <c r="H179" s="15">
        <v>208.9</v>
      </c>
    </row>
    <row r="180" ht="12.9" customHeight="1">
      <c r="A180" t="s" s="10">
        <v>1987</v>
      </c>
      <c r="B180" t="s" s="11">
        <v>353</v>
      </c>
      <c r="C180" s="12">
        <v>45426</v>
      </c>
      <c r="D180" t="s" s="13">
        <v>722</v>
      </c>
      <c r="E180" t="s" s="13">
        <v>82</v>
      </c>
      <c r="F180" s="14">
        <v>2</v>
      </c>
      <c r="G180" s="15">
        <v>782.991</v>
      </c>
      <c r="H180" s="15">
        <v>1565.982</v>
      </c>
    </row>
    <row r="181" ht="12.9" customHeight="1">
      <c r="A181" t="s" s="10">
        <v>1987</v>
      </c>
      <c r="B181" t="s" s="11">
        <v>353</v>
      </c>
      <c r="C181" s="12">
        <v>45426</v>
      </c>
      <c r="D181" t="s" s="13">
        <v>50</v>
      </c>
      <c r="E181" t="s" s="13">
        <v>83</v>
      </c>
      <c r="F181" s="14">
        <v>2</v>
      </c>
      <c r="G181" s="15">
        <v>0</v>
      </c>
      <c r="H181" s="15">
        <v>0</v>
      </c>
    </row>
    <row r="182" ht="12.9" customHeight="1">
      <c r="A182" t="s" s="10">
        <v>1987</v>
      </c>
      <c r="B182" t="s" s="11">
        <v>353</v>
      </c>
      <c r="C182" s="12">
        <v>45426</v>
      </c>
      <c r="D182" t="s" s="13">
        <v>23</v>
      </c>
      <c r="E182" t="s" s="13">
        <v>24</v>
      </c>
      <c r="F182" s="14">
        <v>2</v>
      </c>
      <c r="G182" s="15">
        <v>0</v>
      </c>
      <c r="H182" s="15">
        <v>0</v>
      </c>
    </row>
    <row r="183" ht="12.9" customHeight="1">
      <c r="A183" t="s" s="10">
        <v>1987</v>
      </c>
      <c r="B183" t="s" s="11">
        <v>353</v>
      </c>
      <c r="C183" s="12">
        <v>45426</v>
      </c>
      <c r="D183" t="s" s="13">
        <v>54</v>
      </c>
      <c r="E183" t="s" s="13">
        <v>93</v>
      </c>
      <c r="F183" s="14">
        <v>4</v>
      </c>
      <c r="G183" s="15">
        <v>0</v>
      </c>
      <c r="H183" s="15">
        <v>0</v>
      </c>
    </row>
    <row r="184" ht="12.9" customHeight="1">
      <c r="A184" t="s" s="10">
        <v>1987</v>
      </c>
      <c r="B184" t="s" s="11">
        <v>353</v>
      </c>
      <c r="C184" s="12">
        <v>45426</v>
      </c>
      <c r="D184" t="s" s="13">
        <v>23</v>
      </c>
      <c r="E184" t="s" s="13">
        <v>24</v>
      </c>
      <c r="F184" s="14">
        <v>2</v>
      </c>
      <c r="G184" s="15">
        <v>127.4915</v>
      </c>
      <c r="H184" s="15">
        <v>254.983</v>
      </c>
    </row>
    <row r="185" ht="12.9" customHeight="1">
      <c r="A185" t="s" s="10">
        <v>1987</v>
      </c>
      <c r="B185" t="s" s="11">
        <v>353</v>
      </c>
      <c r="C185" s="12">
        <v>45426</v>
      </c>
      <c r="D185" t="s" s="13">
        <v>354</v>
      </c>
      <c r="E185" t="s" s="13">
        <v>355</v>
      </c>
      <c r="F185" s="14">
        <v>4</v>
      </c>
      <c r="G185" s="15">
        <v>127.4915</v>
      </c>
      <c r="H185" s="15">
        <v>509.966</v>
      </c>
    </row>
    <row r="186" ht="12.9" customHeight="1">
      <c r="A186" t="s" s="10">
        <v>1987</v>
      </c>
      <c r="B186" t="s" s="11">
        <v>353</v>
      </c>
      <c r="C186" s="12">
        <v>45426</v>
      </c>
      <c r="D186" t="s" s="13">
        <v>27</v>
      </c>
      <c r="E186" t="s" s="13">
        <v>28</v>
      </c>
      <c r="F186" s="14">
        <v>1</v>
      </c>
      <c r="G186" s="15">
        <v>67.9915</v>
      </c>
      <c r="H186" s="15">
        <v>67.9915</v>
      </c>
    </row>
    <row r="187" ht="12.9" customHeight="1">
      <c r="A187" t="s" s="10">
        <v>1988</v>
      </c>
      <c r="B187" t="s" s="11">
        <v>1989</v>
      </c>
      <c r="C187" s="12">
        <v>45425.922258784725</v>
      </c>
      <c r="D187" t="s" s="13">
        <v>27</v>
      </c>
      <c r="E187" t="s" s="13">
        <v>28</v>
      </c>
      <c r="F187" s="14">
        <v>1</v>
      </c>
      <c r="G187" s="15">
        <v>79.98999999999999</v>
      </c>
      <c r="H187" s="15">
        <v>79.98999999999999</v>
      </c>
    </row>
    <row r="188" ht="12.9" customHeight="1">
      <c r="A188" t="s" s="10">
        <v>1990</v>
      </c>
      <c r="B188" t="s" s="11">
        <v>1991</v>
      </c>
      <c r="C188" s="12">
        <v>45425.861637280090</v>
      </c>
      <c r="D188" t="s" s="13">
        <v>602</v>
      </c>
      <c r="E188" t="s" s="13">
        <v>686</v>
      </c>
      <c r="F188" s="14">
        <v>1</v>
      </c>
      <c r="G188" s="15">
        <v>299.99</v>
      </c>
      <c r="H188" s="15">
        <v>299.99</v>
      </c>
    </row>
    <row r="189" ht="12.9" customHeight="1">
      <c r="A189" t="s" s="10">
        <v>1992</v>
      </c>
      <c r="B189" t="s" s="11">
        <v>1530</v>
      </c>
      <c r="C189" s="12">
        <v>45425.820077847224</v>
      </c>
      <c r="D189" t="s" s="13">
        <v>89</v>
      </c>
      <c r="E189" t="s" s="13">
        <v>90</v>
      </c>
      <c r="F189" s="14">
        <v>1</v>
      </c>
      <c r="G189" s="15">
        <v>59.99</v>
      </c>
      <c r="H189" s="15">
        <v>59.99</v>
      </c>
    </row>
    <row r="190" ht="12.9" customHeight="1">
      <c r="A190" t="s" s="10">
        <v>1992</v>
      </c>
      <c r="B190" t="s" s="11">
        <v>1530</v>
      </c>
      <c r="C190" s="12">
        <v>45425.820077847224</v>
      </c>
      <c r="D190" t="s" s="13">
        <v>35</v>
      </c>
      <c r="E190" t="s" s="13">
        <v>36</v>
      </c>
      <c r="F190" s="14">
        <v>1</v>
      </c>
      <c r="G190" s="15">
        <v>49.99</v>
      </c>
      <c r="H190" s="15">
        <v>49.99</v>
      </c>
    </row>
    <row r="191" ht="12.9" customHeight="1">
      <c r="A191" t="s" s="10">
        <v>1993</v>
      </c>
      <c r="B191" t="s" s="11">
        <v>1994</v>
      </c>
      <c r="C191" s="12">
        <v>45425.716496585650</v>
      </c>
      <c r="D191" t="s" s="13">
        <v>31</v>
      </c>
      <c r="E191" t="s" s="13">
        <v>32</v>
      </c>
      <c r="F191" s="14">
        <v>1</v>
      </c>
      <c r="G191" s="15">
        <v>599.99</v>
      </c>
      <c r="H191" s="15">
        <v>599.99</v>
      </c>
    </row>
    <row r="192" ht="12.9" customHeight="1">
      <c r="A192" t="s" s="10">
        <v>1995</v>
      </c>
      <c r="B192" t="s" s="11">
        <v>1996</v>
      </c>
      <c r="C192" s="12">
        <v>45425.495208761575</v>
      </c>
      <c r="D192" t="s" s="13">
        <v>39</v>
      </c>
      <c r="E192" t="s" s="13">
        <v>40</v>
      </c>
      <c r="F192" s="14">
        <v>1</v>
      </c>
      <c r="G192" s="15">
        <v>109.99</v>
      </c>
      <c r="H192" s="15">
        <v>109.99</v>
      </c>
    </row>
    <row r="193" ht="12.9" customHeight="1">
      <c r="A193" t="s" s="10">
        <v>1997</v>
      </c>
      <c r="B193" t="s" s="11">
        <v>1998</v>
      </c>
      <c r="C193" s="12">
        <v>45425.177021909723</v>
      </c>
      <c r="D193" t="s" s="13">
        <v>1695</v>
      </c>
      <c r="E193" t="s" s="13">
        <v>140</v>
      </c>
      <c r="F193" s="14">
        <v>1</v>
      </c>
      <c r="G193" s="15">
        <v>49.99</v>
      </c>
      <c r="H193" s="15">
        <v>49.99</v>
      </c>
    </row>
    <row r="194" ht="12.9" customHeight="1">
      <c r="A194" t="s" s="10">
        <v>1997</v>
      </c>
      <c r="B194" t="s" s="11">
        <v>1998</v>
      </c>
      <c r="C194" s="12">
        <v>45425.177021909723</v>
      </c>
      <c r="D194" t="s" s="13">
        <v>15</v>
      </c>
      <c r="E194" t="s" s="13">
        <v>16</v>
      </c>
      <c r="F194" s="14">
        <v>1</v>
      </c>
      <c r="G194" s="15">
        <v>0</v>
      </c>
      <c r="H194" s="15">
        <v>0</v>
      </c>
    </row>
    <row r="195" ht="12.9" customHeight="1">
      <c r="A195" t="s" s="10">
        <v>1999</v>
      </c>
      <c r="B195" t="s" s="11">
        <v>2000</v>
      </c>
      <c r="C195" s="12">
        <v>45425.1221203125</v>
      </c>
      <c r="D195" t="s" s="13">
        <v>35</v>
      </c>
      <c r="E195" t="s" s="13">
        <v>36</v>
      </c>
      <c r="F195" s="14">
        <v>2</v>
      </c>
      <c r="G195" s="15">
        <v>49.99</v>
      </c>
      <c r="H195" s="15">
        <v>99.98</v>
      </c>
    </row>
    <row r="196" ht="12.9" customHeight="1">
      <c r="A196" t="s" s="10">
        <v>2001</v>
      </c>
      <c r="B196" t="s" s="11">
        <v>2002</v>
      </c>
      <c r="C196" s="12">
        <v>45425.0077578588</v>
      </c>
      <c r="D196" t="s" s="13">
        <v>31</v>
      </c>
      <c r="E196" t="s" s="13">
        <v>32</v>
      </c>
      <c r="F196" s="14">
        <v>1</v>
      </c>
      <c r="G196" s="15">
        <v>599.99</v>
      </c>
      <c r="H196" s="15">
        <v>599.99</v>
      </c>
    </row>
    <row r="197" ht="12.9" customHeight="1">
      <c r="A197" t="s" s="10">
        <v>2003</v>
      </c>
      <c r="B197" t="s" s="11">
        <v>430</v>
      </c>
      <c r="C197" s="12">
        <v>45425</v>
      </c>
      <c r="D197" t="s" s="13">
        <v>47</v>
      </c>
      <c r="E197" s="16"/>
      <c r="F197" s="14">
        <v>1</v>
      </c>
      <c r="G197" s="15">
        <v>682.88</v>
      </c>
      <c r="H197" s="15">
        <v>682.88</v>
      </c>
    </row>
    <row r="198" ht="12.9" customHeight="1">
      <c r="A198" t="s" s="10">
        <v>2003</v>
      </c>
      <c r="B198" t="s" s="11">
        <v>430</v>
      </c>
      <c r="C198" s="12">
        <v>45425</v>
      </c>
      <c r="D198" t="s" s="13">
        <v>48</v>
      </c>
      <c r="E198" t="s" s="13">
        <v>49</v>
      </c>
      <c r="F198" s="14">
        <v>8</v>
      </c>
      <c r="G198" s="15">
        <v>974.9924999999999</v>
      </c>
      <c r="H198" s="15">
        <v>7799.94</v>
      </c>
    </row>
    <row r="199" ht="12.9" customHeight="1">
      <c r="A199" t="s" s="10">
        <v>2003</v>
      </c>
      <c r="B199" t="s" s="11">
        <v>430</v>
      </c>
      <c r="C199" s="12">
        <v>45425</v>
      </c>
      <c r="D199" t="s" s="13">
        <v>50</v>
      </c>
      <c r="E199" t="s" s="13">
        <v>83</v>
      </c>
      <c r="F199" s="14">
        <v>8</v>
      </c>
      <c r="G199" s="15">
        <v>0</v>
      </c>
      <c r="H199" s="15">
        <v>0</v>
      </c>
    </row>
    <row r="200" ht="12.9" customHeight="1">
      <c r="A200" t="s" s="10">
        <v>2003</v>
      </c>
      <c r="B200" t="s" s="11">
        <v>430</v>
      </c>
      <c r="C200" s="12">
        <v>45425</v>
      </c>
      <c r="D200" t="s" s="13">
        <v>52</v>
      </c>
      <c r="E200" t="s" s="13">
        <v>53</v>
      </c>
      <c r="F200" s="14">
        <v>8</v>
      </c>
      <c r="G200" s="15">
        <v>0</v>
      </c>
      <c r="H200" s="15">
        <v>0</v>
      </c>
    </row>
    <row r="201" ht="12.9" customHeight="1">
      <c r="A201" t="s" s="10">
        <v>2003</v>
      </c>
      <c r="B201" t="s" s="11">
        <v>430</v>
      </c>
      <c r="C201" s="12">
        <v>45425</v>
      </c>
      <c r="D201" t="s" s="13">
        <v>23</v>
      </c>
      <c r="E201" t="s" s="13">
        <v>56</v>
      </c>
      <c r="F201" s="14">
        <v>8</v>
      </c>
      <c r="G201" s="15">
        <v>0</v>
      </c>
      <c r="H201" s="15">
        <v>0</v>
      </c>
    </row>
    <row r="202" ht="12.9" customHeight="1">
      <c r="A202" t="s" s="10">
        <v>2003</v>
      </c>
      <c r="B202" t="s" s="11">
        <v>430</v>
      </c>
      <c r="C202" s="12">
        <v>45425</v>
      </c>
      <c r="D202" t="s" s="13">
        <v>54</v>
      </c>
      <c r="E202" t="s" s="13">
        <v>55</v>
      </c>
      <c r="F202" s="14">
        <v>8</v>
      </c>
      <c r="G202" s="15">
        <v>0</v>
      </c>
      <c r="H202" s="15">
        <v>0</v>
      </c>
    </row>
    <row r="203" ht="12.9" customHeight="1">
      <c r="A203" t="s" s="10">
        <v>2003</v>
      </c>
      <c r="B203" t="s" s="11">
        <v>430</v>
      </c>
      <c r="C203" s="12">
        <v>45425</v>
      </c>
      <c r="D203" t="s" s="13">
        <v>57</v>
      </c>
      <c r="E203" t="s" s="13">
        <v>58</v>
      </c>
      <c r="F203" s="14">
        <v>8</v>
      </c>
      <c r="G203" s="15">
        <v>599.9924999999999</v>
      </c>
      <c r="H203" s="15">
        <v>4799.94</v>
      </c>
    </row>
    <row r="204" ht="12.9" customHeight="1">
      <c r="A204" t="s" s="10">
        <v>2003</v>
      </c>
      <c r="B204" t="s" s="11">
        <v>430</v>
      </c>
      <c r="C204" s="12">
        <v>45425</v>
      </c>
      <c r="D204" t="s" s="13">
        <v>167</v>
      </c>
      <c r="E204" t="s" s="13">
        <v>495</v>
      </c>
      <c r="F204" s="14">
        <v>2</v>
      </c>
      <c r="G204" s="15">
        <v>0</v>
      </c>
      <c r="H204" s="15">
        <v>0</v>
      </c>
    </row>
    <row r="205" ht="12.9" customHeight="1">
      <c r="A205" t="s" s="10">
        <v>2003</v>
      </c>
      <c r="B205" t="s" s="11">
        <v>430</v>
      </c>
      <c r="C205" s="12">
        <v>45425</v>
      </c>
      <c r="D205" t="s" s="13">
        <v>1695</v>
      </c>
      <c r="E205" t="s" s="13">
        <v>140</v>
      </c>
      <c r="F205" s="14">
        <v>1</v>
      </c>
      <c r="G205" s="15">
        <v>37.4925</v>
      </c>
      <c r="H205" s="15">
        <v>37.4925</v>
      </c>
    </row>
    <row r="206" ht="12.9" customHeight="1">
      <c r="A206" t="s" s="10">
        <v>2003</v>
      </c>
      <c r="B206" t="s" s="11">
        <v>430</v>
      </c>
      <c r="C206" s="12">
        <v>45425</v>
      </c>
      <c r="D206" t="s" s="13">
        <v>882</v>
      </c>
      <c r="E206" t="s" s="13">
        <v>2004</v>
      </c>
      <c r="F206" s="14">
        <v>2</v>
      </c>
      <c r="G206" s="15">
        <v>56.2425</v>
      </c>
      <c r="H206" s="15">
        <v>112.485</v>
      </c>
    </row>
    <row r="207" ht="12.9" customHeight="1">
      <c r="A207" t="s" s="10">
        <v>2003</v>
      </c>
      <c r="B207" t="s" s="11">
        <v>430</v>
      </c>
      <c r="C207" s="12">
        <v>45425</v>
      </c>
      <c r="D207" t="s" s="13">
        <v>54</v>
      </c>
      <c r="E207" t="s" s="13">
        <v>565</v>
      </c>
      <c r="F207" s="14">
        <v>2</v>
      </c>
      <c r="G207" s="15">
        <v>0</v>
      </c>
      <c r="H207" s="15">
        <v>0</v>
      </c>
    </row>
    <row r="208" ht="12.9" customHeight="1">
      <c r="A208" t="s" s="10">
        <v>2003</v>
      </c>
      <c r="B208" t="s" s="11">
        <v>430</v>
      </c>
      <c r="C208" s="12">
        <v>45425</v>
      </c>
      <c r="D208" t="s" s="13">
        <v>468</v>
      </c>
      <c r="E208" t="s" s="13">
        <v>469</v>
      </c>
      <c r="F208" s="14">
        <v>2</v>
      </c>
      <c r="G208" s="15">
        <v>1874.9925</v>
      </c>
      <c r="H208" s="15">
        <v>3749.985</v>
      </c>
    </row>
    <row r="209" ht="12.9" customHeight="1">
      <c r="A209" t="s" s="10">
        <v>2003</v>
      </c>
      <c r="B209" t="s" s="11">
        <v>430</v>
      </c>
      <c r="C209" s="12">
        <v>45425</v>
      </c>
      <c r="D209" t="s" s="13">
        <v>50</v>
      </c>
      <c r="E209" t="s" s="13">
        <v>51</v>
      </c>
      <c r="F209" s="14">
        <v>3</v>
      </c>
      <c r="G209" s="15">
        <v>0</v>
      </c>
      <c r="H209" s="15">
        <v>0</v>
      </c>
    </row>
    <row r="210" ht="12.9" customHeight="1">
      <c r="A210" t="s" s="10">
        <v>2003</v>
      </c>
      <c r="B210" t="s" s="11">
        <v>430</v>
      </c>
      <c r="C210" s="12">
        <v>45425</v>
      </c>
      <c r="D210" t="s" s="13">
        <v>23</v>
      </c>
      <c r="E210" t="s" s="13">
        <v>56</v>
      </c>
      <c r="F210" s="14">
        <v>8</v>
      </c>
      <c r="G210" s="15">
        <v>0</v>
      </c>
      <c r="H210" s="15">
        <v>0</v>
      </c>
    </row>
    <row r="211" ht="12.9" customHeight="1">
      <c r="A211" t="s" s="10">
        <v>2003</v>
      </c>
      <c r="B211" t="s" s="11">
        <v>430</v>
      </c>
      <c r="C211" s="12">
        <v>45425</v>
      </c>
      <c r="D211" t="s" s="13">
        <v>54</v>
      </c>
      <c r="E211" t="s" s="13">
        <v>55</v>
      </c>
      <c r="F211" s="14">
        <v>8</v>
      </c>
      <c r="G211" s="15">
        <v>0</v>
      </c>
      <c r="H211" s="15">
        <v>0</v>
      </c>
    </row>
    <row r="212" ht="12.9" customHeight="1">
      <c r="A212" t="s" s="10">
        <v>2003</v>
      </c>
      <c r="B212" t="s" s="11">
        <v>430</v>
      </c>
      <c r="C212" s="12">
        <v>45425</v>
      </c>
      <c r="D212" t="s" s="13">
        <v>31</v>
      </c>
      <c r="E212" t="s" s="13">
        <v>32</v>
      </c>
      <c r="F212" s="14">
        <v>1</v>
      </c>
      <c r="G212" s="15">
        <v>449.9925</v>
      </c>
      <c r="H212" s="15">
        <v>449.9925</v>
      </c>
    </row>
    <row r="213" ht="12.9" customHeight="1">
      <c r="A213" t="s" s="10">
        <v>2003</v>
      </c>
      <c r="B213" t="s" s="11">
        <v>430</v>
      </c>
      <c r="C213" s="12">
        <v>45425</v>
      </c>
      <c r="D213" t="s" s="13">
        <v>73</v>
      </c>
      <c r="E213" t="s" s="13">
        <v>74</v>
      </c>
      <c r="F213" s="14">
        <v>1</v>
      </c>
      <c r="G213" s="15">
        <v>299.9925</v>
      </c>
      <c r="H213" s="15">
        <v>299.9925</v>
      </c>
    </row>
    <row r="214" ht="12.9" customHeight="1">
      <c r="A214" t="s" s="10">
        <v>2003</v>
      </c>
      <c r="B214" t="s" s="11">
        <v>430</v>
      </c>
      <c r="C214" s="12">
        <v>45425</v>
      </c>
      <c r="D214" t="s" s="13">
        <v>59</v>
      </c>
      <c r="E214" t="s" s="13">
        <v>60</v>
      </c>
      <c r="F214" s="14">
        <v>1</v>
      </c>
      <c r="G214" s="15">
        <v>899.9924999999999</v>
      </c>
      <c r="H214" s="15">
        <v>899.9924999999999</v>
      </c>
    </row>
    <row r="215" ht="12.9" customHeight="1">
      <c r="A215" t="s" s="10">
        <v>2003</v>
      </c>
      <c r="B215" t="s" s="11">
        <v>430</v>
      </c>
      <c r="C215" s="12">
        <v>45425</v>
      </c>
      <c r="D215" t="s" s="13">
        <v>589</v>
      </c>
      <c r="E215" t="s" s="13">
        <v>1635</v>
      </c>
      <c r="F215" s="14">
        <v>2</v>
      </c>
      <c r="G215" s="15">
        <v>0</v>
      </c>
      <c r="H215" s="15">
        <v>0</v>
      </c>
    </row>
    <row r="216" ht="12.9" customHeight="1">
      <c r="A216" t="s" s="10">
        <v>2003</v>
      </c>
      <c r="B216" t="s" s="11">
        <v>430</v>
      </c>
      <c r="C216" s="12">
        <v>45425</v>
      </c>
      <c r="D216" t="s" s="13">
        <v>369</v>
      </c>
      <c r="E216" t="s" s="13">
        <v>2005</v>
      </c>
      <c r="F216" s="14">
        <v>2</v>
      </c>
      <c r="G216" s="15">
        <v>0</v>
      </c>
      <c r="H216" s="15">
        <v>0</v>
      </c>
    </row>
    <row r="217" ht="12.9" customHeight="1">
      <c r="A217" t="s" s="10">
        <v>2003</v>
      </c>
      <c r="B217" t="s" s="11">
        <v>430</v>
      </c>
      <c r="C217" s="12">
        <v>45425</v>
      </c>
      <c r="D217" t="s" s="13">
        <v>489</v>
      </c>
      <c r="E217" t="s" s="13">
        <v>490</v>
      </c>
      <c r="F217" s="14">
        <v>3</v>
      </c>
      <c r="G217" s="15">
        <v>1199.9925</v>
      </c>
      <c r="H217" s="15">
        <v>3599.9775</v>
      </c>
    </row>
    <row r="218" ht="12.9" customHeight="1">
      <c r="A218" t="s" s="10">
        <v>2003</v>
      </c>
      <c r="B218" t="s" s="11">
        <v>430</v>
      </c>
      <c r="C218" s="12">
        <v>45425</v>
      </c>
      <c r="D218" t="s" s="13">
        <v>1633</v>
      </c>
      <c r="E218" t="s" s="13">
        <v>1634</v>
      </c>
      <c r="F218" s="14">
        <v>2</v>
      </c>
      <c r="G218" s="15">
        <v>0</v>
      </c>
      <c r="H218" s="15">
        <v>0</v>
      </c>
    </row>
    <row r="219" ht="12.9" customHeight="1">
      <c r="A219" t="s" s="10">
        <v>2003</v>
      </c>
      <c r="B219" t="s" s="11">
        <v>430</v>
      </c>
      <c r="C219" s="12">
        <v>45425</v>
      </c>
      <c r="D219" t="s" s="13">
        <v>491</v>
      </c>
      <c r="E219" t="s" s="13">
        <v>492</v>
      </c>
      <c r="F219" s="14">
        <v>4</v>
      </c>
      <c r="G219" s="15">
        <v>0</v>
      </c>
      <c r="H219" s="15">
        <v>0</v>
      </c>
    </row>
    <row r="220" ht="12.9" customHeight="1">
      <c r="A220" t="s" s="10">
        <v>2003</v>
      </c>
      <c r="B220" t="s" s="11">
        <v>430</v>
      </c>
      <c r="C220" s="12">
        <v>45425</v>
      </c>
      <c r="D220" t="s" s="13">
        <v>493</v>
      </c>
      <c r="E220" t="s" s="13">
        <v>494</v>
      </c>
      <c r="F220" s="14">
        <v>3</v>
      </c>
      <c r="G220" s="15">
        <v>0</v>
      </c>
      <c r="H220" s="15">
        <v>0</v>
      </c>
    </row>
    <row r="221" ht="12.9" customHeight="1">
      <c r="A221" t="s" s="10">
        <v>2003</v>
      </c>
      <c r="B221" t="s" s="11">
        <v>430</v>
      </c>
      <c r="C221" s="12">
        <v>45425</v>
      </c>
      <c r="D221" t="s" s="13">
        <v>824</v>
      </c>
      <c r="E221" t="s" s="13">
        <v>825</v>
      </c>
      <c r="F221" s="14">
        <v>1</v>
      </c>
      <c r="G221" s="15">
        <v>0</v>
      </c>
      <c r="H221" s="15">
        <v>0</v>
      </c>
    </row>
    <row r="222" ht="12.9" customHeight="1">
      <c r="A222" t="s" s="10">
        <v>2003</v>
      </c>
      <c r="B222" t="s" s="11">
        <v>430</v>
      </c>
      <c r="C222" s="12">
        <v>45425</v>
      </c>
      <c r="D222" t="s" s="13">
        <v>2006</v>
      </c>
      <c r="E222" t="s" s="13">
        <v>446</v>
      </c>
      <c r="F222" s="14">
        <v>1</v>
      </c>
      <c r="G222" s="15">
        <v>449.9925</v>
      </c>
      <c r="H222" s="15">
        <v>449.9925</v>
      </c>
    </row>
    <row r="223" ht="12.9" customHeight="1">
      <c r="A223" t="s" s="10">
        <v>2003</v>
      </c>
      <c r="B223" t="s" s="11">
        <v>430</v>
      </c>
      <c r="C223" s="12">
        <v>45425</v>
      </c>
      <c r="D223" t="s" s="13">
        <v>602</v>
      </c>
      <c r="E223" t="s" s="13">
        <v>686</v>
      </c>
      <c r="F223" s="14">
        <v>4</v>
      </c>
      <c r="G223" s="15">
        <v>224.9925</v>
      </c>
      <c r="H223" s="15">
        <v>899.97</v>
      </c>
    </row>
    <row r="224" ht="12.9" customHeight="1">
      <c r="A224" t="s" s="10">
        <v>2003</v>
      </c>
      <c r="B224" t="s" s="11">
        <v>430</v>
      </c>
      <c r="C224" s="12">
        <v>45425</v>
      </c>
      <c r="D224" t="s" s="13">
        <v>487</v>
      </c>
      <c r="E224" t="s" s="13">
        <v>488</v>
      </c>
      <c r="F224" s="14">
        <v>8</v>
      </c>
      <c r="G224" s="15">
        <v>82.49250000000001</v>
      </c>
      <c r="H224" s="15">
        <v>659.9400000000001</v>
      </c>
    </row>
    <row r="225" ht="12.9" customHeight="1">
      <c r="A225" t="s" s="10">
        <v>2003</v>
      </c>
      <c r="B225" t="s" s="11">
        <v>430</v>
      </c>
      <c r="C225" s="12">
        <v>45425</v>
      </c>
      <c r="D225" t="s" s="13">
        <v>77</v>
      </c>
      <c r="E225" t="s" s="13">
        <v>78</v>
      </c>
      <c r="F225" s="14">
        <v>10</v>
      </c>
      <c r="G225" s="15">
        <v>14.9925</v>
      </c>
      <c r="H225" s="15">
        <v>149.925</v>
      </c>
    </row>
    <row r="226" ht="12.9" customHeight="1">
      <c r="A226" t="s" s="10">
        <v>2003</v>
      </c>
      <c r="B226" t="s" s="11">
        <v>430</v>
      </c>
      <c r="C226" s="12">
        <v>45425</v>
      </c>
      <c r="D226" t="s" s="13">
        <v>225</v>
      </c>
      <c r="E226" t="s" s="13">
        <v>226</v>
      </c>
      <c r="F226" s="14">
        <v>4</v>
      </c>
      <c r="G226" s="15">
        <v>374.9925</v>
      </c>
      <c r="H226" s="15">
        <v>1499.97</v>
      </c>
    </row>
    <row r="227" ht="12.9" customHeight="1">
      <c r="A227" t="s" s="10">
        <v>2003</v>
      </c>
      <c r="B227" t="s" s="11">
        <v>430</v>
      </c>
      <c r="C227" s="12">
        <v>45425</v>
      </c>
      <c r="D227" t="s" s="13">
        <v>227</v>
      </c>
      <c r="E227" t="s" s="13">
        <v>2007</v>
      </c>
      <c r="F227" s="14">
        <v>8</v>
      </c>
      <c r="G227" s="15">
        <v>0</v>
      </c>
      <c r="H227" s="15">
        <v>0</v>
      </c>
    </row>
    <row r="228" ht="12.9" customHeight="1">
      <c r="A228" t="s" s="10">
        <v>2008</v>
      </c>
      <c r="B228" t="s" s="11">
        <v>1967</v>
      </c>
      <c r="C228" s="12">
        <v>45425</v>
      </c>
      <c r="D228" t="s" s="13">
        <v>2009</v>
      </c>
      <c r="E228" t="s" s="13">
        <v>2010</v>
      </c>
      <c r="F228" s="14">
        <v>1</v>
      </c>
      <c r="G228" s="15">
        <v>0</v>
      </c>
      <c r="H228" s="15">
        <v>0</v>
      </c>
    </row>
    <row r="229" ht="12.9" customHeight="1">
      <c r="A229" t="s" s="10">
        <v>2011</v>
      </c>
      <c r="B229" t="s" s="11">
        <v>2012</v>
      </c>
      <c r="C229" s="12">
        <v>45425</v>
      </c>
      <c r="D229" t="s" s="13">
        <v>54</v>
      </c>
      <c r="E229" t="s" s="13">
        <v>565</v>
      </c>
      <c r="F229" s="14">
        <v>1</v>
      </c>
      <c r="G229" s="15">
        <v>0</v>
      </c>
      <c r="H229" s="15">
        <v>0</v>
      </c>
    </row>
    <row r="230" ht="12.9" customHeight="1">
      <c r="A230" t="s" s="10">
        <v>2013</v>
      </c>
      <c r="B230" t="s" s="11">
        <v>391</v>
      </c>
      <c r="C230" s="12">
        <v>45425</v>
      </c>
      <c r="D230" t="s" s="13">
        <v>254</v>
      </c>
      <c r="E230" t="s" s="13">
        <v>2014</v>
      </c>
      <c r="F230" s="14">
        <v>1</v>
      </c>
      <c r="G230" s="15">
        <v>0</v>
      </c>
      <c r="H230" s="15">
        <v>0</v>
      </c>
    </row>
    <row r="231" ht="12.9" customHeight="1">
      <c r="A231" t="s" s="10">
        <v>2013</v>
      </c>
      <c r="B231" t="s" s="11">
        <v>391</v>
      </c>
      <c r="C231" s="12">
        <v>45425</v>
      </c>
      <c r="D231" t="s" s="13">
        <v>2015</v>
      </c>
      <c r="E231" t="s" s="13">
        <v>2016</v>
      </c>
      <c r="F231" s="14">
        <v>1</v>
      </c>
      <c r="G231" s="15">
        <v>0</v>
      </c>
      <c r="H231" s="15">
        <v>0</v>
      </c>
    </row>
    <row r="232" ht="12.9" customHeight="1">
      <c r="A232" t="s" s="10">
        <v>2017</v>
      </c>
      <c r="B232" t="s" s="11">
        <v>1500</v>
      </c>
      <c r="C232" s="12">
        <v>45425</v>
      </c>
      <c r="D232" t="s" s="13">
        <v>63</v>
      </c>
      <c r="E232" s="16"/>
      <c r="F232" s="14">
        <v>1</v>
      </c>
      <c r="G232" s="15">
        <v>28.5</v>
      </c>
      <c r="H232" s="15">
        <v>28.5</v>
      </c>
    </row>
    <row r="233" ht="12.9" customHeight="1">
      <c r="A233" t="s" s="10">
        <v>2017</v>
      </c>
      <c r="B233" t="s" s="11">
        <v>1500</v>
      </c>
      <c r="C233" s="12">
        <v>45425</v>
      </c>
      <c r="D233" t="s" s="13">
        <v>861</v>
      </c>
      <c r="E233" s="16"/>
      <c r="F233" s="14">
        <v>1</v>
      </c>
      <c r="G233" s="15">
        <v>64.3</v>
      </c>
      <c r="H233" s="15">
        <v>64.3</v>
      </c>
    </row>
    <row r="234" ht="12.9" customHeight="1">
      <c r="A234" t="s" s="10">
        <v>2017</v>
      </c>
      <c r="B234" t="s" s="11">
        <v>1500</v>
      </c>
      <c r="C234" s="12">
        <v>45425</v>
      </c>
      <c r="D234" t="s" s="13">
        <v>299</v>
      </c>
      <c r="E234" t="s" s="13">
        <v>300</v>
      </c>
      <c r="F234" s="14">
        <v>14</v>
      </c>
      <c r="G234" s="15">
        <v>52.4925</v>
      </c>
      <c r="H234" s="15">
        <v>734.895</v>
      </c>
    </row>
    <row r="235" ht="12.9" customHeight="1">
      <c r="A235" t="s" s="10">
        <v>2018</v>
      </c>
      <c r="B235" t="s" s="11">
        <v>704</v>
      </c>
      <c r="C235" s="12">
        <v>45425</v>
      </c>
      <c r="D235" t="s" s="13">
        <v>73</v>
      </c>
      <c r="E235" t="s" s="13">
        <v>74</v>
      </c>
      <c r="F235" s="14">
        <v>4</v>
      </c>
      <c r="G235" s="15">
        <v>299.9925</v>
      </c>
      <c r="H235" s="15">
        <v>1199.97</v>
      </c>
    </row>
    <row r="236" ht="12.9" customHeight="1">
      <c r="A236" t="s" s="10">
        <v>2019</v>
      </c>
      <c r="B236" t="s" s="11">
        <v>1994</v>
      </c>
      <c r="C236" s="12">
        <v>45425</v>
      </c>
      <c r="D236" t="s" s="13">
        <v>35</v>
      </c>
      <c r="E236" t="s" s="13">
        <v>36</v>
      </c>
      <c r="F236" s="14">
        <v>1</v>
      </c>
      <c r="G236" s="15">
        <v>49.99</v>
      </c>
      <c r="H236" s="15">
        <v>49.99</v>
      </c>
    </row>
    <row r="237" ht="12.9" customHeight="1">
      <c r="A237" t="s" s="10">
        <v>2020</v>
      </c>
      <c r="B237" t="s" s="11">
        <v>2021</v>
      </c>
      <c r="C237" s="12">
        <v>45425</v>
      </c>
      <c r="D237" t="s" s="13">
        <v>23</v>
      </c>
      <c r="E237" t="s" s="13">
        <v>24</v>
      </c>
      <c r="F237" s="14">
        <v>4</v>
      </c>
      <c r="G237" s="15">
        <v>149.99</v>
      </c>
      <c r="H237" s="15">
        <v>599.96</v>
      </c>
    </row>
    <row r="238" ht="12.9" customHeight="1">
      <c r="A238" t="s" s="10">
        <v>2022</v>
      </c>
      <c r="B238" t="s" s="11">
        <v>563</v>
      </c>
      <c r="C238" s="12">
        <v>45425</v>
      </c>
      <c r="D238" t="s" s="13">
        <v>63</v>
      </c>
      <c r="E238" s="16"/>
      <c r="F238" s="14">
        <v>1</v>
      </c>
      <c r="G238" s="15">
        <v>21.5</v>
      </c>
      <c r="H238" s="15">
        <v>21.5</v>
      </c>
    </row>
    <row r="239" ht="12.9" customHeight="1">
      <c r="A239" t="s" s="10">
        <v>2022</v>
      </c>
      <c r="B239" t="s" s="11">
        <v>563</v>
      </c>
      <c r="C239" s="12">
        <v>45425</v>
      </c>
      <c r="D239" t="s" s="13">
        <v>89</v>
      </c>
      <c r="E239" t="s" s="13">
        <v>90</v>
      </c>
      <c r="F239" s="14">
        <v>3</v>
      </c>
      <c r="G239" s="15">
        <v>44.9925</v>
      </c>
      <c r="H239" s="15">
        <v>134.9775</v>
      </c>
    </row>
    <row r="240" ht="12.9" customHeight="1">
      <c r="A240" t="s" s="10">
        <v>2023</v>
      </c>
      <c r="B240" t="s" s="11">
        <v>2024</v>
      </c>
      <c r="C240" s="12">
        <v>45424.9318306713</v>
      </c>
      <c r="D240" t="s" s="13">
        <v>11</v>
      </c>
      <c r="E240" t="s" s="13">
        <v>12</v>
      </c>
      <c r="F240" s="14">
        <v>1</v>
      </c>
      <c r="G240" s="15">
        <v>399.99</v>
      </c>
      <c r="H240" s="15">
        <v>399.99</v>
      </c>
    </row>
    <row r="241" ht="12.9" customHeight="1">
      <c r="A241" t="s" s="10">
        <v>2025</v>
      </c>
      <c r="B241" t="s" s="11">
        <v>803</v>
      </c>
      <c r="C241" s="12">
        <v>45424.870712638891</v>
      </c>
      <c r="D241" t="s" s="13">
        <v>11</v>
      </c>
      <c r="E241" t="s" s="13">
        <v>12</v>
      </c>
      <c r="F241" s="14">
        <v>1</v>
      </c>
      <c r="G241" s="15">
        <v>399.99</v>
      </c>
      <c r="H241" s="15">
        <v>399.99</v>
      </c>
    </row>
    <row r="242" ht="12.9" customHeight="1">
      <c r="A242" t="s" s="10">
        <v>2026</v>
      </c>
      <c r="B242" t="s" s="11">
        <v>2027</v>
      </c>
      <c r="C242" s="12">
        <v>45424.859155636572</v>
      </c>
      <c r="D242" t="s" s="13">
        <v>35</v>
      </c>
      <c r="E242" t="s" s="13">
        <v>36</v>
      </c>
      <c r="F242" s="14">
        <v>2</v>
      </c>
      <c r="G242" s="15">
        <v>49.99</v>
      </c>
      <c r="H242" s="15">
        <v>99.98</v>
      </c>
    </row>
    <row r="243" ht="12.9" customHeight="1">
      <c r="A243" t="s" s="10">
        <v>2028</v>
      </c>
      <c r="B243" t="s" s="11">
        <v>2029</v>
      </c>
      <c r="C243" s="12">
        <v>45424.713832465277</v>
      </c>
      <c r="D243" t="s" s="13">
        <v>54</v>
      </c>
      <c r="E243" t="s" s="13">
        <v>93</v>
      </c>
      <c r="F243" s="14">
        <v>2</v>
      </c>
      <c r="G243" s="15">
        <v>9.99</v>
      </c>
      <c r="H243" s="15">
        <v>19.98</v>
      </c>
    </row>
    <row r="244" ht="12.9" customHeight="1">
      <c r="A244" t="s" s="10">
        <v>2030</v>
      </c>
      <c r="B244" t="s" s="11">
        <v>2031</v>
      </c>
      <c r="C244" s="12">
        <v>45424.594465474540</v>
      </c>
      <c r="D244" t="s" s="13">
        <v>95</v>
      </c>
      <c r="E244" t="s" s="13">
        <v>12</v>
      </c>
      <c r="F244" s="14">
        <v>1</v>
      </c>
      <c r="G244" s="15">
        <v>349.99</v>
      </c>
      <c r="H244" s="15">
        <v>349.99</v>
      </c>
    </row>
    <row r="245" ht="12.9" customHeight="1">
      <c r="A245" t="s" s="10">
        <v>2032</v>
      </c>
      <c r="B245" t="s" s="11">
        <v>2033</v>
      </c>
      <c r="C245" s="12">
        <v>45424.163111226851</v>
      </c>
      <c r="D245" t="s" s="13">
        <v>73</v>
      </c>
      <c r="E245" t="s" s="13">
        <v>74</v>
      </c>
      <c r="F245" s="14">
        <v>1</v>
      </c>
      <c r="G245" s="15">
        <v>399.99</v>
      </c>
      <c r="H245" s="15">
        <v>399.99</v>
      </c>
    </row>
    <row r="246" ht="12.9" customHeight="1">
      <c r="A246" t="s" s="10">
        <v>2034</v>
      </c>
      <c r="B246" t="s" s="11">
        <v>2035</v>
      </c>
      <c r="C246" s="12">
        <v>45423.758309594908</v>
      </c>
      <c r="D246" t="s" s="13">
        <v>35</v>
      </c>
      <c r="E246" t="s" s="13">
        <v>36</v>
      </c>
      <c r="F246" s="14">
        <v>2</v>
      </c>
      <c r="G246" s="15">
        <v>49.99</v>
      </c>
      <c r="H246" s="15">
        <v>99.98</v>
      </c>
    </row>
    <row r="247" ht="12.9" customHeight="1">
      <c r="A247" t="s" s="10">
        <v>2036</v>
      </c>
      <c r="B247" t="s" s="11">
        <v>2037</v>
      </c>
      <c r="C247" s="12">
        <v>45423.658875092595</v>
      </c>
      <c r="D247" t="s" s="13">
        <v>27</v>
      </c>
      <c r="E247" t="s" s="13">
        <v>28</v>
      </c>
      <c r="F247" s="14">
        <v>1</v>
      </c>
      <c r="G247" s="15">
        <v>79.98999999999999</v>
      </c>
      <c r="H247" s="15">
        <v>79.98999999999999</v>
      </c>
    </row>
    <row r="248" ht="12.9" customHeight="1">
      <c r="A248" t="s" s="10">
        <v>2038</v>
      </c>
      <c r="B248" t="s" s="11">
        <v>2029</v>
      </c>
      <c r="C248" s="12">
        <v>45423.583942604164</v>
      </c>
      <c r="D248" t="s" s="13">
        <v>35</v>
      </c>
      <c r="E248" t="s" s="13">
        <v>36</v>
      </c>
      <c r="F248" s="14">
        <v>2</v>
      </c>
      <c r="G248" s="15">
        <v>49.99</v>
      </c>
      <c r="H248" s="15">
        <v>99.98</v>
      </c>
    </row>
    <row r="249" ht="12.9" customHeight="1">
      <c r="A249" t="s" s="10">
        <v>2039</v>
      </c>
      <c r="B249" t="s" s="11">
        <v>2040</v>
      </c>
      <c r="C249" s="12">
        <v>45422.897153842590</v>
      </c>
      <c r="D249" t="s" s="13">
        <v>31</v>
      </c>
      <c r="E249" t="s" s="13">
        <v>32</v>
      </c>
      <c r="F249" s="14">
        <v>1</v>
      </c>
      <c r="G249" s="15">
        <v>599.99</v>
      </c>
      <c r="H249" s="15">
        <v>599.99</v>
      </c>
    </row>
    <row r="250" ht="12.9" customHeight="1">
      <c r="A250" t="s" s="10">
        <v>2041</v>
      </c>
      <c r="B250" t="s" s="11">
        <v>2042</v>
      </c>
      <c r="C250" s="12">
        <v>45422.850118206021</v>
      </c>
      <c r="D250" t="s" s="13">
        <v>179</v>
      </c>
      <c r="E250" t="s" s="13">
        <v>180</v>
      </c>
      <c r="F250" s="14">
        <v>2</v>
      </c>
      <c r="G250" s="15">
        <v>49.99</v>
      </c>
      <c r="H250" s="15">
        <v>99.98</v>
      </c>
    </row>
    <row r="251" ht="12.9" customHeight="1">
      <c r="A251" t="s" s="10">
        <v>2041</v>
      </c>
      <c r="B251" t="s" s="11">
        <v>2042</v>
      </c>
      <c r="C251" s="12">
        <v>45422.850118206021</v>
      </c>
      <c r="D251" t="s" s="13">
        <v>81</v>
      </c>
      <c r="E251" t="s" s="13">
        <v>82</v>
      </c>
      <c r="F251" s="14">
        <v>2</v>
      </c>
      <c r="G251" s="15">
        <v>849.99</v>
      </c>
      <c r="H251" s="15">
        <v>1699.98</v>
      </c>
    </row>
    <row r="252" ht="12.9" customHeight="1">
      <c r="A252" t="s" s="10">
        <v>2041</v>
      </c>
      <c r="B252" t="s" s="11">
        <v>2042</v>
      </c>
      <c r="C252" s="12">
        <v>45422.850118206021</v>
      </c>
      <c r="D252" t="s" s="13">
        <v>23</v>
      </c>
      <c r="E252" t="s" s="13">
        <v>24</v>
      </c>
      <c r="F252" s="14">
        <v>2</v>
      </c>
      <c r="G252" s="15">
        <v>0</v>
      </c>
      <c r="H252" s="15">
        <v>0</v>
      </c>
    </row>
    <row r="253" ht="12.9" customHeight="1">
      <c r="A253" t="s" s="10">
        <v>2041</v>
      </c>
      <c r="B253" t="s" s="11">
        <v>2042</v>
      </c>
      <c r="C253" s="12">
        <v>45422.850118206021</v>
      </c>
      <c r="D253" t="s" s="13">
        <v>50</v>
      </c>
      <c r="E253" t="s" s="13">
        <v>83</v>
      </c>
      <c r="F253" s="14">
        <v>2</v>
      </c>
      <c r="G253" s="15">
        <v>0</v>
      </c>
      <c r="H253" s="15">
        <v>0</v>
      </c>
    </row>
    <row r="254" ht="12.9" customHeight="1">
      <c r="A254" t="s" s="10">
        <v>2041</v>
      </c>
      <c r="B254" t="s" s="11">
        <v>2042</v>
      </c>
      <c r="C254" s="12">
        <v>45422.850118206021</v>
      </c>
      <c r="D254" t="s" s="13">
        <v>84</v>
      </c>
      <c r="E254" t="s" s="13">
        <v>85</v>
      </c>
      <c r="F254" s="14">
        <v>2</v>
      </c>
      <c r="G254" s="15">
        <v>0</v>
      </c>
      <c r="H254" s="15">
        <v>0</v>
      </c>
    </row>
    <row r="255" ht="12.9" customHeight="1">
      <c r="A255" t="s" s="10">
        <v>2041</v>
      </c>
      <c r="B255" t="s" s="11">
        <v>2042</v>
      </c>
      <c r="C255" s="12">
        <v>45422.850118206021</v>
      </c>
      <c r="D255" t="s" s="13">
        <v>19</v>
      </c>
      <c r="E255" t="s" s="13">
        <v>20</v>
      </c>
      <c r="F255" s="14">
        <v>2</v>
      </c>
      <c r="G255" s="15">
        <v>119.99</v>
      </c>
      <c r="H255" s="15">
        <v>239.98</v>
      </c>
    </row>
    <row r="256" ht="12.9" customHeight="1">
      <c r="A256" t="s" s="10">
        <v>2043</v>
      </c>
      <c r="B256" t="s" s="11">
        <v>2044</v>
      </c>
      <c r="C256" s="12">
        <v>45422.768873773151</v>
      </c>
      <c r="D256" t="s" s="13">
        <v>95</v>
      </c>
      <c r="E256" t="s" s="13">
        <v>12</v>
      </c>
      <c r="F256" s="14">
        <v>2</v>
      </c>
      <c r="G256" s="15">
        <v>349.99</v>
      </c>
      <c r="H256" s="15">
        <v>699.98</v>
      </c>
    </row>
    <row r="257" ht="12.9" customHeight="1">
      <c r="A257" t="s" s="10">
        <v>2045</v>
      </c>
      <c r="B257" t="s" s="11">
        <v>2046</v>
      </c>
      <c r="C257" s="12">
        <v>45422.573890740743</v>
      </c>
      <c r="D257" t="s" s="13">
        <v>95</v>
      </c>
      <c r="E257" t="s" s="13">
        <v>12</v>
      </c>
      <c r="F257" s="14">
        <v>1</v>
      </c>
      <c r="G257" s="15">
        <v>349.99</v>
      </c>
      <c r="H257" s="15">
        <v>349.99</v>
      </c>
    </row>
    <row r="258" ht="12.9" customHeight="1">
      <c r="A258" t="s" s="10">
        <v>2047</v>
      </c>
      <c r="B258" t="s" s="11">
        <v>2048</v>
      </c>
      <c r="C258" s="12">
        <v>45422.072420543984</v>
      </c>
      <c r="D258" t="s" s="13">
        <v>35</v>
      </c>
      <c r="E258" t="s" s="13">
        <v>36</v>
      </c>
      <c r="F258" s="14">
        <v>4</v>
      </c>
      <c r="G258" s="15">
        <v>49.99</v>
      </c>
      <c r="H258" s="15">
        <v>199.96</v>
      </c>
    </row>
    <row r="259" ht="12.9" customHeight="1">
      <c r="A259" t="s" s="10">
        <v>2049</v>
      </c>
      <c r="B259" t="s" s="11">
        <v>777</v>
      </c>
      <c r="C259" s="12">
        <v>45422</v>
      </c>
      <c r="D259" t="s" s="13">
        <v>882</v>
      </c>
      <c r="E259" t="s" s="13">
        <v>1100</v>
      </c>
      <c r="F259" s="14">
        <v>4</v>
      </c>
      <c r="G259" s="15">
        <v>94.98999999999999</v>
      </c>
      <c r="H259" s="15">
        <v>379.96</v>
      </c>
    </row>
    <row r="260" ht="12.9" customHeight="1">
      <c r="A260" t="s" s="10">
        <v>2049</v>
      </c>
      <c r="B260" t="s" s="11">
        <v>777</v>
      </c>
      <c r="C260" s="12">
        <v>45422</v>
      </c>
      <c r="D260" t="s" s="13">
        <v>778</v>
      </c>
      <c r="E260" t="s" s="13">
        <v>779</v>
      </c>
      <c r="F260" s="14">
        <v>3</v>
      </c>
      <c r="G260" s="15">
        <v>299.99</v>
      </c>
      <c r="H260" s="15">
        <v>899.97</v>
      </c>
    </row>
    <row r="261" ht="12.9" customHeight="1">
      <c r="A261" t="s" s="10">
        <v>2049</v>
      </c>
      <c r="B261" t="s" s="11">
        <v>777</v>
      </c>
      <c r="C261" s="12">
        <v>45422</v>
      </c>
      <c r="D261" t="s" s="13">
        <v>2050</v>
      </c>
      <c r="E261" s="16"/>
      <c r="F261" s="14">
        <v>1</v>
      </c>
      <c r="G261" s="15">
        <v>0</v>
      </c>
      <c r="H261" s="15">
        <v>0</v>
      </c>
    </row>
    <row r="262" ht="12.9" customHeight="1">
      <c r="A262" t="s" s="10">
        <v>2049</v>
      </c>
      <c r="B262" t="s" s="11">
        <v>777</v>
      </c>
      <c r="C262" s="12">
        <v>45422</v>
      </c>
      <c r="D262" t="s" s="13">
        <v>780</v>
      </c>
      <c r="E262" t="s" s="13">
        <v>780</v>
      </c>
      <c r="F262" s="14">
        <v>3</v>
      </c>
      <c r="G262" s="15">
        <v>0</v>
      </c>
      <c r="H262" s="15">
        <v>0</v>
      </c>
    </row>
    <row r="263" ht="12.9" customHeight="1">
      <c r="A263" t="s" s="10">
        <v>2051</v>
      </c>
      <c r="B263" t="s" s="11">
        <v>1991</v>
      </c>
      <c r="C263" s="12">
        <v>45421.893233206021</v>
      </c>
      <c r="D263" t="s" s="13">
        <v>602</v>
      </c>
      <c r="E263" t="s" s="13">
        <v>686</v>
      </c>
      <c r="F263" s="14">
        <v>1</v>
      </c>
      <c r="G263" s="15">
        <v>299.99</v>
      </c>
      <c r="H263" s="15">
        <v>299.99</v>
      </c>
    </row>
    <row r="264" ht="12.9" customHeight="1">
      <c r="A264" t="s" s="10">
        <v>2052</v>
      </c>
      <c r="B264" t="s" s="11">
        <v>2053</v>
      </c>
      <c r="C264" s="12">
        <v>45421.572137002317</v>
      </c>
      <c r="D264" t="s" s="13">
        <v>73</v>
      </c>
      <c r="E264" t="s" s="13">
        <v>74</v>
      </c>
      <c r="F264" s="14">
        <v>1</v>
      </c>
      <c r="G264" s="15">
        <v>399.99</v>
      </c>
      <c r="H264" s="15">
        <v>399.99</v>
      </c>
    </row>
    <row r="265" ht="12.9" customHeight="1">
      <c r="A265" t="s" s="10">
        <v>2054</v>
      </c>
      <c r="B265" t="s" s="11">
        <v>1956</v>
      </c>
      <c r="C265" s="12">
        <v>45421.240505914349</v>
      </c>
      <c r="D265" t="s" s="13">
        <v>81</v>
      </c>
      <c r="E265" t="s" s="13">
        <v>82</v>
      </c>
      <c r="F265" s="14">
        <v>1</v>
      </c>
      <c r="G265" s="15">
        <v>849.99</v>
      </c>
      <c r="H265" s="15">
        <v>849.99</v>
      </c>
    </row>
    <row r="266" ht="12.9" customHeight="1">
      <c r="A266" t="s" s="10">
        <v>2054</v>
      </c>
      <c r="B266" t="s" s="11">
        <v>1956</v>
      </c>
      <c r="C266" s="12">
        <v>45421.240505914349</v>
      </c>
      <c r="D266" t="s" s="13">
        <v>50</v>
      </c>
      <c r="E266" t="s" s="13">
        <v>83</v>
      </c>
      <c r="F266" s="14">
        <v>1</v>
      </c>
      <c r="G266" s="15">
        <v>0</v>
      </c>
      <c r="H266" s="15">
        <v>0</v>
      </c>
    </row>
    <row r="267" ht="12.9" customHeight="1">
      <c r="A267" t="s" s="10">
        <v>2054</v>
      </c>
      <c r="B267" t="s" s="11">
        <v>1956</v>
      </c>
      <c r="C267" s="12">
        <v>45421.240505914349</v>
      </c>
      <c r="D267" t="s" s="13">
        <v>179</v>
      </c>
      <c r="E267" t="s" s="13">
        <v>180</v>
      </c>
      <c r="F267" s="14">
        <v>2</v>
      </c>
      <c r="G267" s="15">
        <v>49.99</v>
      </c>
      <c r="H267" s="15">
        <v>99.98</v>
      </c>
    </row>
    <row r="268" ht="12.9" customHeight="1">
      <c r="A268" t="s" s="10">
        <v>2054</v>
      </c>
      <c r="B268" t="s" s="11">
        <v>1956</v>
      </c>
      <c r="C268" s="12">
        <v>45421.240505914349</v>
      </c>
      <c r="D268" t="s" s="13">
        <v>23</v>
      </c>
      <c r="E268" t="s" s="13">
        <v>24</v>
      </c>
      <c r="F268" s="14">
        <v>1</v>
      </c>
      <c r="G268" s="15">
        <v>0</v>
      </c>
      <c r="H268" s="15">
        <v>0</v>
      </c>
    </row>
    <row r="269" ht="12.9" customHeight="1">
      <c r="A269" t="s" s="10">
        <v>2055</v>
      </c>
      <c r="B269" t="s" s="11">
        <v>2056</v>
      </c>
      <c r="C269" s="12">
        <v>45421.045394201392</v>
      </c>
      <c r="D269" t="s" s="13">
        <v>31</v>
      </c>
      <c r="E269" t="s" s="13">
        <v>32</v>
      </c>
      <c r="F269" s="14">
        <v>1</v>
      </c>
      <c r="G269" s="15">
        <v>599.99</v>
      </c>
      <c r="H269" s="15">
        <v>599.99</v>
      </c>
    </row>
    <row r="270" ht="12.9" customHeight="1">
      <c r="A270" t="s" s="10">
        <v>2057</v>
      </c>
      <c r="B270" t="s" s="11">
        <v>2058</v>
      </c>
      <c r="C270" s="12">
        <v>45421</v>
      </c>
      <c r="D270" t="s" s="13">
        <v>1097</v>
      </c>
      <c r="E270" t="s" s="13">
        <v>1098</v>
      </c>
      <c r="F270" s="14">
        <v>1</v>
      </c>
      <c r="G270" s="15">
        <v>0</v>
      </c>
      <c r="H270" s="15">
        <v>0</v>
      </c>
    </row>
    <row r="271" ht="12.9" customHeight="1">
      <c r="A271" t="s" s="10">
        <v>2059</v>
      </c>
      <c r="B271" t="s" s="11">
        <v>2060</v>
      </c>
      <c r="C271" s="12">
        <v>45420.823992511578</v>
      </c>
      <c r="D271" t="s" s="13">
        <v>23</v>
      </c>
      <c r="E271" t="s" s="13">
        <v>24</v>
      </c>
      <c r="F271" s="14">
        <v>1</v>
      </c>
      <c r="G271" s="15">
        <v>149.99</v>
      </c>
      <c r="H271" s="15">
        <v>149.99</v>
      </c>
    </row>
    <row r="272" ht="12.9" customHeight="1">
      <c r="A272" t="s" s="10">
        <v>2061</v>
      </c>
      <c r="B272" t="s" s="11">
        <v>212</v>
      </c>
      <c r="C272" s="12">
        <v>45420.786281261571</v>
      </c>
      <c r="D272" t="s" s="13">
        <v>73</v>
      </c>
      <c r="E272" t="s" s="13">
        <v>74</v>
      </c>
      <c r="F272" s="14">
        <v>1</v>
      </c>
      <c r="G272" s="15">
        <v>399.99</v>
      </c>
      <c r="H272" s="15">
        <v>399.99</v>
      </c>
    </row>
    <row r="273" ht="12.9" customHeight="1">
      <c r="A273" t="s" s="10">
        <v>2062</v>
      </c>
      <c r="B273" t="s" s="11">
        <v>212</v>
      </c>
      <c r="C273" s="12">
        <v>45420.784363692132</v>
      </c>
      <c r="D273" t="s" s="13">
        <v>15</v>
      </c>
      <c r="E273" t="s" s="13">
        <v>16</v>
      </c>
      <c r="F273" s="14">
        <v>2</v>
      </c>
      <c r="G273" s="15">
        <v>9.99</v>
      </c>
      <c r="H273" s="15">
        <v>19.98</v>
      </c>
    </row>
    <row r="274" ht="12.9" customHeight="1">
      <c r="A274" t="s" s="10">
        <v>2062</v>
      </c>
      <c r="B274" t="s" s="11">
        <v>212</v>
      </c>
      <c r="C274" s="12">
        <v>45420.784363692132</v>
      </c>
      <c r="D274" t="s" s="13">
        <v>31</v>
      </c>
      <c r="E274" t="s" s="13">
        <v>32</v>
      </c>
      <c r="F274" s="14">
        <v>2</v>
      </c>
      <c r="G274" s="15">
        <v>599.99</v>
      </c>
      <c r="H274" s="15">
        <v>1199.98</v>
      </c>
    </row>
    <row r="275" ht="12.9" customHeight="1">
      <c r="A275" t="s" s="10">
        <v>2063</v>
      </c>
      <c r="B275" t="s" s="11">
        <v>789</v>
      </c>
      <c r="C275" s="12">
        <v>45420.555543148148</v>
      </c>
      <c r="D275" t="s" s="13">
        <v>77</v>
      </c>
      <c r="E275" t="s" s="13">
        <v>78</v>
      </c>
      <c r="F275" s="14">
        <v>2</v>
      </c>
      <c r="G275" s="15">
        <v>19.99</v>
      </c>
      <c r="H275" s="15">
        <v>39.98</v>
      </c>
    </row>
    <row r="276" ht="12.9" customHeight="1">
      <c r="A276" t="s" s="10">
        <v>2063</v>
      </c>
      <c r="B276" t="s" s="11">
        <v>789</v>
      </c>
      <c r="C276" s="12">
        <v>45420.555543148148</v>
      </c>
      <c r="D276" t="s" s="13">
        <v>359</v>
      </c>
      <c r="E276" t="s" s="13">
        <v>360</v>
      </c>
      <c r="F276" s="14">
        <v>2</v>
      </c>
      <c r="G276" s="15">
        <v>29.99</v>
      </c>
      <c r="H276" s="15">
        <v>59.98</v>
      </c>
    </row>
    <row r="277" ht="12.9" customHeight="1">
      <c r="A277" t="s" s="10">
        <v>2064</v>
      </c>
      <c r="B277" t="s" s="11">
        <v>1716</v>
      </c>
      <c r="C277" s="12">
        <v>45420.309584814815</v>
      </c>
      <c r="D277" t="s" s="13">
        <v>146</v>
      </c>
      <c r="E277" t="s" s="13">
        <v>147</v>
      </c>
      <c r="F277" s="14">
        <v>1</v>
      </c>
      <c r="G277" s="15">
        <v>19.99</v>
      </c>
      <c r="H277" s="15">
        <v>19.99</v>
      </c>
    </row>
    <row r="278" ht="12.9" customHeight="1">
      <c r="A278" t="s" s="10">
        <v>2064</v>
      </c>
      <c r="B278" t="s" s="11">
        <v>1716</v>
      </c>
      <c r="C278" s="12">
        <v>45420.309584814815</v>
      </c>
      <c r="D278" t="s" s="13">
        <v>77</v>
      </c>
      <c r="E278" t="s" s="13">
        <v>78</v>
      </c>
      <c r="F278" s="14">
        <v>1</v>
      </c>
      <c r="G278" s="15">
        <v>19.99</v>
      </c>
      <c r="H278" s="15">
        <v>19.99</v>
      </c>
    </row>
    <row r="279" ht="12.9" customHeight="1">
      <c r="A279" t="s" s="10">
        <v>2064</v>
      </c>
      <c r="B279" t="s" s="11">
        <v>1716</v>
      </c>
      <c r="C279" s="12">
        <v>45420.309584814815</v>
      </c>
      <c r="D279" t="s" s="13">
        <v>359</v>
      </c>
      <c r="E279" t="s" s="13">
        <v>360</v>
      </c>
      <c r="F279" s="14">
        <v>1</v>
      </c>
      <c r="G279" s="15">
        <v>29.99</v>
      </c>
      <c r="H279" s="15">
        <v>29.99</v>
      </c>
    </row>
    <row r="280" ht="12.9" customHeight="1">
      <c r="A280" t="s" s="10">
        <v>2065</v>
      </c>
      <c r="B280" t="s" s="11">
        <v>2066</v>
      </c>
      <c r="C280" s="12">
        <v>45420</v>
      </c>
      <c r="D280" t="s" s="13">
        <v>63</v>
      </c>
      <c r="E280" s="16"/>
      <c r="F280" s="14">
        <v>1</v>
      </c>
      <c r="G280" s="15">
        <v>595.21</v>
      </c>
      <c r="H280" s="15">
        <v>595.21</v>
      </c>
    </row>
    <row r="281" ht="12.9" customHeight="1">
      <c r="A281" t="s" s="10">
        <v>2065</v>
      </c>
      <c r="B281" t="s" s="11">
        <v>2066</v>
      </c>
      <c r="C281" s="12">
        <v>45420</v>
      </c>
      <c r="D281" t="s" s="13">
        <v>73</v>
      </c>
      <c r="E281" t="s" s="13">
        <v>74</v>
      </c>
      <c r="F281" s="14">
        <v>3</v>
      </c>
      <c r="G281" s="15">
        <v>299.9925</v>
      </c>
      <c r="H281" s="15">
        <v>899.9775</v>
      </c>
    </row>
    <row r="282" ht="12.9" customHeight="1">
      <c r="A282" t="s" s="10">
        <v>2065</v>
      </c>
      <c r="B282" t="s" s="11">
        <v>2066</v>
      </c>
      <c r="C282" s="12">
        <v>45420</v>
      </c>
      <c r="D282" t="s" s="13">
        <v>59</v>
      </c>
      <c r="E282" t="s" s="13">
        <v>60</v>
      </c>
      <c r="F282" s="14">
        <v>2</v>
      </c>
      <c r="G282" s="15">
        <v>899.9924999999999</v>
      </c>
      <c r="H282" s="15">
        <v>1799.985</v>
      </c>
    </row>
    <row r="283" ht="12.9" customHeight="1">
      <c r="A283" t="s" s="10">
        <v>2065</v>
      </c>
      <c r="B283" t="s" s="11">
        <v>2066</v>
      </c>
      <c r="C283" s="12">
        <v>45420</v>
      </c>
      <c r="D283" t="s" s="13">
        <v>143</v>
      </c>
      <c r="E283" t="s" s="13">
        <v>144</v>
      </c>
      <c r="F283" s="14">
        <v>3</v>
      </c>
      <c r="G283" s="15">
        <v>2399.9925</v>
      </c>
      <c r="H283" s="15">
        <v>7199.9775</v>
      </c>
    </row>
    <row r="284" ht="12.9" customHeight="1">
      <c r="A284" t="s" s="10">
        <v>2065</v>
      </c>
      <c r="B284" t="s" s="11">
        <v>2066</v>
      </c>
      <c r="C284" s="12">
        <v>45420</v>
      </c>
      <c r="D284" t="s" s="13">
        <v>27</v>
      </c>
      <c r="E284" t="s" s="13">
        <v>28</v>
      </c>
      <c r="F284" s="14">
        <v>1</v>
      </c>
      <c r="G284" s="15">
        <v>59.9925</v>
      </c>
      <c r="H284" s="15">
        <v>59.9925</v>
      </c>
    </row>
    <row r="285" ht="12.9" customHeight="1">
      <c r="A285" t="s" s="10">
        <v>2067</v>
      </c>
      <c r="B285" t="s" s="11">
        <v>391</v>
      </c>
      <c r="C285" s="12">
        <v>45420</v>
      </c>
      <c r="D285" t="s" s="13">
        <v>63</v>
      </c>
      <c r="E285" s="16"/>
      <c r="F285" s="14">
        <v>1</v>
      </c>
      <c r="G285" s="15">
        <v>38.45</v>
      </c>
      <c r="H285" s="15">
        <v>38.45</v>
      </c>
    </row>
    <row r="286" ht="12.9" customHeight="1">
      <c r="A286" t="s" s="10">
        <v>2067</v>
      </c>
      <c r="B286" t="s" s="11">
        <v>391</v>
      </c>
      <c r="C286" s="12">
        <v>45420</v>
      </c>
      <c r="D286" t="s" s="13">
        <v>109</v>
      </c>
      <c r="E286" t="s" s="13">
        <v>109</v>
      </c>
      <c r="F286" s="14">
        <v>4</v>
      </c>
      <c r="G286" s="15">
        <v>90</v>
      </c>
      <c r="H286" s="15">
        <v>360</v>
      </c>
    </row>
    <row r="287" ht="12.9" customHeight="1">
      <c r="A287" t="s" s="10">
        <v>2067</v>
      </c>
      <c r="B287" t="s" s="11">
        <v>391</v>
      </c>
      <c r="C287" s="12">
        <v>45420</v>
      </c>
      <c r="D287" t="s" s="13">
        <v>775</v>
      </c>
      <c r="E287" t="s" s="13">
        <v>775</v>
      </c>
      <c r="F287" s="14">
        <v>4</v>
      </c>
      <c r="G287" s="15">
        <v>35</v>
      </c>
      <c r="H287" s="15">
        <v>140</v>
      </c>
    </row>
    <row r="288" ht="12.9" customHeight="1">
      <c r="A288" t="s" s="10">
        <v>2067</v>
      </c>
      <c r="B288" t="s" s="11">
        <v>391</v>
      </c>
      <c r="C288" s="12">
        <v>45420</v>
      </c>
      <c r="D288" t="s" s="13">
        <v>1619</v>
      </c>
      <c r="E288" t="s" s="13">
        <v>1620</v>
      </c>
      <c r="F288" s="14">
        <v>4</v>
      </c>
      <c r="G288" s="15">
        <v>0</v>
      </c>
      <c r="H288" s="15">
        <v>0</v>
      </c>
    </row>
    <row r="289" ht="12.9" customHeight="1">
      <c r="A289" t="s" s="10">
        <v>2068</v>
      </c>
      <c r="B289" t="s" s="11">
        <v>2069</v>
      </c>
      <c r="C289" s="12">
        <v>45420</v>
      </c>
      <c r="D289" t="s" s="13">
        <v>19</v>
      </c>
      <c r="E289" t="s" s="13">
        <v>20</v>
      </c>
      <c r="F289" s="14">
        <v>1</v>
      </c>
      <c r="G289" s="15">
        <v>0</v>
      </c>
      <c r="H289" s="15">
        <v>0</v>
      </c>
    </row>
    <row r="290" ht="12.9" customHeight="1">
      <c r="A290" t="s" s="10">
        <v>2070</v>
      </c>
      <c r="B290" t="s" s="11">
        <v>592</v>
      </c>
      <c r="C290" s="12">
        <v>45420</v>
      </c>
      <c r="D290" t="s" s="13">
        <v>2071</v>
      </c>
      <c r="E290" t="s" s="13">
        <v>2072</v>
      </c>
      <c r="F290" s="14">
        <v>5</v>
      </c>
      <c r="G290" s="15">
        <v>0</v>
      </c>
      <c r="H290" s="15">
        <v>0</v>
      </c>
    </row>
    <row r="291" ht="12.9" customHeight="1">
      <c r="A291" t="s" s="10">
        <v>2070</v>
      </c>
      <c r="B291" t="s" s="11">
        <v>592</v>
      </c>
      <c r="C291" s="12">
        <v>45420</v>
      </c>
      <c r="D291" t="s" s="13">
        <v>2073</v>
      </c>
      <c r="E291" t="s" s="13">
        <v>2074</v>
      </c>
      <c r="F291" s="14">
        <v>10</v>
      </c>
      <c r="G291" s="15">
        <v>0</v>
      </c>
      <c r="H291" s="15">
        <v>0</v>
      </c>
    </row>
    <row r="292" ht="12.9" customHeight="1">
      <c r="A292" t="s" s="10">
        <v>2075</v>
      </c>
      <c r="B292" t="s" s="11">
        <v>391</v>
      </c>
      <c r="C292" s="12">
        <v>45420</v>
      </c>
      <c r="D292" t="s" s="13">
        <v>63</v>
      </c>
      <c r="E292" s="16"/>
      <c r="F292" s="14">
        <v>1</v>
      </c>
      <c r="G292" s="15">
        <v>66.8</v>
      </c>
      <c r="H292" s="15">
        <v>66.8</v>
      </c>
    </row>
    <row r="293" ht="12.9" customHeight="1">
      <c r="A293" t="s" s="10">
        <v>2075</v>
      </c>
      <c r="B293" t="s" s="11">
        <v>391</v>
      </c>
      <c r="C293" s="12">
        <v>45420</v>
      </c>
      <c r="D293" t="s" s="13">
        <v>585</v>
      </c>
      <c r="E293" t="s" s="13">
        <v>586</v>
      </c>
      <c r="F293" s="14">
        <v>4</v>
      </c>
      <c r="G293" s="15">
        <v>374.9925</v>
      </c>
      <c r="H293" s="15">
        <v>1499.97</v>
      </c>
    </row>
    <row r="294" ht="12.9" customHeight="1">
      <c r="A294" t="s" s="10">
        <v>2075</v>
      </c>
      <c r="B294" t="s" s="11">
        <v>391</v>
      </c>
      <c r="C294" s="12">
        <v>45420</v>
      </c>
      <c r="D294" t="s" s="13">
        <v>587</v>
      </c>
      <c r="E294" t="s" s="13">
        <v>1878</v>
      </c>
      <c r="F294" s="14">
        <v>4</v>
      </c>
      <c r="G294" s="15">
        <v>0</v>
      </c>
      <c r="H294" s="15">
        <v>0</v>
      </c>
    </row>
    <row r="295" ht="12.9" customHeight="1">
      <c r="A295" t="s" s="10">
        <v>2075</v>
      </c>
      <c r="B295" t="s" s="11">
        <v>391</v>
      </c>
      <c r="C295" s="12">
        <v>45420</v>
      </c>
      <c r="D295" t="s" s="13">
        <v>1791</v>
      </c>
      <c r="E295" t="s" s="13">
        <v>1792</v>
      </c>
      <c r="F295" s="14">
        <v>4</v>
      </c>
      <c r="G295" s="15">
        <v>0</v>
      </c>
      <c r="H295" s="15">
        <v>0</v>
      </c>
    </row>
    <row r="296" ht="12.9" customHeight="1">
      <c r="A296" t="s" s="10">
        <v>2076</v>
      </c>
      <c r="B296" t="s" s="11">
        <v>2058</v>
      </c>
      <c r="C296" s="12">
        <v>45420</v>
      </c>
      <c r="D296" t="s" s="13">
        <v>1097</v>
      </c>
      <c r="E296" t="s" s="13">
        <v>1098</v>
      </c>
      <c r="F296" s="14">
        <v>2</v>
      </c>
      <c r="G296" s="15">
        <v>0</v>
      </c>
      <c r="H296" s="15">
        <v>0</v>
      </c>
    </row>
    <row r="297" ht="12.9" customHeight="1">
      <c r="A297" t="s" s="10">
        <v>2077</v>
      </c>
      <c r="B297" t="s" s="11">
        <v>2078</v>
      </c>
      <c r="C297" s="12">
        <v>45419.863969351849</v>
      </c>
      <c r="D297" t="s" s="13">
        <v>31</v>
      </c>
      <c r="E297" t="s" s="13">
        <v>32</v>
      </c>
      <c r="F297" s="14">
        <v>1</v>
      </c>
      <c r="G297" s="15">
        <v>599.99</v>
      </c>
      <c r="H297" s="15">
        <v>599.99</v>
      </c>
    </row>
    <row r="298" ht="12.9" customHeight="1">
      <c r="A298" t="s" s="10">
        <v>2079</v>
      </c>
      <c r="B298" t="s" s="11">
        <v>2080</v>
      </c>
      <c r="C298" s="12">
        <v>45419.8109891088</v>
      </c>
      <c r="D298" t="s" s="13">
        <v>50</v>
      </c>
      <c r="E298" t="s" s="13">
        <v>83</v>
      </c>
      <c r="F298" s="14">
        <v>7</v>
      </c>
      <c r="G298" s="15">
        <v>29.99</v>
      </c>
      <c r="H298" s="15">
        <v>209.93</v>
      </c>
    </row>
    <row r="299" ht="12.9" customHeight="1">
      <c r="A299" t="s" s="10">
        <v>2081</v>
      </c>
      <c r="B299" t="s" s="11">
        <v>2082</v>
      </c>
      <c r="C299" s="12">
        <v>45419.089727523147</v>
      </c>
      <c r="D299" t="s" s="13">
        <v>95</v>
      </c>
      <c r="E299" t="s" s="13">
        <v>12</v>
      </c>
      <c r="F299" s="14">
        <v>1</v>
      </c>
      <c r="G299" s="15">
        <v>349.99</v>
      </c>
      <c r="H299" s="15">
        <v>349.99</v>
      </c>
    </row>
    <row r="300" ht="12.9" customHeight="1">
      <c r="A300" t="s" s="10">
        <v>2083</v>
      </c>
      <c r="B300" t="s" s="11">
        <v>2084</v>
      </c>
      <c r="C300" s="12">
        <v>45419</v>
      </c>
      <c r="D300" t="s" s="13">
        <v>254</v>
      </c>
      <c r="E300" t="s" s="13">
        <v>771</v>
      </c>
      <c r="F300" s="14">
        <v>1</v>
      </c>
      <c r="G300" s="15">
        <v>0</v>
      </c>
      <c r="H300" s="15">
        <v>0</v>
      </c>
    </row>
    <row r="301" ht="12.9" customHeight="1">
      <c r="A301" t="s" s="10">
        <v>2085</v>
      </c>
      <c r="B301" t="s" s="11">
        <v>1820</v>
      </c>
      <c r="C301" s="12">
        <v>45419</v>
      </c>
      <c r="D301" t="s" s="13">
        <v>47</v>
      </c>
      <c r="E301" s="16"/>
      <c r="F301" s="14">
        <v>1</v>
      </c>
      <c r="G301" s="15">
        <v>75.61</v>
      </c>
      <c r="H301" s="15">
        <v>75.61</v>
      </c>
    </row>
    <row r="302" ht="12.9" customHeight="1">
      <c r="A302" t="s" s="10">
        <v>2085</v>
      </c>
      <c r="B302" t="s" s="11">
        <v>1820</v>
      </c>
      <c r="C302" s="12">
        <v>45419</v>
      </c>
      <c r="D302" t="s" s="13">
        <v>19</v>
      </c>
      <c r="E302" t="s" s="13">
        <v>20</v>
      </c>
      <c r="F302" s="14">
        <v>8</v>
      </c>
      <c r="G302" s="15">
        <v>119.99</v>
      </c>
      <c r="H302" s="15">
        <v>959.92</v>
      </c>
    </row>
    <row r="303" ht="12.9" customHeight="1">
      <c r="A303" t="s" s="10">
        <v>2086</v>
      </c>
      <c r="B303" t="s" s="11">
        <v>2087</v>
      </c>
      <c r="C303" s="12">
        <v>45419</v>
      </c>
      <c r="D303" t="s" s="13">
        <v>207</v>
      </c>
      <c r="E303" t="s" s="13">
        <v>208</v>
      </c>
      <c r="F303" s="14">
        <v>2</v>
      </c>
      <c r="G303" s="15">
        <v>0</v>
      </c>
      <c r="H303" s="15">
        <v>0</v>
      </c>
    </row>
    <row r="304" ht="12.9" customHeight="1">
      <c r="A304" t="s" s="10">
        <v>2088</v>
      </c>
      <c r="B304" t="s" s="11">
        <v>391</v>
      </c>
      <c r="C304" s="12">
        <v>45419</v>
      </c>
      <c r="D304" t="s" s="13">
        <v>63</v>
      </c>
      <c r="E304" s="16"/>
      <c r="F304" s="14">
        <v>1</v>
      </c>
      <c r="G304" s="15">
        <v>39.4</v>
      </c>
      <c r="H304" s="15">
        <v>39.4</v>
      </c>
    </row>
    <row r="305" ht="12.9" customHeight="1">
      <c r="A305" t="s" s="10">
        <v>2088</v>
      </c>
      <c r="B305" t="s" s="11">
        <v>391</v>
      </c>
      <c r="C305" s="12">
        <v>45419</v>
      </c>
      <c r="D305" t="s" s="13">
        <v>2089</v>
      </c>
      <c r="E305" t="s" s="13">
        <v>112</v>
      </c>
      <c r="F305" s="14">
        <v>1</v>
      </c>
      <c r="G305" s="15">
        <v>374.9925</v>
      </c>
      <c r="H305" s="15">
        <v>374.9925</v>
      </c>
    </row>
    <row r="306" ht="12.9" customHeight="1">
      <c r="A306" t="s" s="10">
        <v>2090</v>
      </c>
      <c r="B306" t="s" s="11">
        <v>2091</v>
      </c>
      <c r="C306" s="12">
        <v>45418.845809791666</v>
      </c>
      <c r="D306" t="s" s="13">
        <v>95</v>
      </c>
      <c r="E306" t="s" s="13">
        <v>12</v>
      </c>
      <c r="F306" s="14">
        <v>1</v>
      </c>
      <c r="G306" s="15">
        <v>349.99</v>
      </c>
      <c r="H306" s="15">
        <v>349.99</v>
      </c>
    </row>
    <row r="307" ht="12.9" customHeight="1">
      <c r="A307" t="s" s="10">
        <v>2092</v>
      </c>
      <c r="B307" t="s" s="11">
        <v>1956</v>
      </c>
      <c r="C307" s="12">
        <v>45418.845710011577</v>
      </c>
      <c r="D307" t="s" s="13">
        <v>73</v>
      </c>
      <c r="E307" t="s" s="13">
        <v>74</v>
      </c>
      <c r="F307" s="14">
        <v>1</v>
      </c>
      <c r="G307" s="15">
        <v>399.99</v>
      </c>
      <c r="H307" s="15">
        <v>399.99</v>
      </c>
    </row>
    <row r="308" ht="12.9" customHeight="1">
      <c r="A308" t="s" s="10">
        <v>2093</v>
      </c>
      <c r="B308" t="s" s="11">
        <v>2094</v>
      </c>
      <c r="C308" s="12">
        <v>45418.774094027780</v>
      </c>
      <c r="D308" t="s" s="13">
        <v>89</v>
      </c>
      <c r="E308" t="s" s="13">
        <v>90</v>
      </c>
      <c r="F308" s="14">
        <v>1</v>
      </c>
      <c r="G308" s="15">
        <v>59.99</v>
      </c>
      <c r="H308" s="15">
        <v>59.99</v>
      </c>
    </row>
    <row r="309" ht="12.9" customHeight="1">
      <c r="A309" t="s" s="10">
        <v>2095</v>
      </c>
      <c r="B309" t="s" s="11">
        <v>2096</v>
      </c>
      <c r="C309" s="12">
        <v>45418.681140416666</v>
      </c>
      <c r="D309" t="s" s="13">
        <v>31</v>
      </c>
      <c r="E309" t="s" s="13">
        <v>32</v>
      </c>
      <c r="F309" s="14">
        <v>1</v>
      </c>
      <c r="G309" s="15">
        <v>599.99</v>
      </c>
      <c r="H309" s="15">
        <v>599.99</v>
      </c>
    </row>
    <row r="310" ht="12.9" customHeight="1">
      <c r="A310" t="s" s="10">
        <v>2097</v>
      </c>
      <c r="B310" t="s" s="11">
        <v>1759</v>
      </c>
      <c r="C310" s="12">
        <v>45418</v>
      </c>
      <c r="D310" t="s" s="13">
        <v>1428</v>
      </c>
      <c r="E310" t="s" s="13">
        <v>1429</v>
      </c>
      <c r="F310" s="14">
        <v>1</v>
      </c>
      <c r="G310" s="15">
        <v>482.8404</v>
      </c>
      <c r="H310" s="15">
        <v>482.8404</v>
      </c>
    </row>
    <row r="311" ht="12.9" customHeight="1">
      <c r="A311" t="s" s="10">
        <v>2097</v>
      </c>
      <c r="B311" t="s" s="11">
        <v>1759</v>
      </c>
      <c r="C311" s="12">
        <v>45418</v>
      </c>
      <c r="D311" t="s" s="13">
        <v>47</v>
      </c>
      <c r="E311" s="16"/>
      <c r="F311" s="14">
        <v>1</v>
      </c>
      <c r="G311" s="15">
        <v>463.5</v>
      </c>
      <c r="H311" s="15">
        <v>463.5</v>
      </c>
    </row>
    <row r="312" ht="12.9" customHeight="1">
      <c r="A312" t="s" s="10">
        <v>2097</v>
      </c>
      <c r="B312" t="s" s="11">
        <v>1759</v>
      </c>
      <c r="C312" s="12">
        <v>45418</v>
      </c>
      <c r="D312" t="s" s="13">
        <v>48</v>
      </c>
      <c r="E312" t="s" s="13">
        <v>49</v>
      </c>
      <c r="F312" s="14">
        <v>8</v>
      </c>
      <c r="G312" s="15">
        <v>974.9924999999999</v>
      </c>
      <c r="H312" s="15">
        <v>7799.94</v>
      </c>
    </row>
    <row r="313" ht="12.9" customHeight="1">
      <c r="A313" t="s" s="10">
        <v>2097</v>
      </c>
      <c r="B313" t="s" s="11">
        <v>1759</v>
      </c>
      <c r="C313" s="12">
        <v>45418</v>
      </c>
      <c r="D313" t="s" s="13">
        <v>50</v>
      </c>
      <c r="E313" t="s" s="13">
        <v>51</v>
      </c>
      <c r="F313" s="14">
        <v>8</v>
      </c>
      <c r="G313" s="15">
        <v>0</v>
      </c>
      <c r="H313" s="15">
        <v>0</v>
      </c>
    </row>
    <row r="314" ht="12.9" customHeight="1">
      <c r="A314" t="s" s="10">
        <v>2097</v>
      </c>
      <c r="B314" t="s" s="11">
        <v>1759</v>
      </c>
      <c r="C314" s="12">
        <v>45418</v>
      </c>
      <c r="D314" t="s" s="13">
        <v>52</v>
      </c>
      <c r="E314" t="s" s="13">
        <v>53</v>
      </c>
      <c r="F314" s="14">
        <v>8</v>
      </c>
      <c r="G314" s="15">
        <v>0</v>
      </c>
      <c r="H314" s="15">
        <v>0</v>
      </c>
    </row>
    <row r="315" ht="12.9" customHeight="1">
      <c r="A315" t="s" s="10">
        <v>2097</v>
      </c>
      <c r="B315" t="s" s="11">
        <v>1759</v>
      </c>
      <c r="C315" s="12">
        <v>45418</v>
      </c>
      <c r="D315" t="s" s="13">
        <v>54</v>
      </c>
      <c r="E315" t="s" s="13">
        <v>55</v>
      </c>
      <c r="F315" s="14">
        <v>8</v>
      </c>
      <c r="G315" s="15">
        <v>0</v>
      </c>
      <c r="H315" s="15">
        <v>0</v>
      </c>
    </row>
    <row r="316" ht="12.9" customHeight="1">
      <c r="A316" t="s" s="10">
        <v>2097</v>
      </c>
      <c r="B316" t="s" s="11">
        <v>1759</v>
      </c>
      <c r="C316" s="12">
        <v>45418</v>
      </c>
      <c r="D316" t="s" s="13">
        <v>23</v>
      </c>
      <c r="E316" t="s" s="13">
        <v>56</v>
      </c>
      <c r="F316" s="14">
        <v>8</v>
      </c>
      <c r="G316" s="15">
        <v>0</v>
      </c>
      <c r="H316" s="15">
        <v>0</v>
      </c>
    </row>
    <row r="317" ht="12.9" customHeight="1">
      <c r="A317" t="s" s="10">
        <v>2097</v>
      </c>
      <c r="B317" t="s" s="11">
        <v>1759</v>
      </c>
      <c r="C317" s="12">
        <v>45418</v>
      </c>
      <c r="D317" t="s" s="13">
        <v>133</v>
      </c>
      <c r="E317" t="s" s="13">
        <v>134</v>
      </c>
      <c r="F317" s="14">
        <v>2</v>
      </c>
      <c r="G317" s="15">
        <v>149.9925</v>
      </c>
      <c r="H317" s="15">
        <v>299.985</v>
      </c>
    </row>
    <row r="318" ht="12.9" customHeight="1">
      <c r="A318" t="s" s="10">
        <v>2097</v>
      </c>
      <c r="B318" t="s" s="11">
        <v>1759</v>
      </c>
      <c r="C318" s="12">
        <v>45418</v>
      </c>
      <c r="D318" t="s" s="13">
        <v>57</v>
      </c>
      <c r="E318" t="s" s="13">
        <v>58</v>
      </c>
      <c r="F318" s="14">
        <v>8</v>
      </c>
      <c r="G318" s="15">
        <v>599.9924999999999</v>
      </c>
      <c r="H318" s="15">
        <v>4799.94</v>
      </c>
    </row>
    <row r="319" ht="12.9" customHeight="1">
      <c r="A319" t="s" s="10">
        <v>2097</v>
      </c>
      <c r="B319" t="s" s="11">
        <v>1759</v>
      </c>
      <c r="C319" s="12">
        <v>45418</v>
      </c>
      <c r="D319" t="s" s="13">
        <v>359</v>
      </c>
      <c r="E319" t="s" s="13">
        <v>360</v>
      </c>
      <c r="F319" s="14">
        <v>8</v>
      </c>
      <c r="G319" s="15">
        <v>22.4925</v>
      </c>
      <c r="H319" s="15">
        <v>179.94</v>
      </c>
    </row>
    <row r="320" ht="12.9" customHeight="1">
      <c r="A320" t="s" s="10">
        <v>2097</v>
      </c>
      <c r="B320" t="s" s="11">
        <v>1759</v>
      </c>
      <c r="C320" s="12">
        <v>45418</v>
      </c>
      <c r="D320" t="s" s="13">
        <v>77</v>
      </c>
      <c r="E320" t="s" s="13">
        <v>78</v>
      </c>
      <c r="F320" s="14">
        <v>8</v>
      </c>
      <c r="G320" s="15">
        <v>14.9925</v>
      </c>
      <c r="H320" s="15">
        <v>119.94</v>
      </c>
    </row>
    <row r="321" ht="12.9" customHeight="1">
      <c r="A321" t="s" s="10">
        <v>2097</v>
      </c>
      <c r="B321" t="s" s="11">
        <v>1759</v>
      </c>
      <c r="C321" s="12">
        <v>45418</v>
      </c>
      <c r="D321" t="s" s="13">
        <v>489</v>
      </c>
      <c r="E321" t="s" s="13">
        <v>490</v>
      </c>
      <c r="F321" s="14">
        <v>2</v>
      </c>
      <c r="G321" s="15">
        <v>1199.9925</v>
      </c>
      <c r="H321" s="15">
        <v>2399.985</v>
      </c>
    </row>
    <row r="322" ht="12.9" customHeight="1">
      <c r="A322" t="s" s="10">
        <v>2097</v>
      </c>
      <c r="B322" t="s" s="11">
        <v>1759</v>
      </c>
      <c r="C322" s="12">
        <v>45418</v>
      </c>
      <c r="D322" t="s" s="13">
        <v>491</v>
      </c>
      <c r="E322" t="s" s="13">
        <v>492</v>
      </c>
      <c r="F322" s="14">
        <v>4</v>
      </c>
      <c r="G322" s="15">
        <v>0</v>
      </c>
      <c r="H322" s="15">
        <v>0</v>
      </c>
    </row>
    <row r="323" ht="12.9" customHeight="1">
      <c r="A323" t="s" s="10">
        <v>2097</v>
      </c>
      <c r="B323" t="s" s="11">
        <v>1759</v>
      </c>
      <c r="C323" s="12">
        <v>45418</v>
      </c>
      <c r="D323" t="s" s="13">
        <v>1633</v>
      </c>
      <c r="E323" t="s" s="13">
        <v>1634</v>
      </c>
      <c r="F323" s="14">
        <v>2</v>
      </c>
      <c r="G323" s="15">
        <v>0</v>
      </c>
      <c r="H323" s="15">
        <v>0</v>
      </c>
    </row>
    <row r="324" ht="12.9" customHeight="1">
      <c r="A324" t="s" s="10">
        <v>2097</v>
      </c>
      <c r="B324" t="s" s="11">
        <v>1759</v>
      </c>
      <c r="C324" s="12">
        <v>45418</v>
      </c>
      <c r="D324" t="s" s="13">
        <v>493</v>
      </c>
      <c r="E324" t="s" s="13">
        <v>494</v>
      </c>
      <c r="F324" s="14">
        <v>2</v>
      </c>
      <c r="G324" s="15">
        <v>0</v>
      </c>
      <c r="H324" s="15">
        <v>0</v>
      </c>
    </row>
    <row r="325" ht="12.9" customHeight="1">
      <c r="A325" t="s" s="10">
        <v>2097</v>
      </c>
      <c r="B325" t="s" s="11">
        <v>1759</v>
      </c>
      <c r="C325" s="12">
        <v>45418</v>
      </c>
      <c r="D325" t="s" s="13">
        <v>487</v>
      </c>
      <c r="E325" t="s" s="13">
        <v>488</v>
      </c>
      <c r="F325" s="14">
        <v>6</v>
      </c>
      <c r="G325" s="15">
        <v>82.49250000000001</v>
      </c>
      <c r="H325" s="15">
        <v>494.955</v>
      </c>
    </row>
    <row r="326" ht="12.9" customHeight="1">
      <c r="A326" t="s" s="10">
        <v>2098</v>
      </c>
      <c r="B326" t="s" s="11">
        <v>101</v>
      </c>
      <c r="C326" s="12">
        <v>45418</v>
      </c>
      <c r="D326" t="s" s="13">
        <v>2099</v>
      </c>
      <c r="E326" t="s" s="13">
        <v>112</v>
      </c>
      <c r="F326" s="14">
        <v>1</v>
      </c>
      <c r="G326" s="15">
        <v>75.5</v>
      </c>
      <c r="H326" s="15">
        <v>75.5</v>
      </c>
    </row>
    <row r="327" ht="12.9" customHeight="1">
      <c r="A327" t="s" s="10">
        <v>2098</v>
      </c>
      <c r="B327" t="s" s="11">
        <v>101</v>
      </c>
      <c r="C327" s="12">
        <v>45418</v>
      </c>
      <c r="D327" t="s" s="13">
        <v>115</v>
      </c>
      <c r="E327" t="s" s="13">
        <v>1856</v>
      </c>
      <c r="F327" s="14">
        <v>1</v>
      </c>
      <c r="G327" s="15">
        <v>22.99</v>
      </c>
      <c r="H327" s="15">
        <v>22.99</v>
      </c>
    </row>
    <row r="328" ht="12.9" customHeight="1">
      <c r="A328" t="s" s="10">
        <v>2098</v>
      </c>
      <c r="B328" t="s" s="11">
        <v>101</v>
      </c>
      <c r="C328" s="12">
        <v>45418</v>
      </c>
      <c r="D328" t="s" s="13">
        <v>15</v>
      </c>
      <c r="E328" t="s" s="13">
        <v>1636</v>
      </c>
      <c r="F328" s="14">
        <v>2</v>
      </c>
      <c r="G328" s="15">
        <v>0</v>
      </c>
      <c r="H328" s="15">
        <v>0</v>
      </c>
    </row>
    <row r="329" ht="12.9" customHeight="1">
      <c r="A329" t="s" s="10">
        <v>2100</v>
      </c>
      <c r="B329" t="s" s="11">
        <v>1759</v>
      </c>
      <c r="C329" s="12">
        <v>45418</v>
      </c>
      <c r="D329" t="s" s="13">
        <v>1428</v>
      </c>
      <c r="E329" t="s" s="13">
        <v>1429</v>
      </c>
      <c r="F329" s="14">
        <v>1</v>
      </c>
      <c r="G329" s="15">
        <v>30.5973</v>
      </c>
      <c r="H329" s="15">
        <v>30.5973</v>
      </c>
    </row>
    <row r="330" ht="12.9" customHeight="1">
      <c r="A330" t="s" s="10">
        <v>2100</v>
      </c>
      <c r="B330" t="s" s="11">
        <v>1759</v>
      </c>
      <c r="C330" s="12">
        <v>45418</v>
      </c>
      <c r="D330" t="s" s="13">
        <v>73</v>
      </c>
      <c r="E330" t="s" s="13">
        <v>74</v>
      </c>
      <c r="F330" s="14">
        <v>1</v>
      </c>
      <c r="G330" s="15">
        <v>299.9925</v>
      </c>
      <c r="H330" s="15">
        <v>299.9925</v>
      </c>
    </row>
    <row r="331" ht="12.9" customHeight="1">
      <c r="A331" t="s" s="10">
        <v>2100</v>
      </c>
      <c r="B331" t="s" s="11">
        <v>1759</v>
      </c>
      <c r="C331" s="12">
        <v>45418</v>
      </c>
      <c r="D331" t="s" s="13">
        <v>982</v>
      </c>
      <c r="E331" t="s" s="13">
        <v>2101</v>
      </c>
      <c r="F331" s="14">
        <v>2</v>
      </c>
      <c r="G331" s="15">
        <v>134.9946</v>
      </c>
      <c r="H331" s="15">
        <v>269.9892</v>
      </c>
    </row>
    <row r="332" ht="12.9" customHeight="1">
      <c r="A332" t="s" s="10">
        <v>2100</v>
      </c>
      <c r="B332" t="s" s="11">
        <v>1759</v>
      </c>
      <c r="C332" s="12">
        <v>45418</v>
      </c>
      <c r="D332" t="s" s="13">
        <v>882</v>
      </c>
      <c r="E332" t="s" s="13">
        <v>2102</v>
      </c>
      <c r="F332" s="14">
        <v>8</v>
      </c>
      <c r="G332" s="15">
        <v>56.2425</v>
      </c>
      <c r="H332" s="15">
        <v>449.94</v>
      </c>
    </row>
    <row r="333" ht="12.9" customHeight="1">
      <c r="A333" t="s" s="10">
        <v>2100</v>
      </c>
      <c r="B333" t="s" s="11">
        <v>1759</v>
      </c>
      <c r="C333" s="12">
        <v>45418</v>
      </c>
      <c r="D333" t="s" s="13">
        <v>359</v>
      </c>
      <c r="E333" t="s" s="13">
        <v>2103</v>
      </c>
      <c r="F333" s="14">
        <v>8</v>
      </c>
      <c r="G333" s="15">
        <v>0</v>
      </c>
      <c r="H333" s="15">
        <v>0</v>
      </c>
    </row>
    <row r="334" ht="12.9" customHeight="1">
      <c r="A334" t="s" s="10">
        <v>2104</v>
      </c>
      <c r="B334" t="s" s="11">
        <v>704</v>
      </c>
      <c r="C334" s="12">
        <v>45418</v>
      </c>
      <c r="D334" t="s" s="13">
        <v>27</v>
      </c>
      <c r="E334" t="s" s="13">
        <v>28</v>
      </c>
      <c r="F334" s="14">
        <v>24</v>
      </c>
      <c r="G334" s="15">
        <v>59.9925</v>
      </c>
      <c r="H334" s="15">
        <v>1439.82</v>
      </c>
    </row>
    <row r="335" ht="12.9" customHeight="1">
      <c r="A335" t="s" s="10">
        <v>2105</v>
      </c>
      <c r="B335" t="s" s="11">
        <v>2106</v>
      </c>
      <c r="C335" s="12">
        <v>45417.158926689815</v>
      </c>
      <c r="D335" t="s" s="13">
        <v>1695</v>
      </c>
      <c r="E335" t="s" s="13">
        <v>140</v>
      </c>
      <c r="F335" s="14">
        <v>1</v>
      </c>
      <c r="G335" s="15">
        <v>49.99</v>
      </c>
      <c r="H335" s="15">
        <v>49.99</v>
      </c>
    </row>
    <row r="336" ht="12.9" customHeight="1">
      <c r="A336" t="s" s="10">
        <v>2105</v>
      </c>
      <c r="B336" t="s" s="11">
        <v>2106</v>
      </c>
      <c r="C336" s="12">
        <v>45417.158926689815</v>
      </c>
      <c r="D336" t="s" s="13">
        <v>15</v>
      </c>
      <c r="E336" t="s" s="13">
        <v>16</v>
      </c>
      <c r="F336" s="14">
        <v>1</v>
      </c>
      <c r="G336" s="15">
        <v>0</v>
      </c>
      <c r="H336" s="15">
        <v>0</v>
      </c>
    </row>
    <row r="337" ht="12.9" customHeight="1">
      <c r="A337" t="s" s="10">
        <v>2107</v>
      </c>
      <c r="B337" t="s" s="11">
        <v>2108</v>
      </c>
      <c r="C337" s="12">
        <v>45417.126721990739</v>
      </c>
      <c r="D337" t="s" s="13">
        <v>35</v>
      </c>
      <c r="E337" t="s" s="13">
        <v>36</v>
      </c>
      <c r="F337" s="14">
        <v>1</v>
      </c>
      <c r="G337" s="15">
        <v>49.99</v>
      </c>
      <c r="H337" s="15">
        <v>49.99</v>
      </c>
    </row>
    <row r="338" ht="12.9" customHeight="1">
      <c r="A338" t="s" s="10">
        <v>2109</v>
      </c>
      <c r="B338" t="s" s="11">
        <v>2012</v>
      </c>
      <c r="C338" s="12">
        <v>45416.761210555553</v>
      </c>
      <c r="D338" t="s" s="13">
        <v>31</v>
      </c>
      <c r="E338" t="s" s="13">
        <v>32</v>
      </c>
      <c r="F338" s="14">
        <v>2</v>
      </c>
      <c r="G338" s="15">
        <v>599.99</v>
      </c>
      <c r="H338" s="15">
        <v>1199.98</v>
      </c>
    </row>
    <row r="339" ht="12.9" customHeight="1">
      <c r="A339" t="s" s="10">
        <v>2110</v>
      </c>
      <c r="B339" t="s" s="11">
        <v>2111</v>
      </c>
      <c r="C339" s="12">
        <v>45416.485699618053</v>
      </c>
      <c r="D339" t="s" s="13">
        <v>11</v>
      </c>
      <c r="E339" t="s" s="13">
        <v>12</v>
      </c>
      <c r="F339" s="14">
        <v>1</v>
      </c>
      <c r="G339" s="15">
        <v>399.99</v>
      </c>
      <c r="H339" s="15">
        <v>399.99</v>
      </c>
    </row>
    <row r="340" ht="12.9" customHeight="1">
      <c r="A340" t="s" s="10">
        <v>2112</v>
      </c>
      <c r="B340" t="s" s="11">
        <v>2113</v>
      </c>
      <c r="C340" s="12">
        <v>45415.952551736111</v>
      </c>
      <c r="D340" t="s" s="13">
        <v>31</v>
      </c>
      <c r="E340" t="s" s="13">
        <v>32</v>
      </c>
      <c r="F340" s="14">
        <v>1</v>
      </c>
      <c r="G340" s="15">
        <v>574.99</v>
      </c>
      <c r="H340" s="15">
        <v>574.99</v>
      </c>
    </row>
    <row r="341" ht="12.9" customHeight="1">
      <c r="A341" t="s" s="10">
        <v>2114</v>
      </c>
      <c r="B341" t="s" s="11">
        <v>2115</v>
      </c>
      <c r="C341" s="12">
        <v>45415.716563831018</v>
      </c>
      <c r="D341" t="s" s="13">
        <v>54</v>
      </c>
      <c r="E341" t="s" s="13">
        <v>93</v>
      </c>
      <c r="F341" s="14">
        <v>4</v>
      </c>
      <c r="G341" s="15">
        <v>9.99</v>
      </c>
      <c r="H341" s="15">
        <v>39.96</v>
      </c>
    </row>
    <row r="342" ht="12.9" customHeight="1">
      <c r="A342" t="s" s="10">
        <v>2116</v>
      </c>
      <c r="B342" t="s" s="11">
        <v>2117</v>
      </c>
      <c r="C342" s="12">
        <v>45415.610131527777</v>
      </c>
      <c r="D342" t="s" s="13">
        <v>19</v>
      </c>
      <c r="E342" t="s" s="13">
        <v>20</v>
      </c>
      <c r="F342" s="14">
        <v>6</v>
      </c>
      <c r="G342" s="15">
        <v>119.99</v>
      </c>
      <c r="H342" s="15">
        <v>719.9400000000001</v>
      </c>
    </row>
    <row r="343" ht="12.9" customHeight="1">
      <c r="A343" t="s" s="10">
        <v>2118</v>
      </c>
      <c r="B343" t="s" s="11">
        <v>42</v>
      </c>
      <c r="C343" s="12">
        <v>45415</v>
      </c>
      <c r="D343" t="s" s="13">
        <v>442</v>
      </c>
      <c r="E343" s="16"/>
      <c r="F343" s="14">
        <v>1</v>
      </c>
      <c r="G343" s="15">
        <v>-114.35</v>
      </c>
      <c r="H343" s="15">
        <v>-114.35</v>
      </c>
    </row>
    <row r="344" ht="12.9" customHeight="1">
      <c r="A344" t="s" s="10">
        <v>2118</v>
      </c>
      <c r="B344" t="s" s="11">
        <v>42</v>
      </c>
      <c r="C344" s="12">
        <v>45415</v>
      </c>
      <c r="D344" t="s" s="13">
        <v>2119</v>
      </c>
      <c r="E344" t="s" s="13">
        <v>112</v>
      </c>
      <c r="F344" s="14">
        <v>1</v>
      </c>
      <c r="G344" s="15">
        <v>74.625</v>
      </c>
      <c r="H344" s="15">
        <v>74.625</v>
      </c>
    </row>
    <row r="345" ht="12.9" customHeight="1">
      <c r="A345" t="s" s="10">
        <v>2118</v>
      </c>
      <c r="B345" t="s" s="11">
        <v>42</v>
      </c>
      <c r="C345" s="12">
        <v>45415</v>
      </c>
      <c r="D345" t="s" s="13">
        <v>115</v>
      </c>
      <c r="E345" t="s" s="13">
        <v>1856</v>
      </c>
      <c r="F345" s="14">
        <v>1</v>
      </c>
      <c r="G345" s="15">
        <v>17.2425</v>
      </c>
      <c r="H345" s="15">
        <v>17.2425</v>
      </c>
    </row>
    <row r="346" ht="12.9" customHeight="1">
      <c r="A346" t="s" s="10">
        <v>2118</v>
      </c>
      <c r="B346" t="s" s="11">
        <v>42</v>
      </c>
      <c r="C346" s="12">
        <v>45415</v>
      </c>
      <c r="D346" t="s" s="13">
        <v>359</v>
      </c>
      <c r="E346" t="s" s="13">
        <v>360</v>
      </c>
      <c r="F346" s="14">
        <v>1</v>
      </c>
      <c r="G346" s="15">
        <v>22.4925</v>
      </c>
      <c r="H346" s="15">
        <v>22.4925</v>
      </c>
    </row>
    <row r="347" ht="12.9" customHeight="1">
      <c r="A347" t="s" s="10">
        <v>2120</v>
      </c>
      <c r="B347" t="s" s="11">
        <v>69</v>
      </c>
      <c r="C347" s="12">
        <v>45415</v>
      </c>
      <c r="D347" t="s" s="13">
        <v>47</v>
      </c>
      <c r="E347" s="16"/>
      <c r="F347" s="14">
        <v>1</v>
      </c>
      <c r="G347" s="15">
        <v>200</v>
      </c>
      <c r="H347" s="15">
        <v>200</v>
      </c>
    </row>
    <row r="348" ht="12.9" customHeight="1">
      <c r="A348" t="s" s="10">
        <v>2120</v>
      </c>
      <c r="B348" t="s" s="11">
        <v>69</v>
      </c>
      <c r="C348" s="12">
        <v>45415</v>
      </c>
      <c r="D348" t="s" s="13">
        <v>933</v>
      </c>
      <c r="E348" t="s" s="13">
        <v>934</v>
      </c>
      <c r="F348" s="14">
        <v>20</v>
      </c>
      <c r="G348" s="15">
        <v>900</v>
      </c>
      <c r="H348" s="15">
        <v>18000</v>
      </c>
    </row>
    <row r="349" ht="12.9" customHeight="1">
      <c r="A349" t="s" s="10">
        <v>2120</v>
      </c>
      <c r="B349" t="s" s="11">
        <v>69</v>
      </c>
      <c r="C349" s="12">
        <v>45415</v>
      </c>
      <c r="D349" t="s" s="13">
        <v>52</v>
      </c>
      <c r="E349" t="s" s="13">
        <v>321</v>
      </c>
      <c r="F349" s="14">
        <v>20</v>
      </c>
      <c r="G349" s="15">
        <v>0</v>
      </c>
      <c r="H349" s="15">
        <v>0</v>
      </c>
    </row>
    <row r="350" ht="12.9" customHeight="1">
      <c r="A350" t="s" s="10">
        <v>2120</v>
      </c>
      <c r="B350" t="s" s="11">
        <v>69</v>
      </c>
      <c r="C350" s="12">
        <v>45415</v>
      </c>
      <c r="D350" t="s" s="13">
        <v>50</v>
      </c>
      <c r="E350" t="s" s="13">
        <v>83</v>
      </c>
      <c r="F350" s="14">
        <v>20</v>
      </c>
      <c r="G350" s="15">
        <v>0</v>
      </c>
      <c r="H350" s="15">
        <v>0</v>
      </c>
    </row>
    <row r="351" ht="12.9" customHeight="1">
      <c r="A351" t="s" s="10">
        <v>2121</v>
      </c>
      <c r="B351" t="s" s="11">
        <v>2122</v>
      </c>
      <c r="C351" s="12">
        <v>45414.690185185187</v>
      </c>
      <c r="D351" t="s" s="13">
        <v>54</v>
      </c>
      <c r="E351" t="s" s="13">
        <v>93</v>
      </c>
      <c r="F351" s="14">
        <v>2</v>
      </c>
      <c r="G351" s="15">
        <v>9.99</v>
      </c>
      <c r="H351" s="15">
        <v>19.98</v>
      </c>
    </row>
    <row r="352" ht="12.9" customHeight="1">
      <c r="A352" t="s" s="10">
        <v>2123</v>
      </c>
      <c r="B352" t="s" s="11">
        <v>122</v>
      </c>
      <c r="C352" s="12">
        <v>45414</v>
      </c>
      <c r="D352" t="s" s="13">
        <v>254</v>
      </c>
      <c r="E352" t="s" s="13">
        <v>2124</v>
      </c>
      <c r="F352" s="14">
        <v>1</v>
      </c>
      <c r="G352" s="15">
        <v>0</v>
      </c>
      <c r="H352" s="15">
        <v>0</v>
      </c>
    </row>
    <row r="353" ht="12.9" customHeight="1">
      <c r="A353" t="s" s="10">
        <v>2123</v>
      </c>
      <c r="B353" t="s" s="11">
        <v>122</v>
      </c>
      <c r="C353" s="12">
        <v>45414</v>
      </c>
      <c r="D353" t="s" s="13">
        <v>2125</v>
      </c>
      <c r="E353" t="s" s="13">
        <v>2126</v>
      </c>
      <c r="F353" s="14">
        <v>1</v>
      </c>
      <c r="G353" s="15">
        <v>0</v>
      </c>
      <c r="H353" s="15">
        <v>0</v>
      </c>
    </row>
    <row r="354" ht="12.9" customHeight="1">
      <c r="A354" t="s" s="10">
        <v>2123</v>
      </c>
      <c r="B354" t="s" s="11">
        <v>122</v>
      </c>
      <c r="C354" s="12">
        <v>45414</v>
      </c>
      <c r="D354" t="s" s="13">
        <v>726</v>
      </c>
      <c r="E354" t="s" s="13">
        <v>726</v>
      </c>
      <c r="F354" s="14">
        <v>1</v>
      </c>
      <c r="G354" s="15">
        <v>0</v>
      </c>
      <c r="H354" s="15">
        <v>0</v>
      </c>
    </row>
    <row r="355" ht="12.9" customHeight="1">
      <c r="A355" t="s" s="10">
        <v>2123</v>
      </c>
      <c r="B355" t="s" s="11">
        <v>122</v>
      </c>
      <c r="C355" s="12">
        <v>45414</v>
      </c>
      <c r="D355" t="s" s="13">
        <v>402</v>
      </c>
      <c r="E355" t="s" s="13">
        <v>403</v>
      </c>
      <c r="F355" s="14">
        <v>2</v>
      </c>
      <c r="G355" s="15">
        <v>0</v>
      </c>
      <c r="H355" s="15">
        <v>0</v>
      </c>
    </row>
    <row r="356" ht="12.9" customHeight="1">
      <c r="A356" t="s" s="10">
        <v>2127</v>
      </c>
      <c r="B356" t="s" s="11">
        <v>1789</v>
      </c>
      <c r="C356" s="12">
        <v>45414</v>
      </c>
      <c r="D356" t="s" s="13">
        <v>227</v>
      </c>
      <c r="E356" t="s" s="13">
        <v>228</v>
      </c>
      <c r="F356" s="14">
        <v>8</v>
      </c>
      <c r="G356" s="15">
        <v>22.4925</v>
      </c>
      <c r="H356" s="15">
        <v>179.94</v>
      </c>
    </row>
    <row r="357" ht="12.9" customHeight="1">
      <c r="A357" t="s" s="10">
        <v>2128</v>
      </c>
      <c r="B357" t="s" s="11">
        <v>2084</v>
      </c>
      <c r="C357" s="12">
        <v>45414</v>
      </c>
      <c r="D357" t="s" s="13">
        <v>254</v>
      </c>
      <c r="E357" t="s" s="13">
        <v>2129</v>
      </c>
      <c r="F357" s="14">
        <v>1</v>
      </c>
      <c r="G357" s="15">
        <v>0</v>
      </c>
      <c r="H357" s="15">
        <v>0</v>
      </c>
    </row>
    <row r="358" ht="12.9" customHeight="1">
      <c r="A358" t="s" s="10">
        <v>2130</v>
      </c>
      <c r="B358" t="s" s="11">
        <v>2131</v>
      </c>
      <c r="C358" s="12">
        <v>45413.927533483795</v>
      </c>
      <c r="D358" t="s" s="13">
        <v>54</v>
      </c>
      <c r="E358" t="s" s="13">
        <v>93</v>
      </c>
      <c r="F358" s="14">
        <v>1</v>
      </c>
      <c r="G358" s="15">
        <v>9.99</v>
      </c>
      <c r="H358" s="15">
        <v>9.99</v>
      </c>
    </row>
    <row r="359" ht="12.9" customHeight="1">
      <c r="A359" t="s" s="10">
        <v>2130</v>
      </c>
      <c r="B359" t="s" s="11">
        <v>2131</v>
      </c>
      <c r="C359" s="12">
        <v>45413.927533483795</v>
      </c>
      <c r="D359" t="s" s="13">
        <v>15</v>
      </c>
      <c r="E359" t="s" s="13">
        <v>16</v>
      </c>
      <c r="F359" s="14">
        <v>1</v>
      </c>
      <c r="G359" s="15">
        <v>9.99</v>
      </c>
      <c r="H359" s="15">
        <v>9.99</v>
      </c>
    </row>
    <row r="360" ht="12.9" customHeight="1">
      <c r="A360" t="s" s="10">
        <v>2132</v>
      </c>
      <c r="B360" t="s" s="11">
        <v>2133</v>
      </c>
      <c r="C360" s="12">
        <v>45413.825616481481</v>
      </c>
      <c r="D360" t="s" s="13">
        <v>167</v>
      </c>
      <c r="E360" t="s" s="13">
        <v>168</v>
      </c>
      <c r="F360" s="14">
        <v>1</v>
      </c>
      <c r="G360" s="15">
        <v>29.99</v>
      </c>
      <c r="H360" s="15">
        <v>29.99</v>
      </c>
    </row>
    <row r="361" ht="12.9" customHeight="1">
      <c r="A361" t="s" s="10">
        <v>2132</v>
      </c>
      <c r="B361" t="s" s="11">
        <v>2133</v>
      </c>
      <c r="C361" s="12">
        <v>45413.825616481481</v>
      </c>
      <c r="D361" t="s" s="13">
        <v>48</v>
      </c>
      <c r="E361" t="s" s="13">
        <v>49</v>
      </c>
      <c r="F361" s="14">
        <v>1</v>
      </c>
      <c r="G361" s="15">
        <v>1299.99</v>
      </c>
      <c r="H361" s="15">
        <v>1299.99</v>
      </c>
    </row>
    <row r="362" ht="12.9" customHeight="1">
      <c r="A362" t="s" s="10">
        <v>2132</v>
      </c>
      <c r="B362" t="s" s="11">
        <v>2133</v>
      </c>
      <c r="C362" s="12">
        <v>45413.825616481481</v>
      </c>
      <c r="D362" t="s" s="13">
        <v>50</v>
      </c>
      <c r="E362" t="s" s="13">
        <v>83</v>
      </c>
      <c r="F362" s="14">
        <v>1</v>
      </c>
      <c r="G362" s="15">
        <v>0</v>
      </c>
      <c r="H362" s="15">
        <v>0</v>
      </c>
    </row>
    <row r="363" ht="12.9" customHeight="1">
      <c r="A363" t="s" s="10">
        <v>2132</v>
      </c>
      <c r="B363" t="s" s="11">
        <v>2133</v>
      </c>
      <c r="C363" s="12">
        <v>45413.825616481481</v>
      </c>
      <c r="D363" t="s" s="13">
        <v>52</v>
      </c>
      <c r="E363" t="s" s="13">
        <v>321</v>
      </c>
      <c r="F363" s="14">
        <v>1</v>
      </c>
      <c r="G363" s="15">
        <v>0</v>
      </c>
      <c r="H363" s="15">
        <v>0</v>
      </c>
    </row>
    <row r="364" ht="12.9" customHeight="1">
      <c r="A364" t="s" s="10">
        <v>2132</v>
      </c>
      <c r="B364" t="s" s="11">
        <v>2133</v>
      </c>
      <c r="C364" s="12">
        <v>45413.825616481481</v>
      </c>
      <c r="D364" t="s" s="13">
        <v>84</v>
      </c>
      <c r="E364" t="s" s="13">
        <v>85</v>
      </c>
      <c r="F364" s="14">
        <v>1</v>
      </c>
      <c r="G364" s="15">
        <v>0</v>
      </c>
      <c r="H364" s="15">
        <v>0</v>
      </c>
    </row>
    <row r="365" ht="12.9" customHeight="1">
      <c r="A365" t="s" s="10">
        <v>2132</v>
      </c>
      <c r="B365" t="s" s="11">
        <v>2133</v>
      </c>
      <c r="C365" s="12">
        <v>45413.825616481481</v>
      </c>
      <c r="D365" t="s" s="13">
        <v>23</v>
      </c>
      <c r="E365" t="s" s="13">
        <v>24</v>
      </c>
      <c r="F365" s="14">
        <v>1</v>
      </c>
      <c r="G365" s="15">
        <v>0</v>
      </c>
      <c r="H365" s="15">
        <v>0</v>
      </c>
    </row>
    <row r="366" ht="12.9" customHeight="1">
      <c r="A366" t="s" s="10">
        <v>2134</v>
      </c>
      <c r="B366" t="s" s="11">
        <v>2135</v>
      </c>
      <c r="C366" s="12">
        <v>45413.792701944447</v>
      </c>
      <c r="D366" t="s" s="13">
        <v>27</v>
      </c>
      <c r="E366" t="s" s="13">
        <v>28</v>
      </c>
      <c r="F366" s="14">
        <v>2</v>
      </c>
      <c r="G366" s="15">
        <v>79.98999999999999</v>
      </c>
      <c r="H366" s="15">
        <v>159.98</v>
      </c>
    </row>
    <row r="367" ht="12.9" customHeight="1">
      <c r="A367" t="s" s="10">
        <v>2136</v>
      </c>
      <c r="B367" t="s" s="11">
        <v>2137</v>
      </c>
      <c r="C367" s="12">
        <v>45413.745115034719</v>
      </c>
      <c r="D367" t="s" s="13">
        <v>27</v>
      </c>
      <c r="E367" t="s" s="13">
        <v>28</v>
      </c>
      <c r="F367" s="14">
        <v>1</v>
      </c>
      <c r="G367" s="15">
        <v>79.98999999999999</v>
      </c>
      <c r="H367" s="15">
        <v>79.98999999999999</v>
      </c>
    </row>
    <row r="368" ht="12.9" customHeight="1">
      <c r="A368" t="s" s="10">
        <v>2138</v>
      </c>
      <c r="B368" t="s" s="11">
        <v>2139</v>
      </c>
      <c r="C368" s="12">
        <v>45413.057097557874</v>
      </c>
      <c r="D368" t="s" s="13">
        <v>19</v>
      </c>
      <c r="E368" t="s" s="13">
        <v>20</v>
      </c>
      <c r="F368" s="14">
        <v>2</v>
      </c>
      <c r="G368" s="15">
        <v>119.99</v>
      </c>
      <c r="H368" s="15">
        <v>239.98</v>
      </c>
    </row>
    <row r="369" ht="12.9" customHeight="1">
      <c r="A369" t="s" s="10">
        <v>2138</v>
      </c>
      <c r="B369" t="s" s="11">
        <v>2139</v>
      </c>
      <c r="C369" s="12">
        <v>45413.057097557874</v>
      </c>
      <c r="D369" t="s" s="13">
        <v>54</v>
      </c>
      <c r="E369" t="s" s="13">
        <v>93</v>
      </c>
      <c r="F369" s="14">
        <v>1</v>
      </c>
      <c r="G369" s="15">
        <v>9.99</v>
      </c>
      <c r="H369" s="15">
        <v>9.99</v>
      </c>
    </row>
    <row r="370" ht="12.9" customHeight="1">
      <c r="A370" t="s" s="10">
        <v>2140</v>
      </c>
      <c r="B370" t="s" s="11">
        <v>2141</v>
      </c>
      <c r="C370" s="12">
        <v>45413</v>
      </c>
      <c r="D370" t="s" s="13">
        <v>63</v>
      </c>
      <c r="E370" s="16"/>
      <c r="F370" s="14">
        <v>1</v>
      </c>
      <c r="G370" s="15">
        <v>127</v>
      </c>
      <c r="H370" s="15">
        <v>127</v>
      </c>
    </row>
    <row r="371" ht="12.9" customHeight="1">
      <c r="A371" t="s" s="10">
        <v>2140</v>
      </c>
      <c r="B371" t="s" s="11">
        <v>2141</v>
      </c>
      <c r="C371" s="12">
        <v>45413</v>
      </c>
      <c r="D371" t="s" s="13">
        <v>143</v>
      </c>
      <c r="E371" t="s" s="13">
        <v>144</v>
      </c>
      <c r="F371" s="14">
        <v>1</v>
      </c>
      <c r="G371" s="15">
        <v>3199.99</v>
      </c>
      <c r="H371" s="15">
        <v>3199.99</v>
      </c>
    </row>
    <row r="372" ht="12.9" customHeight="1">
      <c r="A372" t="s" s="10">
        <v>2142</v>
      </c>
      <c r="B372" t="s" s="11">
        <v>2143</v>
      </c>
      <c r="C372" s="12">
        <v>45413</v>
      </c>
      <c r="D372" t="s" s="13">
        <v>2125</v>
      </c>
      <c r="E372" t="s" s="13">
        <v>2126</v>
      </c>
      <c r="F372" s="14">
        <v>1</v>
      </c>
      <c r="G372" s="15">
        <v>0</v>
      </c>
      <c r="H372" s="15">
        <v>0</v>
      </c>
    </row>
    <row r="373" ht="12.9" customHeight="1">
      <c r="A373" s="17"/>
      <c r="B373" s="18"/>
      <c r="C373" s="12"/>
      <c r="D373" s="16"/>
      <c r="E373" s="16"/>
      <c r="F373" s="16"/>
      <c r="G373" s="15"/>
      <c r="H373" s="15"/>
    </row>
    <row r="374" ht="12.9" customHeight="1">
      <c r="A374" s="17"/>
      <c r="B374" s="18"/>
      <c r="C374" s="12"/>
      <c r="D374" s="16"/>
      <c r="E374" s="16"/>
      <c r="F374" s="16"/>
      <c r="G374" s="15"/>
      <c r="H374" s="15"/>
    </row>
    <row r="375" ht="12.9" customHeight="1">
      <c r="A375" s="17"/>
      <c r="B375" s="18"/>
      <c r="C375" s="12"/>
      <c r="D375" s="16"/>
      <c r="E375" s="16"/>
      <c r="F375" s="16"/>
      <c r="G375" s="15"/>
      <c r="H375" s="15"/>
    </row>
    <row r="376" ht="12.9" customHeight="1">
      <c r="A376" s="17"/>
      <c r="B376" s="18"/>
      <c r="C376" s="12"/>
      <c r="D376" s="16"/>
      <c r="E376" s="16"/>
      <c r="F376" s="16"/>
      <c r="G376" s="15"/>
      <c r="H376" s="15"/>
    </row>
    <row r="377" ht="12.9" customHeight="1">
      <c r="A377" s="17"/>
      <c r="B377" s="18"/>
      <c r="C377" s="12"/>
      <c r="D377" s="16"/>
      <c r="E377" s="16"/>
      <c r="F377" s="16"/>
      <c r="G377" s="15"/>
      <c r="H377" s="15"/>
    </row>
    <row r="378" ht="12.9" customHeight="1">
      <c r="A378" s="17"/>
      <c r="B378" s="18"/>
      <c r="C378" s="12"/>
      <c r="D378" s="16"/>
      <c r="E378" s="16"/>
      <c r="F378" s="16"/>
      <c r="G378" s="15"/>
      <c r="H378" s="15"/>
    </row>
    <row r="379" ht="12.9" customHeight="1">
      <c r="A379" s="17"/>
      <c r="B379" s="18"/>
      <c r="C379" s="12"/>
      <c r="D379" s="16"/>
      <c r="E379" s="16"/>
      <c r="F379" s="16"/>
      <c r="G379" s="15"/>
      <c r="H379" s="15"/>
    </row>
    <row r="380" ht="12.9" customHeight="1">
      <c r="A380" s="17"/>
      <c r="B380" s="18"/>
      <c r="C380" s="12"/>
      <c r="D380" s="16"/>
      <c r="E380" s="16"/>
      <c r="F380" s="16"/>
      <c r="G380" s="15"/>
      <c r="H380" s="15"/>
    </row>
    <row r="381" ht="12.9" customHeight="1">
      <c r="A381" s="17"/>
      <c r="B381" s="18"/>
      <c r="C381" s="12"/>
      <c r="D381" s="16"/>
      <c r="E381" s="16"/>
      <c r="F381" s="16"/>
      <c r="G381" s="15"/>
      <c r="H381" s="15"/>
    </row>
    <row r="382" ht="12.9" customHeight="1">
      <c r="A382" s="17"/>
      <c r="B382" s="18"/>
      <c r="C382" s="12"/>
      <c r="D382" s="16"/>
      <c r="E382" s="16"/>
      <c r="F382" s="16"/>
      <c r="G382" s="15"/>
      <c r="H382" s="15"/>
    </row>
    <row r="383" ht="12.9" customHeight="1">
      <c r="A383" s="17"/>
      <c r="B383" s="18"/>
      <c r="C383" s="12"/>
      <c r="D383" s="16"/>
      <c r="E383" s="16"/>
      <c r="F383" s="16"/>
      <c r="G383" s="15"/>
      <c r="H383" s="15"/>
    </row>
    <row r="384" ht="12.9" customHeight="1">
      <c r="A384" s="17"/>
      <c r="B384" s="18"/>
      <c r="C384" s="12"/>
      <c r="D384" s="16"/>
      <c r="E384" s="16"/>
      <c r="F384" s="16"/>
      <c r="G384" s="15"/>
      <c r="H384" s="15"/>
    </row>
    <row r="385" ht="12.9" customHeight="1">
      <c r="A385" s="17"/>
      <c r="B385" s="18"/>
      <c r="C385" s="12"/>
      <c r="D385" s="16"/>
      <c r="E385" s="16"/>
      <c r="F385" s="16"/>
      <c r="G385" s="15"/>
      <c r="H385" s="15"/>
    </row>
    <row r="386" ht="12.9" customHeight="1">
      <c r="A386" s="17"/>
      <c r="B386" s="18"/>
      <c r="C386" s="12"/>
      <c r="D386" s="16"/>
      <c r="E386" s="16"/>
      <c r="F386" s="16"/>
      <c r="G386" s="15"/>
      <c r="H386" s="15"/>
    </row>
    <row r="387" ht="12.9" customHeight="1">
      <c r="A387" s="17"/>
      <c r="B387" s="18"/>
      <c r="C387" s="12"/>
      <c r="D387" s="16"/>
      <c r="E387" s="16"/>
      <c r="F387" s="16"/>
      <c r="G387" s="15"/>
      <c r="H387" s="15"/>
    </row>
    <row r="388" ht="12.9" customHeight="1">
      <c r="A388" s="17"/>
      <c r="B388" s="18"/>
      <c r="C388" s="12"/>
      <c r="D388" s="16"/>
      <c r="E388" s="16"/>
      <c r="F388" s="16"/>
      <c r="G388" s="15"/>
      <c r="H388" s="15"/>
    </row>
    <row r="389" ht="12.9" customHeight="1">
      <c r="A389" s="17"/>
      <c r="B389" s="18"/>
      <c r="C389" s="12"/>
      <c r="D389" s="16"/>
      <c r="E389" s="16"/>
      <c r="F389" s="16"/>
      <c r="G389" s="15"/>
      <c r="H389" s="15"/>
    </row>
    <row r="390" ht="12.9" customHeight="1">
      <c r="A390" s="17"/>
      <c r="B390" s="18"/>
      <c r="C390" s="12"/>
      <c r="D390" s="16"/>
      <c r="E390" s="16"/>
      <c r="F390" s="16"/>
      <c r="G390" s="15"/>
      <c r="H390" s="15"/>
    </row>
    <row r="391" ht="12.9" customHeight="1">
      <c r="A391" s="17"/>
      <c r="B391" s="18"/>
      <c r="C391" s="12"/>
      <c r="D391" s="16"/>
      <c r="E391" s="16"/>
      <c r="F391" s="16"/>
      <c r="G391" s="15"/>
      <c r="H391" s="15"/>
    </row>
    <row r="392" ht="12.9" customHeight="1">
      <c r="A392" s="17"/>
      <c r="B392" s="18"/>
      <c r="C392" s="12"/>
      <c r="D392" s="16"/>
      <c r="E392" s="16"/>
      <c r="F392" s="16"/>
      <c r="G392" s="15"/>
      <c r="H392" s="15"/>
    </row>
    <row r="393" ht="12.9" customHeight="1">
      <c r="A393" s="17"/>
      <c r="B393" s="18"/>
      <c r="C393" s="12"/>
      <c r="D393" s="16"/>
      <c r="E393" s="16"/>
      <c r="F393" s="16"/>
      <c r="G393" s="15"/>
      <c r="H393" s="15"/>
    </row>
    <row r="394" ht="12.9" customHeight="1">
      <c r="A394" s="17"/>
      <c r="B394" s="18"/>
      <c r="C394" s="12"/>
      <c r="D394" s="16"/>
      <c r="E394" s="16"/>
      <c r="F394" s="16"/>
      <c r="G394" s="15"/>
      <c r="H394" s="15"/>
    </row>
    <row r="395" ht="12.9" customHeight="1">
      <c r="A395" s="17"/>
      <c r="B395" s="18"/>
      <c r="C395" s="12"/>
      <c r="D395" s="16"/>
      <c r="E395" s="16"/>
      <c r="F395" s="16"/>
      <c r="G395" s="15"/>
      <c r="H395" s="15"/>
    </row>
    <row r="396" ht="12.9" customHeight="1">
      <c r="A396" s="17"/>
      <c r="B396" s="18"/>
      <c r="C396" s="12"/>
      <c r="D396" s="16"/>
      <c r="E396" s="16"/>
      <c r="F396" s="16"/>
      <c r="G396" s="15"/>
      <c r="H396" s="15"/>
    </row>
    <row r="397" ht="12.9" customHeight="1">
      <c r="A397" s="17"/>
      <c r="B397" s="18"/>
      <c r="C397" s="12"/>
      <c r="D397" s="16"/>
      <c r="E397" s="16"/>
      <c r="F397" s="16"/>
      <c r="G397" s="15"/>
      <c r="H397" s="15"/>
    </row>
    <row r="398" ht="12.9" customHeight="1">
      <c r="A398" s="17"/>
      <c r="B398" s="18"/>
      <c r="C398" s="12"/>
      <c r="D398" s="16"/>
      <c r="E398" s="16"/>
      <c r="F398" s="16"/>
      <c r="G398" s="15"/>
      <c r="H398" s="15"/>
    </row>
    <row r="399" ht="12.9" customHeight="1">
      <c r="A399" s="17"/>
      <c r="B399" s="18"/>
      <c r="C399" s="12"/>
      <c r="D399" s="16"/>
      <c r="E399" s="16"/>
      <c r="F399" s="16"/>
      <c r="G399" s="15"/>
      <c r="H399" s="15"/>
    </row>
    <row r="400" ht="12.9" customHeight="1">
      <c r="A400" s="17"/>
      <c r="B400" s="18"/>
      <c r="C400" s="12"/>
      <c r="D400" s="16"/>
      <c r="E400" s="16"/>
      <c r="F400" s="16"/>
      <c r="G400" s="15"/>
      <c r="H400" s="15"/>
    </row>
    <row r="401" ht="12.9" customHeight="1">
      <c r="A401" s="17"/>
      <c r="B401" s="18"/>
      <c r="C401" s="12"/>
      <c r="D401" s="16"/>
      <c r="E401" s="16"/>
      <c r="F401" s="16"/>
      <c r="G401" s="15"/>
      <c r="H401" s="15"/>
    </row>
    <row r="402" ht="12.9" customHeight="1">
      <c r="A402" s="17"/>
      <c r="B402" s="18"/>
      <c r="C402" s="12"/>
      <c r="D402" s="16"/>
      <c r="E402" s="16"/>
      <c r="F402" s="16"/>
      <c r="G402" s="15"/>
      <c r="H402" s="15"/>
    </row>
    <row r="403" ht="12.9" customHeight="1">
      <c r="A403" s="17"/>
      <c r="B403" s="18"/>
      <c r="C403" s="12"/>
      <c r="D403" s="16"/>
      <c r="E403" s="16"/>
      <c r="F403" s="16"/>
      <c r="G403" s="15"/>
      <c r="H403" s="15"/>
    </row>
    <row r="404" ht="12.9" customHeight="1">
      <c r="A404" s="17"/>
      <c r="B404" s="18"/>
      <c r="C404" s="12"/>
      <c r="D404" s="16"/>
      <c r="E404" s="16"/>
      <c r="F404" s="16"/>
      <c r="G404" s="15"/>
      <c r="H404" s="15"/>
    </row>
    <row r="405" ht="12.9" customHeight="1">
      <c r="A405" s="17"/>
      <c r="B405" s="18"/>
      <c r="C405" s="12"/>
      <c r="D405" s="16"/>
      <c r="E405" s="16"/>
      <c r="F405" s="16"/>
      <c r="G405" s="15"/>
      <c r="H405" s="15"/>
    </row>
    <row r="406" ht="12.9" customHeight="1">
      <c r="A406" s="17"/>
      <c r="B406" s="18"/>
      <c r="C406" s="12"/>
      <c r="D406" s="16"/>
      <c r="E406" s="16"/>
      <c r="F406" s="16"/>
      <c r="G406" s="15"/>
      <c r="H406" s="15"/>
    </row>
    <row r="407" ht="12.9" customHeight="1">
      <c r="A407" s="17"/>
      <c r="B407" s="18"/>
      <c r="C407" s="12"/>
      <c r="D407" s="16"/>
      <c r="E407" s="16"/>
      <c r="F407" s="16"/>
      <c r="G407" s="15"/>
      <c r="H407" s="15"/>
    </row>
    <row r="408" ht="12.9" customHeight="1">
      <c r="A408" s="17"/>
      <c r="B408" s="18"/>
      <c r="C408" s="12"/>
      <c r="D408" s="16"/>
      <c r="E408" s="16"/>
      <c r="F408" s="16"/>
      <c r="G408" s="15"/>
      <c r="H408" s="15"/>
    </row>
    <row r="409" ht="12.9" customHeight="1">
      <c r="A409" s="17"/>
      <c r="B409" s="18"/>
      <c r="C409" s="12"/>
      <c r="D409" s="16"/>
      <c r="E409" s="16"/>
      <c r="F409" s="16"/>
      <c r="G409" s="15"/>
      <c r="H409" s="15"/>
    </row>
    <row r="410" ht="12.9" customHeight="1">
      <c r="A410" s="17"/>
      <c r="B410" s="18"/>
      <c r="C410" s="12"/>
      <c r="D410" s="16"/>
      <c r="E410" s="16"/>
      <c r="F410" s="16"/>
      <c r="G410" s="15"/>
      <c r="H410" s="15"/>
    </row>
    <row r="411" ht="12.9" customHeight="1">
      <c r="A411" s="17"/>
      <c r="B411" s="18"/>
      <c r="C411" s="12"/>
      <c r="D411" s="16"/>
      <c r="E411" s="16"/>
      <c r="F411" s="16"/>
      <c r="G411" s="15"/>
      <c r="H411" s="15"/>
    </row>
    <row r="412" ht="12.9" customHeight="1">
      <c r="A412" s="17"/>
      <c r="B412" s="18"/>
      <c r="C412" s="12"/>
      <c r="D412" s="16"/>
      <c r="E412" s="16"/>
      <c r="F412" s="16"/>
      <c r="G412" s="15"/>
      <c r="H412" s="15"/>
    </row>
    <row r="413" ht="12.9" customHeight="1">
      <c r="A413" s="17"/>
      <c r="B413" s="18"/>
      <c r="C413" s="12"/>
      <c r="D413" s="16"/>
      <c r="E413" s="16"/>
      <c r="F413" s="16"/>
      <c r="G413" s="15"/>
      <c r="H413" s="15"/>
    </row>
    <row r="414" ht="12.9" customHeight="1">
      <c r="A414" s="17"/>
      <c r="B414" s="18"/>
      <c r="C414" s="12"/>
      <c r="D414" s="16"/>
      <c r="E414" s="16"/>
      <c r="F414" s="16"/>
      <c r="G414" s="15"/>
      <c r="H414" s="15"/>
    </row>
    <row r="415" ht="12.9" customHeight="1">
      <c r="A415" s="17"/>
      <c r="B415" s="18"/>
      <c r="C415" s="12"/>
      <c r="D415" s="16"/>
      <c r="E415" s="16"/>
      <c r="F415" s="16"/>
      <c r="G415" s="15"/>
      <c r="H415" s="15"/>
    </row>
    <row r="416" ht="12.9" customHeight="1">
      <c r="A416" s="17"/>
      <c r="B416" s="18"/>
      <c r="C416" s="12"/>
      <c r="D416" s="16"/>
      <c r="E416" s="16"/>
      <c r="F416" s="16"/>
      <c r="G416" s="15"/>
      <c r="H416" s="15"/>
    </row>
    <row r="417" ht="12.9" customHeight="1">
      <c r="A417" s="17"/>
      <c r="B417" s="18"/>
      <c r="C417" s="12"/>
      <c r="D417" s="16"/>
      <c r="E417" s="16"/>
      <c r="F417" s="16"/>
      <c r="G417" s="15"/>
      <c r="H417" s="15"/>
    </row>
    <row r="418" ht="12.9" customHeight="1">
      <c r="A418" s="17"/>
      <c r="B418" s="18"/>
      <c r="C418" s="12"/>
      <c r="D418" s="16"/>
      <c r="E418" s="16"/>
      <c r="F418" s="16"/>
      <c r="G418" s="15"/>
      <c r="H418" s="15"/>
    </row>
    <row r="419" ht="12.9" customHeight="1">
      <c r="A419" s="17"/>
      <c r="B419" s="18"/>
      <c r="C419" s="12"/>
      <c r="D419" s="16"/>
      <c r="E419" s="16"/>
      <c r="F419" s="16"/>
      <c r="G419" s="15"/>
      <c r="H419" s="15"/>
    </row>
    <row r="420" ht="12.9" customHeight="1">
      <c r="A420" s="17"/>
      <c r="B420" s="18"/>
      <c r="C420" s="12"/>
      <c r="D420" s="16"/>
      <c r="E420" s="16"/>
      <c r="F420" s="16"/>
      <c r="G420" s="15"/>
      <c r="H420" s="15"/>
    </row>
    <row r="421" ht="12.9" customHeight="1">
      <c r="A421" s="17"/>
      <c r="B421" s="18"/>
      <c r="C421" s="12"/>
      <c r="D421" s="16"/>
      <c r="E421" s="16"/>
      <c r="F421" s="16"/>
      <c r="G421" s="15"/>
      <c r="H421" s="15"/>
    </row>
    <row r="422" ht="12.9" customHeight="1">
      <c r="A422" s="17"/>
      <c r="B422" s="18"/>
      <c r="C422" s="12"/>
      <c r="D422" s="16"/>
      <c r="E422" s="16"/>
      <c r="F422" s="16"/>
      <c r="G422" s="15"/>
      <c r="H422" s="15"/>
    </row>
    <row r="423" ht="12.9" customHeight="1">
      <c r="A423" s="17"/>
      <c r="B423" s="18"/>
      <c r="C423" s="12"/>
      <c r="D423" s="16"/>
      <c r="E423" s="16"/>
      <c r="F423" s="16"/>
      <c r="G423" s="15"/>
      <c r="H423" s="15"/>
    </row>
    <row r="424" ht="12.9" customHeight="1">
      <c r="A424" s="17"/>
      <c r="B424" s="18"/>
      <c r="C424" s="12"/>
      <c r="D424" s="16"/>
      <c r="E424" s="16"/>
      <c r="F424" s="16"/>
      <c r="G424" s="15"/>
      <c r="H424" s="15"/>
    </row>
    <row r="425" ht="12.9" customHeight="1">
      <c r="A425" s="17"/>
      <c r="B425" s="18"/>
      <c r="C425" s="12"/>
      <c r="D425" s="16"/>
      <c r="E425" s="16"/>
      <c r="F425" s="16"/>
      <c r="G425" s="15"/>
      <c r="H425" s="15"/>
    </row>
    <row r="426" ht="12.9" customHeight="1">
      <c r="A426" s="17"/>
      <c r="B426" s="18"/>
      <c r="C426" s="12"/>
      <c r="D426" s="16"/>
      <c r="E426" s="16"/>
      <c r="F426" s="16"/>
      <c r="G426" s="15"/>
      <c r="H426" s="15"/>
    </row>
    <row r="427" ht="12.9" customHeight="1">
      <c r="A427" s="17"/>
      <c r="B427" s="18"/>
      <c r="C427" s="12"/>
      <c r="D427" s="16"/>
      <c r="E427" s="16"/>
      <c r="F427" s="16"/>
      <c r="G427" s="15"/>
      <c r="H427" s="15"/>
    </row>
    <row r="429" ht="15.55" customHeight="1">
      <c r="I429" t="s" s="2">
        <v>2144</v>
      </c>
      <c r="J429" s="2"/>
      <c r="K429" s="2"/>
      <c r="L429" s="2"/>
      <c r="M429" s="2"/>
      <c r="N429" s="2"/>
      <c r="O429" s="2"/>
    </row>
    <row r="430" ht="13.1" customHeight="1">
      <c r="I430" t="s" s="20">
        <v>2</v>
      </c>
      <c r="J430" t="s" s="21">
        <v>1</v>
      </c>
      <c r="K430" t="s" s="21">
        <v>1504</v>
      </c>
      <c r="L430" t="s" s="22">
        <v>4</v>
      </c>
      <c r="M430" t="s" s="23">
        <v>617</v>
      </c>
      <c r="N430" t="s" s="3">
        <v>618</v>
      </c>
      <c r="O430" t="s" s="3">
        <v>619</v>
      </c>
    </row>
    <row r="431" ht="8.75" customHeight="1" hidden="1">
      <c r="I431" s="62"/>
      <c r="J431" s="63"/>
      <c r="K431" s="63"/>
      <c r="L431" t="s" s="64">
        <v>1891</v>
      </c>
      <c r="M431" s="65">
        <v>2</v>
      </c>
      <c r="N431" s="66">
        <v>0</v>
      </c>
      <c r="O431" s="66">
        <v>0</v>
      </c>
    </row>
    <row r="432" ht="8.75" customHeight="1" hidden="1">
      <c r="I432" s="62"/>
      <c r="J432" s="63"/>
      <c r="K432" s="63"/>
      <c r="L432" t="s" s="64">
        <v>1889</v>
      </c>
      <c r="M432" s="65">
        <v>1</v>
      </c>
      <c r="N432" s="66">
        <v>0</v>
      </c>
      <c r="O432" s="66">
        <v>0</v>
      </c>
    </row>
    <row r="433" ht="8.75" customHeight="1" hidden="1">
      <c r="I433" s="62"/>
      <c r="J433" s="63"/>
      <c r="K433" s="63"/>
      <c r="L433" t="s" s="64">
        <v>1892</v>
      </c>
      <c r="M433" s="65">
        <v>2</v>
      </c>
      <c r="N433" s="66">
        <v>0</v>
      </c>
      <c r="O433" s="66">
        <v>0</v>
      </c>
    </row>
    <row r="434" ht="8.75" customHeight="1" hidden="1">
      <c r="I434" s="62"/>
      <c r="J434" s="63"/>
      <c r="K434" s="63"/>
      <c r="L434" t="s" s="64">
        <v>1729</v>
      </c>
      <c r="M434" s="65">
        <v>2</v>
      </c>
      <c r="N434" s="66">
        <v>0</v>
      </c>
      <c r="O434" s="66">
        <v>0</v>
      </c>
    </row>
    <row r="435" ht="8.75" customHeight="1" hidden="1">
      <c r="I435" s="62"/>
      <c r="J435" s="63"/>
      <c r="K435" s="63"/>
      <c r="L435" t="s" s="64">
        <v>254</v>
      </c>
      <c r="M435" s="65">
        <v>1</v>
      </c>
      <c r="N435" s="66">
        <v>125</v>
      </c>
      <c r="O435" s="66">
        <v>125</v>
      </c>
    </row>
    <row r="436" ht="8.75" customHeight="1" hidden="1">
      <c r="I436" s="67"/>
      <c r="J436" s="68"/>
      <c r="K436" s="69">
        <v>45413</v>
      </c>
      <c r="L436" s="70"/>
      <c r="M436" s="71">
        <v>8</v>
      </c>
      <c r="N436" s="72">
        <v>125</v>
      </c>
      <c r="O436" s="72">
        <v>125</v>
      </c>
    </row>
    <row r="437" ht="8.75" customHeight="1" hidden="1">
      <c r="I437" s="67"/>
      <c r="J437" t="s" s="73">
        <v>1887</v>
      </c>
      <c r="K437" s="74"/>
      <c r="L437" s="70"/>
      <c r="M437" s="71">
        <v>8</v>
      </c>
      <c r="N437" s="72">
        <v>125</v>
      </c>
      <c r="O437" s="72">
        <v>125</v>
      </c>
    </row>
    <row r="438" ht="15.4" customHeight="1">
      <c r="I438" t="s" s="24">
        <v>210</v>
      </c>
      <c r="J438" s="75"/>
      <c r="K438" s="75"/>
      <c r="L438" s="76"/>
      <c r="M438" s="25">
        <v>8</v>
      </c>
      <c r="N438" s="26">
        <v>125</v>
      </c>
      <c r="O438" s="26">
        <v>125</v>
      </c>
    </row>
    <row r="439" ht="9" customHeight="1" hidden="1">
      <c r="I439" s="77"/>
      <c r="J439" s="78"/>
      <c r="K439" s="78"/>
      <c r="L439" t="s" s="79">
        <v>207</v>
      </c>
      <c r="M439" s="80">
        <v>2</v>
      </c>
      <c r="N439" s="81">
        <v>0</v>
      </c>
      <c r="O439" s="81">
        <v>0</v>
      </c>
    </row>
    <row r="440" ht="9" customHeight="1" hidden="1">
      <c r="I440" s="82"/>
      <c r="J440" s="83"/>
      <c r="K440" s="84">
        <v>45413</v>
      </c>
      <c r="L440" s="85"/>
      <c r="M440" s="28">
        <v>2</v>
      </c>
      <c r="N440" s="29">
        <v>0</v>
      </c>
      <c r="O440" s="29">
        <v>0</v>
      </c>
    </row>
    <row r="441" ht="9" customHeight="1" hidden="1">
      <c r="I441" s="82"/>
      <c r="J441" t="s" s="86">
        <v>2086</v>
      </c>
      <c r="K441" s="87"/>
      <c r="L441" s="85"/>
      <c r="M441" s="28">
        <v>2</v>
      </c>
      <c r="N441" s="29">
        <v>0</v>
      </c>
      <c r="O441" s="29">
        <v>0</v>
      </c>
    </row>
    <row r="442" ht="15.55" customHeight="1">
      <c r="I442" t="s" s="27">
        <v>2087</v>
      </c>
      <c r="J442" s="87"/>
      <c r="K442" s="87"/>
      <c r="L442" s="85"/>
      <c r="M442" s="28">
        <v>2</v>
      </c>
      <c r="N442" s="29">
        <v>0</v>
      </c>
      <c r="O442" s="29">
        <v>0</v>
      </c>
    </row>
    <row r="443" ht="9" customHeight="1" hidden="1">
      <c r="I443" s="77"/>
      <c r="J443" s="78"/>
      <c r="K443" s="78"/>
      <c r="L443" t="s" s="79">
        <v>2009</v>
      </c>
      <c r="M443" s="80">
        <v>1</v>
      </c>
      <c r="N443" s="81">
        <v>0</v>
      </c>
      <c r="O443" s="81">
        <v>0</v>
      </c>
    </row>
    <row r="444" ht="9" customHeight="1" hidden="1">
      <c r="I444" s="82"/>
      <c r="J444" s="83"/>
      <c r="K444" s="84">
        <v>45413</v>
      </c>
      <c r="L444" s="85"/>
      <c r="M444" s="28">
        <v>1</v>
      </c>
      <c r="N444" s="29">
        <v>0</v>
      </c>
      <c r="O444" s="29">
        <v>0</v>
      </c>
    </row>
    <row r="445" ht="9" customHeight="1" hidden="1">
      <c r="I445" s="82"/>
      <c r="J445" t="s" s="86">
        <v>2008</v>
      </c>
      <c r="K445" s="87"/>
      <c r="L445" s="85"/>
      <c r="M445" s="28">
        <v>1</v>
      </c>
      <c r="N445" s="29">
        <v>0</v>
      </c>
      <c r="O445" s="29">
        <v>0</v>
      </c>
    </row>
    <row r="446" ht="9" customHeight="1" hidden="1">
      <c r="I446" s="77"/>
      <c r="J446" s="78"/>
      <c r="K446" s="78"/>
      <c r="L446" t="s" s="79">
        <v>254</v>
      </c>
      <c r="M446" s="80">
        <v>1</v>
      </c>
      <c r="N446" s="81">
        <v>0</v>
      </c>
      <c r="O446" s="81">
        <v>0</v>
      </c>
    </row>
    <row r="447" ht="9" customHeight="1" hidden="1">
      <c r="I447" s="82"/>
      <c r="J447" s="83"/>
      <c r="K447" s="84">
        <v>45413</v>
      </c>
      <c r="L447" s="85"/>
      <c r="M447" s="28">
        <v>1</v>
      </c>
      <c r="N447" s="29">
        <v>0</v>
      </c>
      <c r="O447" s="29">
        <v>0</v>
      </c>
    </row>
    <row r="448" ht="9" customHeight="1" hidden="1">
      <c r="I448" s="82"/>
      <c r="J448" t="s" s="86">
        <v>1966</v>
      </c>
      <c r="K448" s="87"/>
      <c r="L448" s="85"/>
      <c r="M448" s="28">
        <v>1</v>
      </c>
      <c r="N448" s="29">
        <v>0</v>
      </c>
      <c r="O448" s="29">
        <v>0</v>
      </c>
    </row>
    <row r="449" ht="15.55" customHeight="1">
      <c r="I449" t="s" s="27">
        <v>1967</v>
      </c>
      <c r="J449" s="87"/>
      <c r="K449" s="87"/>
      <c r="L449" s="85"/>
      <c r="M449" s="28">
        <v>2</v>
      </c>
      <c r="N449" s="29">
        <v>0</v>
      </c>
      <c r="O449" s="29">
        <v>0</v>
      </c>
    </row>
    <row r="450" ht="9" customHeight="1" hidden="1">
      <c r="I450" s="77"/>
      <c r="J450" s="78"/>
      <c r="K450" s="78"/>
      <c r="L450" t="s" s="79">
        <v>1695</v>
      </c>
      <c r="M450" s="80">
        <v>1</v>
      </c>
      <c r="N450" s="81">
        <v>49.99</v>
      </c>
      <c r="O450" s="81">
        <v>49.99</v>
      </c>
    </row>
    <row r="451" ht="9" customHeight="1" hidden="1">
      <c r="I451" s="77"/>
      <c r="J451" s="78"/>
      <c r="K451" s="78"/>
      <c r="L451" t="s" s="79">
        <v>35</v>
      </c>
      <c r="M451" s="80">
        <v>4</v>
      </c>
      <c r="N451" s="81">
        <v>49.99</v>
      </c>
      <c r="O451" s="81">
        <v>199.96</v>
      </c>
    </row>
    <row r="452" ht="9" customHeight="1" hidden="1">
      <c r="I452" s="77"/>
      <c r="J452" s="78"/>
      <c r="K452" s="78"/>
      <c r="L452" t="s" s="79">
        <v>171</v>
      </c>
      <c r="M452" s="80">
        <v>2</v>
      </c>
      <c r="N452" s="81">
        <v>549.99</v>
      </c>
      <c r="O452" s="81">
        <v>1099.98</v>
      </c>
    </row>
    <row r="453" ht="9" customHeight="1" hidden="1">
      <c r="I453" s="77"/>
      <c r="J453" s="78"/>
      <c r="K453" s="78"/>
      <c r="L453" t="s" s="79">
        <v>15</v>
      </c>
      <c r="M453" s="80">
        <v>1</v>
      </c>
      <c r="N453" s="81">
        <v>0</v>
      </c>
      <c r="O453" s="81">
        <v>0</v>
      </c>
    </row>
    <row r="454" ht="9" customHeight="1" hidden="1">
      <c r="I454" s="82"/>
      <c r="J454" s="83"/>
      <c r="K454" s="84">
        <v>45413</v>
      </c>
      <c r="L454" s="85"/>
      <c r="M454" s="28">
        <v>8</v>
      </c>
      <c r="N454" s="29">
        <v>649.97</v>
      </c>
      <c r="O454" s="29">
        <v>1349.93</v>
      </c>
    </row>
    <row r="455" ht="9" customHeight="1" hidden="1">
      <c r="I455" s="82"/>
      <c r="J455" t="s" s="86">
        <v>1930</v>
      </c>
      <c r="K455" s="87"/>
      <c r="L455" s="85"/>
      <c r="M455" s="28">
        <v>8</v>
      </c>
      <c r="N455" s="29">
        <v>649.97</v>
      </c>
      <c r="O455" s="29">
        <v>1349.93</v>
      </c>
    </row>
    <row r="456" ht="15.55" customHeight="1">
      <c r="I456" t="s" s="27">
        <v>1931</v>
      </c>
      <c r="J456" s="87"/>
      <c r="K456" s="87"/>
      <c r="L456" s="85"/>
      <c r="M456" s="28">
        <v>8</v>
      </c>
      <c r="N456" s="29">
        <v>649.97</v>
      </c>
      <c r="O456" s="29">
        <v>1349.93</v>
      </c>
    </row>
    <row r="457" ht="9" customHeight="1" hidden="1">
      <c r="I457" s="77"/>
      <c r="J457" s="78"/>
      <c r="K457" s="78"/>
      <c r="L457" t="s" s="79">
        <v>35</v>
      </c>
      <c r="M457" s="80">
        <v>2</v>
      </c>
      <c r="N457" s="81">
        <v>49.99</v>
      </c>
      <c r="O457" s="81">
        <v>99.98</v>
      </c>
    </row>
    <row r="458" ht="9" customHeight="1" hidden="1">
      <c r="I458" s="82"/>
      <c r="J458" s="83"/>
      <c r="K458" s="84">
        <v>45413</v>
      </c>
      <c r="L458" s="85"/>
      <c r="M458" s="28">
        <v>2</v>
      </c>
      <c r="N458" s="29">
        <v>49.99</v>
      </c>
      <c r="O458" s="29">
        <v>99.98</v>
      </c>
    </row>
    <row r="459" ht="9" customHeight="1" hidden="1">
      <c r="I459" s="82"/>
      <c r="J459" t="s" s="86">
        <v>1925</v>
      </c>
      <c r="K459" s="87"/>
      <c r="L459" s="85"/>
      <c r="M459" s="28">
        <v>2</v>
      </c>
      <c r="N459" s="29">
        <v>49.99</v>
      </c>
      <c r="O459" s="29">
        <v>99.98</v>
      </c>
    </row>
    <row r="460" ht="15.55" customHeight="1">
      <c r="I460" t="s" s="27">
        <v>1926</v>
      </c>
      <c r="J460" s="87"/>
      <c r="K460" s="87"/>
      <c r="L460" s="85"/>
      <c r="M460" s="28">
        <v>2</v>
      </c>
      <c r="N460" s="29">
        <v>49.99</v>
      </c>
      <c r="O460" s="29">
        <v>99.98</v>
      </c>
    </row>
    <row r="461" ht="9" customHeight="1" hidden="1">
      <c r="I461" s="77"/>
      <c r="J461" s="78"/>
      <c r="K461" s="78"/>
      <c r="L461" t="s" s="79">
        <v>171</v>
      </c>
      <c r="M461" s="80">
        <v>2</v>
      </c>
      <c r="N461" s="81">
        <v>549.99</v>
      </c>
      <c r="O461" s="81">
        <v>1099.98</v>
      </c>
    </row>
    <row r="462" ht="9" customHeight="1" hidden="1">
      <c r="I462" s="82"/>
      <c r="J462" s="83"/>
      <c r="K462" s="84">
        <v>45413</v>
      </c>
      <c r="L462" s="85"/>
      <c r="M462" s="28">
        <v>2</v>
      </c>
      <c r="N462" s="29">
        <v>549.99</v>
      </c>
      <c r="O462" s="29">
        <v>1099.98</v>
      </c>
    </row>
    <row r="463" ht="9" customHeight="1" hidden="1">
      <c r="I463" s="82"/>
      <c r="J463" t="s" s="86">
        <v>1838</v>
      </c>
      <c r="K463" s="87"/>
      <c r="L463" s="85"/>
      <c r="M463" s="28">
        <v>2</v>
      </c>
      <c r="N463" s="29">
        <v>549.99</v>
      </c>
      <c r="O463" s="29">
        <v>1099.98</v>
      </c>
    </row>
    <row r="464" ht="15.55" customHeight="1">
      <c r="I464" t="s" s="27">
        <v>1839</v>
      </c>
      <c r="J464" s="87"/>
      <c r="K464" s="87"/>
      <c r="L464" s="85"/>
      <c r="M464" s="28">
        <v>2</v>
      </c>
      <c r="N464" s="29">
        <v>549.99</v>
      </c>
      <c r="O464" s="29">
        <v>1099.98</v>
      </c>
    </row>
    <row r="465" ht="9" customHeight="1" hidden="1">
      <c r="I465" s="77"/>
      <c r="J465" s="78"/>
      <c r="K465" s="78"/>
      <c r="L465" t="s" s="79">
        <v>73</v>
      </c>
      <c r="M465" s="80">
        <v>1</v>
      </c>
      <c r="N465" s="81">
        <v>399.99</v>
      </c>
      <c r="O465" s="81">
        <v>399.99</v>
      </c>
    </row>
    <row r="466" ht="9" customHeight="1" hidden="1">
      <c r="I466" s="82"/>
      <c r="J466" s="83"/>
      <c r="K466" s="84">
        <v>45413</v>
      </c>
      <c r="L466" s="85"/>
      <c r="M466" s="28">
        <v>1</v>
      </c>
      <c r="N466" s="29">
        <v>399.99</v>
      </c>
      <c r="O466" s="29">
        <v>399.99</v>
      </c>
    </row>
    <row r="467" ht="9" customHeight="1" hidden="1">
      <c r="I467" s="82"/>
      <c r="J467" t="s" s="86">
        <v>1859</v>
      </c>
      <c r="K467" s="87"/>
      <c r="L467" s="85"/>
      <c r="M467" s="28">
        <v>1</v>
      </c>
      <c r="N467" s="29">
        <v>399.99</v>
      </c>
      <c r="O467" s="29">
        <v>399.99</v>
      </c>
    </row>
    <row r="468" ht="15.55" customHeight="1">
      <c r="I468" t="s" s="27">
        <v>1860</v>
      </c>
      <c r="J468" s="87"/>
      <c r="K468" s="87"/>
      <c r="L468" s="85"/>
      <c r="M468" s="28">
        <v>1</v>
      </c>
      <c r="N468" s="29">
        <v>399.99</v>
      </c>
      <c r="O468" s="29">
        <v>399.99</v>
      </c>
    </row>
    <row r="469" ht="9" customHeight="1" hidden="1">
      <c r="I469" s="77"/>
      <c r="J469" s="78"/>
      <c r="K469" s="78"/>
      <c r="L469" t="s" s="79">
        <v>1695</v>
      </c>
      <c r="M469" s="80">
        <v>2</v>
      </c>
      <c r="N469" s="81">
        <v>49.99</v>
      </c>
      <c r="O469" s="81">
        <v>99.98</v>
      </c>
    </row>
    <row r="470" ht="9" customHeight="1" hidden="1">
      <c r="I470" s="77"/>
      <c r="J470" s="78"/>
      <c r="K470" s="78"/>
      <c r="L470" t="s" s="79">
        <v>84</v>
      </c>
      <c r="M470" s="80">
        <v>4</v>
      </c>
      <c r="N470" s="81">
        <v>0</v>
      </c>
      <c r="O470" s="81">
        <v>0</v>
      </c>
    </row>
    <row r="471" ht="9" customHeight="1" hidden="1">
      <c r="I471" s="77"/>
      <c r="J471" s="78"/>
      <c r="K471" s="78"/>
      <c r="L471" t="s" s="79">
        <v>119</v>
      </c>
      <c r="M471" s="80">
        <v>8</v>
      </c>
      <c r="N471" s="81">
        <v>1.99</v>
      </c>
      <c r="O471" s="81">
        <v>15.92</v>
      </c>
    </row>
    <row r="472" ht="9" customHeight="1" hidden="1">
      <c r="I472" s="77"/>
      <c r="J472" s="78"/>
      <c r="K472" s="78"/>
      <c r="L472" t="s" s="79">
        <v>23</v>
      </c>
      <c r="M472" s="80">
        <v>2</v>
      </c>
      <c r="N472" s="81">
        <v>149.99</v>
      </c>
      <c r="O472" s="81">
        <v>299.98</v>
      </c>
    </row>
    <row r="473" ht="9" customHeight="1" hidden="1">
      <c r="I473" s="77"/>
      <c r="J473" s="78"/>
      <c r="K473" s="78"/>
      <c r="L473" t="s" s="79">
        <v>133</v>
      </c>
      <c r="M473" s="80">
        <v>4</v>
      </c>
      <c r="N473" s="81">
        <v>50</v>
      </c>
      <c r="O473" s="81">
        <v>200</v>
      </c>
    </row>
    <row r="474" ht="9" customHeight="1" hidden="1">
      <c r="I474" s="77"/>
      <c r="J474" s="78"/>
      <c r="K474" s="78"/>
      <c r="L474" t="s" s="79">
        <v>77</v>
      </c>
      <c r="M474" s="80">
        <v>2</v>
      </c>
      <c r="N474" s="81">
        <v>19.99</v>
      </c>
      <c r="O474" s="81">
        <v>39.98</v>
      </c>
    </row>
    <row r="475" ht="9" customHeight="1" hidden="1">
      <c r="I475" s="77"/>
      <c r="J475" s="78"/>
      <c r="K475" s="78"/>
      <c r="L475" t="s" s="79">
        <v>81</v>
      </c>
      <c r="M475" s="80">
        <v>4</v>
      </c>
      <c r="N475" s="81">
        <v>849.99</v>
      </c>
      <c r="O475" s="81">
        <v>3399.96</v>
      </c>
    </row>
    <row r="476" ht="9" customHeight="1" hidden="1">
      <c r="I476" s="77"/>
      <c r="J476" s="78"/>
      <c r="K476" s="78"/>
      <c r="L476" t="s" s="79">
        <v>50</v>
      </c>
      <c r="M476" s="80">
        <v>4</v>
      </c>
      <c r="N476" s="81">
        <v>0</v>
      </c>
      <c r="O476" s="81">
        <v>0</v>
      </c>
    </row>
    <row r="477" ht="9" customHeight="1" hidden="1">
      <c r="I477" s="77"/>
      <c r="J477" s="78"/>
      <c r="K477" s="78"/>
      <c r="L477" t="s" s="79">
        <v>15</v>
      </c>
      <c r="M477" s="80">
        <v>3</v>
      </c>
      <c r="N477" s="81">
        <v>9.99</v>
      </c>
      <c r="O477" s="81">
        <v>9.99</v>
      </c>
    </row>
    <row r="478" ht="9" customHeight="1" hidden="1">
      <c r="I478" s="82"/>
      <c r="J478" s="83"/>
      <c r="K478" s="84">
        <v>45413</v>
      </c>
      <c r="L478" s="85"/>
      <c r="M478" s="28">
        <v>33</v>
      </c>
      <c r="N478" s="29">
        <v>1131.94</v>
      </c>
      <c r="O478" s="29">
        <v>4065.81</v>
      </c>
    </row>
    <row r="479" ht="9" customHeight="1" hidden="1">
      <c r="I479" s="82"/>
      <c r="J479" t="s" s="86">
        <v>1945</v>
      </c>
      <c r="K479" s="87"/>
      <c r="L479" s="85"/>
      <c r="M479" s="28">
        <v>33</v>
      </c>
      <c r="N479" s="29">
        <v>1131.94</v>
      </c>
      <c r="O479" s="29">
        <v>4065.81</v>
      </c>
    </row>
    <row r="480" ht="9" customHeight="1" hidden="1">
      <c r="I480" s="77"/>
      <c r="J480" s="78"/>
      <c r="K480" s="78"/>
      <c r="L480" t="s" s="79">
        <v>19</v>
      </c>
      <c r="M480" s="80">
        <v>2</v>
      </c>
      <c r="N480" s="81">
        <v>119.99</v>
      </c>
      <c r="O480" s="81">
        <v>239.98</v>
      </c>
    </row>
    <row r="481" ht="9" customHeight="1" hidden="1">
      <c r="I481" s="77"/>
      <c r="J481" s="78"/>
      <c r="K481" s="78"/>
      <c r="L481" t="s" s="79">
        <v>146</v>
      </c>
      <c r="M481" s="80">
        <v>2</v>
      </c>
      <c r="N481" s="81">
        <v>19.99</v>
      </c>
      <c r="O481" s="81">
        <v>39.98</v>
      </c>
    </row>
    <row r="482" ht="9" customHeight="1" hidden="1">
      <c r="I482" s="82"/>
      <c r="J482" s="83"/>
      <c r="K482" s="84">
        <v>45413</v>
      </c>
      <c r="L482" s="85"/>
      <c r="M482" s="28">
        <v>4</v>
      </c>
      <c r="N482" s="29">
        <v>139.98</v>
      </c>
      <c r="O482" s="29">
        <v>279.96</v>
      </c>
    </row>
    <row r="483" ht="9" customHeight="1" hidden="1">
      <c r="I483" s="82"/>
      <c r="J483" t="s" s="86">
        <v>1863</v>
      </c>
      <c r="K483" s="87"/>
      <c r="L483" s="85"/>
      <c r="M483" s="28">
        <v>4</v>
      </c>
      <c r="N483" s="29">
        <v>139.98</v>
      </c>
      <c r="O483" s="29">
        <v>279.96</v>
      </c>
    </row>
    <row r="484" ht="15.55" customHeight="1">
      <c r="I484" t="s" s="27">
        <v>1614</v>
      </c>
      <c r="J484" s="87"/>
      <c r="K484" s="87"/>
      <c r="L484" s="85"/>
      <c r="M484" s="28">
        <v>37</v>
      </c>
      <c r="N484" s="29">
        <v>1271.92</v>
      </c>
      <c r="O484" s="29">
        <v>4345.77</v>
      </c>
    </row>
    <row r="485" ht="9" customHeight="1" hidden="1">
      <c r="I485" s="77"/>
      <c r="J485" s="78"/>
      <c r="K485" s="78"/>
      <c r="L485" t="s" s="79">
        <v>35</v>
      </c>
      <c r="M485" s="80">
        <v>1</v>
      </c>
      <c r="N485" s="81">
        <v>49.99</v>
      </c>
      <c r="O485" s="81">
        <v>49.99</v>
      </c>
    </row>
    <row r="486" ht="9" customHeight="1" hidden="1">
      <c r="I486" s="82"/>
      <c r="J486" s="83"/>
      <c r="K486" s="84">
        <v>45413</v>
      </c>
      <c r="L486" s="85"/>
      <c r="M486" s="28">
        <v>1</v>
      </c>
      <c r="N486" s="29">
        <v>49.99</v>
      </c>
      <c r="O486" s="29">
        <v>49.99</v>
      </c>
    </row>
    <row r="487" ht="9" customHeight="1" hidden="1">
      <c r="I487" s="82"/>
      <c r="J487" t="s" s="86">
        <v>1852</v>
      </c>
      <c r="K487" s="87"/>
      <c r="L487" s="85"/>
      <c r="M487" s="28">
        <v>1</v>
      </c>
      <c r="N487" s="29">
        <v>49.99</v>
      </c>
      <c r="O487" s="29">
        <v>49.99</v>
      </c>
    </row>
    <row r="488" ht="15.55" customHeight="1">
      <c r="I488" t="s" s="27">
        <v>1853</v>
      </c>
      <c r="J488" s="87"/>
      <c r="K488" s="87"/>
      <c r="L488" s="85"/>
      <c r="M488" s="28">
        <v>1</v>
      </c>
      <c r="N488" s="29">
        <v>49.99</v>
      </c>
      <c r="O488" s="29">
        <v>49.99</v>
      </c>
    </row>
    <row r="489" ht="9" customHeight="1" hidden="1">
      <c r="I489" s="77"/>
      <c r="J489" s="78"/>
      <c r="K489" s="78"/>
      <c r="L489" t="s" s="79">
        <v>143</v>
      </c>
      <c r="M489" s="80">
        <v>1</v>
      </c>
      <c r="N489" s="81">
        <v>3199.99</v>
      </c>
      <c r="O489" s="81">
        <v>3199.99</v>
      </c>
    </row>
    <row r="490" ht="9" customHeight="1" hidden="1">
      <c r="I490" s="77"/>
      <c r="J490" s="78"/>
      <c r="K490" s="78"/>
      <c r="L490" t="s" s="79">
        <v>63</v>
      </c>
      <c r="M490" s="80">
        <v>1</v>
      </c>
      <c r="N490" s="81">
        <v>127</v>
      </c>
      <c r="O490" s="81">
        <v>127</v>
      </c>
    </row>
    <row r="491" ht="9" customHeight="1" hidden="1">
      <c r="I491" s="82"/>
      <c r="J491" s="83"/>
      <c r="K491" s="84">
        <v>45413</v>
      </c>
      <c r="L491" s="85"/>
      <c r="M491" s="28">
        <v>2</v>
      </c>
      <c r="N491" s="29">
        <v>3326.99</v>
      </c>
      <c r="O491" s="29">
        <v>3326.99</v>
      </c>
    </row>
    <row r="492" ht="9" customHeight="1" hidden="1">
      <c r="I492" s="82"/>
      <c r="J492" t="s" s="86">
        <v>2140</v>
      </c>
      <c r="K492" s="87"/>
      <c r="L492" s="85"/>
      <c r="M492" s="28">
        <v>2</v>
      </c>
      <c r="N492" s="29">
        <v>3326.99</v>
      </c>
      <c r="O492" s="29">
        <v>3326.99</v>
      </c>
    </row>
    <row r="493" ht="15.55" customHeight="1">
      <c r="I493" t="s" s="27">
        <v>2141</v>
      </c>
      <c r="J493" s="87"/>
      <c r="K493" s="87"/>
      <c r="L493" s="85"/>
      <c r="M493" s="28">
        <v>2</v>
      </c>
      <c r="N493" s="29">
        <v>3326.99</v>
      </c>
      <c r="O493" s="29">
        <v>3326.99</v>
      </c>
    </row>
    <row r="494" ht="9" customHeight="1" hidden="1">
      <c r="I494" s="77"/>
      <c r="J494" s="78"/>
      <c r="K494" s="78"/>
      <c r="L494" t="s" s="79">
        <v>35</v>
      </c>
      <c r="M494" s="80">
        <v>2</v>
      </c>
      <c r="N494" s="81">
        <v>49.99</v>
      </c>
      <c r="O494" s="81">
        <v>99.98</v>
      </c>
    </row>
    <row r="495" ht="9" customHeight="1" hidden="1">
      <c r="I495" s="82"/>
      <c r="J495" s="83"/>
      <c r="K495" s="84">
        <v>45413</v>
      </c>
      <c r="L495" s="85"/>
      <c r="M495" s="28">
        <v>2</v>
      </c>
      <c r="N495" s="29">
        <v>49.99</v>
      </c>
      <c r="O495" s="29">
        <v>99.98</v>
      </c>
    </row>
    <row r="496" ht="9" customHeight="1" hidden="1">
      <c r="I496" s="82"/>
      <c r="J496" t="s" s="86">
        <v>1840</v>
      </c>
      <c r="K496" s="87"/>
      <c r="L496" s="85"/>
      <c r="M496" s="28">
        <v>2</v>
      </c>
      <c r="N496" s="29">
        <v>49.99</v>
      </c>
      <c r="O496" s="29">
        <v>99.98</v>
      </c>
    </row>
    <row r="497" ht="15.55" customHeight="1">
      <c r="I497" t="s" s="27">
        <v>1841</v>
      </c>
      <c r="J497" s="87"/>
      <c r="K497" s="87"/>
      <c r="L497" s="85"/>
      <c r="M497" s="28">
        <v>2</v>
      </c>
      <c r="N497" s="29">
        <v>49.99</v>
      </c>
      <c r="O497" s="29">
        <v>99.98</v>
      </c>
    </row>
    <row r="498" ht="9" customHeight="1" hidden="1">
      <c r="I498" s="77"/>
      <c r="J498" s="78"/>
      <c r="K498" s="78"/>
      <c r="L498" t="s" s="79">
        <v>19</v>
      </c>
      <c r="M498" s="80">
        <v>8</v>
      </c>
      <c r="N498" s="81">
        <v>119.99</v>
      </c>
      <c r="O498" s="81">
        <v>959.92</v>
      </c>
    </row>
    <row r="499" ht="9" customHeight="1" hidden="1">
      <c r="I499" s="77"/>
      <c r="J499" s="78"/>
      <c r="K499" s="78"/>
      <c r="L499" t="s" s="79">
        <v>47</v>
      </c>
      <c r="M499" s="80">
        <v>1</v>
      </c>
      <c r="N499" s="81">
        <v>75.61</v>
      </c>
      <c r="O499" s="81">
        <v>75.61</v>
      </c>
    </row>
    <row r="500" ht="9" customHeight="1" hidden="1">
      <c r="I500" s="82"/>
      <c r="J500" s="83"/>
      <c r="K500" s="84">
        <v>45413</v>
      </c>
      <c r="L500" s="85"/>
      <c r="M500" s="28">
        <v>9</v>
      </c>
      <c r="N500" s="29">
        <v>195.6</v>
      </c>
      <c r="O500" s="29">
        <v>1035.53</v>
      </c>
    </row>
    <row r="501" ht="9" customHeight="1" hidden="1">
      <c r="I501" s="82"/>
      <c r="J501" t="s" s="86">
        <v>2085</v>
      </c>
      <c r="K501" s="87"/>
      <c r="L501" s="85"/>
      <c r="M501" s="28">
        <v>9</v>
      </c>
      <c r="N501" s="29">
        <v>195.6</v>
      </c>
      <c r="O501" s="29">
        <v>1035.53</v>
      </c>
    </row>
    <row r="502" ht="9" customHeight="1" hidden="1">
      <c r="I502" s="77"/>
      <c r="J502" s="78"/>
      <c r="K502" s="78"/>
      <c r="L502" t="s" s="79">
        <v>11</v>
      </c>
      <c r="M502" s="80">
        <v>2</v>
      </c>
      <c r="N502" s="81">
        <v>399.99</v>
      </c>
      <c r="O502" s="81">
        <v>799.98</v>
      </c>
    </row>
    <row r="503" ht="9" customHeight="1" hidden="1">
      <c r="I503" s="77"/>
      <c r="J503" s="78"/>
      <c r="K503" s="78"/>
      <c r="L503" t="s" s="79">
        <v>63</v>
      </c>
      <c r="M503" s="80">
        <v>1</v>
      </c>
      <c r="N503" s="81">
        <v>101.5</v>
      </c>
      <c r="O503" s="81">
        <v>101.5</v>
      </c>
    </row>
    <row r="504" ht="9" customHeight="1" hidden="1">
      <c r="I504" s="82"/>
      <c r="J504" s="83"/>
      <c r="K504" s="84">
        <v>45413</v>
      </c>
      <c r="L504" s="85"/>
      <c r="M504" s="28">
        <v>3</v>
      </c>
      <c r="N504" s="29">
        <v>501.49</v>
      </c>
      <c r="O504" s="29">
        <v>901.48</v>
      </c>
    </row>
    <row r="505" ht="9" customHeight="1" hidden="1">
      <c r="I505" s="82"/>
      <c r="J505" t="s" s="86">
        <v>1819</v>
      </c>
      <c r="K505" s="87"/>
      <c r="L505" s="85"/>
      <c r="M505" s="28">
        <v>3</v>
      </c>
      <c r="N505" s="29">
        <v>501.49</v>
      </c>
      <c r="O505" s="29">
        <v>901.48</v>
      </c>
    </row>
    <row r="506" ht="15.55" customHeight="1">
      <c r="I506" t="s" s="27">
        <v>1820</v>
      </c>
      <c r="J506" s="87"/>
      <c r="K506" s="87"/>
      <c r="L506" s="85"/>
      <c r="M506" s="28">
        <v>12</v>
      </c>
      <c r="N506" s="29">
        <v>697.09</v>
      </c>
      <c r="O506" s="29">
        <v>1937.01</v>
      </c>
    </row>
    <row r="507" ht="9" customHeight="1" hidden="1">
      <c r="I507" s="77"/>
      <c r="J507" s="78"/>
      <c r="K507" s="78"/>
      <c r="L507" t="s" s="79">
        <v>31</v>
      </c>
      <c r="M507" s="80">
        <v>1</v>
      </c>
      <c r="N507" s="81">
        <v>599.99</v>
      </c>
      <c r="O507" s="81">
        <v>599.99</v>
      </c>
    </row>
    <row r="508" ht="9" customHeight="1" hidden="1">
      <c r="I508" s="82"/>
      <c r="J508" s="83"/>
      <c r="K508" s="84">
        <v>45413</v>
      </c>
      <c r="L508" s="85"/>
      <c r="M508" s="28">
        <v>1</v>
      </c>
      <c r="N508" s="29">
        <v>599.99</v>
      </c>
      <c r="O508" s="29">
        <v>599.99</v>
      </c>
    </row>
    <row r="509" ht="9" customHeight="1" hidden="1">
      <c r="I509" s="82"/>
      <c r="J509" t="s" s="86">
        <v>2039</v>
      </c>
      <c r="K509" s="87"/>
      <c r="L509" s="85"/>
      <c r="M509" s="28">
        <v>1</v>
      </c>
      <c r="N509" s="29">
        <v>599.99</v>
      </c>
      <c r="O509" s="29">
        <v>599.99</v>
      </c>
    </row>
    <row r="510" ht="15.55" customHeight="1">
      <c r="I510" t="s" s="27">
        <v>2040</v>
      </c>
      <c r="J510" s="87"/>
      <c r="K510" s="87"/>
      <c r="L510" s="85"/>
      <c r="M510" s="28">
        <v>1</v>
      </c>
      <c r="N510" s="29">
        <v>599.99</v>
      </c>
      <c r="O510" s="29">
        <v>599.99</v>
      </c>
    </row>
    <row r="511" ht="9" customHeight="1" hidden="1">
      <c r="I511" s="77"/>
      <c r="J511" s="78"/>
      <c r="K511" s="78"/>
      <c r="L511" t="s" s="79">
        <v>341</v>
      </c>
      <c r="M511" s="80">
        <v>4</v>
      </c>
      <c r="N511" s="81">
        <v>29.99</v>
      </c>
      <c r="O511" s="81">
        <v>119.96</v>
      </c>
    </row>
    <row r="512" ht="9" customHeight="1" hidden="1">
      <c r="I512" s="77"/>
      <c r="J512" s="78"/>
      <c r="K512" s="78"/>
      <c r="L512" t="s" s="79">
        <v>84</v>
      </c>
      <c r="M512" s="80">
        <v>2</v>
      </c>
      <c r="N512" s="81">
        <v>0</v>
      </c>
      <c r="O512" s="81">
        <v>0</v>
      </c>
    </row>
    <row r="513" ht="9" customHeight="1" hidden="1">
      <c r="I513" s="77"/>
      <c r="J513" s="78"/>
      <c r="K513" s="78"/>
      <c r="L513" t="s" s="79">
        <v>133</v>
      </c>
      <c r="M513" s="80">
        <v>2</v>
      </c>
      <c r="N513" s="81">
        <v>50</v>
      </c>
      <c r="O513" s="81">
        <v>100</v>
      </c>
    </row>
    <row r="514" ht="9" customHeight="1" hidden="1">
      <c r="I514" s="77"/>
      <c r="J514" s="78"/>
      <c r="K514" s="78"/>
      <c r="L514" t="s" s="79">
        <v>81</v>
      </c>
      <c r="M514" s="80">
        <v>2</v>
      </c>
      <c r="N514" s="81">
        <v>849.99</v>
      </c>
      <c r="O514" s="81">
        <v>1699.98</v>
      </c>
    </row>
    <row r="515" ht="9" customHeight="1" hidden="1">
      <c r="I515" s="77"/>
      <c r="J515" s="78"/>
      <c r="K515" s="78"/>
      <c r="L515" t="s" s="79">
        <v>50</v>
      </c>
      <c r="M515" s="80">
        <v>2</v>
      </c>
      <c r="N515" s="81">
        <v>0</v>
      </c>
      <c r="O515" s="81">
        <v>0</v>
      </c>
    </row>
    <row r="516" ht="9" customHeight="1" hidden="1">
      <c r="I516" s="82"/>
      <c r="J516" s="83"/>
      <c r="K516" s="84">
        <v>45413</v>
      </c>
      <c r="L516" s="85"/>
      <c r="M516" s="28">
        <v>12</v>
      </c>
      <c r="N516" s="29">
        <v>929.98</v>
      </c>
      <c r="O516" s="29">
        <v>1919.94</v>
      </c>
    </row>
    <row r="517" ht="9" customHeight="1" hidden="1">
      <c r="I517" s="82"/>
      <c r="J517" t="s" s="86">
        <v>1943</v>
      </c>
      <c r="K517" s="87"/>
      <c r="L517" s="85"/>
      <c r="M517" s="28">
        <v>12</v>
      </c>
      <c r="N517" s="29">
        <v>929.98</v>
      </c>
      <c r="O517" s="29">
        <v>1919.94</v>
      </c>
    </row>
    <row r="518" ht="15.55" customHeight="1">
      <c r="I518" t="s" s="27">
        <v>1944</v>
      </c>
      <c r="J518" s="87"/>
      <c r="K518" s="87"/>
      <c r="L518" s="85"/>
      <c r="M518" s="28">
        <v>12</v>
      </c>
      <c r="N518" s="29">
        <v>929.98</v>
      </c>
      <c r="O518" s="29">
        <v>1919.94</v>
      </c>
    </row>
    <row r="519" ht="9" customHeight="1" hidden="1">
      <c r="I519" s="77"/>
      <c r="J519" s="78"/>
      <c r="K519" s="78"/>
      <c r="L519" t="s" s="79">
        <v>31</v>
      </c>
      <c r="M519" s="80">
        <v>1</v>
      </c>
      <c r="N519" s="81">
        <v>599.99</v>
      </c>
      <c r="O519" s="81">
        <v>599.99</v>
      </c>
    </row>
    <row r="520" ht="9" customHeight="1" hidden="1">
      <c r="I520" s="82"/>
      <c r="J520" s="83"/>
      <c r="K520" s="84">
        <v>45413</v>
      </c>
      <c r="L520" s="85"/>
      <c r="M520" s="28">
        <v>1</v>
      </c>
      <c r="N520" s="29">
        <v>599.99</v>
      </c>
      <c r="O520" s="29">
        <v>599.99</v>
      </c>
    </row>
    <row r="521" ht="9" customHeight="1" hidden="1">
      <c r="I521" s="82"/>
      <c r="J521" t="s" s="86">
        <v>1993</v>
      </c>
      <c r="K521" s="87"/>
      <c r="L521" s="85"/>
      <c r="M521" s="28">
        <v>1</v>
      </c>
      <c r="N521" s="29">
        <v>599.99</v>
      </c>
      <c r="O521" s="29">
        <v>599.99</v>
      </c>
    </row>
    <row r="522" ht="9" customHeight="1" hidden="1">
      <c r="I522" s="77"/>
      <c r="J522" s="78"/>
      <c r="K522" s="78"/>
      <c r="L522" t="s" s="79">
        <v>35</v>
      </c>
      <c r="M522" s="80">
        <v>1</v>
      </c>
      <c r="N522" s="81">
        <v>49.99</v>
      </c>
      <c r="O522" s="81">
        <v>49.99</v>
      </c>
    </row>
    <row r="523" ht="9" customHeight="1" hidden="1">
      <c r="I523" s="82"/>
      <c r="J523" s="83"/>
      <c r="K523" s="84">
        <v>45413</v>
      </c>
      <c r="L523" s="85"/>
      <c r="M523" s="28">
        <v>1</v>
      </c>
      <c r="N523" s="29">
        <v>49.99</v>
      </c>
      <c r="O523" s="29">
        <v>49.99</v>
      </c>
    </row>
    <row r="524" ht="9" customHeight="1" hidden="1">
      <c r="I524" s="82"/>
      <c r="J524" t="s" s="86">
        <v>2019</v>
      </c>
      <c r="K524" s="87"/>
      <c r="L524" s="85"/>
      <c r="M524" s="28">
        <v>1</v>
      </c>
      <c r="N524" s="29">
        <v>49.99</v>
      </c>
      <c r="O524" s="29">
        <v>49.99</v>
      </c>
    </row>
    <row r="525" ht="15.55" customHeight="1">
      <c r="I525" t="s" s="27">
        <v>1994</v>
      </c>
      <c r="J525" s="87"/>
      <c r="K525" s="87"/>
      <c r="L525" s="85"/>
      <c r="M525" s="28">
        <v>2</v>
      </c>
      <c r="N525" s="29">
        <v>649.98</v>
      </c>
      <c r="O525" s="29">
        <v>649.98</v>
      </c>
    </row>
    <row r="526" ht="9" customHeight="1" hidden="1">
      <c r="I526" s="77"/>
      <c r="J526" s="78"/>
      <c r="K526" s="78"/>
      <c r="L526" t="s" s="79">
        <v>31</v>
      </c>
      <c r="M526" s="80">
        <v>1</v>
      </c>
      <c r="N526" s="81">
        <v>599.99</v>
      </c>
      <c r="O526" s="81">
        <v>599.99</v>
      </c>
    </row>
    <row r="527" ht="9" customHeight="1" hidden="1">
      <c r="I527" s="82"/>
      <c r="J527" s="83"/>
      <c r="K527" s="84">
        <v>45413</v>
      </c>
      <c r="L527" s="85"/>
      <c r="M527" s="28">
        <v>1</v>
      </c>
      <c r="N527" s="29">
        <v>599.99</v>
      </c>
      <c r="O527" s="29">
        <v>599.99</v>
      </c>
    </row>
    <row r="528" ht="9" customHeight="1" hidden="1">
      <c r="I528" s="82"/>
      <c r="J528" t="s" s="86">
        <v>2077</v>
      </c>
      <c r="K528" s="87"/>
      <c r="L528" s="85"/>
      <c r="M528" s="28">
        <v>1</v>
      </c>
      <c r="N528" s="29">
        <v>599.99</v>
      </c>
      <c r="O528" s="29">
        <v>599.99</v>
      </c>
    </row>
    <row r="529" ht="15.55" customHeight="1">
      <c r="I529" t="s" s="27">
        <v>2078</v>
      </c>
      <c r="J529" s="87"/>
      <c r="K529" s="87"/>
      <c r="L529" s="85"/>
      <c r="M529" s="28">
        <v>1</v>
      </c>
      <c r="N529" s="29">
        <v>599.99</v>
      </c>
      <c r="O529" s="29">
        <v>599.99</v>
      </c>
    </row>
    <row r="530" ht="9" customHeight="1" hidden="1">
      <c r="I530" s="77"/>
      <c r="J530" s="78"/>
      <c r="K530" s="78"/>
      <c r="L530" t="s" s="79">
        <v>95</v>
      </c>
      <c r="M530" s="80">
        <v>1</v>
      </c>
      <c r="N530" s="81">
        <v>349.99</v>
      </c>
      <c r="O530" s="81">
        <v>349.99</v>
      </c>
    </row>
    <row r="531" ht="9" customHeight="1" hidden="1">
      <c r="I531" s="82"/>
      <c r="J531" s="83"/>
      <c r="K531" s="84">
        <v>45413</v>
      </c>
      <c r="L531" s="85"/>
      <c r="M531" s="28">
        <v>1</v>
      </c>
      <c r="N531" s="29">
        <v>349.99</v>
      </c>
      <c r="O531" s="29">
        <v>349.99</v>
      </c>
    </row>
    <row r="532" ht="9" customHeight="1" hidden="1">
      <c r="I532" s="82"/>
      <c r="J532" t="s" s="86">
        <v>2090</v>
      </c>
      <c r="K532" s="87"/>
      <c r="L532" s="85"/>
      <c r="M532" s="28">
        <v>1</v>
      </c>
      <c r="N532" s="29">
        <v>349.99</v>
      </c>
      <c r="O532" s="29">
        <v>349.99</v>
      </c>
    </row>
    <row r="533" ht="15.55" customHeight="1">
      <c r="I533" t="s" s="27">
        <v>2091</v>
      </c>
      <c r="J533" s="87"/>
      <c r="K533" s="87"/>
      <c r="L533" s="85"/>
      <c r="M533" s="28">
        <v>1</v>
      </c>
      <c r="N533" s="29">
        <v>349.99</v>
      </c>
      <c r="O533" s="29">
        <v>349.99</v>
      </c>
    </row>
    <row r="534" ht="9" customHeight="1" hidden="1">
      <c r="I534" s="77"/>
      <c r="J534" s="78"/>
      <c r="K534" s="78"/>
      <c r="L534" t="s" s="79">
        <v>54</v>
      </c>
      <c r="M534" s="80">
        <v>4</v>
      </c>
      <c r="N534" s="81">
        <v>9.99</v>
      </c>
      <c r="O534" s="81">
        <v>39.96</v>
      </c>
    </row>
    <row r="535" ht="9" customHeight="1" hidden="1">
      <c r="I535" s="82"/>
      <c r="J535" s="83"/>
      <c r="K535" s="84">
        <v>45413</v>
      </c>
      <c r="L535" s="85"/>
      <c r="M535" s="28">
        <v>4</v>
      </c>
      <c r="N535" s="29">
        <v>9.99</v>
      </c>
      <c r="O535" s="29">
        <v>39.96</v>
      </c>
    </row>
    <row r="536" ht="9" customHeight="1" hidden="1">
      <c r="I536" s="82"/>
      <c r="J536" t="s" s="86">
        <v>2114</v>
      </c>
      <c r="K536" s="87"/>
      <c r="L536" s="85"/>
      <c r="M536" s="28">
        <v>4</v>
      </c>
      <c r="N536" s="29">
        <v>9.99</v>
      </c>
      <c r="O536" s="29">
        <v>39.96</v>
      </c>
    </row>
    <row r="537" ht="15.55" customHeight="1">
      <c r="I537" t="s" s="27">
        <v>2115</v>
      </c>
      <c r="J537" s="87"/>
      <c r="K537" s="87"/>
      <c r="L537" s="85"/>
      <c r="M537" s="28">
        <v>4</v>
      </c>
      <c r="N537" s="29">
        <v>9.99</v>
      </c>
      <c r="O537" s="29">
        <v>39.96</v>
      </c>
    </row>
    <row r="538" ht="9" customHeight="1" hidden="1">
      <c r="I538" s="77"/>
      <c r="J538" s="78"/>
      <c r="K538" s="78"/>
      <c r="L538" t="s" s="79">
        <v>27</v>
      </c>
      <c r="M538" s="80">
        <v>1</v>
      </c>
      <c r="N538" s="81">
        <v>79.98999999999999</v>
      </c>
      <c r="O538" s="81">
        <v>79.98999999999999</v>
      </c>
    </row>
    <row r="539" ht="9" customHeight="1" hidden="1">
      <c r="I539" s="82"/>
      <c r="J539" s="83"/>
      <c r="K539" s="84">
        <v>45413</v>
      </c>
      <c r="L539" s="85"/>
      <c r="M539" s="28">
        <v>1</v>
      </c>
      <c r="N539" s="29">
        <v>79.98999999999999</v>
      </c>
      <c r="O539" s="29">
        <v>79.98999999999999</v>
      </c>
    </row>
    <row r="540" ht="9" customHeight="1" hidden="1">
      <c r="I540" s="82"/>
      <c r="J540" t="s" s="86">
        <v>2036</v>
      </c>
      <c r="K540" s="87"/>
      <c r="L540" s="85"/>
      <c r="M540" s="28">
        <v>1</v>
      </c>
      <c r="N540" s="29">
        <v>79.98999999999999</v>
      </c>
      <c r="O540" s="29">
        <v>79.98999999999999</v>
      </c>
    </row>
    <row r="541" ht="15.55" customHeight="1">
      <c r="I541" t="s" s="27">
        <v>2037</v>
      </c>
      <c r="J541" s="87"/>
      <c r="K541" s="87"/>
      <c r="L541" s="85"/>
      <c r="M541" s="28">
        <v>1</v>
      </c>
      <c r="N541" s="29">
        <v>79.98999999999999</v>
      </c>
      <c r="O541" s="29">
        <v>79.98999999999999</v>
      </c>
    </row>
    <row r="542" ht="9" customHeight="1" hidden="1">
      <c r="I542" s="77"/>
      <c r="J542" s="78"/>
      <c r="K542" s="78"/>
      <c r="L542" t="s" s="79">
        <v>19</v>
      </c>
      <c r="M542" s="80">
        <v>4</v>
      </c>
      <c r="N542" s="81">
        <v>119.99</v>
      </c>
      <c r="O542" s="81">
        <v>479.96</v>
      </c>
    </row>
    <row r="543" ht="9" customHeight="1" hidden="1">
      <c r="I543" s="82"/>
      <c r="J543" s="83"/>
      <c r="K543" s="84">
        <v>45413</v>
      </c>
      <c r="L543" s="85"/>
      <c r="M543" s="28">
        <v>4</v>
      </c>
      <c r="N543" s="29">
        <v>119.99</v>
      </c>
      <c r="O543" s="29">
        <v>479.96</v>
      </c>
    </row>
    <row r="544" ht="9" customHeight="1" hidden="1">
      <c r="I544" s="82"/>
      <c r="J544" t="s" s="86">
        <v>1848</v>
      </c>
      <c r="K544" s="87"/>
      <c r="L544" s="85"/>
      <c r="M544" s="28">
        <v>4</v>
      </c>
      <c r="N544" s="29">
        <v>119.99</v>
      </c>
      <c r="O544" s="29">
        <v>479.96</v>
      </c>
    </row>
    <row r="545" ht="15.55" customHeight="1">
      <c r="I545" t="s" s="27">
        <v>1849</v>
      </c>
      <c r="J545" s="87"/>
      <c r="K545" s="87"/>
      <c r="L545" s="85"/>
      <c r="M545" s="28">
        <v>4</v>
      </c>
      <c r="N545" s="29">
        <v>119.99</v>
      </c>
      <c r="O545" s="29">
        <v>479.96</v>
      </c>
    </row>
    <row r="546" ht="9" customHeight="1" hidden="1">
      <c r="I546" s="77"/>
      <c r="J546" s="78"/>
      <c r="K546" s="78"/>
      <c r="L546" t="s" s="79">
        <v>1695</v>
      </c>
      <c r="M546" s="80">
        <v>1</v>
      </c>
      <c r="N546" s="81">
        <v>49.99</v>
      </c>
      <c r="O546" s="81">
        <v>49.99</v>
      </c>
    </row>
    <row r="547" ht="9" customHeight="1" hidden="1">
      <c r="I547" s="77"/>
      <c r="J547" s="78"/>
      <c r="K547" s="78"/>
      <c r="L547" t="s" s="79">
        <v>15</v>
      </c>
      <c r="M547" s="80">
        <v>1</v>
      </c>
      <c r="N547" s="81">
        <v>0</v>
      </c>
      <c r="O547" s="81">
        <v>0</v>
      </c>
    </row>
    <row r="548" ht="9" customHeight="1" hidden="1">
      <c r="I548" s="82"/>
      <c r="J548" s="83"/>
      <c r="K548" s="84">
        <v>45413</v>
      </c>
      <c r="L548" s="85"/>
      <c r="M548" s="28">
        <v>2</v>
      </c>
      <c r="N548" s="29">
        <v>49.99</v>
      </c>
      <c r="O548" s="29">
        <v>49.99</v>
      </c>
    </row>
    <row r="549" ht="9" customHeight="1" hidden="1">
      <c r="I549" s="82"/>
      <c r="J549" t="s" s="86">
        <v>1997</v>
      </c>
      <c r="K549" s="87"/>
      <c r="L549" s="85"/>
      <c r="M549" s="28">
        <v>2</v>
      </c>
      <c r="N549" s="29">
        <v>49.99</v>
      </c>
      <c r="O549" s="29">
        <v>49.99</v>
      </c>
    </row>
    <row r="550" ht="15.55" customHeight="1">
      <c r="I550" t="s" s="27">
        <v>1998</v>
      </c>
      <c r="J550" s="87"/>
      <c r="K550" s="87"/>
      <c r="L550" s="85"/>
      <c r="M550" s="28">
        <v>2</v>
      </c>
      <c r="N550" s="29">
        <v>49.99</v>
      </c>
      <c r="O550" s="29">
        <v>49.99</v>
      </c>
    </row>
    <row r="551" ht="9" customHeight="1" hidden="1">
      <c r="I551" s="77"/>
      <c r="J551" s="78"/>
      <c r="K551" s="78"/>
      <c r="L551" t="s" s="79">
        <v>31</v>
      </c>
      <c r="M551" s="80">
        <v>1</v>
      </c>
      <c r="N551" s="81">
        <v>599.99</v>
      </c>
      <c r="O551" s="81">
        <v>599.99</v>
      </c>
    </row>
    <row r="552" ht="9" customHeight="1" hidden="1">
      <c r="I552" s="82"/>
      <c r="J552" s="83"/>
      <c r="K552" s="84">
        <v>45413</v>
      </c>
      <c r="L552" s="85"/>
      <c r="M552" s="28">
        <v>1</v>
      </c>
      <c r="N552" s="29">
        <v>599.99</v>
      </c>
      <c r="O552" s="29">
        <v>599.99</v>
      </c>
    </row>
    <row r="553" ht="9" customHeight="1" hidden="1">
      <c r="I553" s="82"/>
      <c r="J553" t="s" s="86">
        <v>1976</v>
      </c>
      <c r="K553" s="87"/>
      <c r="L553" s="85"/>
      <c r="M553" s="28">
        <v>1</v>
      </c>
      <c r="N553" s="29">
        <v>599.99</v>
      </c>
      <c r="O553" s="29">
        <v>599.99</v>
      </c>
    </row>
    <row r="554" ht="15.55" customHeight="1">
      <c r="I554" t="s" s="27">
        <v>1977</v>
      </c>
      <c r="J554" s="87"/>
      <c r="K554" s="87"/>
      <c r="L554" s="85"/>
      <c r="M554" s="28">
        <v>1</v>
      </c>
      <c r="N554" s="29">
        <v>599.99</v>
      </c>
      <c r="O554" s="29">
        <v>599.99</v>
      </c>
    </row>
    <row r="555" ht="9" customHeight="1" hidden="1">
      <c r="I555" s="77"/>
      <c r="J555" s="78"/>
      <c r="K555" s="78"/>
      <c r="L555" t="s" s="79">
        <v>73</v>
      </c>
      <c r="M555" s="80">
        <v>1</v>
      </c>
      <c r="N555" s="81">
        <v>399.99</v>
      </c>
      <c r="O555" s="81">
        <v>399.99</v>
      </c>
    </row>
    <row r="556" ht="9" customHeight="1" hidden="1">
      <c r="I556" s="82"/>
      <c r="J556" s="83"/>
      <c r="K556" s="84">
        <v>45413</v>
      </c>
      <c r="L556" s="85"/>
      <c r="M556" s="28">
        <v>1</v>
      </c>
      <c r="N556" s="29">
        <v>399.99</v>
      </c>
      <c r="O556" s="29">
        <v>399.99</v>
      </c>
    </row>
    <row r="557" ht="9" customHeight="1" hidden="1">
      <c r="I557" s="82"/>
      <c r="J557" t="s" s="86">
        <v>1946</v>
      </c>
      <c r="K557" s="87"/>
      <c r="L557" s="85"/>
      <c r="M557" s="28">
        <v>1</v>
      </c>
      <c r="N557" s="29">
        <v>399.99</v>
      </c>
      <c r="O557" s="29">
        <v>399.99</v>
      </c>
    </row>
    <row r="558" ht="15.55" customHeight="1">
      <c r="I558" t="s" s="27">
        <v>1947</v>
      </c>
      <c r="J558" s="87"/>
      <c r="K558" s="87"/>
      <c r="L558" s="85"/>
      <c r="M558" s="28">
        <v>1</v>
      </c>
      <c r="N558" s="29">
        <v>399.99</v>
      </c>
      <c r="O558" s="29">
        <v>399.99</v>
      </c>
    </row>
    <row r="559" ht="9" customHeight="1" hidden="1">
      <c r="I559" s="77"/>
      <c r="J559" s="78"/>
      <c r="K559" s="78"/>
      <c r="L559" t="s" s="79">
        <v>11</v>
      </c>
      <c r="M559" s="80">
        <v>1</v>
      </c>
      <c r="N559" s="81">
        <v>399.99</v>
      </c>
      <c r="O559" s="81">
        <v>399.99</v>
      </c>
    </row>
    <row r="560" ht="9" customHeight="1" hidden="1">
      <c r="I560" s="82"/>
      <c r="J560" s="83"/>
      <c r="K560" s="84">
        <v>45413</v>
      </c>
      <c r="L560" s="85"/>
      <c r="M560" s="28">
        <v>1</v>
      </c>
      <c r="N560" s="29">
        <v>399.99</v>
      </c>
      <c r="O560" s="29">
        <v>399.99</v>
      </c>
    </row>
    <row r="561" ht="9" customHeight="1" hidden="1">
      <c r="I561" s="82"/>
      <c r="J561" t="s" s="86">
        <v>2023</v>
      </c>
      <c r="K561" s="87"/>
      <c r="L561" s="85"/>
      <c r="M561" s="28">
        <v>1</v>
      </c>
      <c r="N561" s="29">
        <v>399.99</v>
      </c>
      <c r="O561" s="29">
        <v>399.99</v>
      </c>
    </row>
    <row r="562" ht="15.55" customHeight="1">
      <c r="I562" t="s" s="27">
        <v>2024</v>
      </c>
      <c r="J562" s="87"/>
      <c r="K562" s="87"/>
      <c r="L562" s="85"/>
      <c r="M562" s="28">
        <v>1</v>
      </c>
      <c r="N562" s="29">
        <v>399.99</v>
      </c>
      <c r="O562" s="29">
        <v>399.99</v>
      </c>
    </row>
    <row r="563" ht="9" customHeight="1" hidden="1">
      <c r="I563" s="77"/>
      <c r="J563" s="78"/>
      <c r="K563" s="78"/>
      <c r="L563" t="s" s="79">
        <v>19</v>
      </c>
      <c r="M563" s="80">
        <v>1</v>
      </c>
      <c r="N563" s="81">
        <v>0</v>
      </c>
      <c r="O563" s="81">
        <v>0</v>
      </c>
    </row>
    <row r="564" ht="9" customHeight="1" hidden="1">
      <c r="I564" s="82"/>
      <c r="J564" s="83"/>
      <c r="K564" s="84">
        <v>45413</v>
      </c>
      <c r="L564" s="85"/>
      <c r="M564" s="28">
        <v>1</v>
      </c>
      <c r="N564" s="29">
        <v>0</v>
      </c>
      <c r="O564" s="29">
        <v>0</v>
      </c>
    </row>
    <row r="565" ht="9" customHeight="1" hidden="1">
      <c r="I565" s="82"/>
      <c r="J565" t="s" s="86">
        <v>2068</v>
      </c>
      <c r="K565" s="87"/>
      <c r="L565" s="85"/>
      <c r="M565" s="28">
        <v>1</v>
      </c>
      <c r="N565" s="29">
        <v>0</v>
      </c>
      <c r="O565" s="29">
        <v>0</v>
      </c>
    </row>
    <row r="566" ht="15.55" customHeight="1">
      <c r="I566" t="s" s="27">
        <v>2069</v>
      </c>
      <c r="J566" s="87"/>
      <c r="K566" s="87"/>
      <c r="L566" s="85"/>
      <c r="M566" s="28">
        <v>1</v>
      </c>
      <c r="N566" s="29">
        <v>0</v>
      </c>
      <c r="O566" s="29">
        <v>0</v>
      </c>
    </row>
    <row r="567" ht="9" customHeight="1" hidden="1">
      <c r="I567" s="77"/>
      <c r="J567" s="78"/>
      <c r="K567" s="78"/>
      <c r="L567" t="s" s="79">
        <v>207</v>
      </c>
      <c r="M567" s="80">
        <v>2</v>
      </c>
      <c r="N567" s="81">
        <v>0</v>
      </c>
      <c r="O567" s="81">
        <v>0</v>
      </c>
    </row>
    <row r="568" ht="9" customHeight="1" hidden="1">
      <c r="I568" s="82"/>
      <c r="J568" s="83"/>
      <c r="K568" s="84">
        <v>45413</v>
      </c>
      <c r="L568" s="85"/>
      <c r="M568" s="28">
        <v>2</v>
      </c>
      <c r="N568" s="29">
        <v>0</v>
      </c>
      <c r="O568" s="29">
        <v>0</v>
      </c>
    </row>
    <row r="569" ht="9" customHeight="1" hidden="1">
      <c r="I569" s="82"/>
      <c r="J569" t="s" s="86">
        <v>1898</v>
      </c>
      <c r="K569" s="87"/>
      <c r="L569" s="85"/>
      <c r="M569" s="28">
        <v>2</v>
      </c>
      <c r="N569" s="29">
        <v>0</v>
      </c>
      <c r="O569" s="29">
        <v>0</v>
      </c>
    </row>
    <row r="570" ht="15.55" customHeight="1">
      <c r="I570" t="s" s="27">
        <v>1899</v>
      </c>
      <c r="J570" s="87"/>
      <c r="K570" s="87"/>
      <c r="L570" s="85"/>
      <c r="M570" s="28">
        <v>2</v>
      </c>
      <c r="N570" s="29">
        <v>0</v>
      </c>
      <c r="O570" s="29">
        <v>0</v>
      </c>
    </row>
    <row r="571" ht="9" customHeight="1" hidden="1">
      <c r="I571" s="77"/>
      <c r="J571" s="78"/>
      <c r="K571" s="78"/>
      <c r="L571" t="s" s="79">
        <v>31</v>
      </c>
      <c r="M571" s="80">
        <v>1</v>
      </c>
      <c r="N571" s="81">
        <v>599.99</v>
      </c>
      <c r="O571" s="81">
        <v>599.99</v>
      </c>
    </row>
    <row r="572" ht="9" customHeight="1" hidden="1">
      <c r="I572" s="82"/>
      <c r="J572" s="83"/>
      <c r="K572" s="84">
        <v>45413</v>
      </c>
      <c r="L572" s="85"/>
      <c r="M572" s="28">
        <v>1</v>
      </c>
      <c r="N572" s="29">
        <v>599.99</v>
      </c>
      <c r="O572" s="29">
        <v>599.99</v>
      </c>
    </row>
    <row r="573" ht="9" customHeight="1" hidden="1">
      <c r="I573" s="82"/>
      <c r="J573" t="s" s="86">
        <v>2055</v>
      </c>
      <c r="K573" s="87"/>
      <c r="L573" s="85"/>
      <c r="M573" s="28">
        <v>1</v>
      </c>
      <c r="N573" s="29">
        <v>599.99</v>
      </c>
      <c r="O573" s="29">
        <v>599.99</v>
      </c>
    </row>
    <row r="574" ht="15.55" customHeight="1">
      <c r="I574" t="s" s="27">
        <v>2056</v>
      </c>
      <c r="J574" s="87"/>
      <c r="K574" s="87"/>
      <c r="L574" s="85"/>
      <c r="M574" s="28">
        <v>1</v>
      </c>
      <c r="N574" s="29">
        <v>599.99</v>
      </c>
      <c r="O574" s="29">
        <v>599.99</v>
      </c>
    </row>
    <row r="575" ht="9" customHeight="1" hidden="1">
      <c r="I575" s="77"/>
      <c r="J575" s="78"/>
      <c r="K575" s="78"/>
      <c r="L575" t="s" s="79">
        <v>254</v>
      </c>
      <c r="M575" s="80">
        <v>1</v>
      </c>
      <c r="N575" s="81">
        <v>0</v>
      </c>
      <c r="O575" s="81">
        <v>0</v>
      </c>
    </row>
    <row r="576" ht="9" customHeight="1" hidden="1">
      <c r="I576" s="82"/>
      <c r="J576" s="83"/>
      <c r="K576" s="84">
        <v>45413</v>
      </c>
      <c r="L576" s="85"/>
      <c r="M576" s="28">
        <v>1</v>
      </c>
      <c r="N576" s="29">
        <v>0</v>
      </c>
      <c r="O576" s="29">
        <v>0</v>
      </c>
    </row>
    <row r="577" ht="9" customHeight="1" hidden="1">
      <c r="I577" s="82"/>
      <c r="J577" t="s" s="86">
        <v>1893</v>
      </c>
      <c r="K577" s="87"/>
      <c r="L577" s="85"/>
      <c r="M577" s="28">
        <v>1</v>
      </c>
      <c r="N577" s="29">
        <v>0</v>
      </c>
      <c r="O577" s="29">
        <v>0</v>
      </c>
    </row>
    <row r="578" ht="15.55" customHeight="1">
      <c r="I578" t="s" s="27">
        <v>831</v>
      </c>
      <c r="J578" s="87"/>
      <c r="K578" s="87"/>
      <c r="L578" s="85"/>
      <c r="M578" s="28">
        <v>1</v>
      </c>
      <c r="N578" s="29">
        <v>0</v>
      </c>
      <c r="O578" s="29">
        <v>0</v>
      </c>
    </row>
    <row r="579" ht="9" customHeight="1" hidden="1">
      <c r="I579" s="77"/>
      <c r="J579" s="78"/>
      <c r="K579" s="78"/>
      <c r="L579" t="s" s="79">
        <v>73</v>
      </c>
      <c r="M579" s="80">
        <v>1</v>
      </c>
      <c r="N579" s="81">
        <v>399.99</v>
      </c>
      <c r="O579" s="81">
        <v>399.99</v>
      </c>
    </row>
    <row r="580" ht="9" customHeight="1" hidden="1">
      <c r="I580" s="82"/>
      <c r="J580" s="83"/>
      <c r="K580" s="84">
        <v>45413</v>
      </c>
      <c r="L580" s="85"/>
      <c r="M580" s="28">
        <v>1</v>
      </c>
      <c r="N580" s="29">
        <v>399.99</v>
      </c>
      <c r="O580" s="29">
        <v>399.99</v>
      </c>
    </row>
    <row r="581" ht="9" customHeight="1" hidden="1">
      <c r="I581" s="82"/>
      <c r="J581" t="s" s="86">
        <v>1821</v>
      </c>
      <c r="K581" s="87"/>
      <c r="L581" s="85"/>
      <c r="M581" s="28">
        <v>1</v>
      </c>
      <c r="N581" s="29">
        <v>399.99</v>
      </c>
      <c r="O581" s="29">
        <v>399.99</v>
      </c>
    </row>
    <row r="582" ht="15.55" customHeight="1">
      <c r="I582" t="s" s="27">
        <v>1822</v>
      </c>
      <c r="J582" s="87"/>
      <c r="K582" s="87"/>
      <c r="L582" s="85"/>
      <c r="M582" s="28">
        <v>1</v>
      </c>
      <c r="N582" s="29">
        <v>399.99</v>
      </c>
      <c r="O582" s="29">
        <v>399.99</v>
      </c>
    </row>
    <row r="583" ht="9" customHeight="1" hidden="1">
      <c r="I583" s="77"/>
      <c r="J583" s="78"/>
      <c r="K583" s="78"/>
      <c r="L583" t="s" s="79">
        <v>1186</v>
      </c>
      <c r="M583" s="80">
        <v>6</v>
      </c>
      <c r="N583" s="81">
        <v>0</v>
      </c>
      <c r="O583" s="81">
        <v>0</v>
      </c>
    </row>
    <row r="584" ht="9" customHeight="1" hidden="1">
      <c r="I584" s="77"/>
      <c r="J584" s="78"/>
      <c r="K584" s="78"/>
      <c r="L584" t="s" s="79">
        <v>1187</v>
      </c>
      <c r="M584" s="80">
        <v>6</v>
      </c>
      <c r="N584" s="81">
        <v>0</v>
      </c>
      <c r="O584" s="81">
        <v>0</v>
      </c>
    </row>
    <row r="585" ht="9" customHeight="1" hidden="1">
      <c r="I585" s="77"/>
      <c r="J585" s="78"/>
      <c r="K585" s="78"/>
      <c r="L585" t="s" s="79">
        <v>589</v>
      </c>
      <c r="M585" s="80">
        <v>2</v>
      </c>
      <c r="N585" s="81">
        <v>0</v>
      </c>
      <c r="O585" s="81">
        <v>0</v>
      </c>
    </row>
    <row r="586" ht="9" customHeight="1" hidden="1">
      <c r="I586" s="82"/>
      <c r="J586" s="83"/>
      <c r="K586" s="84">
        <v>45413</v>
      </c>
      <c r="L586" s="85"/>
      <c r="M586" s="28">
        <v>14</v>
      </c>
      <c r="N586" s="29">
        <v>0</v>
      </c>
      <c r="O586" s="29">
        <v>0</v>
      </c>
    </row>
    <row r="587" ht="9" customHeight="1" hidden="1">
      <c r="I587" s="82"/>
      <c r="J587" t="s" s="86">
        <v>1842</v>
      </c>
      <c r="K587" s="87"/>
      <c r="L587" s="85"/>
      <c r="M587" s="28">
        <v>14</v>
      </c>
      <c r="N587" s="29">
        <v>0</v>
      </c>
      <c r="O587" s="29">
        <v>0</v>
      </c>
    </row>
    <row r="588" ht="15.55" customHeight="1">
      <c r="I588" t="s" s="27">
        <v>1570</v>
      </c>
      <c r="J588" s="87"/>
      <c r="K588" s="87"/>
      <c r="L588" s="85"/>
      <c r="M588" s="28">
        <v>14</v>
      </c>
      <c r="N588" s="29">
        <v>0</v>
      </c>
      <c r="O588" s="29">
        <v>0</v>
      </c>
    </row>
    <row r="589" ht="9" customHeight="1" hidden="1">
      <c r="I589" s="77"/>
      <c r="J589" s="78"/>
      <c r="K589" s="78"/>
      <c r="L589" t="s" s="79">
        <v>227</v>
      </c>
      <c r="M589" s="80">
        <v>8</v>
      </c>
      <c r="N589" s="81">
        <v>0</v>
      </c>
      <c r="O589" s="81">
        <v>0</v>
      </c>
    </row>
    <row r="590" ht="9" customHeight="1" hidden="1">
      <c r="I590" s="77"/>
      <c r="J590" s="78"/>
      <c r="K590" s="78"/>
      <c r="L590" t="s" s="79">
        <v>167</v>
      </c>
      <c r="M590" s="80">
        <v>2</v>
      </c>
      <c r="N590" s="81">
        <v>0</v>
      </c>
      <c r="O590" s="81">
        <v>0</v>
      </c>
    </row>
    <row r="591" ht="9" customHeight="1" hidden="1">
      <c r="I591" s="77"/>
      <c r="J591" s="78"/>
      <c r="K591" s="78"/>
      <c r="L591" t="s" s="79">
        <v>54</v>
      </c>
      <c r="M591" s="80">
        <v>18</v>
      </c>
      <c r="N591" s="81">
        <v>0</v>
      </c>
      <c r="O591" s="81">
        <v>0</v>
      </c>
    </row>
    <row r="592" ht="9" customHeight="1" hidden="1">
      <c r="I592" s="77"/>
      <c r="J592" s="78"/>
      <c r="K592" s="78"/>
      <c r="L592" t="s" s="79">
        <v>1695</v>
      </c>
      <c r="M592" s="80">
        <v>1</v>
      </c>
      <c r="N592" s="81">
        <v>37.4925</v>
      </c>
      <c r="O592" s="81">
        <v>37.4925</v>
      </c>
    </row>
    <row r="593" ht="9" customHeight="1" hidden="1">
      <c r="I593" s="77"/>
      <c r="J593" s="78"/>
      <c r="K593" s="78"/>
      <c r="L593" t="s" s="79">
        <v>57</v>
      </c>
      <c r="M593" s="80">
        <v>8</v>
      </c>
      <c r="N593" s="81">
        <v>599.9924999999999</v>
      </c>
      <c r="O593" s="81">
        <v>4799.94</v>
      </c>
    </row>
    <row r="594" ht="9" customHeight="1" hidden="1">
      <c r="I594" s="77"/>
      <c r="J594" s="78"/>
      <c r="K594" s="78"/>
      <c r="L594" t="s" s="79">
        <v>369</v>
      </c>
      <c r="M594" s="80">
        <v>2</v>
      </c>
      <c r="N594" s="81">
        <v>0</v>
      </c>
      <c r="O594" s="81">
        <v>0</v>
      </c>
    </row>
    <row r="595" ht="9" customHeight="1" hidden="1">
      <c r="I595" s="77"/>
      <c r="J595" s="78"/>
      <c r="K595" s="78"/>
      <c r="L595" t="s" s="79">
        <v>589</v>
      </c>
      <c r="M595" s="80">
        <v>2</v>
      </c>
      <c r="N595" s="81">
        <v>0</v>
      </c>
      <c r="O595" s="81">
        <v>0</v>
      </c>
    </row>
    <row r="596" ht="9" customHeight="1" hidden="1">
      <c r="I596" s="77"/>
      <c r="J596" s="78"/>
      <c r="K596" s="78"/>
      <c r="L596" t="s" s="79">
        <v>225</v>
      </c>
      <c r="M596" s="80">
        <v>4</v>
      </c>
      <c r="N596" s="81">
        <v>374.9925</v>
      </c>
      <c r="O596" s="81">
        <v>1499.97</v>
      </c>
    </row>
    <row r="597" ht="9" customHeight="1" hidden="1">
      <c r="I597" s="77"/>
      <c r="J597" s="78"/>
      <c r="K597" s="78"/>
      <c r="L597" t="s" s="79">
        <v>882</v>
      </c>
      <c r="M597" s="80">
        <v>2</v>
      </c>
      <c r="N597" s="81">
        <v>56.2425</v>
      </c>
      <c r="O597" s="81">
        <v>112.485</v>
      </c>
    </row>
    <row r="598" ht="9" customHeight="1" hidden="1">
      <c r="I598" s="77"/>
      <c r="J598" s="78"/>
      <c r="K598" s="78"/>
      <c r="L598" t="s" s="79">
        <v>487</v>
      </c>
      <c r="M598" s="80">
        <v>8</v>
      </c>
      <c r="N598" s="81">
        <v>82.49250000000001</v>
      </c>
      <c r="O598" s="81">
        <v>659.9400000000001</v>
      </c>
    </row>
    <row r="599" ht="9" customHeight="1" hidden="1">
      <c r="I599" s="77"/>
      <c r="J599" s="78"/>
      <c r="K599" s="78"/>
      <c r="L599" t="s" s="79">
        <v>23</v>
      </c>
      <c r="M599" s="80">
        <v>16</v>
      </c>
      <c r="N599" s="81">
        <v>0</v>
      </c>
      <c r="O599" s="81">
        <v>0</v>
      </c>
    </row>
    <row r="600" ht="9" customHeight="1" hidden="1">
      <c r="I600" s="77"/>
      <c r="J600" s="78"/>
      <c r="K600" s="78"/>
      <c r="L600" t="s" s="79">
        <v>602</v>
      </c>
      <c r="M600" s="80">
        <v>4</v>
      </c>
      <c r="N600" s="81">
        <v>224.9925</v>
      </c>
      <c r="O600" s="81">
        <v>899.97</v>
      </c>
    </row>
    <row r="601" ht="9" customHeight="1" hidden="1">
      <c r="I601" s="77"/>
      <c r="J601" s="78"/>
      <c r="K601" s="78"/>
      <c r="L601" t="s" s="79">
        <v>52</v>
      </c>
      <c r="M601" s="80">
        <v>8</v>
      </c>
      <c r="N601" s="81">
        <v>0</v>
      </c>
      <c r="O601" s="81">
        <v>0</v>
      </c>
    </row>
    <row r="602" ht="9" customHeight="1" hidden="1">
      <c r="I602" s="77"/>
      <c r="J602" s="78"/>
      <c r="K602" s="78"/>
      <c r="L602" t="s" s="79">
        <v>77</v>
      </c>
      <c r="M602" s="80">
        <v>10</v>
      </c>
      <c r="N602" s="81">
        <v>14.9925</v>
      </c>
      <c r="O602" s="81">
        <v>149.925</v>
      </c>
    </row>
    <row r="603" ht="9" customHeight="1" hidden="1">
      <c r="I603" s="77"/>
      <c r="J603" s="78"/>
      <c r="K603" s="78"/>
      <c r="L603" t="s" s="79">
        <v>31</v>
      </c>
      <c r="M603" s="80">
        <v>1</v>
      </c>
      <c r="N603" s="81">
        <v>449.9925</v>
      </c>
      <c r="O603" s="81">
        <v>449.9925</v>
      </c>
    </row>
    <row r="604" ht="9" customHeight="1" hidden="1">
      <c r="I604" s="77"/>
      <c r="J604" s="78"/>
      <c r="K604" s="78"/>
      <c r="L604" t="s" s="79">
        <v>50</v>
      </c>
      <c r="M604" s="80">
        <v>11</v>
      </c>
      <c r="N604" s="81">
        <v>0</v>
      </c>
      <c r="O604" s="81">
        <v>0</v>
      </c>
    </row>
    <row r="605" ht="9" customHeight="1" hidden="1">
      <c r="I605" s="77"/>
      <c r="J605" s="78"/>
      <c r="K605" s="78"/>
      <c r="L605" t="s" s="79">
        <v>48</v>
      </c>
      <c r="M605" s="80">
        <v>8</v>
      </c>
      <c r="N605" s="81">
        <v>974.9924999999999</v>
      </c>
      <c r="O605" s="81">
        <v>7799.94</v>
      </c>
    </row>
    <row r="606" ht="9" customHeight="1" hidden="1">
      <c r="I606" s="77"/>
      <c r="J606" s="78"/>
      <c r="K606" s="78"/>
      <c r="L606" t="s" s="79">
        <v>468</v>
      </c>
      <c r="M606" s="80">
        <v>2</v>
      </c>
      <c r="N606" s="81">
        <v>1874.9925</v>
      </c>
      <c r="O606" s="81">
        <v>3749.985</v>
      </c>
    </row>
    <row r="607" ht="9" customHeight="1" hidden="1">
      <c r="I607" s="77"/>
      <c r="J607" s="78"/>
      <c r="K607" s="78"/>
      <c r="L607" t="s" s="79">
        <v>489</v>
      </c>
      <c r="M607" s="80">
        <v>3</v>
      </c>
      <c r="N607" s="81">
        <v>1199.9925</v>
      </c>
      <c r="O607" s="81">
        <v>3599.9775</v>
      </c>
    </row>
    <row r="608" ht="9" customHeight="1" hidden="1">
      <c r="I608" s="77"/>
      <c r="J608" s="78"/>
      <c r="K608" s="78"/>
      <c r="L608" t="s" s="79">
        <v>1633</v>
      </c>
      <c r="M608" s="80">
        <v>2</v>
      </c>
      <c r="N608" s="81">
        <v>0</v>
      </c>
      <c r="O608" s="81">
        <v>0</v>
      </c>
    </row>
    <row r="609" ht="9" customHeight="1" hidden="1">
      <c r="I609" s="77"/>
      <c r="J609" s="78"/>
      <c r="K609" s="78"/>
      <c r="L609" t="s" s="79">
        <v>491</v>
      </c>
      <c r="M609" s="80">
        <v>4</v>
      </c>
      <c r="N609" s="81">
        <v>0</v>
      </c>
      <c r="O609" s="81">
        <v>0</v>
      </c>
    </row>
    <row r="610" ht="9" customHeight="1" hidden="1">
      <c r="I610" s="77"/>
      <c r="J610" s="78"/>
      <c r="K610" s="78"/>
      <c r="L610" t="s" s="79">
        <v>824</v>
      </c>
      <c r="M610" s="80">
        <v>1</v>
      </c>
      <c r="N610" s="81">
        <v>0</v>
      </c>
      <c r="O610" s="81">
        <v>0</v>
      </c>
    </row>
    <row r="611" ht="9" customHeight="1" hidden="1">
      <c r="I611" s="77"/>
      <c r="J611" s="78"/>
      <c r="K611" s="78"/>
      <c r="L611" t="s" s="79">
        <v>493</v>
      </c>
      <c r="M611" s="80">
        <v>3</v>
      </c>
      <c r="N611" s="81">
        <v>0</v>
      </c>
      <c r="O611" s="81">
        <v>0</v>
      </c>
    </row>
    <row r="612" ht="9" customHeight="1" hidden="1">
      <c r="I612" s="77"/>
      <c r="J612" s="78"/>
      <c r="K612" s="78"/>
      <c r="L612" t="s" s="79">
        <v>59</v>
      </c>
      <c r="M612" s="80">
        <v>1</v>
      </c>
      <c r="N612" s="81">
        <v>899.9924999999999</v>
      </c>
      <c r="O612" s="81">
        <v>899.9924999999999</v>
      </c>
    </row>
    <row r="613" ht="9" customHeight="1" hidden="1">
      <c r="I613" s="77"/>
      <c r="J613" s="78"/>
      <c r="K613" s="78"/>
      <c r="L613" t="s" s="79">
        <v>73</v>
      </c>
      <c r="M613" s="80">
        <v>1</v>
      </c>
      <c r="N613" s="81">
        <v>299.9925</v>
      </c>
      <c r="O613" s="81">
        <v>299.9925</v>
      </c>
    </row>
    <row r="614" ht="9" customHeight="1" hidden="1">
      <c r="I614" s="77"/>
      <c r="J614" s="78"/>
      <c r="K614" s="78"/>
      <c r="L614" t="s" s="79">
        <v>2006</v>
      </c>
      <c r="M614" s="80">
        <v>1</v>
      </c>
      <c r="N614" s="81">
        <v>449.9925</v>
      </c>
      <c r="O614" s="81">
        <v>449.9925</v>
      </c>
    </row>
    <row r="615" ht="9" customHeight="1" hidden="1">
      <c r="I615" s="77"/>
      <c r="J615" s="78"/>
      <c r="K615" s="78"/>
      <c r="L615" t="s" s="79">
        <v>47</v>
      </c>
      <c r="M615" s="80">
        <v>1</v>
      </c>
      <c r="N615" s="81">
        <v>682.88</v>
      </c>
      <c r="O615" s="81">
        <v>682.88</v>
      </c>
    </row>
    <row r="616" ht="9" customHeight="1" hidden="1">
      <c r="I616" s="82"/>
      <c r="J616" s="83"/>
      <c r="K616" s="84">
        <v>45413</v>
      </c>
      <c r="L616" s="85"/>
      <c r="M616" s="28">
        <v>132</v>
      </c>
      <c r="N616" s="29">
        <v>8224.025</v>
      </c>
      <c r="O616" s="29">
        <v>26092.475</v>
      </c>
    </row>
    <row r="617" ht="9" customHeight="1" hidden="1">
      <c r="I617" s="82"/>
      <c r="J617" t="s" s="86">
        <v>2003</v>
      </c>
      <c r="K617" s="87"/>
      <c r="L617" s="85"/>
      <c r="M617" s="28">
        <v>132</v>
      </c>
      <c r="N617" s="29">
        <v>8224.025</v>
      </c>
      <c r="O617" s="29">
        <v>26092.475</v>
      </c>
    </row>
    <row r="618" ht="15.55" customHeight="1">
      <c r="I618" t="s" s="27">
        <v>430</v>
      </c>
      <c r="J618" s="87"/>
      <c r="K618" s="87"/>
      <c r="L618" s="85"/>
      <c r="M618" s="28">
        <v>132</v>
      </c>
      <c r="N618" s="29">
        <v>8224.025</v>
      </c>
      <c r="O618" s="29">
        <v>26092.475</v>
      </c>
    </row>
    <row r="619" ht="9" customHeight="1" hidden="1">
      <c r="I619" s="77"/>
      <c r="J619" s="78"/>
      <c r="K619" s="78"/>
      <c r="L619" t="s" s="79">
        <v>171</v>
      </c>
      <c r="M619" s="80">
        <v>1</v>
      </c>
      <c r="N619" s="81">
        <v>549.99</v>
      </c>
      <c r="O619" s="81">
        <v>549.99</v>
      </c>
    </row>
    <row r="620" ht="9" customHeight="1" hidden="1">
      <c r="I620" s="82"/>
      <c r="J620" s="83"/>
      <c r="K620" s="84">
        <v>45413</v>
      </c>
      <c r="L620" s="85"/>
      <c r="M620" s="28">
        <v>1</v>
      </c>
      <c r="N620" s="29">
        <v>549.99</v>
      </c>
      <c r="O620" s="29">
        <v>549.99</v>
      </c>
    </row>
    <row r="621" ht="9" customHeight="1" hidden="1">
      <c r="I621" s="82"/>
      <c r="J621" t="s" s="86">
        <v>1942</v>
      </c>
      <c r="K621" s="87"/>
      <c r="L621" s="85"/>
      <c r="M621" s="28">
        <v>1</v>
      </c>
      <c r="N621" s="29">
        <v>549.99</v>
      </c>
      <c r="O621" s="29">
        <v>549.99</v>
      </c>
    </row>
    <row r="622" ht="9" customHeight="1" hidden="1">
      <c r="I622" s="77"/>
      <c r="J622" s="78"/>
      <c r="K622" s="78"/>
      <c r="L622" t="s" s="79">
        <v>19</v>
      </c>
      <c r="M622" s="80">
        <v>1</v>
      </c>
      <c r="N622" s="81">
        <v>119.99</v>
      </c>
      <c r="O622" s="81">
        <v>119.99</v>
      </c>
    </row>
    <row r="623" ht="9" customHeight="1" hidden="1">
      <c r="I623" s="82"/>
      <c r="J623" s="83"/>
      <c r="K623" s="84">
        <v>45413</v>
      </c>
      <c r="L623" s="85"/>
      <c r="M623" s="28">
        <v>1</v>
      </c>
      <c r="N623" s="29">
        <v>119.99</v>
      </c>
      <c r="O623" s="29">
        <v>119.99</v>
      </c>
    </row>
    <row r="624" ht="9" customHeight="1" hidden="1">
      <c r="I624" s="82"/>
      <c r="J624" t="s" s="86">
        <v>1924</v>
      </c>
      <c r="K624" s="87"/>
      <c r="L624" s="85"/>
      <c r="M624" s="28">
        <v>1</v>
      </c>
      <c r="N624" s="29">
        <v>119.99</v>
      </c>
      <c r="O624" s="29">
        <v>119.99</v>
      </c>
    </row>
    <row r="625" ht="15.55" customHeight="1">
      <c r="I625" t="s" s="27">
        <v>1385</v>
      </c>
      <c r="J625" s="87"/>
      <c r="K625" s="87"/>
      <c r="L625" s="85"/>
      <c r="M625" s="28">
        <v>2</v>
      </c>
      <c r="N625" s="29">
        <v>669.98</v>
      </c>
      <c r="O625" s="29">
        <v>669.98</v>
      </c>
    </row>
    <row r="626" ht="9" customHeight="1" hidden="1">
      <c r="I626" s="77"/>
      <c r="J626" s="78"/>
      <c r="K626" s="78"/>
      <c r="L626" t="s" s="79">
        <v>19</v>
      </c>
      <c r="M626" s="80">
        <v>10</v>
      </c>
      <c r="N626" s="81">
        <v>119.99</v>
      </c>
      <c r="O626" s="81">
        <v>1199.9</v>
      </c>
    </row>
    <row r="627" ht="9" customHeight="1" hidden="1">
      <c r="I627" s="77"/>
      <c r="J627" s="78"/>
      <c r="K627" s="78"/>
      <c r="L627" t="s" s="79">
        <v>15</v>
      </c>
      <c r="M627" s="80">
        <v>1</v>
      </c>
      <c r="N627" s="81">
        <v>9.99</v>
      </c>
      <c r="O627" s="81">
        <v>9.99</v>
      </c>
    </row>
    <row r="628" ht="9" customHeight="1" hidden="1">
      <c r="I628" s="82"/>
      <c r="J628" s="83"/>
      <c r="K628" s="84">
        <v>45413</v>
      </c>
      <c r="L628" s="85"/>
      <c r="M628" s="28">
        <v>11</v>
      </c>
      <c r="N628" s="29">
        <v>129.98</v>
      </c>
      <c r="O628" s="29">
        <v>1209.89</v>
      </c>
    </row>
    <row r="629" ht="9" customHeight="1" hidden="1">
      <c r="I629" s="82"/>
      <c r="J629" t="s" s="86">
        <v>1866</v>
      </c>
      <c r="K629" s="87"/>
      <c r="L629" s="85"/>
      <c r="M629" s="28">
        <v>11</v>
      </c>
      <c r="N629" s="29">
        <v>129.98</v>
      </c>
      <c r="O629" s="29">
        <v>1209.89</v>
      </c>
    </row>
    <row r="630" ht="15.55" customHeight="1">
      <c r="I630" t="s" s="27">
        <v>1867</v>
      </c>
      <c r="J630" s="87"/>
      <c r="K630" s="87"/>
      <c r="L630" s="85"/>
      <c r="M630" s="28">
        <v>11</v>
      </c>
      <c r="N630" s="29">
        <v>129.98</v>
      </c>
      <c r="O630" s="29">
        <v>1209.89</v>
      </c>
    </row>
    <row r="631" ht="9" customHeight="1" hidden="1">
      <c r="I631" s="77"/>
      <c r="J631" s="78"/>
      <c r="K631" s="78"/>
      <c r="L631" t="s" s="79">
        <v>2089</v>
      </c>
      <c r="M631" s="80">
        <v>1</v>
      </c>
      <c r="N631" s="81">
        <v>374.9925</v>
      </c>
      <c r="O631" s="81">
        <v>374.9925</v>
      </c>
    </row>
    <row r="632" ht="9" customHeight="1" hidden="1">
      <c r="I632" s="77"/>
      <c r="J632" s="78"/>
      <c r="K632" s="78"/>
      <c r="L632" t="s" s="79">
        <v>63</v>
      </c>
      <c r="M632" s="80">
        <v>1</v>
      </c>
      <c r="N632" s="81">
        <v>39.4</v>
      </c>
      <c r="O632" s="81">
        <v>39.4</v>
      </c>
    </row>
    <row r="633" ht="9" customHeight="1" hidden="1">
      <c r="I633" s="82"/>
      <c r="J633" s="83"/>
      <c r="K633" s="84">
        <v>45413</v>
      </c>
      <c r="L633" s="85"/>
      <c r="M633" s="28">
        <v>2</v>
      </c>
      <c r="N633" s="29">
        <v>414.3925</v>
      </c>
      <c r="O633" s="29">
        <v>414.3925</v>
      </c>
    </row>
    <row r="634" ht="9" customHeight="1" hidden="1">
      <c r="I634" s="82"/>
      <c r="J634" t="s" s="86">
        <v>2088</v>
      </c>
      <c r="K634" s="87"/>
      <c r="L634" s="85"/>
      <c r="M634" s="28">
        <v>2</v>
      </c>
      <c r="N634" s="29">
        <v>414.3925</v>
      </c>
      <c r="O634" s="29">
        <v>414.3925</v>
      </c>
    </row>
    <row r="635" ht="9" customHeight="1" hidden="1">
      <c r="I635" s="77"/>
      <c r="J635" s="78"/>
      <c r="K635" s="78"/>
      <c r="L635" t="s" s="79">
        <v>587</v>
      </c>
      <c r="M635" s="80">
        <v>4</v>
      </c>
      <c r="N635" s="81">
        <v>0</v>
      </c>
      <c r="O635" s="81">
        <v>0</v>
      </c>
    </row>
    <row r="636" ht="9" customHeight="1" hidden="1">
      <c r="I636" s="77"/>
      <c r="J636" s="78"/>
      <c r="K636" s="78"/>
      <c r="L636" t="s" s="79">
        <v>585</v>
      </c>
      <c r="M636" s="80">
        <v>4</v>
      </c>
      <c r="N636" s="81">
        <v>374.9925</v>
      </c>
      <c r="O636" s="81">
        <v>1499.97</v>
      </c>
    </row>
    <row r="637" ht="9" customHeight="1" hidden="1">
      <c r="I637" s="77"/>
      <c r="J637" s="78"/>
      <c r="K637" s="78"/>
      <c r="L637" t="s" s="79">
        <v>1791</v>
      </c>
      <c r="M637" s="80">
        <v>4</v>
      </c>
      <c r="N637" s="81">
        <v>0</v>
      </c>
      <c r="O637" s="81">
        <v>0</v>
      </c>
    </row>
    <row r="638" ht="9" customHeight="1" hidden="1">
      <c r="I638" s="77"/>
      <c r="J638" s="78"/>
      <c r="K638" s="78"/>
      <c r="L638" t="s" s="79">
        <v>63</v>
      </c>
      <c r="M638" s="80">
        <v>1</v>
      </c>
      <c r="N638" s="81">
        <v>66.8</v>
      </c>
      <c r="O638" s="81">
        <v>66.8</v>
      </c>
    </row>
    <row r="639" ht="9" customHeight="1" hidden="1">
      <c r="I639" s="82"/>
      <c r="J639" s="83"/>
      <c r="K639" s="84">
        <v>45413</v>
      </c>
      <c r="L639" s="85"/>
      <c r="M639" s="28">
        <v>13</v>
      </c>
      <c r="N639" s="29">
        <v>441.7925</v>
      </c>
      <c r="O639" s="29">
        <v>1566.77</v>
      </c>
    </row>
    <row r="640" ht="9" customHeight="1" hidden="1">
      <c r="I640" s="82"/>
      <c r="J640" t="s" s="86">
        <v>2075</v>
      </c>
      <c r="K640" s="87"/>
      <c r="L640" s="85"/>
      <c r="M640" s="28">
        <v>13</v>
      </c>
      <c r="N640" s="29">
        <v>441.7925</v>
      </c>
      <c r="O640" s="29">
        <v>1566.77</v>
      </c>
    </row>
    <row r="641" ht="9" customHeight="1" hidden="1">
      <c r="I641" s="77"/>
      <c r="J641" s="78"/>
      <c r="K641" s="78"/>
      <c r="L641" t="s" s="79">
        <v>109</v>
      </c>
      <c r="M641" s="80">
        <v>4</v>
      </c>
      <c r="N641" s="81">
        <v>90</v>
      </c>
      <c r="O641" s="81">
        <v>360</v>
      </c>
    </row>
    <row r="642" ht="9" customHeight="1" hidden="1">
      <c r="I642" s="77"/>
      <c r="J642" s="78"/>
      <c r="K642" s="78"/>
      <c r="L642" t="s" s="79">
        <v>775</v>
      </c>
      <c r="M642" s="80">
        <v>4</v>
      </c>
      <c r="N642" s="81">
        <v>35</v>
      </c>
      <c r="O642" s="81">
        <v>140</v>
      </c>
    </row>
    <row r="643" ht="9" customHeight="1" hidden="1">
      <c r="I643" s="77"/>
      <c r="J643" s="78"/>
      <c r="K643" s="78"/>
      <c r="L643" t="s" s="79">
        <v>1619</v>
      </c>
      <c r="M643" s="80">
        <v>4</v>
      </c>
      <c r="N643" s="81">
        <v>0</v>
      </c>
      <c r="O643" s="81">
        <v>0</v>
      </c>
    </row>
    <row r="644" ht="9" customHeight="1" hidden="1">
      <c r="I644" s="77"/>
      <c r="J644" s="78"/>
      <c r="K644" s="78"/>
      <c r="L644" t="s" s="79">
        <v>63</v>
      </c>
      <c r="M644" s="80">
        <v>1</v>
      </c>
      <c r="N644" s="81">
        <v>38.45</v>
      </c>
      <c r="O644" s="81">
        <v>38.45</v>
      </c>
    </row>
    <row r="645" ht="9" customHeight="1" hidden="1">
      <c r="I645" s="82"/>
      <c r="J645" s="83"/>
      <c r="K645" s="84">
        <v>45413</v>
      </c>
      <c r="L645" s="85"/>
      <c r="M645" s="28">
        <v>13</v>
      </c>
      <c r="N645" s="29">
        <v>163.45</v>
      </c>
      <c r="O645" s="29">
        <v>538.45</v>
      </c>
    </row>
    <row r="646" ht="9" customHeight="1" hidden="1">
      <c r="I646" s="82"/>
      <c r="J646" t="s" s="86">
        <v>2067</v>
      </c>
      <c r="K646" s="87"/>
      <c r="L646" s="85"/>
      <c r="M646" s="28">
        <v>13</v>
      </c>
      <c r="N646" s="29">
        <v>163.45</v>
      </c>
      <c r="O646" s="29">
        <v>538.45</v>
      </c>
    </row>
    <row r="647" ht="9" customHeight="1" hidden="1">
      <c r="I647" s="77"/>
      <c r="J647" s="78"/>
      <c r="K647" s="78"/>
      <c r="L647" t="s" s="79">
        <v>254</v>
      </c>
      <c r="M647" s="80">
        <v>1</v>
      </c>
      <c r="N647" s="81">
        <v>0</v>
      </c>
      <c r="O647" s="81">
        <v>0</v>
      </c>
    </row>
    <row r="648" ht="9" customHeight="1" hidden="1">
      <c r="I648" s="77"/>
      <c r="J648" s="78"/>
      <c r="K648" s="78"/>
      <c r="L648" t="s" s="79">
        <v>2015</v>
      </c>
      <c r="M648" s="80">
        <v>1</v>
      </c>
      <c r="N648" s="81">
        <v>0</v>
      </c>
      <c r="O648" s="81">
        <v>0</v>
      </c>
    </row>
    <row r="649" ht="9" customHeight="1" hidden="1">
      <c r="I649" s="82"/>
      <c r="J649" s="83"/>
      <c r="K649" s="84">
        <v>45413</v>
      </c>
      <c r="L649" s="85"/>
      <c r="M649" s="28">
        <v>2</v>
      </c>
      <c r="N649" s="29">
        <v>0</v>
      </c>
      <c r="O649" s="29">
        <v>0</v>
      </c>
    </row>
    <row r="650" ht="9" customHeight="1" hidden="1">
      <c r="I650" s="82"/>
      <c r="J650" t="s" s="86">
        <v>2013</v>
      </c>
      <c r="K650" s="87"/>
      <c r="L650" s="85"/>
      <c r="M650" s="28">
        <v>2</v>
      </c>
      <c r="N650" s="29">
        <v>0</v>
      </c>
      <c r="O650" s="29">
        <v>0</v>
      </c>
    </row>
    <row r="651" ht="9" customHeight="1" hidden="1">
      <c r="I651" s="77"/>
      <c r="J651" s="78"/>
      <c r="K651" s="78"/>
      <c r="L651" t="s" s="79">
        <v>1914</v>
      </c>
      <c r="M651" s="80">
        <v>2</v>
      </c>
      <c r="N651" s="81">
        <v>0</v>
      </c>
      <c r="O651" s="81">
        <v>0</v>
      </c>
    </row>
    <row r="652" ht="9" customHeight="1" hidden="1">
      <c r="I652" s="77"/>
      <c r="J652" s="78"/>
      <c r="K652" s="78"/>
      <c r="L652" t="s" s="79">
        <v>254</v>
      </c>
      <c r="M652" s="80">
        <v>1</v>
      </c>
      <c r="N652" s="81">
        <v>0</v>
      </c>
      <c r="O652" s="81">
        <v>0</v>
      </c>
    </row>
    <row r="653" ht="9" customHeight="1" hidden="1">
      <c r="I653" s="82"/>
      <c r="J653" s="83"/>
      <c r="K653" s="84">
        <v>45413</v>
      </c>
      <c r="L653" s="85"/>
      <c r="M653" s="28">
        <v>3</v>
      </c>
      <c r="N653" s="29">
        <v>0</v>
      </c>
      <c r="O653" s="29">
        <v>0</v>
      </c>
    </row>
    <row r="654" ht="9" customHeight="1" hidden="1">
      <c r="I654" s="82"/>
      <c r="J654" t="s" s="86">
        <v>1982</v>
      </c>
      <c r="K654" s="87"/>
      <c r="L654" s="85"/>
      <c r="M654" s="28">
        <v>3</v>
      </c>
      <c r="N654" s="29">
        <v>0</v>
      </c>
      <c r="O654" s="29">
        <v>0</v>
      </c>
    </row>
    <row r="655" ht="9" customHeight="1" hidden="1">
      <c r="I655" s="77"/>
      <c r="J655" s="78"/>
      <c r="K655" s="78"/>
      <c r="L655" t="s" s="79">
        <v>587</v>
      </c>
      <c r="M655" s="80">
        <v>2</v>
      </c>
      <c r="N655" s="81">
        <v>0</v>
      </c>
      <c r="O655" s="81">
        <v>0</v>
      </c>
    </row>
    <row r="656" ht="9" customHeight="1" hidden="1">
      <c r="I656" s="77"/>
      <c r="J656" s="78"/>
      <c r="K656" s="78"/>
      <c r="L656" t="s" s="79">
        <v>585</v>
      </c>
      <c r="M656" s="80">
        <v>2</v>
      </c>
      <c r="N656" s="81">
        <v>374.9925</v>
      </c>
      <c r="O656" s="81">
        <v>749.985</v>
      </c>
    </row>
    <row r="657" ht="9" customHeight="1" hidden="1">
      <c r="I657" s="77"/>
      <c r="J657" s="78"/>
      <c r="K657" s="78"/>
      <c r="L657" t="s" s="79">
        <v>63</v>
      </c>
      <c r="M657" s="80">
        <v>1</v>
      </c>
      <c r="N657" s="81">
        <v>28.5</v>
      </c>
      <c r="O657" s="81">
        <v>28.5</v>
      </c>
    </row>
    <row r="658" ht="9" customHeight="1" hidden="1">
      <c r="I658" s="82"/>
      <c r="J658" s="83"/>
      <c r="K658" s="84">
        <v>45413</v>
      </c>
      <c r="L658" s="85"/>
      <c r="M658" s="28">
        <v>5</v>
      </c>
      <c r="N658" s="29">
        <v>403.4925</v>
      </c>
      <c r="O658" s="29">
        <v>778.485</v>
      </c>
    </row>
    <row r="659" ht="9" customHeight="1" hidden="1">
      <c r="I659" s="82"/>
      <c r="J659" t="s" s="86">
        <v>1877</v>
      </c>
      <c r="K659" s="87"/>
      <c r="L659" s="85"/>
      <c r="M659" s="28">
        <v>5</v>
      </c>
      <c r="N659" s="29">
        <v>403.4925</v>
      </c>
      <c r="O659" s="29">
        <v>778.485</v>
      </c>
    </row>
    <row r="660" ht="9" customHeight="1" hidden="1">
      <c r="I660" s="77"/>
      <c r="J660" s="78"/>
      <c r="K660" s="78"/>
      <c r="L660" t="s" s="79">
        <v>115</v>
      </c>
      <c r="M660" s="80">
        <v>50</v>
      </c>
      <c r="N660" s="81">
        <v>14</v>
      </c>
      <c r="O660" s="81">
        <v>700</v>
      </c>
    </row>
    <row r="661" ht="9" customHeight="1" hidden="1">
      <c r="I661" s="77"/>
      <c r="J661" s="78"/>
      <c r="K661" s="78"/>
      <c r="L661" t="s" s="79">
        <v>63</v>
      </c>
      <c r="M661" s="80">
        <v>1</v>
      </c>
      <c r="N661" s="81">
        <v>22.15</v>
      </c>
      <c r="O661" s="81">
        <v>22.15</v>
      </c>
    </row>
    <row r="662" ht="9" customHeight="1" hidden="1">
      <c r="I662" s="82"/>
      <c r="J662" s="83"/>
      <c r="K662" s="84">
        <v>45413</v>
      </c>
      <c r="L662" s="85"/>
      <c r="M662" s="28">
        <v>51</v>
      </c>
      <c r="N662" s="29">
        <v>36.15</v>
      </c>
      <c r="O662" s="29">
        <v>722.15</v>
      </c>
    </row>
    <row r="663" ht="9" customHeight="1" hidden="1">
      <c r="I663" s="82"/>
      <c r="J663" t="s" s="86">
        <v>1855</v>
      </c>
      <c r="K663" s="87"/>
      <c r="L663" s="85"/>
      <c r="M663" s="28">
        <v>51</v>
      </c>
      <c r="N663" s="29">
        <v>36.15</v>
      </c>
      <c r="O663" s="29">
        <v>722.15</v>
      </c>
    </row>
    <row r="664" ht="15.55" customHeight="1">
      <c r="I664" t="s" s="27">
        <v>391</v>
      </c>
      <c r="J664" s="87"/>
      <c r="K664" s="87"/>
      <c r="L664" s="85"/>
      <c r="M664" s="28">
        <v>89</v>
      </c>
      <c r="N664" s="29">
        <v>1459.2775</v>
      </c>
      <c r="O664" s="29">
        <v>4020.2475</v>
      </c>
    </row>
    <row r="665" ht="9" customHeight="1" hidden="1">
      <c r="I665" s="77"/>
      <c r="J665" s="78"/>
      <c r="K665" s="78"/>
      <c r="L665" t="s" s="79">
        <v>15</v>
      </c>
      <c r="M665" s="80">
        <v>32</v>
      </c>
      <c r="N665" s="81">
        <v>7.99</v>
      </c>
      <c r="O665" s="81">
        <v>255.68</v>
      </c>
    </row>
    <row r="666" ht="9" customHeight="1" hidden="1">
      <c r="I666" s="82"/>
      <c r="J666" s="83"/>
      <c r="K666" s="84">
        <v>45413</v>
      </c>
      <c r="L666" s="85"/>
      <c r="M666" s="28">
        <v>32</v>
      </c>
      <c r="N666" s="29">
        <v>7.99</v>
      </c>
      <c r="O666" s="29">
        <v>255.68</v>
      </c>
    </row>
    <row r="667" ht="9" customHeight="1" hidden="1">
      <c r="I667" s="82"/>
      <c r="J667" t="s" s="86">
        <v>1939</v>
      </c>
      <c r="K667" s="87"/>
      <c r="L667" s="85"/>
      <c r="M667" s="28">
        <v>32</v>
      </c>
      <c r="N667" s="29">
        <v>7.99</v>
      </c>
      <c r="O667" s="29">
        <v>255.68</v>
      </c>
    </row>
    <row r="668" ht="15.55" customHeight="1">
      <c r="I668" t="s" s="27">
        <v>911</v>
      </c>
      <c r="J668" s="87"/>
      <c r="K668" s="87"/>
      <c r="L668" s="85"/>
      <c r="M668" s="28">
        <v>32</v>
      </c>
      <c r="N668" s="29">
        <v>7.99</v>
      </c>
      <c r="O668" s="29">
        <v>255.68</v>
      </c>
    </row>
    <row r="669" ht="9" customHeight="1" hidden="1">
      <c r="I669" s="77"/>
      <c r="J669" s="78"/>
      <c r="K669" s="78"/>
      <c r="L669" t="s" s="79">
        <v>143</v>
      </c>
      <c r="M669" s="80">
        <v>3</v>
      </c>
      <c r="N669" s="81">
        <v>2399.9925</v>
      </c>
      <c r="O669" s="81">
        <v>7199.9775</v>
      </c>
    </row>
    <row r="670" ht="9" customHeight="1" hidden="1">
      <c r="I670" s="77"/>
      <c r="J670" s="78"/>
      <c r="K670" s="78"/>
      <c r="L670" t="s" s="79">
        <v>59</v>
      </c>
      <c r="M670" s="80">
        <v>2</v>
      </c>
      <c r="N670" s="81">
        <v>899.9924999999999</v>
      </c>
      <c r="O670" s="81">
        <v>1799.985</v>
      </c>
    </row>
    <row r="671" ht="9" customHeight="1" hidden="1">
      <c r="I671" s="77"/>
      <c r="J671" s="78"/>
      <c r="K671" s="78"/>
      <c r="L671" t="s" s="79">
        <v>73</v>
      </c>
      <c r="M671" s="80">
        <v>3</v>
      </c>
      <c r="N671" s="81">
        <v>299.9925</v>
      </c>
      <c r="O671" s="81">
        <v>899.9775</v>
      </c>
    </row>
    <row r="672" ht="9" customHeight="1" hidden="1">
      <c r="I672" s="77"/>
      <c r="J672" s="78"/>
      <c r="K672" s="78"/>
      <c r="L672" t="s" s="79">
        <v>27</v>
      </c>
      <c r="M672" s="80">
        <v>1</v>
      </c>
      <c r="N672" s="81">
        <v>59.9925</v>
      </c>
      <c r="O672" s="81">
        <v>59.9925</v>
      </c>
    </row>
    <row r="673" ht="9" customHeight="1" hidden="1">
      <c r="I673" s="77"/>
      <c r="J673" s="78"/>
      <c r="K673" s="78"/>
      <c r="L673" t="s" s="79">
        <v>63</v>
      </c>
      <c r="M673" s="80">
        <v>1</v>
      </c>
      <c r="N673" s="81">
        <v>595.21</v>
      </c>
      <c r="O673" s="81">
        <v>595.21</v>
      </c>
    </row>
    <row r="674" ht="9" customHeight="1" hidden="1">
      <c r="I674" s="82"/>
      <c r="J674" s="83"/>
      <c r="K674" s="84">
        <v>45413</v>
      </c>
      <c r="L674" s="85"/>
      <c r="M674" s="28">
        <v>10</v>
      </c>
      <c r="N674" s="29">
        <v>4255.18</v>
      </c>
      <c r="O674" s="29">
        <v>10555.1425</v>
      </c>
    </row>
    <row r="675" ht="9" customHeight="1" hidden="1">
      <c r="I675" s="82"/>
      <c r="J675" t="s" s="86">
        <v>2065</v>
      </c>
      <c r="K675" s="87"/>
      <c r="L675" s="85"/>
      <c r="M675" s="28">
        <v>10</v>
      </c>
      <c r="N675" s="29">
        <v>4255.18</v>
      </c>
      <c r="O675" s="29">
        <v>10555.1425</v>
      </c>
    </row>
    <row r="676" ht="15.55" customHeight="1">
      <c r="I676" t="s" s="27">
        <v>2066</v>
      </c>
      <c r="J676" s="87"/>
      <c r="K676" s="87"/>
      <c r="L676" s="85"/>
      <c r="M676" s="28">
        <v>10</v>
      </c>
      <c r="N676" s="29">
        <v>4255.18</v>
      </c>
      <c r="O676" s="29">
        <v>10555.1425</v>
      </c>
    </row>
    <row r="677" ht="9" customHeight="1" hidden="1">
      <c r="I677" s="77"/>
      <c r="J677" s="78"/>
      <c r="K677" s="78"/>
      <c r="L677" t="s" s="79">
        <v>31</v>
      </c>
      <c r="M677" s="80">
        <v>2</v>
      </c>
      <c r="N677" s="81">
        <v>599.99</v>
      </c>
      <c r="O677" s="81">
        <v>1199.98</v>
      </c>
    </row>
    <row r="678" ht="9" customHeight="1" hidden="1">
      <c r="I678" s="77"/>
      <c r="J678" s="78"/>
      <c r="K678" s="78"/>
      <c r="L678" t="s" s="79">
        <v>15</v>
      </c>
      <c r="M678" s="80">
        <v>2</v>
      </c>
      <c r="N678" s="81">
        <v>9.99</v>
      </c>
      <c r="O678" s="81">
        <v>19.98</v>
      </c>
    </row>
    <row r="679" ht="9" customHeight="1" hidden="1">
      <c r="I679" s="82"/>
      <c r="J679" s="83"/>
      <c r="K679" s="84">
        <v>45413</v>
      </c>
      <c r="L679" s="85"/>
      <c r="M679" s="28">
        <v>4</v>
      </c>
      <c r="N679" s="29">
        <v>609.98</v>
      </c>
      <c r="O679" s="29">
        <v>1219.96</v>
      </c>
    </row>
    <row r="680" ht="9" customHeight="1" hidden="1">
      <c r="I680" s="82"/>
      <c r="J680" t="s" s="86">
        <v>2062</v>
      </c>
      <c r="K680" s="87"/>
      <c r="L680" s="85"/>
      <c r="M680" s="28">
        <v>4</v>
      </c>
      <c r="N680" s="29">
        <v>609.98</v>
      </c>
      <c r="O680" s="29">
        <v>1219.96</v>
      </c>
    </row>
    <row r="681" ht="9" customHeight="1" hidden="1">
      <c r="I681" s="77"/>
      <c r="J681" s="78"/>
      <c r="K681" s="78"/>
      <c r="L681" t="s" s="79">
        <v>73</v>
      </c>
      <c r="M681" s="80">
        <v>1</v>
      </c>
      <c r="N681" s="81">
        <v>399.99</v>
      </c>
      <c r="O681" s="81">
        <v>399.99</v>
      </c>
    </row>
    <row r="682" ht="9" customHeight="1" hidden="1">
      <c r="I682" s="82"/>
      <c r="J682" s="83"/>
      <c r="K682" s="84">
        <v>45413</v>
      </c>
      <c r="L682" s="85"/>
      <c r="M682" s="28">
        <v>1</v>
      </c>
      <c r="N682" s="29">
        <v>399.99</v>
      </c>
      <c r="O682" s="29">
        <v>399.99</v>
      </c>
    </row>
    <row r="683" ht="9" customHeight="1" hidden="1">
      <c r="I683" s="82"/>
      <c r="J683" t="s" s="86">
        <v>2061</v>
      </c>
      <c r="K683" s="87"/>
      <c r="L683" s="85"/>
      <c r="M683" s="28">
        <v>1</v>
      </c>
      <c r="N683" s="29">
        <v>399.99</v>
      </c>
      <c r="O683" s="29">
        <v>399.99</v>
      </c>
    </row>
    <row r="684" ht="15.55" customHeight="1">
      <c r="I684" t="s" s="27">
        <v>212</v>
      </c>
      <c r="J684" s="87"/>
      <c r="K684" s="87"/>
      <c r="L684" s="85"/>
      <c r="M684" s="28">
        <v>5</v>
      </c>
      <c r="N684" s="29">
        <v>1009.97</v>
      </c>
      <c r="O684" s="29">
        <v>1619.95</v>
      </c>
    </row>
    <row r="685" ht="9" customHeight="1" hidden="1">
      <c r="I685" s="77"/>
      <c r="J685" s="78"/>
      <c r="K685" s="78"/>
      <c r="L685" t="s" s="79">
        <v>35</v>
      </c>
      <c r="M685" s="80">
        <v>2</v>
      </c>
      <c r="N685" s="81">
        <v>49.99</v>
      </c>
      <c r="O685" s="81">
        <v>99.98</v>
      </c>
    </row>
    <row r="686" ht="9" customHeight="1" hidden="1">
      <c r="I686" s="82"/>
      <c r="J686" s="83"/>
      <c r="K686" s="84">
        <v>45413</v>
      </c>
      <c r="L686" s="85"/>
      <c r="M686" s="28">
        <v>2</v>
      </c>
      <c r="N686" s="29">
        <v>49.99</v>
      </c>
      <c r="O686" s="29">
        <v>99.98</v>
      </c>
    </row>
    <row r="687" ht="9" customHeight="1" hidden="1">
      <c r="I687" s="82"/>
      <c r="J687" t="s" s="86">
        <v>1999</v>
      </c>
      <c r="K687" s="87"/>
      <c r="L687" s="85"/>
      <c r="M687" s="28">
        <v>2</v>
      </c>
      <c r="N687" s="29">
        <v>49.99</v>
      </c>
      <c r="O687" s="29">
        <v>99.98</v>
      </c>
    </row>
    <row r="688" ht="15.55" customHeight="1">
      <c r="I688" t="s" s="27">
        <v>2000</v>
      </c>
      <c r="J688" s="87"/>
      <c r="K688" s="87"/>
      <c r="L688" s="85"/>
      <c r="M688" s="28">
        <v>2</v>
      </c>
      <c r="N688" s="29">
        <v>49.99</v>
      </c>
      <c r="O688" s="29">
        <v>99.98</v>
      </c>
    </row>
    <row r="689" ht="9" customHeight="1" hidden="1">
      <c r="I689" s="77"/>
      <c r="J689" s="78"/>
      <c r="K689" s="78"/>
      <c r="L689" t="s" s="79">
        <v>11</v>
      </c>
      <c r="M689" s="80">
        <v>1</v>
      </c>
      <c r="N689" s="81">
        <v>399.99</v>
      </c>
      <c r="O689" s="81">
        <v>399.99</v>
      </c>
    </row>
    <row r="690" ht="9" customHeight="1" hidden="1">
      <c r="I690" s="82"/>
      <c r="J690" s="83"/>
      <c r="K690" s="84">
        <v>45413</v>
      </c>
      <c r="L690" s="85"/>
      <c r="M690" s="28">
        <v>1</v>
      </c>
      <c r="N690" s="29">
        <v>399.99</v>
      </c>
      <c r="O690" s="29">
        <v>399.99</v>
      </c>
    </row>
    <row r="691" ht="9" customHeight="1" hidden="1">
      <c r="I691" s="82"/>
      <c r="J691" t="s" s="86">
        <v>1957</v>
      </c>
      <c r="K691" s="87"/>
      <c r="L691" s="85"/>
      <c r="M691" s="28">
        <v>1</v>
      </c>
      <c r="N691" s="29">
        <v>399.99</v>
      </c>
      <c r="O691" s="29">
        <v>399.99</v>
      </c>
    </row>
    <row r="692" ht="15.55" customHeight="1">
      <c r="I692" t="s" s="27">
        <v>1958</v>
      </c>
      <c r="J692" s="87"/>
      <c r="K692" s="87"/>
      <c r="L692" s="85"/>
      <c r="M692" s="28">
        <v>1</v>
      </c>
      <c r="N692" s="29">
        <v>399.99</v>
      </c>
      <c r="O692" s="29">
        <v>399.99</v>
      </c>
    </row>
    <row r="693" ht="9" customHeight="1" hidden="1">
      <c r="I693" s="77"/>
      <c r="J693" s="78"/>
      <c r="K693" s="78"/>
      <c r="L693" t="s" s="79">
        <v>369</v>
      </c>
      <c r="M693" s="80">
        <v>1</v>
      </c>
      <c r="N693" s="81">
        <v>9.7425</v>
      </c>
      <c r="O693" s="81">
        <v>9.7425</v>
      </c>
    </row>
    <row r="694" ht="9" customHeight="1" hidden="1">
      <c r="I694" s="77"/>
      <c r="J694" s="78"/>
      <c r="K694" s="78"/>
      <c r="L694" t="s" s="79">
        <v>59</v>
      </c>
      <c r="M694" s="80">
        <v>1</v>
      </c>
      <c r="N694" s="81">
        <v>899.9924999999999</v>
      </c>
      <c r="O694" s="81">
        <v>899.9924999999999</v>
      </c>
    </row>
    <row r="695" ht="9" customHeight="1" hidden="1">
      <c r="I695" s="77"/>
      <c r="J695" s="78"/>
      <c r="K695" s="78"/>
      <c r="L695" t="s" s="79">
        <v>73</v>
      </c>
      <c r="M695" s="80">
        <v>2</v>
      </c>
      <c r="N695" s="81">
        <v>299.9925</v>
      </c>
      <c r="O695" s="81">
        <v>599.985</v>
      </c>
    </row>
    <row r="696" ht="9" customHeight="1" hidden="1">
      <c r="I696" s="77"/>
      <c r="J696" s="78"/>
      <c r="K696" s="78"/>
      <c r="L696" t="s" s="79">
        <v>63</v>
      </c>
      <c r="M696" s="80">
        <v>1</v>
      </c>
      <c r="N696" s="81">
        <v>71.2</v>
      </c>
      <c r="O696" s="81">
        <v>71.2</v>
      </c>
    </row>
    <row r="697" ht="9" customHeight="1" hidden="1">
      <c r="I697" s="82"/>
      <c r="J697" s="83"/>
      <c r="K697" s="84">
        <v>45413</v>
      </c>
      <c r="L697" s="85"/>
      <c r="M697" s="28">
        <v>5</v>
      </c>
      <c r="N697" s="29">
        <v>1280.9275</v>
      </c>
      <c r="O697" s="29">
        <v>1580.92</v>
      </c>
    </row>
    <row r="698" ht="9" customHeight="1" hidden="1">
      <c r="I698" s="82"/>
      <c r="J698" t="s" s="86">
        <v>1934</v>
      </c>
      <c r="K698" s="87"/>
      <c r="L698" s="85"/>
      <c r="M698" s="28">
        <v>5</v>
      </c>
      <c r="N698" s="29">
        <v>1280.9275</v>
      </c>
      <c r="O698" s="29">
        <v>1580.92</v>
      </c>
    </row>
    <row r="699" ht="15.55" customHeight="1">
      <c r="I699" t="s" s="27">
        <v>555</v>
      </c>
      <c r="J699" s="87"/>
      <c r="K699" s="87"/>
      <c r="L699" s="85"/>
      <c r="M699" s="28">
        <v>5</v>
      </c>
      <c r="N699" s="29">
        <v>1280.9275</v>
      </c>
      <c r="O699" s="29">
        <v>1580.92</v>
      </c>
    </row>
    <row r="700" ht="9" customHeight="1" hidden="1">
      <c r="I700" s="77"/>
      <c r="J700" s="78"/>
      <c r="K700" s="78"/>
      <c r="L700" t="s" s="79">
        <v>52</v>
      </c>
      <c r="M700" s="80">
        <v>20</v>
      </c>
      <c r="N700" s="81">
        <v>0</v>
      </c>
      <c r="O700" s="81">
        <v>0</v>
      </c>
    </row>
    <row r="701" ht="9" customHeight="1" hidden="1">
      <c r="I701" s="77"/>
      <c r="J701" s="78"/>
      <c r="K701" s="78"/>
      <c r="L701" t="s" s="79">
        <v>50</v>
      </c>
      <c r="M701" s="80">
        <v>20</v>
      </c>
      <c r="N701" s="81">
        <v>0</v>
      </c>
      <c r="O701" s="81">
        <v>0</v>
      </c>
    </row>
    <row r="702" ht="9" customHeight="1" hidden="1">
      <c r="I702" s="77"/>
      <c r="J702" s="78"/>
      <c r="K702" s="78"/>
      <c r="L702" t="s" s="79">
        <v>933</v>
      </c>
      <c r="M702" s="80">
        <v>20</v>
      </c>
      <c r="N702" s="81">
        <v>900</v>
      </c>
      <c r="O702" s="81">
        <v>18000</v>
      </c>
    </row>
    <row r="703" ht="9" customHeight="1" hidden="1">
      <c r="I703" s="77"/>
      <c r="J703" s="78"/>
      <c r="K703" s="78"/>
      <c r="L703" t="s" s="79">
        <v>47</v>
      </c>
      <c r="M703" s="80">
        <v>1</v>
      </c>
      <c r="N703" s="81">
        <v>200</v>
      </c>
      <c r="O703" s="81">
        <v>200</v>
      </c>
    </row>
    <row r="704" ht="9" customHeight="1" hidden="1">
      <c r="I704" s="82"/>
      <c r="J704" s="83"/>
      <c r="K704" s="84">
        <v>45413</v>
      </c>
      <c r="L704" s="85"/>
      <c r="M704" s="28">
        <v>61</v>
      </c>
      <c r="N704" s="29">
        <v>1100</v>
      </c>
      <c r="O704" s="29">
        <v>18200</v>
      </c>
    </row>
    <row r="705" ht="9" customHeight="1" hidden="1">
      <c r="I705" s="82"/>
      <c r="J705" t="s" s="86">
        <v>2120</v>
      </c>
      <c r="K705" s="87"/>
      <c r="L705" s="85"/>
      <c r="M705" s="28">
        <v>61</v>
      </c>
      <c r="N705" s="29">
        <v>1100</v>
      </c>
      <c r="O705" s="29">
        <v>18200</v>
      </c>
    </row>
    <row r="706" ht="15.55" customHeight="1">
      <c r="I706" t="s" s="27">
        <v>69</v>
      </c>
      <c r="J706" s="87"/>
      <c r="K706" s="87"/>
      <c r="L706" s="85"/>
      <c r="M706" s="28">
        <v>61</v>
      </c>
      <c r="N706" s="29">
        <v>1100</v>
      </c>
      <c r="O706" s="29">
        <v>18200</v>
      </c>
    </row>
    <row r="707" ht="9" customHeight="1" hidden="1">
      <c r="I707" s="77"/>
      <c r="J707" s="78"/>
      <c r="K707" s="78"/>
      <c r="L707" t="s" s="79">
        <v>1695</v>
      </c>
      <c r="M707" s="80">
        <v>1</v>
      </c>
      <c r="N707" s="81">
        <v>49.99</v>
      </c>
      <c r="O707" s="81">
        <v>49.99</v>
      </c>
    </row>
    <row r="708" ht="9" customHeight="1" hidden="1">
      <c r="I708" s="77"/>
      <c r="J708" s="78"/>
      <c r="K708" s="78"/>
      <c r="L708" t="s" s="79">
        <v>15</v>
      </c>
      <c r="M708" s="80">
        <v>1</v>
      </c>
      <c r="N708" s="81">
        <v>0</v>
      </c>
      <c r="O708" s="81">
        <v>0</v>
      </c>
    </row>
    <row r="709" ht="9" customHeight="1" hidden="1">
      <c r="I709" s="82"/>
      <c r="J709" s="83"/>
      <c r="K709" s="84">
        <v>45413</v>
      </c>
      <c r="L709" s="85"/>
      <c r="M709" s="28">
        <v>2</v>
      </c>
      <c r="N709" s="29">
        <v>49.99</v>
      </c>
      <c r="O709" s="29">
        <v>49.99</v>
      </c>
    </row>
    <row r="710" ht="9" customHeight="1" hidden="1">
      <c r="I710" s="82"/>
      <c r="J710" t="s" s="86">
        <v>2105</v>
      </c>
      <c r="K710" s="87"/>
      <c r="L710" s="85"/>
      <c r="M710" s="28">
        <v>2</v>
      </c>
      <c r="N710" s="29">
        <v>49.99</v>
      </c>
      <c r="O710" s="29">
        <v>49.99</v>
      </c>
    </row>
    <row r="711" ht="15.55" customHeight="1">
      <c r="I711" t="s" s="27">
        <v>2106</v>
      </c>
      <c r="J711" s="87"/>
      <c r="K711" s="87"/>
      <c r="L711" s="85"/>
      <c r="M711" s="28">
        <v>2</v>
      </c>
      <c r="N711" s="29">
        <v>49.99</v>
      </c>
      <c r="O711" s="29">
        <v>49.99</v>
      </c>
    </row>
    <row r="712" ht="9" customHeight="1" hidden="1">
      <c r="I712" s="77"/>
      <c r="J712" s="78"/>
      <c r="K712" s="78"/>
      <c r="L712" t="s" s="79">
        <v>95</v>
      </c>
      <c r="M712" s="80">
        <v>1</v>
      </c>
      <c r="N712" s="81">
        <v>349.99</v>
      </c>
      <c r="O712" s="81">
        <v>349.99</v>
      </c>
    </row>
    <row r="713" ht="9" customHeight="1" hidden="1">
      <c r="I713" s="82"/>
      <c r="J713" s="83"/>
      <c r="K713" s="84">
        <v>45413</v>
      </c>
      <c r="L713" s="85"/>
      <c r="M713" s="28">
        <v>1</v>
      </c>
      <c r="N713" s="29">
        <v>349.99</v>
      </c>
      <c r="O713" s="29">
        <v>349.99</v>
      </c>
    </row>
    <row r="714" ht="9" customHeight="1" hidden="1">
      <c r="I714" s="82"/>
      <c r="J714" t="s" s="86">
        <v>2081</v>
      </c>
      <c r="K714" s="87"/>
      <c r="L714" s="85"/>
      <c r="M714" s="28">
        <v>1</v>
      </c>
      <c r="N714" s="29">
        <v>349.99</v>
      </c>
      <c r="O714" s="29">
        <v>349.99</v>
      </c>
    </row>
    <row r="715" ht="15.55" customHeight="1">
      <c r="I715" t="s" s="27">
        <v>2082</v>
      </c>
      <c r="J715" s="87"/>
      <c r="K715" s="87"/>
      <c r="L715" s="85"/>
      <c r="M715" s="28">
        <v>1</v>
      </c>
      <c r="N715" s="29">
        <v>349.99</v>
      </c>
      <c r="O715" s="29">
        <v>349.99</v>
      </c>
    </row>
    <row r="716" ht="9" customHeight="1" hidden="1">
      <c r="I716" s="77"/>
      <c r="J716" s="78"/>
      <c r="K716" s="78"/>
      <c r="L716" t="s" s="79">
        <v>1875</v>
      </c>
      <c r="M716" s="80">
        <v>64</v>
      </c>
      <c r="N716" s="81">
        <v>75</v>
      </c>
      <c r="O716" s="81">
        <v>4800</v>
      </c>
    </row>
    <row r="717" ht="9" customHeight="1" hidden="1">
      <c r="I717" s="82"/>
      <c r="J717" s="83"/>
      <c r="K717" s="84">
        <v>45413</v>
      </c>
      <c r="L717" s="85"/>
      <c r="M717" s="28">
        <v>64</v>
      </c>
      <c r="N717" s="29">
        <v>75</v>
      </c>
      <c r="O717" s="29">
        <v>4800</v>
      </c>
    </row>
    <row r="718" ht="9" customHeight="1" hidden="1">
      <c r="I718" s="82"/>
      <c r="J718" t="s" s="86">
        <v>1873</v>
      </c>
      <c r="K718" s="87"/>
      <c r="L718" s="85"/>
      <c r="M718" s="28">
        <v>64</v>
      </c>
      <c r="N718" s="29">
        <v>75</v>
      </c>
      <c r="O718" s="29">
        <v>4800</v>
      </c>
    </row>
    <row r="719" ht="15.55" customHeight="1">
      <c r="I719" t="s" s="27">
        <v>1874</v>
      </c>
      <c r="J719" s="87"/>
      <c r="K719" s="87"/>
      <c r="L719" s="85"/>
      <c r="M719" s="28">
        <v>64</v>
      </c>
      <c r="N719" s="29">
        <v>75</v>
      </c>
      <c r="O719" s="29">
        <v>4800</v>
      </c>
    </row>
    <row r="720" ht="9" customHeight="1" hidden="1">
      <c r="I720" s="77"/>
      <c r="J720" s="78"/>
      <c r="K720" s="78"/>
      <c r="L720" t="s" s="79">
        <v>2073</v>
      </c>
      <c r="M720" s="80">
        <v>10</v>
      </c>
      <c r="N720" s="81">
        <v>0</v>
      </c>
      <c r="O720" s="81">
        <v>0</v>
      </c>
    </row>
    <row r="721" ht="9" customHeight="1" hidden="1">
      <c r="I721" s="77"/>
      <c r="J721" s="78"/>
      <c r="K721" s="78"/>
      <c r="L721" t="s" s="79">
        <v>2071</v>
      </c>
      <c r="M721" s="80">
        <v>5</v>
      </c>
      <c r="N721" s="81">
        <v>0</v>
      </c>
      <c r="O721" s="81">
        <v>0</v>
      </c>
    </row>
    <row r="722" ht="9" customHeight="1" hidden="1">
      <c r="I722" s="82"/>
      <c r="J722" s="83"/>
      <c r="K722" s="84">
        <v>45413</v>
      </c>
      <c r="L722" s="85"/>
      <c r="M722" s="28">
        <v>15</v>
      </c>
      <c r="N722" s="29">
        <v>0</v>
      </c>
      <c r="O722" s="29">
        <v>0</v>
      </c>
    </row>
    <row r="723" ht="9" customHeight="1" hidden="1">
      <c r="I723" s="82"/>
      <c r="J723" t="s" s="86">
        <v>2070</v>
      </c>
      <c r="K723" s="87"/>
      <c r="L723" s="85"/>
      <c r="M723" s="28">
        <v>15</v>
      </c>
      <c r="N723" s="29">
        <v>0</v>
      </c>
      <c r="O723" s="29">
        <v>0</v>
      </c>
    </row>
    <row r="724" ht="15.55" customHeight="1">
      <c r="I724" t="s" s="27">
        <v>592</v>
      </c>
      <c r="J724" s="87"/>
      <c r="K724" s="87"/>
      <c r="L724" s="85"/>
      <c r="M724" s="28">
        <v>15</v>
      </c>
      <c r="N724" s="29">
        <v>0</v>
      </c>
      <c r="O724" s="29">
        <v>0</v>
      </c>
    </row>
    <row r="725" ht="9" customHeight="1" hidden="1">
      <c r="I725" s="77"/>
      <c r="J725" s="78"/>
      <c r="K725" s="78"/>
      <c r="L725" t="s" s="79">
        <v>359</v>
      </c>
      <c r="M725" s="80">
        <v>1</v>
      </c>
      <c r="N725" s="81">
        <v>29.99</v>
      </c>
      <c r="O725" s="81">
        <v>29.99</v>
      </c>
    </row>
    <row r="726" ht="9" customHeight="1" hidden="1">
      <c r="I726" s="77"/>
      <c r="J726" s="78"/>
      <c r="K726" s="78"/>
      <c r="L726" t="s" s="79">
        <v>77</v>
      </c>
      <c r="M726" s="80">
        <v>1</v>
      </c>
      <c r="N726" s="81">
        <v>19.99</v>
      </c>
      <c r="O726" s="81">
        <v>19.99</v>
      </c>
    </row>
    <row r="727" ht="9" customHeight="1" hidden="1">
      <c r="I727" s="77"/>
      <c r="J727" s="78"/>
      <c r="K727" s="78"/>
      <c r="L727" t="s" s="79">
        <v>146</v>
      </c>
      <c r="M727" s="80">
        <v>1</v>
      </c>
      <c r="N727" s="81">
        <v>19.99</v>
      </c>
      <c r="O727" s="81">
        <v>19.99</v>
      </c>
    </row>
    <row r="728" ht="9" customHeight="1" hidden="1">
      <c r="I728" s="82"/>
      <c r="J728" s="83"/>
      <c r="K728" s="84">
        <v>45413</v>
      </c>
      <c r="L728" s="85"/>
      <c r="M728" s="28">
        <v>3</v>
      </c>
      <c r="N728" s="29">
        <v>69.97</v>
      </c>
      <c r="O728" s="29">
        <v>69.97</v>
      </c>
    </row>
    <row r="729" ht="9" customHeight="1" hidden="1">
      <c r="I729" s="82"/>
      <c r="J729" t="s" s="86">
        <v>2064</v>
      </c>
      <c r="K729" s="87"/>
      <c r="L729" s="85"/>
      <c r="M729" s="28">
        <v>3</v>
      </c>
      <c r="N729" s="29">
        <v>69.97</v>
      </c>
      <c r="O729" s="29">
        <v>69.97</v>
      </c>
    </row>
    <row r="730" ht="15.55" customHeight="1">
      <c r="I730" t="s" s="27">
        <v>1716</v>
      </c>
      <c r="J730" s="87"/>
      <c r="K730" s="87"/>
      <c r="L730" s="85"/>
      <c r="M730" s="28">
        <v>3</v>
      </c>
      <c r="N730" s="29">
        <v>69.97</v>
      </c>
      <c r="O730" s="29">
        <v>69.97</v>
      </c>
    </row>
    <row r="731" ht="9" customHeight="1" hidden="1">
      <c r="I731" s="77"/>
      <c r="J731" s="78"/>
      <c r="K731" s="78"/>
      <c r="L731" t="s" s="79">
        <v>89</v>
      </c>
      <c r="M731" s="80">
        <v>3</v>
      </c>
      <c r="N731" s="81">
        <v>44.9925</v>
      </c>
      <c r="O731" s="81">
        <v>134.9775</v>
      </c>
    </row>
    <row r="732" ht="9" customHeight="1" hidden="1">
      <c r="I732" s="77"/>
      <c r="J732" s="78"/>
      <c r="K732" s="78"/>
      <c r="L732" t="s" s="79">
        <v>63</v>
      </c>
      <c r="M732" s="80">
        <v>1</v>
      </c>
      <c r="N732" s="81">
        <v>21.5</v>
      </c>
      <c r="O732" s="81">
        <v>21.5</v>
      </c>
    </row>
    <row r="733" ht="9" customHeight="1" hidden="1">
      <c r="I733" s="82"/>
      <c r="J733" s="83"/>
      <c r="K733" s="84">
        <v>45413</v>
      </c>
      <c r="L733" s="85"/>
      <c r="M733" s="28">
        <v>4</v>
      </c>
      <c r="N733" s="29">
        <v>66.49250000000001</v>
      </c>
      <c r="O733" s="29">
        <v>156.4775</v>
      </c>
    </row>
    <row r="734" ht="9" customHeight="1" hidden="1">
      <c r="I734" s="82"/>
      <c r="J734" t="s" s="86">
        <v>2022</v>
      </c>
      <c r="K734" s="87"/>
      <c r="L734" s="85"/>
      <c r="M734" s="28">
        <v>4</v>
      </c>
      <c r="N734" s="29">
        <v>66.49250000000001</v>
      </c>
      <c r="O734" s="29">
        <v>156.4775</v>
      </c>
    </row>
    <row r="735" ht="9" customHeight="1" hidden="1">
      <c r="I735" s="77"/>
      <c r="J735" s="78"/>
      <c r="K735" s="78"/>
      <c r="L735" t="s" s="79">
        <v>115</v>
      </c>
      <c r="M735" s="80">
        <v>3</v>
      </c>
      <c r="N735" s="81">
        <v>17.2425</v>
      </c>
      <c r="O735" s="81">
        <v>51.7275</v>
      </c>
    </row>
    <row r="736" ht="9" customHeight="1" hidden="1">
      <c r="I736" s="77"/>
      <c r="J736" s="78"/>
      <c r="K736" s="78"/>
      <c r="L736" t="s" s="79">
        <v>1428</v>
      </c>
      <c r="M736" s="80">
        <v>1</v>
      </c>
      <c r="N736" s="81">
        <v>1.5519</v>
      </c>
      <c r="O736" s="81">
        <v>1.5519</v>
      </c>
    </row>
    <row r="737" ht="9" customHeight="1" hidden="1">
      <c r="I737" s="77"/>
      <c r="J737" s="78"/>
      <c r="K737" s="78"/>
      <c r="L737" t="s" s="79">
        <v>63</v>
      </c>
      <c r="M737" s="80">
        <v>1</v>
      </c>
      <c r="N737" s="81">
        <v>13.5</v>
      </c>
      <c r="O737" s="81">
        <v>13.5</v>
      </c>
    </row>
    <row r="738" ht="9" customHeight="1" hidden="1">
      <c r="I738" s="82"/>
      <c r="J738" s="83"/>
      <c r="K738" s="84">
        <v>45413</v>
      </c>
      <c r="L738" s="85"/>
      <c r="M738" s="28">
        <v>5</v>
      </c>
      <c r="N738" s="29">
        <v>32.2944</v>
      </c>
      <c r="O738" s="29">
        <v>66.7794</v>
      </c>
    </row>
    <row r="739" ht="9" customHeight="1" hidden="1">
      <c r="I739" s="82"/>
      <c r="J739" t="s" s="86">
        <v>1884</v>
      </c>
      <c r="K739" s="87"/>
      <c r="L739" s="85"/>
      <c r="M739" s="28">
        <v>5</v>
      </c>
      <c r="N739" s="29">
        <v>32.2944</v>
      </c>
      <c r="O739" s="29">
        <v>66.7794</v>
      </c>
    </row>
    <row r="740" ht="15.55" customHeight="1">
      <c r="I740" t="s" s="27">
        <v>563</v>
      </c>
      <c r="J740" s="87"/>
      <c r="K740" s="87"/>
      <c r="L740" s="85"/>
      <c r="M740" s="28">
        <v>9</v>
      </c>
      <c r="N740" s="29">
        <v>98.7869</v>
      </c>
      <c r="O740" s="29">
        <v>223.2569</v>
      </c>
    </row>
    <row r="741" ht="9" customHeight="1" hidden="1">
      <c r="I741" s="77"/>
      <c r="J741" s="78"/>
      <c r="K741" s="78"/>
      <c r="L741" t="s" s="79">
        <v>84</v>
      </c>
      <c r="M741" s="80">
        <v>8</v>
      </c>
      <c r="N741" s="81">
        <v>0</v>
      </c>
      <c r="O741" s="81">
        <v>0</v>
      </c>
    </row>
    <row r="742" ht="9" customHeight="1" hidden="1">
      <c r="I742" s="77"/>
      <c r="J742" s="78"/>
      <c r="K742" s="78"/>
      <c r="L742" t="s" s="79">
        <v>23</v>
      </c>
      <c r="M742" s="80">
        <v>8</v>
      </c>
      <c r="N742" s="81">
        <v>0</v>
      </c>
      <c r="O742" s="81">
        <v>0</v>
      </c>
    </row>
    <row r="743" ht="9" customHeight="1" hidden="1">
      <c r="I743" s="77"/>
      <c r="J743" s="78"/>
      <c r="K743" s="78"/>
      <c r="L743" t="s" s="79">
        <v>52</v>
      </c>
      <c r="M743" s="80">
        <v>8</v>
      </c>
      <c r="N743" s="81">
        <v>0</v>
      </c>
      <c r="O743" s="81">
        <v>0</v>
      </c>
    </row>
    <row r="744" ht="9" customHeight="1" hidden="1">
      <c r="I744" s="77"/>
      <c r="J744" s="78"/>
      <c r="K744" s="78"/>
      <c r="L744" t="s" s="79">
        <v>50</v>
      </c>
      <c r="M744" s="80">
        <v>8</v>
      </c>
      <c r="N744" s="81">
        <v>0</v>
      </c>
      <c r="O744" s="81">
        <v>0</v>
      </c>
    </row>
    <row r="745" ht="9" customHeight="1" hidden="1">
      <c r="I745" s="77"/>
      <c r="J745" s="78"/>
      <c r="K745" s="78"/>
      <c r="L745" t="s" s="79">
        <v>48</v>
      </c>
      <c r="M745" s="80">
        <v>8</v>
      </c>
      <c r="N745" s="81">
        <v>1299.99</v>
      </c>
      <c r="O745" s="81">
        <v>10399.92</v>
      </c>
    </row>
    <row r="746" ht="9" customHeight="1" hidden="1">
      <c r="I746" s="82"/>
      <c r="J746" s="83"/>
      <c r="K746" s="84">
        <v>45413</v>
      </c>
      <c r="L746" s="85"/>
      <c r="M746" s="28">
        <v>40</v>
      </c>
      <c r="N746" s="29">
        <v>1299.99</v>
      </c>
      <c r="O746" s="29">
        <v>10399.92</v>
      </c>
    </row>
    <row r="747" ht="9" customHeight="1" hidden="1">
      <c r="I747" s="82"/>
      <c r="J747" t="s" s="86">
        <v>1868</v>
      </c>
      <c r="K747" s="87"/>
      <c r="L747" s="85"/>
      <c r="M747" s="28">
        <v>40</v>
      </c>
      <c r="N747" s="29">
        <v>1299.99</v>
      </c>
      <c r="O747" s="29">
        <v>10399.92</v>
      </c>
    </row>
    <row r="748" ht="15.55" customHeight="1">
      <c r="I748" t="s" s="27">
        <v>1002</v>
      </c>
      <c r="J748" s="87"/>
      <c r="K748" s="87"/>
      <c r="L748" s="85"/>
      <c r="M748" s="28">
        <v>40</v>
      </c>
      <c r="N748" s="29">
        <v>1299.99</v>
      </c>
      <c r="O748" s="29">
        <v>10399.92</v>
      </c>
    </row>
    <row r="749" ht="9" customHeight="1" hidden="1">
      <c r="I749" s="77"/>
      <c r="J749" s="78"/>
      <c r="K749" s="78"/>
      <c r="L749" t="s" s="79">
        <v>73</v>
      </c>
      <c r="M749" s="80">
        <v>1</v>
      </c>
      <c r="N749" s="81">
        <v>399.99</v>
      </c>
      <c r="O749" s="81">
        <v>399.99</v>
      </c>
    </row>
    <row r="750" ht="9" customHeight="1" hidden="1">
      <c r="I750" s="82"/>
      <c r="J750" s="83"/>
      <c r="K750" s="84">
        <v>45413</v>
      </c>
      <c r="L750" s="85"/>
      <c r="M750" s="28">
        <v>1</v>
      </c>
      <c r="N750" s="29">
        <v>399.99</v>
      </c>
      <c r="O750" s="29">
        <v>399.99</v>
      </c>
    </row>
    <row r="751" ht="9" customHeight="1" hidden="1">
      <c r="I751" s="82"/>
      <c r="J751" t="s" s="86">
        <v>1854</v>
      </c>
      <c r="K751" s="87"/>
      <c r="L751" s="85"/>
      <c r="M751" s="28">
        <v>1</v>
      </c>
      <c r="N751" s="29">
        <v>399.99</v>
      </c>
      <c r="O751" s="29">
        <v>399.99</v>
      </c>
    </row>
    <row r="752" ht="15.55" customHeight="1">
      <c r="I752" t="s" s="27">
        <v>1166</v>
      </c>
      <c r="J752" s="87"/>
      <c r="K752" s="87"/>
      <c r="L752" s="85"/>
      <c r="M752" s="28">
        <v>1</v>
      </c>
      <c r="N752" s="29">
        <v>399.99</v>
      </c>
      <c r="O752" s="29">
        <v>399.99</v>
      </c>
    </row>
    <row r="753" ht="9" customHeight="1" hidden="1">
      <c r="I753" s="77"/>
      <c r="J753" s="78"/>
      <c r="K753" s="78"/>
      <c r="L753" t="s" s="79">
        <v>254</v>
      </c>
      <c r="M753" s="80">
        <v>1</v>
      </c>
      <c r="N753" s="81">
        <v>0</v>
      </c>
      <c r="O753" s="81">
        <v>0</v>
      </c>
    </row>
    <row r="754" ht="9" customHeight="1" hidden="1">
      <c r="I754" s="82"/>
      <c r="J754" s="83"/>
      <c r="K754" s="84">
        <v>45413</v>
      </c>
      <c r="L754" s="85"/>
      <c r="M754" s="28">
        <v>1</v>
      </c>
      <c r="N754" s="29">
        <v>0</v>
      </c>
      <c r="O754" s="29">
        <v>0</v>
      </c>
    </row>
    <row r="755" ht="9" customHeight="1" hidden="1">
      <c r="I755" s="82"/>
      <c r="J755" t="s" s="86">
        <v>2128</v>
      </c>
      <c r="K755" s="87"/>
      <c r="L755" s="85"/>
      <c r="M755" s="28">
        <v>1</v>
      </c>
      <c r="N755" s="29">
        <v>0</v>
      </c>
      <c r="O755" s="29">
        <v>0</v>
      </c>
    </row>
    <row r="756" ht="9" customHeight="1" hidden="1">
      <c r="I756" s="77"/>
      <c r="J756" s="78"/>
      <c r="K756" s="78"/>
      <c r="L756" t="s" s="79">
        <v>254</v>
      </c>
      <c r="M756" s="80">
        <v>1</v>
      </c>
      <c r="N756" s="81">
        <v>0</v>
      </c>
      <c r="O756" s="81">
        <v>0</v>
      </c>
    </row>
    <row r="757" ht="9" customHeight="1" hidden="1">
      <c r="I757" s="82"/>
      <c r="J757" s="83"/>
      <c r="K757" s="84">
        <v>45413</v>
      </c>
      <c r="L757" s="85"/>
      <c r="M757" s="28">
        <v>1</v>
      </c>
      <c r="N757" s="29">
        <v>0</v>
      </c>
      <c r="O757" s="29">
        <v>0</v>
      </c>
    </row>
    <row r="758" ht="9" customHeight="1" hidden="1">
      <c r="I758" s="82"/>
      <c r="J758" t="s" s="86">
        <v>2083</v>
      </c>
      <c r="K758" s="87"/>
      <c r="L758" s="85"/>
      <c r="M758" s="28">
        <v>1</v>
      </c>
      <c r="N758" s="29">
        <v>0</v>
      </c>
      <c r="O758" s="29">
        <v>0</v>
      </c>
    </row>
    <row r="759" ht="15.55" customHeight="1">
      <c r="I759" t="s" s="27">
        <v>2084</v>
      </c>
      <c r="J759" s="87"/>
      <c r="K759" s="87"/>
      <c r="L759" s="85"/>
      <c r="M759" s="28">
        <v>2</v>
      </c>
      <c r="N759" s="29">
        <v>0</v>
      </c>
      <c r="O759" s="29">
        <v>0</v>
      </c>
    </row>
    <row r="760" ht="9" customHeight="1" hidden="1">
      <c r="I760" s="77"/>
      <c r="J760" s="78"/>
      <c r="K760" s="78"/>
      <c r="L760" t="s" s="79">
        <v>359</v>
      </c>
      <c r="M760" s="80">
        <v>2</v>
      </c>
      <c r="N760" s="81">
        <v>29.99</v>
      </c>
      <c r="O760" s="81">
        <v>59.98</v>
      </c>
    </row>
    <row r="761" ht="9" customHeight="1" hidden="1">
      <c r="I761" s="77"/>
      <c r="J761" s="78"/>
      <c r="K761" s="78"/>
      <c r="L761" t="s" s="79">
        <v>77</v>
      </c>
      <c r="M761" s="80">
        <v>2</v>
      </c>
      <c r="N761" s="81">
        <v>19.99</v>
      </c>
      <c r="O761" s="81">
        <v>39.98</v>
      </c>
    </row>
    <row r="762" ht="9" customHeight="1" hidden="1">
      <c r="I762" s="82"/>
      <c r="J762" s="83"/>
      <c r="K762" s="84">
        <v>45413</v>
      </c>
      <c r="L762" s="85"/>
      <c r="M762" s="28">
        <v>4</v>
      </c>
      <c r="N762" s="29">
        <v>49.98</v>
      </c>
      <c r="O762" s="29">
        <v>99.95999999999999</v>
      </c>
    </row>
    <row r="763" ht="9" customHeight="1" hidden="1">
      <c r="I763" s="82"/>
      <c r="J763" t="s" s="86">
        <v>2063</v>
      </c>
      <c r="K763" s="87"/>
      <c r="L763" s="85"/>
      <c r="M763" s="28">
        <v>4</v>
      </c>
      <c r="N763" s="29">
        <v>49.98</v>
      </c>
      <c r="O763" s="29">
        <v>99.95999999999999</v>
      </c>
    </row>
    <row r="764" ht="15.55" customHeight="1">
      <c r="I764" t="s" s="27">
        <v>789</v>
      </c>
      <c r="J764" s="87"/>
      <c r="K764" s="87"/>
      <c r="L764" s="85"/>
      <c r="M764" s="28">
        <v>4</v>
      </c>
      <c r="N764" s="29">
        <v>49.98</v>
      </c>
      <c r="O764" s="29">
        <v>99.95999999999999</v>
      </c>
    </row>
    <row r="765" ht="9" customHeight="1" hidden="1">
      <c r="I765" s="77"/>
      <c r="J765" s="78"/>
      <c r="K765" s="78"/>
      <c r="L765" t="s" s="79">
        <v>171</v>
      </c>
      <c r="M765" s="80">
        <v>1</v>
      </c>
      <c r="N765" s="81">
        <v>549.99</v>
      </c>
      <c r="O765" s="81">
        <v>549.99</v>
      </c>
    </row>
    <row r="766" ht="9" customHeight="1" hidden="1">
      <c r="I766" s="82"/>
      <c r="J766" s="83"/>
      <c r="K766" s="84">
        <v>45413</v>
      </c>
      <c r="L766" s="85"/>
      <c r="M766" s="28">
        <v>1</v>
      </c>
      <c r="N766" s="29">
        <v>549.99</v>
      </c>
      <c r="O766" s="29">
        <v>549.99</v>
      </c>
    </row>
    <row r="767" ht="9" customHeight="1" hidden="1">
      <c r="I767" s="82"/>
      <c r="J767" t="s" s="86">
        <v>1927</v>
      </c>
      <c r="K767" s="87"/>
      <c r="L767" s="85"/>
      <c r="M767" s="28">
        <v>1</v>
      </c>
      <c r="N767" s="29">
        <v>549.99</v>
      </c>
      <c r="O767" s="29">
        <v>549.99</v>
      </c>
    </row>
    <row r="768" ht="15.55" customHeight="1">
      <c r="I768" t="s" s="27">
        <v>579</v>
      </c>
      <c r="J768" s="87"/>
      <c r="K768" s="87"/>
      <c r="L768" s="85"/>
      <c r="M768" s="28">
        <v>1</v>
      </c>
      <c r="N768" s="29">
        <v>549.99</v>
      </c>
      <c r="O768" s="29">
        <v>549.99</v>
      </c>
    </row>
    <row r="769" ht="9" customHeight="1" hidden="1">
      <c r="I769" s="77"/>
      <c r="J769" s="78"/>
      <c r="K769" s="78"/>
      <c r="L769" t="s" s="79">
        <v>167</v>
      </c>
      <c r="M769" s="80">
        <v>1</v>
      </c>
      <c r="N769" s="81">
        <v>29.99</v>
      </c>
      <c r="O769" s="81">
        <v>29.99</v>
      </c>
    </row>
    <row r="770" ht="9" customHeight="1" hidden="1">
      <c r="I770" s="77"/>
      <c r="J770" s="78"/>
      <c r="K770" s="78"/>
      <c r="L770" t="s" s="79">
        <v>84</v>
      </c>
      <c r="M770" s="80">
        <v>1</v>
      </c>
      <c r="N770" s="81">
        <v>0</v>
      </c>
      <c r="O770" s="81">
        <v>0</v>
      </c>
    </row>
    <row r="771" ht="9" customHeight="1" hidden="1">
      <c r="I771" s="77"/>
      <c r="J771" s="78"/>
      <c r="K771" s="78"/>
      <c r="L771" t="s" s="79">
        <v>23</v>
      </c>
      <c r="M771" s="80">
        <v>1</v>
      </c>
      <c r="N771" s="81">
        <v>0</v>
      </c>
      <c r="O771" s="81">
        <v>0</v>
      </c>
    </row>
    <row r="772" ht="9" customHeight="1" hidden="1">
      <c r="I772" s="77"/>
      <c r="J772" s="78"/>
      <c r="K772" s="78"/>
      <c r="L772" t="s" s="79">
        <v>52</v>
      </c>
      <c r="M772" s="80">
        <v>1</v>
      </c>
      <c r="N772" s="81">
        <v>0</v>
      </c>
      <c r="O772" s="81">
        <v>0</v>
      </c>
    </row>
    <row r="773" ht="9" customHeight="1" hidden="1">
      <c r="I773" s="77"/>
      <c r="J773" s="78"/>
      <c r="K773" s="78"/>
      <c r="L773" t="s" s="79">
        <v>50</v>
      </c>
      <c r="M773" s="80">
        <v>1</v>
      </c>
      <c r="N773" s="81">
        <v>0</v>
      </c>
      <c r="O773" s="81">
        <v>0</v>
      </c>
    </row>
    <row r="774" ht="9" customHeight="1" hidden="1">
      <c r="I774" s="77"/>
      <c r="J774" s="78"/>
      <c r="K774" s="78"/>
      <c r="L774" t="s" s="79">
        <v>48</v>
      </c>
      <c r="M774" s="80">
        <v>1</v>
      </c>
      <c r="N774" s="81">
        <v>1299.99</v>
      </c>
      <c r="O774" s="81">
        <v>1299.99</v>
      </c>
    </row>
    <row r="775" ht="9" customHeight="1" hidden="1">
      <c r="I775" s="82"/>
      <c r="J775" s="83"/>
      <c r="K775" s="84">
        <v>45413</v>
      </c>
      <c r="L775" s="85"/>
      <c r="M775" s="28">
        <v>6</v>
      </c>
      <c r="N775" s="29">
        <v>1329.98</v>
      </c>
      <c r="O775" s="29">
        <v>1329.98</v>
      </c>
    </row>
    <row r="776" ht="9" customHeight="1" hidden="1">
      <c r="I776" s="82"/>
      <c r="J776" t="s" s="86">
        <v>2132</v>
      </c>
      <c r="K776" s="87"/>
      <c r="L776" s="85"/>
      <c r="M776" s="28">
        <v>6</v>
      </c>
      <c r="N776" s="29">
        <v>1329.98</v>
      </c>
      <c r="O776" s="29">
        <v>1329.98</v>
      </c>
    </row>
    <row r="777" ht="15.55" customHeight="1">
      <c r="I777" t="s" s="27">
        <v>2133</v>
      </c>
      <c r="J777" s="87"/>
      <c r="K777" s="87"/>
      <c r="L777" s="85"/>
      <c r="M777" s="28">
        <v>6</v>
      </c>
      <c r="N777" s="29">
        <v>1329.98</v>
      </c>
      <c r="O777" s="29">
        <v>1329.98</v>
      </c>
    </row>
    <row r="778" ht="9" customHeight="1" hidden="1">
      <c r="I778" s="77"/>
      <c r="J778" s="78"/>
      <c r="K778" s="78"/>
      <c r="L778" t="s" s="79">
        <v>27</v>
      </c>
      <c r="M778" s="80">
        <v>1</v>
      </c>
      <c r="N778" s="81">
        <v>79.98999999999999</v>
      </c>
      <c r="O778" s="81">
        <v>79.98999999999999</v>
      </c>
    </row>
    <row r="779" ht="9" customHeight="1" hidden="1">
      <c r="I779" s="82"/>
      <c r="J779" s="83"/>
      <c r="K779" s="84">
        <v>45413</v>
      </c>
      <c r="L779" s="85"/>
      <c r="M779" s="28">
        <v>1</v>
      </c>
      <c r="N779" s="29">
        <v>79.98999999999999</v>
      </c>
      <c r="O779" s="29">
        <v>79.98999999999999</v>
      </c>
    </row>
    <row r="780" ht="9" customHeight="1" hidden="1">
      <c r="I780" s="82"/>
      <c r="J780" t="s" s="86">
        <v>1988</v>
      </c>
      <c r="K780" s="87"/>
      <c r="L780" s="85"/>
      <c r="M780" s="28">
        <v>1</v>
      </c>
      <c r="N780" s="29">
        <v>79.98999999999999</v>
      </c>
      <c r="O780" s="29">
        <v>79.98999999999999</v>
      </c>
    </row>
    <row r="781" ht="15.55" customHeight="1">
      <c r="I781" t="s" s="27">
        <v>1989</v>
      </c>
      <c r="J781" s="87"/>
      <c r="K781" s="87"/>
      <c r="L781" s="85"/>
      <c r="M781" s="28">
        <v>1</v>
      </c>
      <c r="N781" s="29">
        <v>79.98999999999999</v>
      </c>
      <c r="O781" s="29">
        <v>79.98999999999999</v>
      </c>
    </row>
    <row r="782" ht="9" customHeight="1" hidden="1">
      <c r="I782" s="77"/>
      <c r="J782" s="78"/>
      <c r="K782" s="78"/>
      <c r="L782" t="s" s="79">
        <v>95</v>
      </c>
      <c r="M782" s="80">
        <v>1</v>
      </c>
      <c r="N782" s="81">
        <v>349.99</v>
      </c>
      <c r="O782" s="81">
        <v>349.99</v>
      </c>
    </row>
    <row r="783" ht="9" customHeight="1" hidden="1">
      <c r="I783" s="82"/>
      <c r="J783" s="83"/>
      <c r="K783" s="84">
        <v>45413</v>
      </c>
      <c r="L783" s="85"/>
      <c r="M783" s="28">
        <v>1</v>
      </c>
      <c r="N783" s="29">
        <v>349.99</v>
      </c>
      <c r="O783" s="29">
        <v>349.99</v>
      </c>
    </row>
    <row r="784" ht="9" customHeight="1" hidden="1">
      <c r="I784" s="82"/>
      <c r="J784" t="s" s="86">
        <v>2030</v>
      </c>
      <c r="K784" s="87"/>
      <c r="L784" s="85"/>
      <c r="M784" s="28">
        <v>1</v>
      </c>
      <c r="N784" s="29">
        <v>349.99</v>
      </c>
      <c r="O784" s="29">
        <v>349.99</v>
      </c>
    </row>
    <row r="785" ht="15.55" customHeight="1">
      <c r="I785" t="s" s="27">
        <v>2031</v>
      </c>
      <c r="J785" s="87"/>
      <c r="K785" s="87"/>
      <c r="L785" s="85"/>
      <c r="M785" s="28">
        <v>1</v>
      </c>
      <c r="N785" s="29">
        <v>349.99</v>
      </c>
      <c r="O785" s="29">
        <v>349.99</v>
      </c>
    </row>
    <row r="786" ht="9" customHeight="1" hidden="1">
      <c r="I786" s="77"/>
      <c r="J786" s="78"/>
      <c r="K786" s="78"/>
      <c r="L786" t="s" s="79">
        <v>1550</v>
      </c>
      <c r="M786" s="80">
        <v>2</v>
      </c>
      <c r="N786" s="81">
        <v>3750</v>
      </c>
      <c r="O786" s="81">
        <v>7500</v>
      </c>
    </row>
    <row r="787" ht="9" customHeight="1" hidden="1">
      <c r="I787" s="77"/>
      <c r="J787" s="78"/>
      <c r="K787" s="78"/>
      <c r="L787" t="s" s="79">
        <v>1974</v>
      </c>
      <c r="M787" s="80">
        <v>25</v>
      </c>
      <c r="N787" s="81">
        <v>1825</v>
      </c>
      <c r="O787" s="81">
        <v>45625</v>
      </c>
    </row>
    <row r="788" ht="9" customHeight="1" hidden="1">
      <c r="I788" s="77"/>
      <c r="J788" s="78"/>
      <c r="K788" s="78"/>
      <c r="L788" t="s" s="79">
        <v>63</v>
      </c>
      <c r="M788" s="80">
        <v>1</v>
      </c>
      <c r="N788" s="81">
        <v>4000</v>
      </c>
      <c r="O788" s="81">
        <v>4000</v>
      </c>
    </row>
    <row r="789" ht="9" customHeight="1" hidden="1">
      <c r="I789" s="82"/>
      <c r="J789" s="83"/>
      <c r="K789" s="84">
        <v>45413</v>
      </c>
      <c r="L789" s="85"/>
      <c r="M789" s="28">
        <v>28</v>
      </c>
      <c r="N789" s="29">
        <v>9575</v>
      </c>
      <c r="O789" s="29">
        <v>57125</v>
      </c>
    </row>
    <row r="790" ht="9" customHeight="1" hidden="1">
      <c r="I790" s="82"/>
      <c r="J790" t="s" s="86">
        <v>1973</v>
      </c>
      <c r="K790" s="87"/>
      <c r="L790" s="85"/>
      <c r="M790" s="28">
        <v>28</v>
      </c>
      <c r="N790" s="29">
        <v>9575</v>
      </c>
      <c r="O790" s="29">
        <v>57125</v>
      </c>
    </row>
    <row r="791" ht="9" customHeight="1" hidden="1">
      <c r="I791" s="77"/>
      <c r="J791" s="78"/>
      <c r="K791" s="78"/>
      <c r="L791" t="s" s="79">
        <v>1953</v>
      </c>
      <c r="M791" s="80">
        <v>1</v>
      </c>
      <c r="N791" s="81">
        <v>30000</v>
      </c>
      <c r="O791" s="81">
        <v>30000</v>
      </c>
    </row>
    <row r="792" ht="9" customHeight="1" hidden="1">
      <c r="I792" s="82"/>
      <c r="J792" s="83"/>
      <c r="K792" s="84">
        <v>45413</v>
      </c>
      <c r="L792" s="85"/>
      <c r="M792" s="28">
        <v>1</v>
      </c>
      <c r="N792" s="29">
        <v>30000</v>
      </c>
      <c r="O792" s="29">
        <v>30000</v>
      </c>
    </row>
    <row r="793" ht="9" customHeight="1" hidden="1">
      <c r="I793" s="82"/>
      <c r="J793" t="s" s="86">
        <v>1952</v>
      </c>
      <c r="K793" s="87"/>
      <c r="L793" s="85"/>
      <c r="M793" s="28">
        <v>1</v>
      </c>
      <c r="N793" s="29">
        <v>30000</v>
      </c>
      <c r="O793" s="29">
        <v>30000</v>
      </c>
    </row>
    <row r="794" ht="15.55" customHeight="1">
      <c r="I794" t="s" s="27">
        <v>476</v>
      </c>
      <c r="J794" s="87"/>
      <c r="K794" s="87"/>
      <c r="L794" s="85"/>
      <c r="M794" s="28">
        <v>29</v>
      </c>
      <c r="N794" s="29">
        <v>39575</v>
      </c>
      <c r="O794" s="29">
        <v>87125</v>
      </c>
    </row>
    <row r="795" ht="9" customHeight="1" hidden="1">
      <c r="I795" s="77"/>
      <c r="J795" s="78"/>
      <c r="K795" s="78"/>
      <c r="L795" t="s" s="79">
        <v>1917</v>
      </c>
      <c r="M795" s="80">
        <v>1</v>
      </c>
      <c r="N795" s="81">
        <v>0</v>
      </c>
      <c r="O795" s="81">
        <v>0</v>
      </c>
    </row>
    <row r="796" ht="9" customHeight="1" hidden="1">
      <c r="I796" s="82"/>
      <c r="J796" s="83"/>
      <c r="K796" s="84">
        <v>45413</v>
      </c>
      <c r="L796" s="85"/>
      <c r="M796" s="28">
        <v>1</v>
      </c>
      <c r="N796" s="29">
        <v>0</v>
      </c>
      <c r="O796" s="29">
        <v>0</v>
      </c>
    </row>
    <row r="797" ht="9" customHeight="1" hidden="1">
      <c r="I797" s="82"/>
      <c r="J797" t="s" s="86">
        <v>1916</v>
      </c>
      <c r="K797" s="87"/>
      <c r="L797" s="85"/>
      <c r="M797" s="28">
        <v>1</v>
      </c>
      <c r="N797" s="29">
        <v>0</v>
      </c>
      <c r="O797" s="29">
        <v>0</v>
      </c>
    </row>
    <row r="798" ht="9" customHeight="1" hidden="1">
      <c r="I798" s="77"/>
      <c r="J798" s="78"/>
      <c r="K798" s="78"/>
      <c r="L798" t="s" s="79">
        <v>52</v>
      </c>
      <c r="M798" s="80">
        <v>1</v>
      </c>
      <c r="N798" s="81">
        <v>0</v>
      </c>
      <c r="O798" s="81">
        <v>0</v>
      </c>
    </row>
    <row r="799" ht="9" customHeight="1" hidden="1">
      <c r="I799" s="77"/>
      <c r="J799" s="78"/>
      <c r="K799" s="78"/>
      <c r="L799" t="s" s="79">
        <v>50</v>
      </c>
      <c r="M799" s="80">
        <v>1</v>
      </c>
      <c r="N799" s="81">
        <v>0</v>
      </c>
      <c r="O799" s="81">
        <v>0</v>
      </c>
    </row>
    <row r="800" ht="9" customHeight="1" hidden="1">
      <c r="I800" s="77"/>
      <c r="J800" s="78"/>
      <c r="K800" s="78"/>
      <c r="L800" t="s" s="79">
        <v>48</v>
      </c>
      <c r="M800" s="80">
        <v>1</v>
      </c>
      <c r="N800" s="81">
        <v>974.9924999999999</v>
      </c>
      <c r="O800" s="81">
        <v>974.9924999999999</v>
      </c>
    </row>
    <row r="801" ht="9" customHeight="1" hidden="1">
      <c r="I801" s="77"/>
      <c r="J801" s="78"/>
      <c r="K801" s="78"/>
      <c r="L801" t="s" s="79">
        <v>143</v>
      </c>
      <c r="M801" s="80">
        <v>2</v>
      </c>
      <c r="N801" s="81">
        <v>2399.9925</v>
      </c>
      <c r="O801" s="81">
        <v>4799.985</v>
      </c>
    </row>
    <row r="802" ht="9" customHeight="1" hidden="1">
      <c r="I802" s="82"/>
      <c r="J802" s="83"/>
      <c r="K802" s="84">
        <v>45413</v>
      </c>
      <c r="L802" s="85"/>
      <c r="M802" s="28">
        <v>5</v>
      </c>
      <c r="N802" s="29">
        <v>3374.985</v>
      </c>
      <c r="O802" s="29">
        <v>5774.9775</v>
      </c>
    </row>
    <row r="803" ht="9" customHeight="1" hidden="1">
      <c r="I803" s="82"/>
      <c r="J803" t="s" s="86">
        <v>1817</v>
      </c>
      <c r="K803" s="87"/>
      <c r="L803" s="85"/>
      <c r="M803" s="28">
        <v>5</v>
      </c>
      <c r="N803" s="29">
        <v>3374.985</v>
      </c>
      <c r="O803" s="29">
        <v>5774.9775</v>
      </c>
    </row>
    <row r="804" ht="15.55" customHeight="1">
      <c r="I804" t="s" s="27">
        <v>896</v>
      </c>
      <c r="J804" s="87"/>
      <c r="K804" s="87"/>
      <c r="L804" s="85"/>
      <c r="M804" s="28">
        <v>6</v>
      </c>
      <c r="N804" s="29">
        <v>3374.985</v>
      </c>
      <c r="O804" s="29">
        <v>5774.9775</v>
      </c>
    </row>
    <row r="805" ht="9" customHeight="1" hidden="1">
      <c r="I805" s="77"/>
      <c r="J805" s="78"/>
      <c r="K805" s="78"/>
      <c r="L805" t="s" s="79">
        <v>35</v>
      </c>
      <c r="M805" s="80">
        <v>2</v>
      </c>
      <c r="N805" s="81">
        <v>49.99</v>
      </c>
      <c r="O805" s="81">
        <v>99.98</v>
      </c>
    </row>
    <row r="806" ht="9" customHeight="1" hidden="1">
      <c r="I806" s="82"/>
      <c r="J806" s="83"/>
      <c r="K806" s="84">
        <v>45413</v>
      </c>
      <c r="L806" s="85"/>
      <c r="M806" s="28">
        <v>2</v>
      </c>
      <c r="N806" s="29">
        <v>49.99</v>
      </c>
      <c r="O806" s="29">
        <v>99.98</v>
      </c>
    </row>
    <row r="807" ht="9" customHeight="1" hidden="1">
      <c r="I807" s="82"/>
      <c r="J807" t="s" s="86">
        <v>1980</v>
      </c>
      <c r="K807" s="87"/>
      <c r="L807" s="85"/>
      <c r="M807" s="28">
        <v>2</v>
      </c>
      <c r="N807" s="29">
        <v>49.99</v>
      </c>
      <c r="O807" s="29">
        <v>99.98</v>
      </c>
    </row>
    <row r="808" ht="15.55" customHeight="1">
      <c r="I808" t="s" s="27">
        <v>1981</v>
      </c>
      <c r="J808" s="87"/>
      <c r="K808" s="87"/>
      <c r="L808" s="85"/>
      <c r="M808" s="28">
        <v>2</v>
      </c>
      <c r="N808" s="29">
        <v>49.99</v>
      </c>
      <c r="O808" s="29">
        <v>99.98</v>
      </c>
    </row>
    <row r="809" ht="9" customHeight="1" hidden="1">
      <c r="I809" s="77"/>
      <c r="J809" s="78"/>
      <c r="K809" s="78"/>
      <c r="L809" t="s" s="79">
        <v>31</v>
      </c>
      <c r="M809" s="80">
        <v>1</v>
      </c>
      <c r="N809" s="81">
        <v>599.99</v>
      </c>
      <c r="O809" s="81">
        <v>599.99</v>
      </c>
    </row>
    <row r="810" ht="9" customHeight="1" hidden="1">
      <c r="I810" s="82"/>
      <c r="J810" s="83"/>
      <c r="K810" s="84">
        <v>45413</v>
      </c>
      <c r="L810" s="85"/>
      <c r="M810" s="28">
        <v>1</v>
      </c>
      <c r="N810" s="29">
        <v>599.99</v>
      </c>
      <c r="O810" s="29">
        <v>599.99</v>
      </c>
    </row>
    <row r="811" ht="9" customHeight="1" hidden="1">
      <c r="I811" s="82"/>
      <c r="J811" t="s" s="86">
        <v>1978</v>
      </c>
      <c r="K811" s="87"/>
      <c r="L811" s="85"/>
      <c r="M811" s="28">
        <v>1</v>
      </c>
      <c r="N811" s="29">
        <v>599.99</v>
      </c>
      <c r="O811" s="29">
        <v>599.99</v>
      </c>
    </row>
    <row r="812" ht="15.55" customHeight="1">
      <c r="I812" t="s" s="27">
        <v>1979</v>
      </c>
      <c r="J812" s="87"/>
      <c r="K812" s="87"/>
      <c r="L812" s="85"/>
      <c r="M812" s="28">
        <v>1</v>
      </c>
      <c r="N812" s="29">
        <v>599.99</v>
      </c>
      <c r="O812" s="29">
        <v>599.99</v>
      </c>
    </row>
    <row r="813" ht="9" customHeight="1" hidden="1">
      <c r="I813" s="77"/>
      <c r="J813" s="78"/>
      <c r="K813" s="78"/>
      <c r="L813" t="s" s="79">
        <v>11</v>
      </c>
      <c r="M813" s="80">
        <v>1</v>
      </c>
      <c r="N813" s="81">
        <v>399.99</v>
      </c>
      <c r="O813" s="81">
        <v>399.99</v>
      </c>
    </row>
    <row r="814" ht="9" customHeight="1" hidden="1">
      <c r="I814" s="82"/>
      <c r="J814" s="83"/>
      <c r="K814" s="84">
        <v>45413</v>
      </c>
      <c r="L814" s="85"/>
      <c r="M814" s="28">
        <v>1</v>
      </c>
      <c r="N814" s="29">
        <v>399.99</v>
      </c>
      <c r="O814" s="29">
        <v>399.99</v>
      </c>
    </row>
    <row r="815" ht="9" customHeight="1" hidden="1">
      <c r="I815" s="82"/>
      <c r="J815" t="s" s="86">
        <v>1918</v>
      </c>
      <c r="K815" s="87"/>
      <c r="L815" s="85"/>
      <c r="M815" s="28">
        <v>1</v>
      </c>
      <c r="N815" s="29">
        <v>399.99</v>
      </c>
      <c r="O815" s="29">
        <v>399.99</v>
      </c>
    </row>
    <row r="816" ht="15.55" customHeight="1">
      <c r="I816" t="s" s="27">
        <v>1919</v>
      </c>
      <c r="J816" s="87"/>
      <c r="K816" s="87"/>
      <c r="L816" s="85"/>
      <c r="M816" s="28">
        <v>1</v>
      </c>
      <c r="N816" s="29">
        <v>399.99</v>
      </c>
      <c r="O816" s="29">
        <v>399.99</v>
      </c>
    </row>
    <row r="817" ht="9" customHeight="1" hidden="1">
      <c r="I817" s="77"/>
      <c r="J817" s="78"/>
      <c r="K817" s="78"/>
      <c r="L817" t="s" s="79">
        <v>11</v>
      </c>
      <c r="M817" s="80">
        <v>1</v>
      </c>
      <c r="N817" s="81">
        <v>399.99</v>
      </c>
      <c r="O817" s="81">
        <v>399.99</v>
      </c>
    </row>
    <row r="818" ht="9" customHeight="1" hidden="1">
      <c r="I818" s="82"/>
      <c r="J818" s="83"/>
      <c r="K818" s="84">
        <v>45413</v>
      </c>
      <c r="L818" s="85"/>
      <c r="M818" s="28">
        <v>1</v>
      </c>
      <c r="N818" s="29">
        <v>399.99</v>
      </c>
      <c r="O818" s="29">
        <v>399.99</v>
      </c>
    </row>
    <row r="819" ht="9" customHeight="1" hidden="1">
      <c r="I819" s="82"/>
      <c r="J819" t="s" s="86">
        <v>2110</v>
      </c>
      <c r="K819" s="87"/>
      <c r="L819" s="85"/>
      <c r="M819" s="28">
        <v>1</v>
      </c>
      <c r="N819" s="29">
        <v>399.99</v>
      </c>
      <c r="O819" s="29">
        <v>399.99</v>
      </c>
    </row>
    <row r="820" ht="15.55" customHeight="1">
      <c r="I820" t="s" s="27">
        <v>2111</v>
      </c>
      <c r="J820" s="87"/>
      <c r="K820" s="87"/>
      <c r="L820" s="85"/>
      <c r="M820" s="28">
        <v>1</v>
      </c>
      <c r="N820" s="29">
        <v>399.99</v>
      </c>
      <c r="O820" s="29">
        <v>399.99</v>
      </c>
    </row>
    <row r="821" ht="9" customHeight="1" hidden="1">
      <c r="I821" s="77"/>
      <c r="J821" s="78"/>
      <c r="K821" s="78"/>
      <c r="L821" t="s" s="79">
        <v>602</v>
      </c>
      <c r="M821" s="80">
        <v>1</v>
      </c>
      <c r="N821" s="81">
        <v>299.99</v>
      </c>
      <c r="O821" s="81">
        <v>299.99</v>
      </c>
    </row>
    <row r="822" ht="9" customHeight="1" hidden="1">
      <c r="I822" s="82"/>
      <c r="J822" s="83"/>
      <c r="K822" s="84">
        <v>45413</v>
      </c>
      <c r="L822" s="85"/>
      <c r="M822" s="28">
        <v>1</v>
      </c>
      <c r="N822" s="29">
        <v>299.99</v>
      </c>
      <c r="O822" s="29">
        <v>299.99</v>
      </c>
    </row>
    <row r="823" ht="9" customHeight="1" hidden="1">
      <c r="I823" s="82"/>
      <c r="J823" t="s" s="86">
        <v>1814</v>
      </c>
      <c r="K823" s="87"/>
      <c r="L823" s="85"/>
      <c r="M823" s="28">
        <v>1</v>
      </c>
      <c r="N823" s="29">
        <v>299.99</v>
      </c>
      <c r="O823" s="29">
        <v>299.99</v>
      </c>
    </row>
    <row r="824" ht="9" customHeight="1" hidden="1">
      <c r="I824" s="77"/>
      <c r="J824" s="78"/>
      <c r="K824" s="78"/>
      <c r="L824" t="s" s="79">
        <v>171</v>
      </c>
      <c r="M824" s="80">
        <v>1</v>
      </c>
      <c r="N824" s="81">
        <v>549.99</v>
      </c>
      <c r="O824" s="81">
        <v>549.99</v>
      </c>
    </row>
    <row r="825" ht="9" customHeight="1" hidden="1">
      <c r="I825" s="82"/>
      <c r="J825" s="83"/>
      <c r="K825" s="84">
        <v>45413</v>
      </c>
      <c r="L825" s="85"/>
      <c r="M825" s="28">
        <v>1</v>
      </c>
      <c r="N825" s="29">
        <v>549.99</v>
      </c>
      <c r="O825" s="29">
        <v>549.99</v>
      </c>
    </row>
    <row r="826" ht="9" customHeight="1" hidden="1">
      <c r="I826" s="82"/>
      <c r="J826" t="s" s="86">
        <v>1812</v>
      </c>
      <c r="K826" s="87"/>
      <c r="L826" s="85"/>
      <c r="M826" s="28">
        <v>1</v>
      </c>
      <c r="N826" s="29">
        <v>549.99</v>
      </c>
      <c r="O826" s="29">
        <v>549.99</v>
      </c>
    </row>
    <row r="827" ht="15.55" customHeight="1">
      <c r="I827" t="s" s="27">
        <v>1813</v>
      </c>
      <c r="J827" s="87"/>
      <c r="K827" s="87"/>
      <c r="L827" s="85"/>
      <c r="M827" s="28">
        <v>2</v>
      </c>
      <c r="N827" s="29">
        <v>849.98</v>
      </c>
      <c r="O827" s="29">
        <v>849.98</v>
      </c>
    </row>
    <row r="828" ht="9" customHeight="1" hidden="1">
      <c r="I828" s="77"/>
      <c r="J828" s="78"/>
      <c r="K828" s="78"/>
      <c r="L828" t="s" s="79">
        <v>23</v>
      </c>
      <c r="M828" s="80">
        <v>1</v>
      </c>
      <c r="N828" s="81">
        <v>149.99</v>
      </c>
      <c r="O828" s="81">
        <v>149.99</v>
      </c>
    </row>
    <row r="829" ht="9" customHeight="1" hidden="1">
      <c r="I829" s="82"/>
      <c r="J829" s="83"/>
      <c r="K829" s="84">
        <v>45413</v>
      </c>
      <c r="L829" s="85"/>
      <c r="M829" s="28">
        <v>1</v>
      </c>
      <c r="N829" s="29">
        <v>149.99</v>
      </c>
      <c r="O829" s="29">
        <v>149.99</v>
      </c>
    </row>
    <row r="830" ht="9" customHeight="1" hidden="1">
      <c r="I830" s="82"/>
      <c r="J830" t="s" s="86">
        <v>2059</v>
      </c>
      <c r="K830" s="87"/>
      <c r="L830" s="85"/>
      <c r="M830" s="28">
        <v>1</v>
      </c>
      <c r="N830" s="29">
        <v>149.99</v>
      </c>
      <c r="O830" s="29">
        <v>149.99</v>
      </c>
    </row>
    <row r="831" ht="15.55" customHeight="1">
      <c r="I831" t="s" s="27">
        <v>2060</v>
      </c>
      <c r="J831" s="87"/>
      <c r="K831" s="87"/>
      <c r="L831" s="85"/>
      <c r="M831" s="28">
        <v>1</v>
      </c>
      <c r="N831" s="29">
        <v>149.99</v>
      </c>
      <c r="O831" s="29">
        <v>149.99</v>
      </c>
    </row>
    <row r="832" ht="9" customHeight="1" hidden="1">
      <c r="I832" s="77"/>
      <c r="J832" s="78"/>
      <c r="K832" s="78"/>
      <c r="L832" t="s" s="79">
        <v>54</v>
      </c>
      <c r="M832" s="80">
        <v>1</v>
      </c>
      <c r="N832" s="81">
        <v>9.99</v>
      </c>
      <c r="O832" s="81">
        <v>9.99</v>
      </c>
    </row>
    <row r="833" ht="9" customHeight="1" hidden="1">
      <c r="I833" s="77"/>
      <c r="J833" s="78"/>
      <c r="K833" s="78"/>
      <c r="L833" t="s" s="79">
        <v>15</v>
      </c>
      <c r="M833" s="80">
        <v>1</v>
      </c>
      <c r="N833" s="81">
        <v>9.99</v>
      </c>
      <c r="O833" s="81">
        <v>9.99</v>
      </c>
    </row>
    <row r="834" ht="9" customHeight="1" hidden="1">
      <c r="I834" s="82"/>
      <c r="J834" s="83"/>
      <c r="K834" s="84">
        <v>45413</v>
      </c>
      <c r="L834" s="85"/>
      <c r="M834" s="28">
        <v>2</v>
      </c>
      <c r="N834" s="29">
        <v>19.98</v>
      </c>
      <c r="O834" s="29">
        <v>19.98</v>
      </c>
    </row>
    <row r="835" ht="9" customHeight="1" hidden="1">
      <c r="I835" s="82"/>
      <c r="J835" t="s" s="86">
        <v>2130</v>
      </c>
      <c r="K835" s="87"/>
      <c r="L835" s="85"/>
      <c r="M835" s="28">
        <v>2</v>
      </c>
      <c r="N835" s="29">
        <v>19.98</v>
      </c>
      <c r="O835" s="29">
        <v>19.98</v>
      </c>
    </row>
    <row r="836" ht="15.55" customHeight="1">
      <c r="I836" t="s" s="27">
        <v>2131</v>
      </c>
      <c r="J836" s="87"/>
      <c r="K836" s="87"/>
      <c r="L836" s="85"/>
      <c r="M836" s="28">
        <v>2</v>
      </c>
      <c r="N836" s="29">
        <v>19.98</v>
      </c>
      <c r="O836" s="29">
        <v>19.98</v>
      </c>
    </row>
    <row r="837" ht="9" customHeight="1" hidden="1">
      <c r="I837" s="77"/>
      <c r="J837" s="78"/>
      <c r="K837" s="78"/>
      <c r="L837" t="s" s="79">
        <v>1097</v>
      </c>
      <c r="M837" s="80">
        <v>2</v>
      </c>
      <c r="N837" s="81">
        <v>0</v>
      </c>
      <c r="O837" s="81">
        <v>0</v>
      </c>
    </row>
    <row r="838" ht="9" customHeight="1" hidden="1">
      <c r="I838" s="82"/>
      <c r="J838" s="83"/>
      <c r="K838" s="84">
        <v>45413</v>
      </c>
      <c r="L838" s="85"/>
      <c r="M838" s="28">
        <v>2</v>
      </c>
      <c r="N838" s="29">
        <v>0</v>
      </c>
      <c r="O838" s="29">
        <v>0</v>
      </c>
    </row>
    <row r="839" ht="9" customHeight="1" hidden="1">
      <c r="I839" s="82"/>
      <c r="J839" t="s" s="86">
        <v>2076</v>
      </c>
      <c r="K839" s="87"/>
      <c r="L839" s="85"/>
      <c r="M839" s="28">
        <v>2</v>
      </c>
      <c r="N839" s="29">
        <v>0</v>
      </c>
      <c r="O839" s="29">
        <v>0</v>
      </c>
    </row>
    <row r="840" ht="9" customHeight="1" hidden="1">
      <c r="I840" s="77"/>
      <c r="J840" s="78"/>
      <c r="K840" s="78"/>
      <c r="L840" t="s" s="79">
        <v>1097</v>
      </c>
      <c r="M840" s="80">
        <v>1</v>
      </c>
      <c r="N840" s="81">
        <v>0</v>
      </c>
      <c r="O840" s="81">
        <v>0</v>
      </c>
    </row>
    <row r="841" ht="9" customHeight="1" hidden="1">
      <c r="I841" s="82"/>
      <c r="J841" s="83"/>
      <c r="K841" s="84">
        <v>45413</v>
      </c>
      <c r="L841" s="85"/>
      <c r="M841" s="28">
        <v>1</v>
      </c>
      <c r="N841" s="29">
        <v>0</v>
      </c>
      <c r="O841" s="29">
        <v>0</v>
      </c>
    </row>
    <row r="842" ht="9" customHeight="1" hidden="1">
      <c r="I842" s="82"/>
      <c r="J842" t="s" s="86">
        <v>2057</v>
      </c>
      <c r="K842" s="87"/>
      <c r="L842" s="85"/>
      <c r="M842" s="28">
        <v>1</v>
      </c>
      <c r="N842" s="29">
        <v>0</v>
      </c>
      <c r="O842" s="29">
        <v>0</v>
      </c>
    </row>
    <row r="843" ht="15.55" customHeight="1">
      <c r="I843" t="s" s="27">
        <v>2058</v>
      </c>
      <c r="J843" s="87"/>
      <c r="K843" s="87"/>
      <c r="L843" s="85"/>
      <c r="M843" s="28">
        <v>3</v>
      </c>
      <c r="N843" s="29">
        <v>0</v>
      </c>
      <c r="O843" s="29">
        <v>0</v>
      </c>
    </row>
    <row r="844" ht="9" customHeight="1" hidden="1">
      <c r="I844" s="77"/>
      <c r="J844" s="78"/>
      <c r="K844" s="78"/>
      <c r="L844" t="s" s="79">
        <v>27</v>
      </c>
      <c r="M844" s="80">
        <v>1</v>
      </c>
      <c r="N844" s="81">
        <v>79.98999999999999</v>
      </c>
      <c r="O844" s="81">
        <v>79.98999999999999</v>
      </c>
    </row>
    <row r="845" ht="9" customHeight="1" hidden="1">
      <c r="I845" s="82"/>
      <c r="J845" s="83"/>
      <c r="K845" s="84">
        <v>45413</v>
      </c>
      <c r="L845" s="85"/>
      <c r="M845" s="28">
        <v>1</v>
      </c>
      <c r="N845" s="29">
        <v>79.98999999999999</v>
      </c>
      <c r="O845" s="29">
        <v>79.98999999999999</v>
      </c>
    </row>
    <row r="846" ht="9" customHeight="1" hidden="1">
      <c r="I846" s="82"/>
      <c r="J846" t="s" s="86">
        <v>1964</v>
      </c>
      <c r="K846" s="87"/>
      <c r="L846" s="85"/>
      <c r="M846" s="28">
        <v>1</v>
      </c>
      <c r="N846" s="29">
        <v>79.98999999999999</v>
      </c>
      <c r="O846" s="29">
        <v>79.98999999999999</v>
      </c>
    </row>
    <row r="847" ht="15.55" customHeight="1">
      <c r="I847" t="s" s="27">
        <v>1965</v>
      </c>
      <c r="J847" s="87"/>
      <c r="K847" s="87"/>
      <c r="L847" s="85"/>
      <c r="M847" s="28">
        <v>1</v>
      </c>
      <c r="N847" s="29">
        <v>79.98999999999999</v>
      </c>
      <c r="O847" s="29">
        <v>79.98999999999999</v>
      </c>
    </row>
    <row r="848" ht="9" customHeight="1" hidden="1">
      <c r="I848" s="77"/>
      <c r="J848" s="78"/>
      <c r="K848" s="78"/>
      <c r="L848" t="s" s="79">
        <v>54</v>
      </c>
      <c r="M848" s="80">
        <v>6</v>
      </c>
      <c r="N848" s="81">
        <v>0</v>
      </c>
      <c r="O848" s="81">
        <v>0</v>
      </c>
    </row>
    <row r="849" ht="9" customHeight="1" hidden="1">
      <c r="I849" s="77"/>
      <c r="J849" s="78"/>
      <c r="K849" s="78"/>
      <c r="L849" t="s" s="79">
        <v>470</v>
      </c>
      <c r="M849" s="80">
        <v>2</v>
      </c>
      <c r="N849" s="81">
        <v>75</v>
      </c>
      <c r="O849" s="81">
        <v>150</v>
      </c>
    </row>
    <row r="850" ht="9" customHeight="1" hidden="1">
      <c r="I850" s="77"/>
      <c r="J850" s="78"/>
      <c r="K850" s="78"/>
      <c r="L850" t="s" s="79">
        <v>948</v>
      </c>
      <c r="M850" s="80">
        <v>2</v>
      </c>
      <c r="N850" s="81">
        <v>52.4925</v>
      </c>
      <c r="O850" s="81">
        <v>104.985</v>
      </c>
    </row>
    <row r="851" ht="9" customHeight="1" hidden="1">
      <c r="I851" s="77"/>
      <c r="J851" s="78"/>
      <c r="K851" s="78"/>
      <c r="L851" t="s" s="79">
        <v>1257</v>
      </c>
      <c r="M851" s="80">
        <v>4</v>
      </c>
      <c r="N851" s="81">
        <v>150</v>
      </c>
      <c r="O851" s="81">
        <v>600</v>
      </c>
    </row>
    <row r="852" ht="9" customHeight="1" hidden="1">
      <c r="I852" s="77"/>
      <c r="J852" s="78"/>
      <c r="K852" s="78"/>
      <c r="L852" t="s" s="79">
        <v>52</v>
      </c>
      <c r="M852" s="80">
        <v>2</v>
      </c>
      <c r="N852" s="81">
        <v>0</v>
      </c>
      <c r="O852" s="81">
        <v>0</v>
      </c>
    </row>
    <row r="853" ht="9" customHeight="1" hidden="1">
      <c r="I853" s="77"/>
      <c r="J853" s="78"/>
      <c r="K853" s="78"/>
      <c r="L853" t="s" s="79">
        <v>722</v>
      </c>
      <c r="M853" s="80">
        <v>4</v>
      </c>
      <c r="N853" s="81">
        <v>652.4924999999999</v>
      </c>
      <c r="O853" s="81">
        <v>2609.97</v>
      </c>
    </row>
    <row r="854" ht="9" customHeight="1" hidden="1">
      <c r="I854" s="77"/>
      <c r="J854" s="78"/>
      <c r="K854" s="78"/>
      <c r="L854" t="s" s="79">
        <v>50</v>
      </c>
      <c r="M854" s="80">
        <v>6</v>
      </c>
      <c r="N854" s="81">
        <v>0</v>
      </c>
      <c r="O854" s="81">
        <v>0</v>
      </c>
    </row>
    <row r="855" ht="9" customHeight="1" hidden="1">
      <c r="I855" s="77"/>
      <c r="J855" s="78"/>
      <c r="K855" s="78"/>
      <c r="L855" t="s" s="79">
        <v>48</v>
      </c>
      <c r="M855" s="80">
        <v>2</v>
      </c>
      <c r="N855" s="81">
        <v>974.9924999999999</v>
      </c>
      <c r="O855" s="81">
        <v>1949.985</v>
      </c>
    </row>
    <row r="856" ht="9" customHeight="1" hidden="1">
      <c r="I856" s="77"/>
      <c r="J856" s="78"/>
      <c r="K856" s="78"/>
      <c r="L856" t="s" s="79">
        <v>73</v>
      </c>
      <c r="M856" s="80">
        <v>1</v>
      </c>
      <c r="N856" s="81">
        <v>299.9925</v>
      </c>
      <c r="O856" s="81">
        <v>299.9925</v>
      </c>
    </row>
    <row r="857" ht="9" customHeight="1" hidden="1">
      <c r="I857" s="77"/>
      <c r="J857" s="78"/>
      <c r="K857" s="78"/>
      <c r="L857" t="s" s="79">
        <v>63</v>
      </c>
      <c r="M857" s="80">
        <v>1</v>
      </c>
      <c r="N857" s="81">
        <v>70.65000000000001</v>
      </c>
      <c r="O857" s="81">
        <v>70.65000000000001</v>
      </c>
    </row>
    <row r="858" ht="9" customHeight="1" hidden="1">
      <c r="I858" s="82"/>
      <c r="J858" s="83"/>
      <c r="K858" s="84">
        <v>45413</v>
      </c>
      <c r="L858" s="85"/>
      <c r="M858" s="28">
        <v>30</v>
      </c>
      <c r="N858" s="29">
        <v>2275.62</v>
      </c>
      <c r="O858" s="29">
        <v>5785.5825</v>
      </c>
    </row>
    <row r="859" ht="9" customHeight="1" hidden="1">
      <c r="I859" s="82"/>
      <c r="J859" t="s" s="86">
        <v>1909</v>
      </c>
      <c r="K859" s="87"/>
      <c r="L859" s="85"/>
      <c r="M859" s="28">
        <v>30</v>
      </c>
      <c r="N859" s="29">
        <v>2275.62</v>
      </c>
      <c r="O859" s="29">
        <v>5785.5825</v>
      </c>
    </row>
    <row r="860" ht="15.55" customHeight="1">
      <c r="I860" t="s" s="27">
        <v>941</v>
      </c>
      <c r="J860" s="87"/>
      <c r="K860" s="87"/>
      <c r="L860" s="85"/>
      <c r="M860" s="28">
        <v>30</v>
      </c>
      <c r="N860" s="29">
        <v>2275.62</v>
      </c>
      <c r="O860" s="29">
        <v>5785.5825</v>
      </c>
    </row>
    <row r="861" ht="9" customHeight="1" hidden="1">
      <c r="I861" s="77"/>
      <c r="J861" s="78"/>
      <c r="K861" s="78"/>
      <c r="L861" t="s" s="79">
        <v>227</v>
      </c>
      <c r="M861" s="80">
        <v>8</v>
      </c>
      <c r="N861" s="81">
        <v>22.4925</v>
      </c>
      <c r="O861" s="81">
        <v>179.94</v>
      </c>
    </row>
    <row r="862" ht="9" customHeight="1" hidden="1">
      <c r="I862" s="82"/>
      <c r="J862" s="83"/>
      <c r="K862" s="84">
        <v>45413</v>
      </c>
      <c r="L862" s="85"/>
      <c r="M862" s="28">
        <v>8</v>
      </c>
      <c r="N862" s="29">
        <v>22.4925</v>
      </c>
      <c r="O862" s="29">
        <v>179.94</v>
      </c>
    </row>
    <row r="863" ht="9" customHeight="1" hidden="1">
      <c r="I863" s="82"/>
      <c r="J863" t="s" s="86">
        <v>2127</v>
      </c>
      <c r="K863" s="87"/>
      <c r="L863" s="85"/>
      <c r="M863" s="28">
        <v>8</v>
      </c>
      <c r="N863" s="29">
        <v>22.4925</v>
      </c>
      <c r="O863" s="29">
        <v>179.94</v>
      </c>
    </row>
    <row r="864" ht="15.55" customHeight="1">
      <c r="I864" t="s" s="27">
        <v>1789</v>
      </c>
      <c r="J864" s="87"/>
      <c r="K864" s="87"/>
      <c r="L864" s="85"/>
      <c r="M864" s="28">
        <v>8</v>
      </c>
      <c r="N864" s="29">
        <v>22.4925</v>
      </c>
      <c r="O864" s="29">
        <v>179.94</v>
      </c>
    </row>
    <row r="865" ht="9" customHeight="1" hidden="1">
      <c r="I865" s="77"/>
      <c r="J865" s="78"/>
      <c r="K865" s="78"/>
      <c r="L865" t="s" s="79">
        <v>31</v>
      </c>
      <c r="M865" s="80">
        <v>1</v>
      </c>
      <c r="N865" s="81">
        <v>599.99</v>
      </c>
      <c r="O865" s="81">
        <v>599.99</v>
      </c>
    </row>
    <row r="866" ht="9" customHeight="1" hidden="1">
      <c r="I866" s="82"/>
      <c r="J866" s="83"/>
      <c r="K866" s="84">
        <v>45413</v>
      </c>
      <c r="L866" s="85"/>
      <c r="M866" s="28">
        <v>1</v>
      </c>
      <c r="N866" s="29">
        <v>599.99</v>
      </c>
      <c r="O866" s="29">
        <v>599.99</v>
      </c>
    </row>
    <row r="867" ht="9" customHeight="1" hidden="1">
      <c r="I867" s="82"/>
      <c r="J867" t="s" s="86">
        <v>2001</v>
      </c>
      <c r="K867" s="87"/>
      <c r="L867" s="85"/>
      <c r="M867" s="28">
        <v>1</v>
      </c>
      <c r="N867" s="29">
        <v>599.99</v>
      </c>
      <c r="O867" s="29">
        <v>599.99</v>
      </c>
    </row>
    <row r="868" ht="15.55" customHeight="1">
      <c r="I868" t="s" s="27">
        <v>2002</v>
      </c>
      <c r="J868" s="87"/>
      <c r="K868" s="87"/>
      <c r="L868" s="85"/>
      <c r="M868" s="28">
        <v>1</v>
      </c>
      <c r="N868" s="29">
        <v>599.99</v>
      </c>
      <c r="O868" s="29">
        <v>599.99</v>
      </c>
    </row>
    <row r="869" ht="9" customHeight="1" hidden="1">
      <c r="I869" s="77"/>
      <c r="J869" s="78"/>
      <c r="K869" s="78"/>
      <c r="L869" t="s" s="79">
        <v>95</v>
      </c>
      <c r="M869" s="80">
        <v>1</v>
      </c>
      <c r="N869" s="81">
        <v>349.99</v>
      </c>
      <c r="O869" s="81">
        <v>349.99</v>
      </c>
    </row>
    <row r="870" ht="9" customHeight="1" hidden="1">
      <c r="I870" s="82"/>
      <c r="J870" s="83"/>
      <c r="K870" s="84">
        <v>45413</v>
      </c>
      <c r="L870" s="85"/>
      <c r="M870" s="28">
        <v>1</v>
      </c>
      <c r="N870" s="29">
        <v>349.99</v>
      </c>
      <c r="O870" s="29">
        <v>349.99</v>
      </c>
    </row>
    <row r="871" ht="9" customHeight="1" hidden="1">
      <c r="I871" s="82"/>
      <c r="J871" t="s" s="86">
        <v>1823</v>
      </c>
      <c r="K871" s="87"/>
      <c r="L871" s="85"/>
      <c r="M871" s="28">
        <v>1</v>
      </c>
      <c r="N871" s="29">
        <v>349.99</v>
      </c>
      <c r="O871" s="29">
        <v>349.99</v>
      </c>
    </row>
    <row r="872" ht="15.55" customHeight="1">
      <c r="I872" t="s" s="27">
        <v>1824</v>
      </c>
      <c r="J872" s="87"/>
      <c r="K872" s="87"/>
      <c r="L872" s="85"/>
      <c r="M872" s="28">
        <v>1</v>
      </c>
      <c r="N872" s="29">
        <v>349.99</v>
      </c>
      <c r="O872" s="29">
        <v>349.99</v>
      </c>
    </row>
    <row r="873" ht="9" customHeight="1" hidden="1">
      <c r="I873" s="77"/>
      <c r="J873" s="78"/>
      <c r="K873" s="78"/>
      <c r="L873" t="s" s="79">
        <v>95</v>
      </c>
      <c r="M873" s="80">
        <v>1</v>
      </c>
      <c r="N873" s="81">
        <v>349.99</v>
      </c>
      <c r="O873" s="81">
        <v>349.99</v>
      </c>
    </row>
    <row r="874" ht="9" customHeight="1" hidden="1">
      <c r="I874" s="82"/>
      <c r="J874" s="83"/>
      <c r="K874" s="84">
        <v>45413</v>
      </c>
      <c r="L874" s="85"/>
      <c r="M874" s="28">
        <v>1</v>
      </c>
      <c r="N874" s="29">
        <v>349.99</v>
      </c>
      <c r="O874" s="29">
        <v>349.99</v>
      </c>
    </row>
    <row r="875" ht="9" customHeight="1" hidden="1">
      <c r="I875" s="82"/>
      <c r="J875" t="s" s="86">
        <v>1941</v>
      </c>
      <c r="K875" s="87"/>
      <c r="L875" s="85"/>
      <c r="M875" s="28">
        <v>1</v>
      </c>
      <c r="N875" s="29">
        <v>349.99</v>
      </c>
      <c r="O875" s="29">
        <v>349.99</v>
      </c>
    </row>
    <row r="876" ht="9" customHeight="1" hidden="1">
      <c r="I876" s="77"/>
      <c r="J876" s="78"/>
      <c r="K876" s="78"/>
      <c r="L876" t="s" s="79">
        <v>95</v>
      </c>
      <c r="M876" s="80">
        <v>1</v>
      </c>
      <c r="N876" s="81">
        <v>349.99</v>
      </c>
      <c r="O876" s="81">
        <v>349.99</v>
      </c>
    </row>
    <row r="877" ht="9" customHeight="1" hidden="1">
      <c r="I877" s="82"/>
      <c r="J877" s="83"/>
      <c r="K877" s="84">
        <v>45413</v>
      </c>
      <c r="L877" s="85"/>
      <c r="M877" s="28">
        <v>1</v>
      </c>
      <c r="N877" s="29">
        <v>349.99</v>
      </c>
      <c r="O877" s="29">
        <v>349.99</v>
      </c>
    </row>
    <row r="878" ht="9" customHeight="1" hidden="1">
      <c r="I878" s="82"/>
      <c r="J878" t="s" s="86">
        <v>1900</v>
      </c>
      <c r="K878" s="87"/>
      <c r="L878" s="85"/>
      <c r="M878" s="28">
        <v>1</v>
      </c>
      <c r="N878" s="29">
        <v>349.99</v>
      </c>
      <c r="O878" s="29">
        <v>349.99</v>
      </c>
    </row>
    <row r="879" ht="15.55" customHeight="1">
      <c r="I879" t="s" s="27">
        <v>1209</v>
      </c>
      <c r="J879" s="87"/>
      <c r="K879" s="87"/>
      <c r="L879" s="85"/>
      <c r="M879" s="28">
        <v>2</v>
      </c>
      <c r="N879" s="29">
        <v>699.98</v>
      </c>
      <c r="O879" s="29">
        <v>699.98</v>
      </c>
    </row>
    <row r="880" ht="9" customHeight="1" hidden="1">
      <c r="I880" s="77"/>
      <c r="J880" s="78"/>
      <c r="K880" s="78"/>
      <c r="L880" t="s" s="79">
        <v>73</v>
      </c>
      <c r="M880" s="80">
        <v>1</v>
      </c>
      <c r="N880" s="81">
        <v>399.99</v>
      </c>
      <c r="O880" s="81">
        <v>399.99</v>
      </c>
    </row>
    <row r="881" ht="9" customHeight="1" hidden="1">
      <c r="I881" s="82"/>
      <c r="J881" s="83"/>
      <c r="K881" s="84">
        <v>45413</v>
      </c>
      <c r="L881" s="85"/>
      <c r="M881" s="28">
        <v>1</v>
      </c>
      <c r="N881" s="29">
        <v>399.99</v>
      </c>
      <c r="O881" s="29">
        <v>399.99</v>
      </c>
    </row>
    <row r="882" ht="9" customHeight="1" hidden="1">
      <c r="I882" s="82"/>
      <c r="J882" t="s" s="86">
        <v>2032</v>
      </c>
      <c r="K882" s="87"/>
      <c r="L882" s="85"/>
      <c r="M882" s="28">
        <v>1</v>
      </c>
      <c r="N882" s="29">
        <v>399.99</v>
      </c>
      <c r="O882" s="29">
        <v>399.99</v>
      </c>
    </row>
    <row r="883" ht="15.55" customHeight="1">
      <c r="I883" t="s" s="27">
        <v>2033</v>
      </c>
      <c r="J883" s="87"/>
      <c r="K883" s="87"/>
      <c r="L883" s="85"/>
      <c r="M883" s="28">
        <v>1</v>
      </c>
      <c r="N883" s="29">
        <v>399.99</v>
      </c>
      <c r="O883" s="29">
        <v>399.99</v>
      </c>
    </row>
    <row r="884" ht="9" customHeight="1" hidden="1">
      <c r="I884" s="77"/>
      <c r="J884" s="78"/>
      <c r="K884" s="78"/>
      <c r="L884" t="s" s="79">
        <v>27</v>
      </c>
      <c r="M884" s="80">
        <v>2</v>
      </c>
      <c r="N884" s="81">
        <v>79.98999999999999</v>
      </c>
      <c r="O884" s="81">
        <v>159.98</v>
      </c>
    </row>
    <row r="885" ht="9" customHeight="1" hidden="1">
      <c r="I885" s="82"/>
      <c r="J885" s="83"/>
      <c r="K885" s="84">
        <v>45413</v>
      </c>
      <c r="L885" s="85"/>
      <c r="M885" s="28">
        <v>2</v>
      </c>
      <c r="N885" s="29">
        <v>79.98999999999999</v>
      </c>
      <c r="O885" s="29">
        <v>159.98</v>
      </c>
    </row>
    <row r="886" ht="9" customHeight="1" hidden="1">
      <c r="I886" s="82"/>
      <c r="J886" t="s" s="86">
        <v>1834</v>
      </c>
      <c r="K886" s="87"/>
      <c r="L886" s="85"/>
      <c r="M886" s="28">
        <v>2</v>
      </c>
      <c r="N886" s="29">
        <v>79.98999999999999</v>
      </c>
      <c r="O886" s="29">
        <v>159.98</v>
      </c>
    </row>
    <row r="887" ht="15.55" customHeight="1">
      <c r="I887" t="s" s="27">
        <v>1835</v>
      </c>
      <c r="J887" s="87"/>
      <c r="K887" s="87"/>
      <c r="L887" s="85"/>
      <c r="M887" s="28">
        <v>2</v>
      </c>
      <c r="N887" s="29">
        <v>79.98999999999999</v>
      </c>
      <c r="O887" s="29">
        <v>159.98</v>
      </c>
    </row>
    <row r="888" ht="9" customHeight="1" hidden="1">
      <c r="I888" s="77"/>
      <c r="J888" s="78"/>
      <c r="K888" s="78"/>
      <c r="L888" t="s" s="79">
        <v>95</v>
      </c>
      <c r="M888" s="80">
        <v>1</v>
      </c>
      <c r="N888" s="81">
        <v>349.99</v>
      </c>
      <c r="O888" s="81">
        <v>349.99</v>
      </c>
    </row>
    <row r="889" ht="9" customHeight="1" hidden="1">
      <c r="I889" s="82"/>
      <c r="J889" s="83"/>
      <c r="K889" s="84">
        <v>45413</v>
      </c>
      <c r="L889" s="85"/>
      <c r="M889" s="28">
        <v>1</v>
      </c>
      <c r="N889" s="29">
        <v>349.99</v>
      </c>
      <c r="O889" s="29">
        <v>349.99</v>
      </c>
    </row>
    <row r="890" ht="9" customHeight="1" hidden="1">
      <c r="I890" s="82"/>
      <c r="J890" t="s" s="86">
        <v>1850</v>
      </c>
      <c r="K890" s="87"/>
      <c r="L890" s="85"/>
      <c r="M890" s="28">
        <v>1</v>
      </c>
      <c r="N890" s="29">
        <v>349.99</v>
      </c>
      <c r="O890" s="29">
        <v>349.99</v>
      </c>
    </row>
    <row r="891" ht="15.55" customHeight="1">
      <c r="I891" t="s" s="27">
        <v>1851</v>
      </c>
      <c r="J891" s="87"/>
      <c r="K891" s="87"/>
      <c r="L891" s="85"/>
      <c r="M891" s="28">
        <v>1</v>
      </c>
      <c r="N891" s="29">
        <v>349.99</v>
      </c>
      <c r="O891" s="29">
        <v>349.99</v>
      </c>
    </row>
    <row r="892" ht="9" customHeight="1" hidden="1">
      <c r="I892" s="77"/>
      <c r="J892" s="78"/>
      <c r="K892" s="78"/>
      <c r="L892" t="s" s="79">
        <v>95</v>
      </c>
      <c r="M892" s="80">
        <v>1</v>
      </c>
      <c r="N892" s="81">
        <v>349.99</v>
      </c>
      <c r="O892" s="81">
        <v>349.99</v>
      </c>
    </row>
    <row r="893" ht="9" customHeight="1" hidden="1">
      <c r="I893" s="82"/>
      <c r="J893" s="83"/>
      <c r="K893" s="84">
        <v>45413</v>
      </c>
      <c r="L893" s="85"/>
      <c r="M893" s="28">
        <v>1</v>
      </c>
      <c r="N893" s="29">
        <v>349.99</v>
      </c>
      <c r="O893" s="29">
        <v>349.99</v>
      </c>
    </row>
    <row r="894" ht="9" customHeight="1" hidden="1">
      <c r="I894" s="82"/>
      <c r="J894" t="s" s="86">
        <v>2045</v>
      </c>
      <c r="K894" s="87"/>
      <c r="L894" s="85"/>
      <c r="M894" s="28">
        <v>1</v>
      </c>
      <c r="N894" s="29">
        <v>349.99</v>
      </c>
      <c r="O894" s="29">
        <v>349.99</v>
      </c>
    </row>
    <row r="895" ht="15.55" customHeight="1">
      <c r="I895" t="s" s="27">
        <v>2046</v>
      </c>
      <c r="J895" s="87"/>
      <c r="K895" s="87"/>
      <c r="L895" s="85"/>
      <c r="M895" s="28">
        <v>1</v>
      </c>
      <c r="N895" s="29">
        <v>349.99</v>
      </c>
      <c r="O895" s="29">
        <v>349.99</v>
      </c>
    </row>
    <row r="896" ht="9" customHeight="1" hidden="1">
      <c r="I896" s="77"/>
      <c r="J896" s="78"/>
      <c r="K896" s="78"/>
      <c r="L896" t="s" s="79">
        <v>35</v>
      </c>
      <c r="M896" s="80">
        <v>2</v>
      </c>
      <c r="N896" s="81">
        <v>49.99</v>
      </c>
      <c r="O896" s="81">
        <v>99.98</v>
      </c>
    </row>
    <row r="897" ht="9" customHeight="1" hidden="1">
      <c r="I897" s="82"/>
      <c r="J897" s="83"/>
      <c r="K897" s="84">
        <v>45413</v>
      </c>
      <c r="L897" s="85"/>
      <c r="M897" s="28">
        <v>2</v>
      </c>
      <c r="N897" s="29">
        <v>49.99</v>
      </c>
      <c r="O897" s="29">
        <v>99.98</v>
      </c>
    </row>
    <row r="898" ht="9" customHeight="1" hidden="1">
      <c r="I898" s="82"/>
      <c r="J898" t="s" s="86">
        <v>2038</v>
      </c>
      <c r="K898" s="87"/>
      <c r="L898" s="85"/>
      <c r="M898" s="28">
        <v>2</v>
      </c>
      <c r="N898" s="29">
        <v>49.99</v>
      </c>
      <c r="O898" s="29">
        <v>99.98</v>
      </c>
    </row>
    <row r="899" ht="9" customHeight="1" hidden="1">
      <c r="I899" s="77"/>
      <c r="J899" s="78"/>
      <c r="K899" s="78"/>
      <c r="L899" t="s" s="79">
        <v>54</v>
      </c>
      <c r="M899" s="80">
        <v>2</v>
      </c>
      <c r="N899" s="81">
        <v>9.99</v>
      </c>
      <c r="O899" s="81">
        <v>19.98</v>
      </c>
    </row>
    <row r="900" ht="9" customHeight="1" hidden="1">
      <c r="I900" s="82"/>
      <c r="J900" s="83"/>
      <c r="K900" s="84">
        <v>45413</v>
      </c>
      <c r="L900" s="85"/>
      <c r="M900" s="28">
        <v>2</v>
      </c>
      <c r="N900" s="29">
        <v>9.99</v>
      </c>
      <c r="O900" s="29">
        <v>19.98</v>
      </c>
    </row>
    <row r="901" ht="9" customHeight="1" hidden="1">
      <c r="I901" s="82"/>
      <c r="J901" t="s" s="86">
        <v>2028</v>
      </c>
      <c r="K901" s="87"/>
      <c r="L901" s="85"/>
      <c r="M901" s="28">
        <v>2</v>
      </c>
      <c r="N901" s="29">
        <v>9.99</v>
      </c>
      <c r="O901" s="29">
        <v>19.98</v>
      </c>
    </row>
    <row r="902" ht="15.55" customHeight="1">
      <c r="I902" t="s" s="27">
        <v>2029</v>
      </c>
      <c r="J902" s="87"/>
      <c r="K902" s="87"/>
      <c r="L902" s="85"/>
      <c r="M902" s="28">
        <v>4</v>
      </c>
      <c r="N902" s="29">
        <v>59.98</v>
      </c>
      <c r="O902" s="29">
        <v>119.96</v>
      </c>
    </row>
    <row r="903" ht="9" customHeight="1" hidden="1">
      <c r="I903" s="77"/>
      <c r="J903" s="78"/>
      <c r="K903" s="78"/>
      <c r="L903" t="s" s="79">
        <v>35</v>
      </c>
      <c r="M903" s="80">
        <v>2</v>
      </c>
      <c r="N903" s="81">
        <v>49.99</v>
      </c>
      <c r="O903" s="81">
        <v>99.98</v>
      </c>
    </row>
    <row r="904" ht="9" customHeight="1" hidden="1">
      <c r="I904" s="82"/>
      <c r="J904" s="83"/>
      <c r="K904" s="84">
        <v>45413</v>
      </c>
      <c r="L904" s="85"/>
      <c r="M904" s="28">
        <v>2</v>
      </c>
      <c r="N904" s="29">
        <v>49.99</v>
      </c>
      <c r="O904" s="29">
        <v>99.98</v>
      </c>
    </row>
    <row r="905" ht="9" customHeight="1" hidden="1">
      <c r="I905" s="82"/>
      <c r="J905" t="s" s="86">
        <v>2034</v>
      </c>
      <c r="K905" s="87"/>
      <c r="L905" s="85"/>
      <c r="M905" s="28">
        <v>2</v>
      </c>
      <c r="N905" s="29">
        <v>49.99</v>
      </c>
      <c r="O905" s="29">
        <v>99.98</v>
      </c>
    </row>
    <row r="906" ht="15.55" customHeight="1">
      <c r="I906" t="s" s="27">
        <v>2035</v>
      </c>
      <c r="J906" s="87"/>
      <c r="K906" s="87"/>
      <c r="L906" s="85"/>
      <c r="M906" s="28">
        <v>2</v>
      </c>
      <c r="N906" s="29">
        <v>49.99</v>
      </c>
      <c r="O906" s="29">
        <v>99.98</v>
      </c>
    </row>
    <row r="907" ht="9" customHeight="1" hidden="1">
      <c r="I907" s="77"/>
      <c r="J907" s="78"/>
      <c r="K907" s="78"/>
      <c r="L907" t="s" s="79">
        <v>15</v>
      </c>
      <c r="M907" s="80">
        <v>1</v>
      </c>
      <c r="N907" s="81">
        <v>9.99</v>
      </c>
      <c r="O907" s="81">
        <v>9.99</v>
      </c>
    </row>
    <row r="908" ht="9" customHeight="1" hidden="1">
      <c r="I908" s="82"/>
      <c r="J908" s="83"/>
      <c r="K908" s="84">
        <v>45413</v>
      </c>
      <c r="L908" s="85"/>
      <c r="M908" s="28">
        <v>1</v>
      </c>
      <c r="N908" s="29">
        <v>9.99</v>
      </c>
      <c r="O908" s="29">
        <v>9.99</v>
      </c>
    </row>
    <row r="909" ht="9" customHeight="1" hidden="1">
      <c r="I909" s="82"/>
      <c r="J909" t="s" s="86">
        <v>1920</v>
      </c>
      <c r="K909" s="87"/>
      <c r="L909" s="85"/>
      <c r="M909" s="28">
        <v>1</v>
      </c>
      <c r="N909" s="29">
        <v>9.99</v>
      </c>
      <c r="O909" s="29">
        <v>9.99</v>
      </c>
    </row>
    <row r="910" ht="15.55" customHeight="1">
      <c r="I910" t="s" s="27">
        <v>1921</v>
      </c>
      <c r="J910" s="87"/>
      <c r="K910" s="87"/>
      <c r="L910" s="85"/>
      <c r="M910" s="28">
        <v>1</v>
      </c>
      <c r="N910" s="29">
        <v>9.99</v>
      </c>
      <c r="O910" s="29">
        <v>9.99</v>
      </c>
    </row>
    <row r="911" ht="9" customHeight="1" hidden="1">
      <c r="I911" s="77"/>
      <c r="J911" s="78"/>
      <c r="K911" s="78"/>
      <c r="L911" t="s" s="79">
        <v>54</v>
      </c>
      <c r="M911" s="80">
        <v>2</v>
      </c>
      <c r="N911" s="81">
        <v>9.99</v>
      </c>
      <c r="O911" s="81">
        <v>19.98</v>
      </c>
    </row>
    <row r="912" ht="9" customHeight="1" hidden="1">
      <c r="I912" s="82"/>
      <c r="J912" s="83"/>
      <c r="K912" s="84">
        <v>45413</v>
      </c>
      <c r="L912" s="85"/>
      <c r="M912" s="28">
        <v>2</v>
      </c>
      <c r="N912" s="29">
        <v>9.99</v>
      </c>
      <c r="O912" s="29">
        <v>19.98</v>
      </c>
    </row>
    <row r="913" ht="9" customHeight="1" hidden="1">
      <c r="I913" s="82"/>
      <c r="J913" t="s" s="86">
        <v>2121</v>
      </c>
      <c r="K913" s="87"/>
      <c r="L913" s="85"/>
      <c r="M913" s="28">
        <v>2</v>
      </c>
      <c r="N913" s="29">
        <v>9.99</v>
      </c>
      <c r="O913" s="29">
        <v>19.98</v>
      </c>
    </row>
    <row r="914" ht="15.55" customHeight="1">
      <c r="I914" t="s" s="27">
        <v>2122</v>
      </c>
      <c r="J914" s="87"/>
      <c r="K914" s="87"/>
      <c r="L914" s="85"/>
      <c r="M914" s="28">
        <v>2</v>
      </c>
      <c r="N914" s="29">
        <v>9.99</v>
      </c>
      <c r="O914" s="29">
        <v>19.98</v>
      </c>
    </row>
    <row r="915" ht="9" customHeight="1" hidden="1">
      <c r="I915" s="77"/>
      <c r="J915" s="78"/>
      <c r="K915" s="78"/>
      <c r="L915" t="s" s="79">
        <v>35</v>
      </c>
      <c r="M915" s="80">
        <v>1</v>
      </c>
      <c r="N915" s="81">
        <v>49.99</v>
      </c>
      <c r="O915" s="81">
        <v>49.99</v>
      </c>
    </row>
    <row r="916" ht="9" customHeight="1" hidden="1">
      <c r="I916" s="82"/>
      <c r="J916" s="83"/>
      <c r="K916" s="84">
        <v>45413</v>
      </c>
      <c r="L916" s="85"/>
      <c r="M916" s="28">
        <v>1</v>
      </c>
      <c r="N916" s="29">
        <v>49.99</v>
      </c>
      <c r="O916" s="29">
        <v>49.99</v>
      </c>
    </row>
    <row r="917" ht="9" customHeight="1" hidden="1">
      <c r="I917" s="82"/>
      <c r="J917" t="s" s="86">
        <v>1815</v>
      </c>
      <c r="K917" s="87"/>
      <c r="L917" s="85"/>
      <c r="M917" s="28">
        <v>1</v>
      </c>
      <c r="N917" s="29">
        <v>49.99</v>
      </c>
      <c r="O917" s="29">
        <v>49.99</v>
      </c>
    </row>
    <row r="918" ht="15.55" customHeight="1">
      <c r="I918" t="s" s="27">
        <v>1816</v>
      </c>
      <c r="J918" s="87"/>
      <c r="K918" s="87"/>
      <c r="L918" s="85"/>
      <c r="M918" s="28">
        <v>1</v>
      </c>
      <c r="N918" s="29">
        <v>49.99</v>
      </c>
      <c r="O918" s="29">
        <v>49.99</v>
      </c>
    </row>
    <row r="919" ht="9" customHeight="1" hidden="1">
      <c r="I919" s="77"/>
      <c r="J919" s="78"/>
      <c r="K919" s="78"/>
      <c r="L919" t="s" s="79">
        <v>123</v>
      </c>
      <c r="M919" s="80">
        <v>2</v>
      </c>
      <c r="N919" s="81">
        <v>179.99</v>
      </c>
      <c r="O919" s="81">
        <v>359.98</v>
      </c>
    </row>
    <row r="920" ht="9" customHeight="1" hidden="1">
      <c r="I920" s="77"/>
      <c r="J920" s="78"/>
      <c r="K920" s="78"/>
      <c r="L920" t="s" s="79">
        <v>133</v>
      </c>
      <c r="M920" s="80">
        <v>2</v>
      </c>
      <c r="N920" s="81">
        <v>199.99</v>
      </c>
      <c r="O920" s="81">
        <v>399.98</v>
      </c>
    </row>
    <row r="921" ht="9" customHeight="1" hidden="1">
      <c r="I921" s="82"/>
      <c r="J921" s="83"/>
      <c r="K921" s="84">
        <v>45413</v>
      </c>
      <c r="L921" s="85"/>
      <c r="M921" s="28">
        <v>4</v>
      </c>
      <c r="N921" s="29">
        <v>379.98</v>
      </c>
      <c r="O921" s="29">
        <v>759.96</v>
      </c>
    </row>
    <row r="922" ht="9" customHeight="1" hidden="1">
      <c r="I922" s="82"/>
      <c r="J922" t="s" s="86">
        <v>1811</v>
      </c>
      <c r="K922" s="87"/>
      <c r="L922" s="85"/>
      <c r="M922" s="28">
        <v>4</v>
      </c>
      <c r="N922" s="29">
        <v>379.98</v>
      </c>
      <c r="O922" s="29">
        <v>759.96</v>
      </c>
    </row>
    <row r="923" ht="15.55" customHeight="1">
      <c r="I923" t="s" s="27">
        <v>1782</v>
      </c>
      <c r="J923" s="87"/>
      <c r="K923" s="87"/>
      <c r="L923" s="85"/>
      <c r="M923" s="28">
        <v>4</v>
      </c>
      <c r="N923" s="29">
        <v>379.98</v>
      </c>
      <c r="O923" s="29">
        <v>759.96</v>
      </c>
    </row>
    <row r="924" ht="9" customHeight="1" hidden="1">
      <c r="I924" s="77"/>
      <c r="J924" s="78"/>
      <c r="K924" s="78"/>
      <c r="L924" t="s" s="79">
        <v>35</v>
      </c>
      <c r="M924" s="80">
        <v>1</v>
      </c>
      <c r="N924" s="81">
        <v>49.99</v>
      </c>
      <c r="O924" s="81">
        <v>49.99</v>
      </c>
    </row>
    <row r="925" ht="9" customHeight="1" hidden="1">
      <c r="I925" s="82"/>
      <c r="J925" s="83"/>
      <c r="K925" s="84">
        <v>45413</v>
      </c>
      <c r="L925" s="85"/>
      <c r="M925" s="28">
        <v>1</v>
      </c>
      <c r="N925" s="29">
        <v>49.99</v>
      </c>
      <c r="O925" s="29">
        <v>49.99</v>
      </c>
    </row>
    <row r="926" ht="9" customHeight="1" hidden="1">
      <c r="I926" s="82"/>
      <c r="J926" t="s" s="86">
        <v>1832</v>
      </c>
      <c r="K926" s="87"/>
      <c r="L926" s="85"/>
      <c r="M926" s="28">
        <v>1</v>
      </c>
      <c r="N926" s="29">
        <v>49.99</v>
      </c>
      <c r="O926" s="29">
        <v>49.99</v>
      </c>
    </row>
    <row r="927" ht="15.55" customHeight="1">
      <c r="I927" t="s" s="27">
        <v>1833</v>
      </c>
      <c r="J927" s="87"/>
      <c r="K927" s="87"/>
      <c r="L927" s="85"/>
      <c r="M927" s="28">
        <v>1</v>
      </c>
      <c r="N927" s="29">
        <v>49.99</v>
      </c>
      <c r="O927" s="29">
        <v>49.99</v>
      </c>
    </row>
    <row r="928" ht="9" customHeight="1" hidden="1">
      <c r="I928" s="77"/>
      <c r="J928" s="78"/>
      <c r="K928" s="78"/>
      <c r="L928" t="s" s="79">
        <v>35</v>
      </c>
      <c r="M928" s="80">
        <v>1</v>
      </c>
      <c r="N928" s="81">
        <v>49.99</v>
      </c>
      <c r="O928" s="81">
        <v>49.99</v>
      </c>
    </row>
    <row r="929" ht="9" customHeight="1" hidden="1">
      <c r="I929" s="82"/>
      <c r="J929" s="83"/>
      <c r="K929" s="84">
        <v>45413</v>
      </c>
      <c r="L929" s="85"/>
      <c r="M929" s="28">
        <v>1</v>
      </c>
      <c r="N929" s="29">
        <v>49.99</v>
      </c>
      <c r="O929" s="29">
        <v>49.99</v>
      </c>
    </row>
    <row r="930" ht="9" customHeight="1" hidden="1">
      <c r="I930" s="82"/>
      <c r="J930" t="s" s="86">
        <v>2107</v>
      </c>
      <c r="K930" s="87"/>
      <c r="L930" s="85"/>
      <c r="M930" s="28">
        <v>1</v>
      </c>
      <c r="N930" s="29">
        <v>49.99</v>
      </c>
      <c r="O930" s="29">
        <v>49.99</v>
      </c>
    </row>
    <row r="931" ht="15.55" customHeight="1">
      <c r="I931" t="s" s="27">
        <v>2108</v>
      </c>
      <c r="J931" s="87"/>
      <c r="K931" s="87"/>
      <c r="L931" s="85"/>
      <c r="M931" s="28">
        <v>1</v>
      </c>
      <c r="N931" s="29">
        <v>49.99</v>
      </c>
      <c r="O931" s="29">
        <v>49.99</v>
      </c>
    </row>
    <row r="932" ht="9" customHeight="1" hidden="1">
      <c r="I932" s="77"/>
      <c r="J932" s="78"/>
      <c r="K932" s="78"/>
      <c r="L932" t="s" s="79">
        <v>35</v>
      </c>
      <c r="M932" s="80">
        <v>4</v>
      </c>
      <c r="N932" s="81">
        <v>49.99</v>
      </c>
      <c r="O932" s="81">
        <v>199.96</v>
      </c>
    </row>
    <row r="933" ht="9" customHeight="1" hidden="1">
      <c r="I933" s="82"/>
      <c r="J933" s="83"/>
      <c r="K933" s="84">
        <v>45413</v>
      </c>
      <c r="L933" s="85"/>
      <c r="M933" s="28">
        <v>4</v>
      </c>
      <c r="N933" s="29">
        <v>49.99</v>
      </c>
      <c r="O933" s="29">
        <v>199.96</v>
      </c>
    </row>
    <row r="934" ht="9" customHeight="1" hidden="1">
      <c r="I934" s="82"/>
      <c r="J934" t="s" s="86">
        <v>2047</v>
      </c>
      <c r="K934" s="87"/>
      <c r="L934" s="85"/>
      <c r="M934" s="28">
        <v>4</v>
      </c>
      <c r="N934" s="29">
        <v>49.99</v>
      </c>
      <c r="O934" s="29">
        <v>199.96</v>
      </c>
    </row>
    <row r="935" ht="15.55" customHeight="1">
      <c r="I935" t="s" s="27">
        <v>2048</v>
      </c>
      <c r="J935" s="87"/>
      <c r="K935" s="87"/>
      <c r="L935" s="85"/>
      <c r="M935" s="28">
        <v>4</v>
      </c>
      <c r="N935" s="29">
        <v>49.99</v>
      </c>
      <c r="O935" s="29">
        <v>199.96</v>
      </c>
    </row>
    <row r="936" ht="9" customHeight="1" hidden="1">
      <c r="I936" s="77"/>
      <c r="J936" s="78"/>
      <c r="K936" s="78"/>
      <c r="L936" t="s" s="79">
        <v>27</v>
      </c>
      <c r="M936" s="80">
        <v>1</v>
      </c>
      <c r="N936" s="81">
        <v>79.98999999999999</v>
      </c>
      <c r="O936" s="81">
        <v>79.98999999999999</v>
      </c>
    </row>
    <row r="937" ht="9" customHeight="1" hidden="1">
      <c r="I937" s="82"/>
      <c r="J937" s="83"/>
      <c r="K937" s="84">
        <v>45413</v>
      </c>
      <c r="L937" s="85"/>
      <c r="M937" s="28">
        <v>1</v>
      </c>
      <c r="N937" s="29">
        <v>79.98999999999999</v>
      </c>
      <c r="O937" s="29">
        <v>79.98999999999999</v>
      </c>
    </row>
    <row r="938" ht="9" customHeight="1" hidden="1">
      <c r="I938" s="82"/>
      <c r="J938" t="s" s="86">
        <v>1861</v>
      </c>
      <c r="K938" s="87"/>
      <c r="L938" s="85"/>
      <c r="M938" s="28">
        <v>1</v>
      </c>
      <c r="N938" s="29">
        <v>79.98999999999999</v>
      </c>
      <c r="O938" s="29">
        <v>79.98999999999999</v>
      </c>
    </row>
    <row r="939" ht="15.55" customHeight="1">
      <c r="I939" t="s" s="27">
        <v>1862</v>
      </c>
      <c r="J939" s="87"/>
      <c r="K939" s="87"/>
      <c r="L939" s="85"/>
      <c r="M939" s="28">
        <v>1</v>
      </c>
      <c r="N939" s="29">
        <v>79.98999999999999</v>
      </c>
      <c r="O939" s="29">
        <v>79.98999999999999</v>
      </c>
    </row>
    <row r="940" ht="9" customHeight="1" hidden="1">
      <c r="I940" s="77"/>
      <c r="J940" s="78"/>
      <c r="K940" s="78"/>
      <c r="L940" t="s" s="79">
        <v>1914</v>
      </c>
      <c r="M940" s="80">
        <v>10</v>
      </c>
      <c r="N940" s="81">
        <v>26.25</v>
      </c>
      <c r="O940" s="81">
        <v>262.5</v>
      </c>
    </row>
    <row r="941" ht="9" customHeight="1" hidden="1">
      <c r="I941" s="77"/>
      <c r="J941" s="78"/>
      <c r="K941" s="78"/>
      <c r="L941" t="s" s="79">
        <v>63</v>
      </c>
      <c r="M941" s="80">
        <v>1</v>
      </c>
      <c r="N941" s="81">
        <v>14.9</v>
      </c>
      <c r="O941" s="81">
        <v>14.9</v>
      </c>
    </row>
    <row r="942" ht="9" customHeight="1" hidden="1">
      <c r="I942" s="82"/>
      <c r="J942" s="83"/>
      <c r="K942" s="84">
        <v>45413</v>
      </c>
      <c r="L942" s="85"/>
      <c r="M942" s="28">
        <v>11</v>
      </c>
      <c r="N942" s="29">
        <v>41.15</v>
      </c>
      <c r="O942" s="29">
        <v>277.4</v>
      </c>
    </row>
    <row r="943" ht="9" customHeight="1" hidden="1">
      <c r="I943" s="82"/>
      <c r="J943" t="s" s="86">
        <v>1912</v>
      </c>
      <c r="K943" s="87"/>
      <c r="L943" s="85"/>
      <c r="M943" s="28">
        <v>11</v>
      </c>
      <c r="N943" s="29">
        <v>41.15</v>
      </c>
      <c r="O943" s="29">
        <v>277.4</v>
      </c>
    </row>
    <row r="944" ht="15.55" customHeight="1">
      <c r="I944" t="s" s="27">
        <v>1913</v>
      </c>
      <c r="J944" s="87"/>
      <c r="K944" s="87"/>
      <c r="L944" s="85"/>
      <c r="M944" s="28">
        <v>11</v>
      </c>
      <c r="N944" s="29">
        <v>41.15</v>
      </c>
      <c r="O944" s="29">
        <v>277.4</v>
      </c>
    </row>
    <row r="945" ht="9" customHeight="1" hidden="1">
      <c r="I945" s="77"/>
      <c r="J945" s="78"/>
      <c r="K945" s="78"/>
      <c r="L945" t="s" s="79">
        <v>19</v>
      </c>
      <c r="M945" s="80">
        <v>2</v>
      </c>
      <c r="N945" s="81">
        <v>119.99</v>
      </c>
      <c r="O945" s="81">
        <v>239.98</v>
      </c>
    </row>
    <row r="946" ht="9" customHeight="1" hidden="1">
      <c r="I946" s="77"/>
      <c r="J946" s="78"/>
      <c r="K946" s="78"/>
      <c r="L946" t="s" s="79">
        <v>54</v>
      </c>
      <c r="M946" s="80">
        <v>1</v>
      </c>
      <c r="N946" s="81">
        <v>9.99</v>
      </c>
      <c r="O946" s="81">
        <v>9.99</v>
      </c>
    </row>
    <row r="947" ht="9" customHeight="1" hidden="1">
      <c r="I947" s="82"/>
      <c r="J947" s="83"/>
      <c r="K947" s="84">
        <v>45413</v>
      </c>
      <c r="L947" s="85"/>
      <c r="M947" s="28">
        <v>3</v>
      </c>
      <c r="N947" s="29">
        <v>129.98</v>
      </c>
      <c r="O947" s="29">
        <v>249.97</v>
      </c>
    </row>
    <row r="948" ht="9" customHeight="1" hidden="1">
      <c r="I948" s="82"/>
      <c r="J948" t="s" s="86">
        <v>2138</v>
      </c>
      <c r="K948" s="87"/>
      <c r="L948" s="85"/>
      <c r="M948" s="28">
        <v>3</v>
      </c>
      <c r="N948" s="29">
        <v>129.98</v>
      </c>
      <c r="O948" s="29">
        <v>249.97</v>
      </c>
    </row>
    <row r="949" ht="15.55" customHeight="1">
      <c r="I949" t="s" s="27">
        <v>2139</v>
      </c>
      <c r="J949" s="87"/>
      <c r="K949" s="87"/>
      <c r="L949" s="85"/>
      <c r="M949" s="28">
        <v>3</v>
      </c>
      <c r="N949" s="29">
        <v>129.98</v>
      </c>
      <c r="O949" s="29">
        <v>249.97</v>
      </c>
    </row>
    <row r="950" ht="9" customHeight="1" hidden="1">
      <c r="I950" s="77"/>
      <c r="J950" s="78"/>
      <c r="K950" s="78"/>
      <c r="L950" t="s" s="79">
        <v>54</v>
      </c>
      <c r="M950" s="80">
        <v>4</v>
      </c>
      <c r="N950" s="81">
        <v>0</v>
      </c>
      <c r="O950" s="81">
        <v>0</v>
      </c>
    </row>
    <row r="951" ht="9" customHeight="1" hidden="1">
      <c r="I951" s="77"/>
      <c r="J951" s="78"/>
      <c r="K951" s="78"/>
      <c r="L951" t="s" s="79">
        <v>354</v>
      </c>
      <c r="M951" s="80">
        <v>4</v>
      </c>
      <c r="N951" s="81">
        <v>127.4915</v>
      </c>
      <c r="O951" s="81">
        <v>509.966</v>
      </c>
    </row>
    <row r="952" ht="9" customHeight="1" hidden="1">
      <c r="I952" s="77"/>
      <c r="J952" s="78"/>
      <c r="K952" s="78"/>
      <c r="L952" t="s" s="79">
        <v>23</v>
      </c>
      <c r="M952" s="80">
        <v>4</v>
      </c>
      <c r="N952" s="81">
        <v>127.4915</v>
      </c>
      <c r="O952" s="81">
        <v>254.983</v>
      </c>
    </row>
    <row r="953" ht="9" customHeight="1" hidden="1">
      <c r="I953" s="77"/>
      <c r="J953" s="78"/>
      <c r="K953" s="78"/>
      <c r="L953" t="s" s="79">
        <v>722</v>
      </c>
      <c r="M953" s="80">
        <v>2</v>
      </c>
      <c r="N953" s="81">
        <v>782.991</v>
      </c>
      <c r="O953" s="81">
        <v>1565.982</v>
      </c>
    </row>
    <row r="954" ht="9" customHeight="1" hidden="1">
      <c r="I954" s="77"/>
      <c r="J954" s="78"/>
      <c r="K954" s="78"/>
      <c r="L954" t="s" s="79">
        <v>50</v>
      </c>
      <c r="M954" s="80">
        <v>2</v>
      </c>
      <c r="N954" s="81">
        <v>0</v>
      </c>
      <c r="O954" s="81">
        <v>0</v>
      </c>
    </row>
    <row r="955" ht="9" customHeight="1" hidden="1">
      <c r="I955" s="77"/>
      <c r="J955" s="78"/>
      <c r="K955" s="78"/>
      <c r="L955" t="s" s="79">
        <v>27</v>
      </c>
      <c r="M955" s="80">
        <v>1</v>
      </c>
      <c r="N955" s="81">
        <v>67.9915</v>
      </c>
      <c r="O955" s="81">
        <v>67.9915</v>
      </c>
    </row>
    <row r="956" ht="9" customHeight="1" hidden="1">
      <c r="I956" s="77"/>
      <c r="J956" s="78"/>
      <c r="K956" s="78"/>
      <c r="L956" t="s" s="79">
        <v>47</v>
      </c>
      <c r="M956" s="80">
        <v>1</v>
      </c>
      <c r="N956" s="81">
        <v>208.9</v>
      </c>
      <c r="O956" s="81">
        <v>208.9</v>
      </c>
    </row>
    <row r="957" ht="9" customHeight="1" hidden="1">
      <c r="I957" s="82"/>
      <c r="J957" s="83"/>
      <c r="K957" s="84">
        <v>45413</v>
      </c>
      <c r="L957" s="85"/>
      <c r="M957" s="28">
        <v>18</v>
      </c>
      <c r="N957" s="29">
        <v>1314.8655</v>
      </c>
      <c r="O957" s="29">
        <v>2607.8225</v>
      </c>
    </row>
    <row r="958" ht="9" customHeight="1" hidden="1">
      <c r="I958" s="82"/>
      <c r="J958" t="s" s="86">
        <v>1987</v>
      </c>
      <c r="K958" s="87"/>
      <c r="L958" s="85"/>
      <c r="M958" s="28">
        <v>18</v>
      </c>
      <c r="N958" s="29">
        <v>1314.8655</v>
      </c>
      <c r="O958" s="29">
        <v>2607.8225</v>
      </c>
    </row>
    <row r="959" ht="15.55" customHeight="1">
      <c r="I959" t="s" s="27">
        <v>353</v>
      </c>
      <c r="J959" s="87"/>
      <c r="K959" s="87"/>
      <c r="L959" s="85"/>
      <c r="M959" s="28">
        <v>18</v>
      </c>
      <c r="N959" s="29">
        <v>1314.8655</v>
      </c>
      <c r="O959" s="29">
        <v>2607.8225</v>
      </c>
    </row>
    <row r="960" ht="9" customHeight="1" hidden="1">
      <c r="I960" s="77"/>
      <c r="J960" s="78"/>
      <c r="K960" s="78"/>
      <c r="L960" t="s" s="79">
        <v>31</v>
      </c>
      <c r="M960" s="80">
        <v>1</v>
      </c>
      <c r="N960" s="81">
        <v>599.99</v>
      </c>
      <c r="O960" s="81">
        <v>599.99</v>
      </c>
    </row>
    <row r="961" ht="9" customHeight="1" hidden="1">
      <c r="I961" s="82"/>
      <c r="J961" s="83"/>
      <c r="K961" s="84">
        <v>45413</v>
      </c>
      <c r="L961" s="85"/>
      <c r="M961" s="28">
        <v>1</v>
      </c>
      <c r="N961" s="29">
        <v>599.99</v>
      </c>
      <c r="O961" s="29">
        <v>599.99</v>
      </c>
    </row>
    <row r="962" ht="9" customHeight="1" hidden="1">
      <c r="I962" s="82"/>
      <c r="J962" t="s" s="86">
        <v>2095</v>
      </c>
      <c r="K962" s="87"/>
      <c r="L962" s="85"/>
      <c r="M962" s="28">
        <v>1</v>
      </c>
      <c r="N962" s="29">
        <v>599.99</v>
      </c>
      <c r="O962" s="29">
        <v>599.99</v>
      </c>
    </row>
    <row r="963" ht="15.55" customHeight="1">
      <c r="I963" t="s" s="27">
        <v>2096</v>
      </c>
      <c r="J963" s="87"/>
      <c r="K963" s="87"/>
      <c r="L963" s="85"/>
      <c r="M963" s="28">
        <v>1</v>
      </c>
      <c r="N963" s="29">
        <v>599.99</v>
      </c>
      <c r="O963" s="29">
        <v>599.99</v>
      </c>
    </row>
    <row r="964" ht="9" customHeight="1" hidden="1">
      <c r="I964" s="77"/>
      <c r="J964" s="78"/>
      <c r="K964" s="78"/>
      <c r="L964" t="s" s="79">
        <v>89</v>
      </c>
      <c r="M964" s="80">
        <v>1</v>
      </c>
      <c r="N964" s="81">
        <v>59.99</v>
      </c>
      <c r="O964" s="81">
        <v>59.99</v>
      </c>
    </row>
    <row r="965" ht="9" customHeight="1" hidden="1">
      <c r="I965" s="82"/>
      <c r="J965" s="83"/>
      <c r="K965" s="84">
        <v>45413</v>
      </c>
      <c r="L965" s="85"/>
      <c r="M965" s="28">
        <v>1</v>
      </c>
      <c r="N965" s="29">
        <v>59.99</v>
      </c>
      <c r="O965" s="29">
        <v>59.99</v>
      </c>
    </row>
    <row r="966" ht="9" customHeight="1" hidden="1">
      <c r="I966" s="82"/>
      <c r="J966" t="s" s="86">
        <v>1971</v>
      </c>
      <c r="K966" s="87"/>
      <c r="L966" s="85"/>
      <c r="M966" s="28">
        <v>1</v>
      </c>
      <c r="N966" s="29">
        <v>59.99</v>
      </c>
      <c r="O966" s="29">
        <v>59.99</v>
      </c>
    </row>
    <row r="967" ht="15.55" customHeight="1">
      <c r="I967" t="s" s="27">
        <v>1972</v>
      </c>
      <c r="J967" s="87"/>
      <c r="K967" s="87"/>
      <c r="L967" s="85"/>
      <c r="M967" s="28">
        <v>1</v>
      </c>
      <c r="N967" s="29">
        <v>59.99</v>
      </c>
      <c r="O967" s="29">
        <v>59.99</v>
      </c>
    </row>
    <row r="968" ht="9" customHeight="1" hidden="1">
      <c r="I968" s="77"/>
      <c r="J968" s="78"/>
      <c r="K968" s="78"/>
      <c r="L968" t="s" s="79">
        <v>1845</v>
      </c>
      <c r="M968" s="80">
        <v>1</v>
      </c>
      <c r="N968" s="81">
        <v>0</v>
      </c>
      <c r="O968" s="81">
        <v>0</v>
      </c>
    </row>
    <row r="969" ht="9" customHeight="1" hidden="1">
      <c r="I969" s="82"/>
      <c r="J969" s="83"/>
      <c r="K969" s="84">
        <v>45413</v>
      </c>
      <c r="L969" s="85"/>
      <c r="M969" s="28">
        <v>1</v>
      </c>
      <c r="N969" s="29">
        <v>0</v>
      </c>
      <c r="O969" s="29">
        <v>0</v>
      </c>
    </row>
    <row r="970" ht="9" customHeight="1" hidden="1">
      <c r="I970" s="82"/>
      <c r="J970" t="s" s="86">
        <v>1843</v>
      </c>
      <c r="K970" s="87"/>
      <c r="L970" s="85"/>
      <c r="M970" s="28">
        <v>1</v>
      </c>
      <c r="N970" s="29">
        <v>0</v>
      </c>
      <c r="O970" s="29">
        <v>0</v>
      </c>
    </row>
    <row r="971" ht="15.55" customHeight="1">
      <c r="I971" t="s" s="27">
        <v>1844</v>
      </c>
      <c r="J971" s="87"/>
      <c r="K971" s="87"/>
      <c r="L971" s="85"/>
      <c r="M971" s="28">
        <v>1</v>
      </c>
      <c r="N971" s="29">
        <v>0</v>
      </c>
      <c r="O971" s="29">
        <v>0</v>
      </c>
    </row>
    <row r="972" ht="9" customHeight="1" hidden="1">
      <c r="I972" s="77"/>
      <c r="J972" s="78"/>
      <c r="K972" s="78"/>
      <c r="L972" t="s" s="79">
        <v>27</v>
      </c>
      <c r="M972" s="80">
        <v>1</v>
      </c>
      <c r="N972" s="81">
        <v>79.98999999999999</v>
      </c>
      <c r="O972" s="81">
        <v>79.98999999999999</v>
      </c>
    </row>
    <row r="973" ht="9" customHeight="1" hidden="1">
      <c r="I973" s="82"/>
      <c r="J973" s="83"/>
      <c r="K973" s="84">
        <v>45413</v>
      </c>
      <c r="L973" s="85"/>
      <c r="M973" s="28">
        <v>1</v>
      </c>
      <c r="N973" s="29">
        <v>79.98999999999999</v>
      </c>
      <c r="O973" s="29">
        <v>79.98999999999999</v>
      </c>
    </row>
    <row r="974" ht="9" customHeight="1" hidden="1">
      <c r="I974" s="82"/>
      <c r="J974" t="s" s="86">
        <v>2136</v>
      </c>
      <c r="K974" s="87"/>
      <c r="L974" s="85"/>
      <c r="M974" s="28">
        <v>1</v>
      </c>
      <c r="N974" s="29">
        <v>79.98999999999999</v>
      </c>
      <c r="O974" s="29">
        <v>79.98999999999999</v>
      </c>
    </row>
    <row r="975" ht="15.55" customHeight="1">
      <c r="I975" t="s" s="27">
        <v>2137</v>
      </c>
      <c r="J975" s="87"/>
      <c r="K975" s="87"/>
      <c r="L975" s="85"/>
      <c r="M975" s="28">
        <v>1</v>
      </c>
      <c r="N975" s="29">
        <v>79.98999999999999</v>
      </c>
      <c r="O975" s="29">
        <v>79.98999999999999</v>
      </c>
    </row>
    <row r="976" ht="9" customHeight="1" hidden="1">
      <c r="I976" s="77"/>
      <c r="J976" s="78"/>
      <c r="K976" s="78"/>
      <c r="L976" t="s" s="79">
        <v>409</v>
      </c>
      <c r="M976" s="80">
        <v>4</v>
      </c>
      <c r="N976" s="81">
        <v>90</v>
      </c>
      <c r="O976" s="81">
        <v>360</v>
      </c>
    </row>
    <row r="977" ht="9" customHeight="1" hidden="1">
      <c r="I977" s="77"/>
      <c r="J977" s="78"/>
      <c r="K977" s="78"/>
      <c r="L977" t="s" s="79">
        <v>63</v>
      </c>
      <c r="M977" s="80">
        <v>1</v>
      </c>
      <c r="N977" s="81">
        <v>46.8</v>
      </c>
      <c r="O977" s="81">
        <v>46.8</v>
      </c>
    </row>
    <row r="978" ht="9" customHeight="1" hidden="1">
      <c r="I978" s="82"/>
      <c r="J978" s="83"/>
      <c r="K978" s="84">
        <v>45413</v>
      </c>
      <c r="L978" s="85"/>
      <c r="M978" s="28">
        <v>5</v>
      </c>
      <c r="N978" s="29">
        <v>136.8</v>
      </c>
      <c r="O978" s="29">
        <v>406.8</v>
      </c>
    </row>
    <row r="979" ht="9" customHeight="1" hidden="1">
      <c r="I979" s="82"/>
      <c r="J979" t="s" s="86">
        <v>1938</v>
      </c>
      <c r="K979" s="87"/>
      <c r="L979" s="85"/>
      <c r="M979" s="28">
        <v>5</v>
      </c>
      <c r="N979" s="29">
        <v>136.8</v>
      </c>
      <c r="O979" s="29">
        <v>406.8</v>
      </c>
    </row>
    <row r="980" ht="15.55" customHeight="1">
      <c r="I980" t="s" s="27">
        <v>827</v>
      </c>
      <c r="J980" s="87"/>
      <c r="K980" s="87"/>
      <c r="L980" s="85"/>
      <c r="M980" s="28">
        <v>5</v>
      </c>
      <c r="N980" s="29">
        <v>136.8</v>
      </c>
      <c r="O980" s="29">
        <v>406.8</v>
      </c>
    </row>
    <row r="981" ht="9" customHeight="1" hidden="1">
      <c r="I981" s="77"/>
      <c r="J981" s="78"/>
      <c r="K981" s="78"/>
      <c r="L981" t="s" s="79">
        <v>15</v>
      </c>
      <c r="M981" s="80">
        <v>1</v>
      </c>
      <c r="N981" s="81">
        <v>9.99</v>
      </c>
      <c r="O981" s="81">
        <v>9.99</v>
      </c>
    </row>
    <row r="982" ht="9" customHeight="1" hidden="1">
      <c r="I982" s="82"/>
      <c r="J982" s="83"/>
      <c r="K982" s="84">
        <v>45413</v>
      </c>
      <c r="L982" s="85"/>
      <c r="M982" s="28">
        <v>1</v>
      </c>
      <c r="N982" s="29">
        <v>9.99</v>
      </c>
      <c r="O982" s="29">
        <v>9.99</v>
      </c>
    </row>
    <row r="983" ht="9" customHeight="1" hidden="1">
      <c r="I983" s="82"/>
      <c r="J983" t="s" s="86">
        <v>1830</v>
      </c>
      <c r="K983" s="87"/>
      <c r="L983" s="85"/>
      <c r="M983" s="28">
        <v>1</v>
      </c>
      <c r="N983" s="29">
        <v>9.99</v>
      </c>
      <c r="O983" s="29">
        <v>9.99</v>
      </c>
    </row>
    <row r="984" ht="15.55" customHeight="1">
      <c r="I984" t="s" s="27">
        <v>1831</v>
      </c>
      <c r="J984" s="87"/>
      <c r="K984" s="87"/>
      <c r="L984" s="85"/>
      <c r="M984" s="28">
        <v>1</v>
      </c>
      <c r="N984" s="29">
        <v>9.99</v>
      </c>
      <c r="O984" s="29">
        <v>9.99</v>
      </c>
    </row>
    <row r="985" ht="9" customHeight="1" hidden="1">
      <c r="I985" s="77"/>
      <c r="J985" s="78"/>
      <c r="K985" s="78"/>
      <c r="L985" t="s" s="79">
        <v>73</v>
      </c>
      <c r="M985" s="80">
        <v>1</v>
      </c>
      <c r="N985" s="81">
        <v>399.99</v>
      </c>
      <c r="O985" s="81">
        <v>399.99</v>
      </c>
    </row>
    <row r="986" ht="9" customHeight="1" hidden="1">
      <c r="I986" s="82"/>
      <c r="J986" s="83"/>
      <c r="K986" s="84">
        <v>45413</v>
      </c>
      <c r="L986" s="85"/>
      <c r="M986" s="28">
        <v>1</v>
      </c>
      <c r="N986" s="29">
        <v>399.99</v>
      </c>
      <c r="O986" s="29">
        <v>399.99</v>
      </c>
    </row>
    <row r="987" ht="9" customHeight="1" hidden="1">
      <c r="I987" s="82"/>
      <c r="J987" t="s" s="86">
        <v>2052</v>
      </c>
      <c r="K987" s="87"/>
      <c r="L987" s="85"/>
      <c r="M987" s="28">
        <v>1</v>
      </c>
      <c r="N987" s="29">
        <v>399.99</v>
      </c>
      <c r="O987" s="29">
        <v>399.99</v>
      </c>
    </row>
    <row r="988" ht="15.55" customHeight="1">
      <c r="I988" t="s" s="27">
        <v>2053</v>
      </c>
      <c r="J988" s="87"/>
      <c r="K988" s="87"/>
      <c r="L988" s="85"/>
      <c r="M988" s="28">
        <v>1</v>
      </c>
      <c r="N988" s="29">
        <v>399.99</v>
      </c>
      <c r="O988" s="29">
        <v>399.99</v>
      </c>
    </row>
    <row r="989" ht="9" customHeight="1" hidden="1">
      <c r="I989" s="77"/>
      <c r="J989" s="78"/>
      <c r="K989" s="78"/>
      <c r="L989" t="s" s="79">
        <v>84</v>
      </c>
      <c r="M989" s="80">
        <v>2</v>
      </c>
      <c r="N989" s="81">
        <v>0</v>
      </c>
      <c r="O989" s="81">
        <v>0</v>
      </c>
    </row>
    <row r="990" ht="9" customHeight="1" hidden="1">
      <c r="I990" s="77"/>
      <c r="J990" s="78"/>
      <c r="K990" s="78"/>
      <c r="L990" t="s" s="79">
        <v>23</v>
      </c>
      <c r="M990" s="80">
        <v>2</v>
      </c>
      <c r="N990" s="81">
        <v>0</v>
      </c>
      <c r="O990" s="81">
        <v>0</v>
      </c>
    </row>
    <row r="991" ht="9" customHeight="1" hidden="1">
      <c r="I991" s="77"/>
      <c r="J991" s="78"/>
      <c r="K991" s="78"/>
      <c r="L991" t="s" s="79">
        <v>81</v>
      </c>
      <c r="M991" s="80">
        <v>2</v>
      </c>
      <c r="N991" s="81">
        <v>849.99</v>
      </c>
      <c r="O991" s="81">
        <v>1699.98</v>
      </c>
    </row>
    <row r="992" ht="9" customHeight="1" hidden="1">
      <c r="I992" s="77"/>
      <c r="J992" s="78"/>
      <c r="K992" s="78"/>
      <c r="L992" t="s" s="79">
        <v>50</v>
      </c>
      <c r="M992" s="80">
        <v>2</v>
      </c>
      <c r="N992" s="81">
        <v>0</v>
      </c>
      <c r="O992" s="81">
        <v>0</v>
      </c>
    </row>
    <row r="993" ht="9" customHeight="1" hidden="1">
      <c r="I993" s="82"/>
      <c r="J993" s="83"/>
      <c r="K993" s="84">
        <v>45413</v>
      </c>
      <c r="L993" s="85"/>
      <c r="M993" s="28">
        <v>8</v>
      </c>
      <c r="N993" s="29">
        <v>849.99</v>
      </c>
      <c r="O993" s="29">
        <v>1699.98</v>
      </c>
    </row>
    <row r="994" ht="9" customHeight="1" hidden="1">
      <c r="I994" s="82"/>
      <c r="J994" t="s" s="86">
        <v>1928</v>
      </c>
      <c r="K994" s="87"/>
      <c r="L994" s="85"/>
      <c r="M994" s="28">
        <v>8</v>
      </c>
      <c r="N994" s="29">
        <v>849.99</v>
      </c>
      <c r="O994" s="29">
        <v>1699.98</v>
      </c>
    </row>
    <row r="995" ht="15.55" customHeight="1">
      <c r="I995" t="s" s="27">
        <v>1929</v>
      </c>
      <c r="J995" s="87"/>
      <c r="K995" s="87"/>
      <c r="L995" s="85"/>
      <c r="M995" s="28">
        <v>8</v>
      </c>
      <c r="N995" s="29">
        <v>849.99</v>
      </c>
      <c r="O995" s="29">
        <v>1699.98</v>
      </c>
    </row>
    <row r="996" ht="9" customHeight="1" hidden="1">
      <c r="I996" s="77"/>
      <c r="J996" s="78"/>
      <c r="K996" s="78"/>
      <c r="L996" t="s" s="79">
        <v>19</v>
      </c>
      <c r="M996" s="80">
        <v>2</v>
      </c>
      <c r="N996" s="81">
        <v>119.99</v>
      </c>
      <c r="O996" s="81">
        <v>239.98</v>
      </c>
    </row>
    <row r="997" ht="9" customHeight="1" hidden="1">
      <c r="I997" s="77"/>
      <c r="J997" s="78"/>
      <c r="K997" s="78"/>
      <c r="L997" t="s" s="79">
        <v>179</v>
      </c>
      <c r="M997" s="80">
        <v>2</v>
      </c>
      <c r="N997" s="81">
        <v>49.99</v>
      </c>
      <c r="O997" s="81">
        <v>99.98</v>
      </c>
    </row>
    <row r="998" ht="9" customHeight="1" hidden="1">
      <c r="I998" s="77"/>
      <c r="J998" s="78"/>
      <c r="K998" s="78"/>
      <c r="L998" t="s" s="79">
        <v>73</v>
      </c>
      <c r="M998" s="80">
        <v>1</v>
      </c>
      <c r="N998" s="81">
        <v>399.99</v>
      </c>
      <c r="O998" s="81">
        <v>399.99</v>
      </c>
    </row>
    <row r="999" ht="9" customHeight="1" hidden="1">
      <c r="I999" s="77"/>
      <c r="J999" s="78"/>
      <c r="K999" s="78"/>
      <c r="L999" t="s" s="79">
        <v>15</v>
      </c>
      <c r="M999" s="80">
        <v>1</v>
      </c>
      <c r="N999" s="81">
        <v>9.99</v>
      </c>
      <c r="O999" s="81">
        <v>9.99</v>
      </c>
    </row>
    <row r="1000" ht="9" customHeight="1" hidden="1">
      <c r="I1000" s="82"/>
      <c r="J1000" s="83"/>
      <c r="K1000" s="84">
        <v>45413</v>
      </c>
      <c r="L1000" s="85"/>
      <c r="M1000" s="28">
        <v>6</v>
      </c>
      <c r="N1000" s="29">
        <v>579.96</v>
      </c>
      <c r="O1000" s="29">
        <v>749.9400000000001</v>
      </c>
    </row>
    <row r="1001" ht="9" customHeight="1" hidden="1">
      <c r="I1001" s="82"/>
      <c r="J1001" t="s" s="86">
        <v>1869</v>
      </c>
      <c r="K1001" s="87"/>
      <c r="L1001" s="85"/>
      <c r="M1001" s="28">
        <v>6</v>
      </c>
      <c r="N1001" s="29">
        <v>579.96</v>
      </c>
      <c r="O1001" s="29">
        <v>749.9400000000001</v>
      </c>
    </row>
    <row r="1002" ht="15.55" customHeight="1">
      <c r="I1002" t="s" s="27">
        <v>1870</v>
      </c>
      <c r="J1002" s="87"/>
      <c r="K1002" s="87"/>
      <c r="L1002" s="85"/>
      <c r="M1002" s="28">
        <v>6</v>
      </c>
      <c r="N1002" s="29">
        <v>579.96</v>
      </c>
      <c r="O1002" s="29">
        <v>749.9400000000001</v>
      </c>
    </row>
    <row r="1003" ht="9" customHeight="1" hidden="1">
      <c r="I1003" s="77"/>
      <c r="J1003" s="78"/>
      <c r="K1003" s="78"/>
      <c r="L1003" t="s" s="79">
        <v>11</v>
      </c>
      <c r="M1003" s="80">
        <v>1</v>
      </c>
      <c r="N1003" s="81">
        <v>399.99</v>
      </c>
      <c r="O1003" s="81">
        <v>399.99</v>
      </c>
    </row>
    <row r="1004" ht="9" customHeight="1" hidden="1">
      <c r="I1004" s="82"/>
      <c r="J1004" s="83"/>
      <c r="K1004" s="84">
        <v>45413</v>
      </c>
      <c r="L1004" s="85"/>
      <c r="M1004" s="28">
        <v>1</v>
      </c>
      <c r="N1004" s="29">
        <v>399.99</v>
      </c>
      <c r="O1004" s="29">
        <v>399.99</v>
      </c>
    </row>
    <row r="1005" ht="9" customHeight="1" hidden="1">
      <c r="I1005" s="82"/>
      <c r="J1005" t="s" s="86">
        <v>2025</v>
      </c>
      <c r="K1005" s="87"/>
      <c r="L1005" s="85"/>
      <c r="M1005" s="28">
        <v>1</v>
      </c>
      <c r="N1005" s="29">
        <v>399.99</v>
      </c>
      <c r="O1005" s="29">
        <v>399.99</v>
      </c>
    </row>
    <row r="1006" ht="15.55" customHeight="1">
      <c r="I1006" t="s" s="27">
        <v>803</v>
      </c>
      <c r="J1006" s="87"/>
      <c r="K1006" s="87"/>
      <c r="L1006" s="85"/>
      <c r="M1006" s="28">
        <v>1</v>
      </c>
      <c r="N1006" s="29">
        <v>399.99</v>
      </c>
      <c r="O1006" s="29">
        <v>399.99</v>
      </c>
    </row>
    <row r="1007" ht="9" customHeight="1" hidden="1">
      <c r="I1007" s="77"/>
      <c r="J1007" s="78"/>
      <c r="K1007" s="78"/>
      <c r="L1007" t="s" s="79">
        <v>27</v>
      </c>
      <c r="M1007" s="80">
        <v>24</v>
      </c>
      <c r="N1007" s="81">
        <v>59.9925</v>
      </c>
      <c r="O1007" s="81">
        <v>1439.82</v>
      </c>
    </row>
    <row r="1008" ht="9" customHeight="1" hidden="1">
      <c r="I1008" s="82"/>
      <c r="J1008" s="83"/>
      <c r="K1008" s="84">
        <v>45413</v>
      </c>
      <c r="L1008" s="85"/>
      <c r="M1008" s="28">
        <v>24</v>
      </c>
      <c r="N1008" s="29">
        <v>59.9925</v>
      </c>
      <c r="O1008" s="29">
        <v>1439.82</v>
      </c>
    </row>
    <row r="1009" ht="9" customHeight="1" hidden="1">
      <c r="I1009" s="82"/>
      <c r="J1009" t="s" s="86">
        <v>2104</v>
      </c>
      <c r="K1009" s="87"/>
      <c r="L1009" s="85"/>
      <c r="M1009" s="28">
        <v>24</v>
      </c>
      <c r="N1009" s="29">
        <v>59.9925</v>
      </c>
      <c r="O1009" s="29">
        <v>1439.82</v>
      </c>
    </row>
    <row r="1010" ht="9" customHeight="1" hidden="1">
      <c r="I1010" s="77"/>
      <c r="J1010" s="78"/>
      <c r="K1010" s="78"/>
      <c r="L1010" t="s" s="79">
        <v>73</v>
      </c>
      <c r="M1010" s="80">
        <v>4</v>
      </c>
      <c r="N1010" s="81">
        <v>299.9925</v>
      </c>
      <c r="O1010" s="81">
        <v>1199.97</v>
      </c>
    </row>
    <row r="1011" ht="9" customHeight="1" hidden="1">
      <c r="I1011" s="82"/>
      <c r="J1011" s="83"/>
      <c r="K1011" s="84">
        <v>45413</v>
      </c>
      <c r="L1011" s="85"/>
      <c r="M1011" s="28">
        <v>4</v>
      </c>
      <c r="N1011" s="29">
        <v>299.9925</v>
      </c>
      <c r="O1011" s="29">
        <v>1199.97</v>
      </c>
    </row>
    <row r="1012" ht="9" customHeight="1" hidden="1">
      <c r="I1012" s="82"/>
      <c r="J1012" t="s" s="86">
        <v>2018</v>
      </c>
      <c r="K1012" s="87"/>
      <c r="L1012" s="85"/>
      <c r="M1012" s="28">
        <v>4</v>
      </c>
      <c r="N1012" s="29">
        <v>299.9925</v>
      </c>
      <c r="O1012" s="29">
        <v>1199.97</v>
      </c>
    </row>
    <row r="1013" ht="15.55" customHeight="1">
      <c r="I1013" t="s" s="27">
        <v>704</v>
      </c>
      <c r="J1013" s="87"/>
      <c r="K1013" s="87"/>
      <c r="L1013" s="85"/>
      <c r="M1013" s="28">
        <v>28</v>
      </c>
      <c r="N1013" s="29">
        <v>359.985</v>
      </c>
      <c r="O1013" s="29">
        <v>2639.79</v>
      </c>
    </row>
    <row r="1014" ht="9" customHeight="1" hidden="1">
      <c r="I1014" s="77"/>
      <c r="J1014" s="78"/>
      <c r="K1014" s="78"/>
      <c r="L1014" t="s" s="79">
        <v>54</v>
      </c>
      <c r="M1014" s="80">
        <v>1</v>
      </c>
      <c r="N1014" s="81">
        <v>9.99</v>
      </c>
      <c r="O1014" s="81">
        <v>9.99</v>
      </c>
    </row>
    <row r="1015" ht="9" customHeight="1" hidden="1">
      <c r="I1015" s="77"/>
      <c r="J1015" s="78"/>
      <c r="K1015" s="78"/>
      <c r="L1015" t="s" s="79">
        <v>89</v>
      </c>
      <c r="M1015" s="80">
        <v>1</v>
      </c>
      <c r="N1015" s="81">
        <v>59.99</v>
      </c>
      <c r="O1015" s="81">
        <v>59.99</v>
      </c>
    </row>
    <row r="1016" ht="9" customHeight="1" hidden="1">
      <c r="I1016" s="77"/>
      <c r="J1016" s="78"/>
      <c r="K1016" s="78"/>
      <c r="L1016" t="s" s="79">
        <v>11</v>
      </c>
      <c r="M1016" s="80">
        <v>1</v>
      </c>
      <c r="N1016" s="81">
        <v>399.99</v>
      </c>
      <c r="O1016" s="81">
        <v>399.99</v>
      </c>
    </row>
    <row r="1017" ht="9" customHeight="1" hidden="1">
      <c r="I1017" s="82"/>
      <c r="J1017" s="83"/>
      <c r="K1017" s="84">
        <v>45413</v>
      </c>
      <c r="L1017" s="85"/>
      <c r="M1017" s="28">
        <v>3</v>
      </c>
      <c r="N1017" s="29">
        <v>469.97</v>
      </c>
      <c r="O1017" s="29">
        <v>469.97</v>
      </c>
    </row>
    <row r="1018" ht="9" customHeight="1" hidden="1">
      <c r="I1018" s="82"/>
      <c r="J1018" t="s" s="86">
        <v>1836</v>
      </c>
      <c r="K1018" s="87"/>
      <c r="L1018" s="85"/>
      <c r="M1018" s="28">
        <v>3</v>
      </c>
      <c r="N1018" s="29">
        <v>469.97</v>
      </c>
      <c r="O1018" s="29">
        <v>469.97</v>
      </c>
    </row>
    <row r="1019" ht="15.55" customHeight="1">
      <c r="I1019" t="s" s="27">
        <v>1837</v>
      </c>
      <c r="J1019" s="87"/>
      <c r="K1019" s="87"/>
      <c r="L1019" s="85"/>
      <c r="M1019" s="28">
        <v>3</v>
      </c>
      <c r="N1019" s="29">
        <v>469.97</v>
      </c>
      <c r="O1019" s="29">
        <v>469.97</v>
      </c>
    </row>
    <row r="1020" ht="9" customHeight="1" hidden="1">
      <c r="I1020" s="77"/>
      <c r="J1020" s="78"/>
      <c r="K1020" s="78"/>
      <c r="L1020" t="s" s="79">
        <v>27</v>
      </c>
      <c r="M1020" s="80">
        <v>2</v>
      </c>
      <c r="N1020" s="81">
        <v>79.98999999999999</v>
      </c>
      <c r="O1020" s="81">
        <v>159.98</v>
      </c>
    </row>
    <row r="1021" ht="9" customHeight="1" hidden="1">
      <c r="I1021" s="77"/>
      <c r="J1021" s="78"/>
      <c r="K1021" s="78"/>
      <c r="L1021" t="s" s="79">
        <v>15</v>
      </c>
      <c r="M1021" s="80">
        <v>2</v>
      </c>
      <c r="N1021" s="81">
        <v>9.99</v>
      </c>
      <c r="O1021" s="81">
        <v>19.98</v>
      </c>
    </row>
    <row r="1022" ht="9" customHeight="1" hidden="1">
      <c r="I1022" s="82"/>
      <c r="J1022" s="83"/>
      <c r="K1022" s="84">
        <v>45413</v>
      </c>
      <c r="L1022" s="85"/>
      <c r="M1022" s="28">
        <v>4</v>
      </c>
      <c r="N1022" s="29">
        <v>89.98</v>
      </c>
      <c r="O1022" s="29">
        <v>179.96</v>
      </c>
    </row>
    <row r="1023" ht="9" customHeight="1" hidden="1">
      <c r="I1023" s="82"/>
      <c r="J1023" t="s" s="86">
        <v>1903</v>
      </c>
      <c r="K1023" s="87"/>
      <c r="L1023" s="85"/>
      <c r="M1023" s="28">
        <v>4</v>
      </c>
      <c r="N1023" s="29">
        <v>89.98</v>
      </c>
      <c r="O1023" s="29">
        <v>179.96</v>
      </c>
    </row>
    <row r="1024" ht="15.55" customHeight="1">
      <c r="I1024" t="s" s="27">
        <v>1904</v>
      </c>
      <c r="J1024" s="87"/>
      <c r="K1024" s="87"/>
      <c r="L1024" s="85"/>
      <c r="M1024" s="28">
        <v>4</v>
      </c>
      <c r="N1024" s="29">
        <v>89.98</v>
      </c>
      <c r="O1024" s="29">
        <v>179.96</v>
      </c>
    </row>
    <row r="1025" ht="9" customHeight="1" hidden="1">
      <c r="I1025" s="77"/>
      <c r="J1025" s="78"/>
      <c r="K1025" s="78"/>
      <c r="L1025" t="s" s="79">
        <v>77</v>
      </c>
      <c r="M1025" s="80">
        <v>1</v>
      </c>
      <c r="N1025" s="81">
        <v>19.99</v>
      </c>
      <c r="O1025" s="81">
        <v>19.99</v>
      </c>
    </row>
    <row r="1026" ht="9" customHeight="1" hidden="1">
      <c r="I1026" s="82"/>
      <c r="J1026" s="83"/>
      <c r="K1026" s="84">
        <v>45413</v>
      </c>
      <c r="L1026" s="85"/>
      <c r="M1026" s="28">
        <v>1</v>
      </c>
      <c r="N1026" s="29">
        <v>19.99</v>
      </c>
      <c r="O1026" s="29">
        <v>19.99</v>
      </c>
    </row>
    <row r="1027" ht="9" customHeight="1" hidden="1">
      <c r="I1027" s="82"/>
      <c r="J1027" t="s" s="86">
        <v>1948</v>
      </c>
      <c r="K1027" s="87"/>
      <c r="L1027" s="85"/>
      <c r="M1027" s="28">
        <v>1</v>
      </c>
      <c r="N1027" s="29">
        <v>19.99</v>
      </c>
      <c r="O1027" s="29">
        <v>19.99</v>
      </c>
    </row>
    <row r="1028" ht="15.55" customHeight="1">
      <c r="I1028" t="s" s="27">
        <v>1949</v>
      </c>
      <c r="J1028" s="87"/>
      <c r="K1028" s="87"/>
      <c r="L1028" s="85"/>
      <c r="M1028" s="28">
        <v>1</v>
      </c>
      <c r="N1028" s="29">
        <v>19.99</v>
      </c>
      <c r="O1028" s="29">
        <v>19.99</v>
      </c>
    </row>
    <row r="1029" ht="9" customHeight="1" hidden="1">
      <c r="I1029" s="77"/>
      <c r="J1029" s="78"/>
      <c r="K1029" s="78"/>
      <c r="L1029" t="s" s="79">
        <v>73</v>
      </c>
      <c r="M1029" s="80">
        <v>1</v>
      </c>
      <c r="N1029" s="81">
        <v>399.99</v>
      </c>
      <c r="O1029" s="81">
        <v>399.99</v>
      </c>
    </row>
    <row r="1030" ht="9" customHeight="1" hidden="1">
      <c r="I1030" s="82"/>
      <c r="J1030" s="83"/>
      <c r="K1030" s="84">
        <v>45413</v>
      </c>
      <c r="L1030" s="85"/>
      <c r="M1030" s="28">
        <v>1</v>
      </c>
      <c r="N1030" s="29">
        <v>399.99</v>
      </c>
      <c r="O1030" s="29">
        <v>399.99</v>
      </c>
    </row>
    <row r="1031" ht="9" customHeight="1" hidden="1">
      <c r="I1031" s="82"/>
      <c r="J1031" t="s" s="86">
        <v>1963</v>
      </c>
      <c r="K1031" s="87"/>
      <c r="L1031" s="85"/>
      <c r="M1031" s="28">
        <v>1</v>
      </c>
      <c r="N1031" s="29">
        <v>399.99</v>
      </c>
      <c r="O1031" s="29">
        <v>399.99</v>
      </c>
    </row>
    <row r="1032" ht="15.55" customHeight="1">
      <c r="I1032" t="s" s="27">
        <v>72</v>
      </c>
      <c r="J1032" s="87"/>
      <c r="K1032" s="87"/>
      <c r="L1032" s="85"/>
      <c r="M1032" s="28">
        <v>1</v>
      </c>
      <c r="N1032" s="29">
        <v>399.99</v>
      </c>
      <c r="O1032" s="29">
        <v>399.99</v>
      </c>
    </row>
    <row r="1033" ht="9" customHeight="1" hidden="1">
      <c r="I1033" s="77"/>
      <c r="J1033" s="78"/>
      <c r="K1033" s="78"/>
      <c r="L1033" t="s" s="79">
        <v>299</v>
      </c>
      <c r="M1033" s="80">
        <v>14</v>
      </c>
      <c r="N1033" s="81">
        <v>52.4925</v>
      </c>
      <c r="O1033" s="81">
        <v>734.895</v>
      </c>
    </row>
    <row r="1034" ht="9" customHeight="1" hidden="1">
      <c r="I1034" s="77"/>
      <c r="J1034" s="78"/>
      <c r="K1034" s="78"/>
      <c r="L1034" t="s" s="79">
        <v>63</v>
      </c>
      <c r="M1034" s="80">
        <v>1</v>
      </c>
      <c r="N1034" s="81">
        <v>28.5</v>
      </c>
      <c r="O1034" s="81">
        <v>28.5</v>
      </c>
    </row>
    <row r="1035" ht="9" customHeight="1" hidden="1">
      <c r="I1035" s="77"/>
      <c r="J1035" s="78"/>
      <c r="K1035" s="78"/>
      <c r="L1035" t="s" s="79">
        <v>861</v>
      </c>
      <c r="M1035" s="80">
        <v>1</v>
      </c>
      <c r="N1035" s="81">
        <v>64.3</v>
      </c>
      <c r="O1035" s="81">
        <v>64.3</v>
      </c>
    </row>
    <row r="1036" ht="9" customHeight="1" hidden="1">
      <c r="I1036" s="82"/>
      <c r="J1036" s="83"/>
      <c r="K1036" s="84">
        <v>45413</v>
      </c>
      <c r="L1036" s="85"/>
      <c r="M1036" s="28">
        <v>16</v>
      </c>
      <c r="N1036" s="29">
        <v>145.2925</v>
      </c>
      <c r="O1036" s="29">
        <v>827.6950000000001</v>
      </c>
    </row>
    <row r="1037" ht="9" customHeight="1" hidden="1">
      <c r="I1037" s="82"/>
      <c r="J1037" t="s" s="86">
        <v>2017</v>
      </c>
      <c r="K1037" s="87"/>
      <c r="L1037" s="85"/>
      <c r="M1037" s="28">
        <v>16</v>
      </c>
      <c r="N1037" s="29">
        <v>145.2925</v>
      </c>
      <c r="O1037" s="29">
        <v>827.6950000000001</v>
      </c>
    </row>
    <row r="1038" ht="15.55" customHeight="1">
      <c r="I1038" t="s" s="27">
        <v>1500</v>
      </c>
      <c r="J1038" s="87"/>
      <c r="K1038" s="87"/>
      <c r="L1038" s="85"/>
      <c r="M1038" s="28">
        <v>16</v>
      </c>
      <c r="N1038" s="29">
        <v>145.2925</v>
      </c>
      <c r="O1038" s="29">
        <v>827.6950000000001</v>
      </c>
    </row>
    <row r="1039" ht="9" customHeight="1" hidden="1">
      <c r="I1039" s="77"/>
      <c r="J1039" s="78"/>
      <c r="K1039" s="78"/>
      <c r="L1039" t="s" s="79">
        <v>109</v>
      </c>
      <c r="M1039" s="80">
        <v>2</v>
      </c>
      <c r="N1039" s="81">
        <v>119.99</v>
      </c>
      <c r="O1039" s="81">
        <v>239.98</v>
      </c>
    </row>
    <row r="1040" ht="9" customHeight="1" hidden="1">
      <c r="I1040" s="77"/>
      <c r="J1040" s="78"/>
      <c r="K1040" s="78"/>
      <c r="L1040" t="s" s="79">
        <v>207</v>
      </c>
      <c r="M1040" s="80">
        <v>2</v>
      </c>
      <c r="N1040" s="81">
        <v>0</v>
      </c>
      <c r="O1040" s="81">
        <v>0</v>
      </c>
    </row>
    <row r="1041" ht="9" customHeight="1" hidden="1">
      <c r="I1041" s="77"/>
      <c r="J1041" s="78"/>
      <c r="K1041" s="78"/>
      <c r="L1041" t="s" s="79">
        <v>47</v>
      </c>
      <c r="M1041" s="80">
        <v>1</v>
      </c>
      <c r="N1041" s="81">
        <v>48.18</v>
      </c>
      <c r="O1041" s="81">
        <v>48.18</v>
      </c>
    </row>
    <row r="1042" ht="9" customHeight="1" hidden="1">
      <c r="I1042" s="82"/>
      <c r="J1042" s="83"/>
      <c r="K1042" s="84">
        <v>45413</v>
      </c>
      <c r="L1042" s="85"/>
      <c r="M1042" s="28">
        <v>5</v>
      </c>
      <c r="N1042" s="29">
        <v>168.17</v>
      </c>
      <c r="O1042" s="29">
        <v>288.16</v>
      </c>
    </row>
    <row r="1043" ht="9" customHeight="1" hidden="1">
      <c r="I1043" s="82"/>
      <c r="J1043" t="s" s="86">
        <v>1936</v>
      </c>
      <c r="K1043" s="87"/>
      <c r="L1043" s="85"/>
      <c r="M1043" s="28">
        <v>5</v>
      </c>
      <c r="N1043" s="29">
        <v>168.17</v>
      </c>
      <c r="O1043" s="29">
        <v>288.16</v>
      </c>
    </row>
    <row r="1044" ht="15.55" customHeight="1">
      <c r="I1044" t="s" s="27">
        <v>1937</v>
      </c>
      <c r="J1044" s="87"/>
      <c r="K1044" s="87"/>
      <c r="L1044" s="85"/>
      <c r="M1044" s="28">
        <v>5</v>
      </c>
      <c r="N1044" s="29">
        <v>168.17</v>
      </c>
      <c r="O1044" s="29">
        <v>288.16</v>
      </c>
    </row>
    <row r="1045" ht="9" customHeight="1" hidden="1">
      <c r="I1045" s="77"/>
      <c r="J1045" s="78"/>
      <c r="K1045" s="78"/>
      <c r="L1045" t="s" s="79">
        <v>254</v>
      </c>
      <c r="M1045" s="80">
        <v>1</v>
      </c>
      <c r="N1045" s="81">
        <v>0</v>
      </c>
      <c r="O1045" s="81">
        <v>0</v>
      </c>
    </row>
    <row r="1046" ht="9" customHeight="1" hidden="1">
      <c r="I1046" s="82"/>
      <c r="J1046" s="83"/>
      <c r="K1046" s="84">
        <v>45413</v>
      </c>
      <c r="L1046" s="85"/>
      <c r="M1046" s="28">
        <v>1</v>
      </c>
      <c r="N1046" s="29">
        <v>0</v>
      </c>
      <c r="O1046" s="29">
        <v>0</v>
      </c>
    </row>
    <row r="1047" ht="9" customHeight="1" hidden="1">
      <c r="I1047" s="82"/>
      <c r="J1047" t="s" s="86">
        <v>1885</v>
      </c>
      <c r="K1047" s="87"/>
      <c r="L1047" s="85"/>
      <c r="M1047" s="28">
        <v>1</v>
      </c>
      <c r="N1047" s="29">
        <v>0</v>
      </c>
      <c r="O1047" s="29">
        <v>0</v>
      </c>
    </row>
    <row r="1048" ht="15.55" customHeight="1">
      <c r="I1048" t="s" s="27">
        <v>473</v>
      </c>
      <c r="J1048" s="87"/>
      <c r="K1048" s="87"/>
      <c r="L1048" s="85"/>
      <c r="M1048" s="28">
        <v>1</v>
      </c>
      <c r="N1048" s="29">
        <v>0</v>
      </c>
      <c r="O1048" s="29">
        <v>0</v>
      </c>
    </row>
    <row r="1049" ht="9" customHeight="1" hidden="1">
      <c r="I1049" s="77"/>
      <c r="J1049" s="78"/>
      <c r="K1049" s="78"/>
      <c r="L1049" t="s" s="79">
        <v>115</v>
      </c>
      <c r="M1049" s="80">
        <v>1</v>
      </c>
      <c r="N1049" s="81">
        <v>17.2425</v>
      </c>
      <c r="O1049" s="81">
        <v>17.2425</v>
      </c>
    </row>
    <row r="1050" ht="9" customHeight="1" hidden="1">
      <c r="I1050" s="77"/>
      <c r="J1050" s="78"/>
      <c r="K1050" s="78"/>
      <c r="L1050" t="s" s="79">
        <v>2119</v>
      </c>
      <c r="M1050" s="80">
        <v>1</v>
      </c>
      <c r="N1050" s="81">
        <v>74.625</v>
      </c>
      <c r="O1050" s="81">
        <v>74.625</v>
      </c>
    </row>
    <row r="1051" ht="9" customHeight="1" hidden="1">
      <c r="I1051" s="77"/>
      <c r="J1051" s="78"/>
      <c r="K1051" s="78"/>
      <c r="L1051" t="s" s="79">
        <v>359</v>
      </c>
      <c r="M1051" s="80">
        <v>1</v>
      </c>
      <c r="N1051" s="81">
        <v>22.4925</v>
      </c>
      <c r="O1051" s="81">
        <v>22.4925</v>
      </c>
    </row>
    <row r="1052" ht="9" customHeight="1" hidden="1">
      <c r="I1052" s="77"/>
      <c r="J1052" s="78"/>
      <c r="K1052" s="78"/>
      <c r="L1052" t="s" s="79">
        <v>442</v>
      </c>
      <c r="M1052" s="80">
        <v>1</v>
      </c>
      <c r="N1052" s="81">
        <v>-114.35</v>
      </c>
      <c r="O1052" s="81">
        <v>-114.35</v>
      </c>
    </row>
    <row r="1053" ht="9" customHeight="1" hidden="1">
      <c r="I1053" s="82"/>
      <c r="J1053" s="83"/>
      <c r="K1053" s="84">
        <v>45413</v>
      </c>
      <c r="L1053" s="85"/>
      <c r="M1053" s="28">
        <v>4</v>
      </c>
      <c r="N1053" s="29">
        <v>0.01</v>
      </c>
      <c r="O1053" s="29">
        <v>0.01</v>
      </c>
    </row>
    <row r="1054" ht="9" customHeight="1" hidden="1">
      <c r="I1054" s="82"/>
      <c r="J1054" t="s" s="86">
        <v>2118</v>
      </c>
      <c r="K1054" s="87"/>
      <c r="L1054" s="85"/>
      <c r="M1054" s="28">
        <v>4</v>
      </c>
      <c r="N1054" s="29">
        <v>0.01</v>
      </c>
      <c r="O1054" s="29">
        <v>0.01</v>
      </c>
    </row>
    <row r="1055" ht="9" customHeight="1" hidden="1">
      <c r="I1055" s="77"/>
      <c r="J1055" s="78"/>
      <c r="K1055" s="78"/>
      <c r="L1055" t="s" s="79">
        <v>254</v>
      </c>
      <c r="M1055" s="80">
        <v>1</v>
      </c>
      <c r="N1055" s="81">
        <v>0</v>
      </c>
      <c r="O1055" s="81">
        <v>0</v>
      </c>
    </row>
    <row r="1056" ht="9" customHeight="1" hidden="1">
      <c r="I1056" s="82"/>
      <c r="J1056" s="83"/>
      <c r="K1056" s="84">
        <v>45413</v>
      </c>
      <c r="L1056" s="85"/>
      <c r="M1056" s="28">
        <v>1</v>
      </c>
      <c r="N1056" s="29">
        <v>0</v>
      </c>
      <c r="O1056" s="29">
        <v>0</v>
      </c>
    </row>
    <row r="1057" ht="9" customHeight="1" hidden="1">
      <c r="I1057" s="82"/>
      <c r="J1057" t="s" s="86">
        <v>1882</v>
      </c>
      <c r="K1057" s="87"/>
      <c r="L1057" s="85"/>
      <c r="M1057" s="28">
        <v>1</v>
      </c>
      <c r="N1057" s="29">
        <v>0</v>
      </c>
      <c r="O1057" s="29">
        <v>0</v>
      </c>
    </row>
    <row r="1058" ht="9" customHeight="1" hidden="1">
      <c r="I1058" s="77"/>
      <c r="J1058" s="78"/>
      <c r="K1058" s="78"/>
      <c r="L1058" t="s" s="79">
        <v>317</v>
      </c>
      <c r="M1058" s="80">
        <v>14</v>
      </c>
      <c r="N1058" s="81">
        <v>37.4925</v>
      </c>
      <c r="O1058" s="81">
        <v>524.895</v>
      </c>
    </row>
    <row r="1059" ht="9" customHeight="1" hidden="1">
      <c r="I1059" s="77"/>
      <c r="J1059" s="78"/>
      <c r="K1059" s="78"/>
      <c r="L1059" t="s" s="79">
        <v>315</v>
      </c>
      <c r="M1059" s="80">
        <v>150</v>
      </c>
      <c r="N1059" s="81">
        <v>0.375</v>
      </c>
      <c r="O1059" s="81">
        <v>56.25</v>
      </c>
    </row>
    <row r="1060" ht="9" customHeight="1" hidden="1">
      <c r="I1060" s="82"/>
      <c r="J1060" s="83"/>
      <c r="K1060" s="84">
        <v>45413</v>
      </c>
      <c r="L1060" s="85"/>
      <c r="M1060" s="28">
        <v>164</v>
      </c>
      <c r="N1060" s="29">
        <v>37.8675</v>
      </c>
      <c r="O1060" s="29">
        <v>581.145</v>
      </c>
    </row>
    <row r="1061" ht="9" customHeight="1" hidden="1">
      <c r="I1061" s="82"/>
      <c r="J1061" t="s" s="86">
        <v>1847</v>
      </c>
      <c r="K1061" s="87"/>
      <c r="L1061" s="85"/>
      <c r="M1061" s="28">
        <v>164</v>
      </c>
      <c r="N1061" s="29">
        <v>37.8675</v>
      </c>
      <c r="O1061" s="29">
        <v>581.145</v>
      </c>
    </row>
    <row r="1062" ht="9" customHeight="1" hidden="1">
      <c r="I1062" s="77"/>
      <c r="J1062" s="78"/>
      <c r="K1062" s="78"/>
      <c r="L1062" t="s" s="79">
        <v>1826</v>
      </c>
      <c r="M1062" s="80">
        <v>1</v>
      </c>
      <c r="N1062" s="81">
        <v>356.79</v>
      </c>
      <c r="O1062" s="81">
        <v>356.79</v>
      </c>
    </row>
    <row r="1063" ht="9" customHeight="1" hidden="1">
      <c r="I1063" s="77"/>
      <c r="J1063" s="78"/>
      <c r="K1063" s="78"/>
      <c r="L1063" t="s" s="79">
        <v>63</v>
      </c>
      <c r="M1063" s="80">
        <v>1</v>
      </c>
      <c r="N1063" s="81">
        <v>18.4</v>
      </c>
      <c r="O1063" s="81">
        <v>18.4</v>
      </c>
    </row>
    <row r="1064" ht="9" customHeight="1" hidden="1">
      <c r="I1064" s="82"/>
      <c r="J1064" s="83"/>
      <c r="K1064" s="84">
        <v>45413</v>
      </c>
      <c r="L1064" s="85"/>
      <c r="M1064" s="28">
        <v>2</v>
      </c>
      <c r="N1064" s="29">
        <v>375.19</v>
      </c>
      <c r="O1064" s="29">
        <v>375.19</v>
      </c>
    </row>
    <row r="1065" ht="9" customHeight="1" hidden="1">
      <c r="I1065" s="82"/>
      <c r="J1065" t="s" s="86">
        <v>1825</v>
      </c>
      <c r="K1065" s="87"/>
      <c r="L1065" s="85"/>
      <c r="M1065" s="28">
        <v>2</v>
      </c>
      <c r="N1065" s="29">
        <v>375.19</v>
      </c>
      <c r="O1065" s="29">
        <v>375.19</v>
      </c>
    </row>
    <row r="1066" ht="15.55" customHeight="1">
      <c r="I1066" t="s" s="27">
        <v>42</v>
      </c>
      <c r="J1066" s="87"/>
      <c r="K1066" s="87"/>
      <c r="L1066" s="85"/>
      <c r="M1066" s="28">
        <v>171</v>
      </c>
      <c r="N1066" s="29">
        <v>413.0675</v>
      </c>
      <c r="O1066" s="29">
        <v>956.345</v>
      </c>
    </row>
    <row r="1067" ht="9" customHeight="1" hidden="1">
      <c r="I1067" s="77"/>
      <c r="J1067" s="78"/>
      <c r="K1067" s="78"/>
      <c r="L1067" t="s" s="79">
        <v>35</v>
      </c>
      <c r="M1067" s="80">
        <v>1</v>
      </c>
      <c r="N1067" s="81">
        <v>49.99</v>
      </c>
      <c r="O1067" s="81">
        <v>49.99</v>
      </c>
    </row>
    <row r="1068" ht="9" customHeight="1" hidden="1">
      <c r="I1068" s="77"/>
      <c r="J1068" s="78"/>
      <c r="K1068" s="78"/>
      <c r="L1068" t="s" s="79">
        <v>89</v>
      </c>
      <c r="M1068" s="80">
        <v>1</v>
      </c>
      <c r="N1068" s="81">
        <v>59.99</v>
      </c>
      <c r="O1068" s="81">
        <v>59.99</v>
      </c>
    </row>
    <row r="1069" ht="9" customHeight="1" hidden="1">
      <c r="I1069" s="82"/>
      <c r="J1069" s="83"/>
      <c r="K1069" s="84">
        <v>45413</v>
      </c>
      <c r="L1069" s="85"/>
      <c r="M1069" s="28">
        <v>2</v>
      </c>
      <c r="N1069" s="29">
        <v>109.98</v>
      </c>
      <c r="O1069" s="29">
        <v>109.98</v>
      </c>
    </row>
    <row r="1070" ht="9" customHeight="1" hidden="1">
      <c r="I1070" s="82"/>
      <c r="J1070" t="s" s="86">
        <v>1992</v>
      </c>
      <c r="K1070" s="87"/>
      <c r="L1070" s="85"/>
      <c r="M1070" s="28">
        <v>2</v>
      </c>
      <c r="N1070" s="29">
        <v>109.98</v>
      </c>
      <c r="O1070" s="29">
        <v>109.98</v>
      </c>
    </row>
    <row r="1071" ht="15.55" customHeight="1">
      <c r="I1071" t="s" s="27">
        <v>1530</v>
      </c>
      <c r="J1071" s="87"/>
      <c r="K1071" s="87"/>
      <c r="L1071" s="85"/>
      <c r="M1071" s="28">
        <v>2</v>
      </c>
      <c r="N1071" s="29">
        <v>109.98</v>
      </c>
      <c r="O1071" s="29">
        <v>109.98</v>
      </c>
    </row>
    <row r="1072" ht="9" customHeight="1" hidden="1">
      <c r="I1072" s="77"/>
      <c r="J1072" s="78"/>
      <c r="K1072" s="78"/>
      <c r="L1072" t="s" s="79">
        <v>54</v>
      </c>
      <c r="M1072" s="80">
        <v>8</v>
      </c>
      <c r="N1072" s="81">
        <v>0</v>
      </c>
      <c r="O1072" s="81">
        <v>0</v>
      </c>
    </row>
    <row r="1073" ht="9" customHeight="1" hidden="1">
      <c r="I1073" s="77"/>
      <c r="J1073" s="78"/>
      <c r="K1073" s="78"/>
      <c r="L1073" t="s" s="79">
        <v>57</v>
      </c>
      <c r="M1073" s="80">
        <v>8</v>
      </c>
      <c r="N1073" s="81">
        <v>599.9924999999999</v>
      </c>
      <c r="O1073" s="81">
        <v>4799.94</v>
      </c>
    </row>
    <row r="1074" ht="9" customHeight="1" hidden="1">
      <c r="I1074" s="77"/>
      <c r="J1074" s="78"/>
      <c r="K1074" s="78"/>
      <c r="L1074" t="s" s="79">
        <v>487</v>
      </c>
      <c r="M1074" s="80">
        <v>6</v>
      </c>
      <c r="N1074" s="81">
        <v>82.49250000000001</v>
      </c>
      <c r="O1074" s="81">
        <v>494.955</v>
      </c>
    </row>
    <row r="1075" ht="9" customHeight="1" hidden="1">
      <c r="I1075" s="77"/>
      <c r="J1075" s="78"/>
      <c r="K1075" s="78"/>
      <c r="L1075" t="s" s="79">
        <v>23</v>
      </c>
      <c r="M1075" s="80">
        <v>8</v>
      </c>
      <c r="N1075" s="81">
        <v>0</v>
      </c>
      <c r="O1075" s="81">
        <v>0</v>
      </c>
    </row>
    <row r="1076" ht="9" customHeight="1" hidden="1">
      <c r="I1076" s="77"/>
      <c r="J1076" s="78"/>
      <c r="K1076" s="78"/>
      <c r="L1076" t="s" s="79">
        <v>133</v>
      </c>
      <c r="M1076" s="80">
        <v>2</v>
      </c>
      <c r="N1076" s="81">
        <v>149.9925</v>
      </c>
      <c r="O1076" s="81">
        <v>299.985</v>
      </c>
    </row>
    <row r="1077" ht="9" customHeight="1" hidden="1">
      <c r="I1077" s="77"/>
      <c r="J1077" s="78"/>
      <c r="K1077" s="78"/>
      <c r="L1077" t="s" s="79">
        <v>52</v>
      </c>
      <c r="M1077" s="80">
        <v>8</v>
      </c>
      <c r="N1077" s="81">
        <v>0</v>
      </c>
      <c r="O1077" s="81">
        <v>0</v>
      </c>
    </row>
    <row r="1078" ht="9" customHeight="1" hidden="1">
      <c r="I1078" s="77"/>
      <c r="J1078" s="78"/>
      <c r="K1078" s="78"/>
      <c r="L1078" t="s" s="79">
        <v>359</v>
      </c>
      <c r="M1078" s="80">
        <v>8</v>
      </c>
      <c r="N1078" s="81">
        <v>22.4925</v>
      </c>
      <c r="O1078" s="81">
        <v>179.94</v>
      </c>
    </row>
    <row r="1079" ht="9" customHeight="1" hidden="1">
      <c r="I1079" s="77"/>
      <c r="J1079" s="78"/>
      <c r="K1079" s="78"/>
      <c r="L1079" t="s" s="79">
        <v>77</v>
      </c>
      <c r="M1079" s="80">
        <v>8</v>
      </c>
      <c r="N1079" s="81">
        <v>14.9925</v>
      </c>
      <c r="O1079" s="81">
        <v>119.94</v>
      </c>
    </row>
    <row r="1080" ht="9" customHeight="1" hidden="1">
      <c r="I1080" s="77"/>
      <c r="J1080" s="78"/>
      <c r="K1080" s="78"/>
      <c r="L1080" t="s" s="79">
        <v>50</v>
      </c>
      <c r="M1080" s="80">
        <v>8</v>
      </c>
      <c r="N1080" s="81">
        <v>0</v>
      </c>
      <c r="O1080" s="81">
        <v>0</v>
      </c>
    </row>
    <row r="1081" ht="9" customHeight="1" hidden="1">
      <c r="I1081" s="77"/>
      <c r="J1081" s="78"/>
      <c r="K1081" s="78"/>
      <c r="L1081" t="s" s="79">
        <v>48</v>
      </c>
      <c r="M1081" s="80">
        <v>8</v>
      </c>
      <c r="N1081" s="81">
        <v>974.9924999999999</v>
      </c>
      <c r="O1081" s="81">
        <v>7799.94</v>
      </c>
    </row>
    <row r="1082" ht="9" customHeight="1" hidden="1">
      <c r="I1082" s="77"/>
      <c r="J1082" s="78"/>
      <c r="K1082" s="78"/>
      <c r="L1082" t="s" s="79">
        <v>489</v>
      </c>
      <c r="M1082" s="80">
        <v>2</v>
      </c>
      <c r="N1082" s="81">
        <v>1199.9925</v>
      </c>
      <c r="O1082" s="81">
        <v>2399.985</v>
      </c>
    </row>
    <row r="1083" ht="9" customHeight="1" hidden="1">
      <c r="I1083" s="77"/>
      <c r="J1083" s="78"/>
      <c r="K1083" s="78"/>
      <c r="L1083" t="s" s="79">
        <v>1633</v>
      </c>
      <c r="M1083" s="80">
        <v>2</v>
      </c>
      <c r="N1083" s="81">
        <v>0</v>
      </c>
      <c r="O1083" s="81">
        <v>0</v>
      </c>
    </row>
    <row r="1084" ht="9" customHeight="1" hidden="1">
      <c r="I1084" s="77"/>
      <c r="J1084" s="78"/>
      <c r="K1084" s="78"/>
      <c r="L1084" t="s" s="79">
        <v>491</v>
      </c>
      <c r="M1084" s="80">
        <v>4</v>
      </c>
      <c r="N1084" s="81">
        <v>0</v>
      </c>
      <c r="O1084" s="81">
        <v>0</v>
      </c>
    </row>
    <row r="1085" ht="9" customHeight="1" hidden="1">
      <c r="I1085" s="77"/>
      <c r="J1085" s="78"/>
      <c r="K1085" s="78"/>
      <c r="L1085" t="s" s="79">
        <v>493</v>
      </c>
      <c r="M1085" s="80">
        <v>2</v>
      </c>
      <c r="N1085" s="81">
        <v>0</v>
      </c>
      <c r="O1085" s="81">
        <v>0</v>
      </c>
    </row>
    <row r="1086" ht="9" customHeight="1" hidden="1">
      <c r="I1086" s="77"/>
      <c r="J1086" s="78"/>
      <c r="K1086" s="78"/>
      <c r="L1086" t="s" s="79">
        <v>1428</v>
      </c>
      <c r="M1086" s="80">
        <v>1</v>
      </c>
      <c r="N1086" s="81">
        <v>482.8404</v>
      </c>
      <c r="O1086" s="81">
        <v>482.8404</v>
      </c>
    </row>
    <row r="1087" ht="9" customHeight="1" hidden="1">
      <c r="I1087" s="77"/>
      <c r="J1087" s="78"/>
      <c r="K1087" s="78"/>
      <c r="L1087" t="s" s="79">
        <v>47</v>
      </c>
      <c r="M1087" s="80">
        <v>1</v>
      </c>
      <c r="N1087" s="81">
        <v>463.5</v>
      </c>
      <c r="O1087" s="81">
        <v>463.5</v>
      </c>
    </row>
    <row r="1088" ht="9" customHeight="1" hidden="1">
      <c r="I1088" s="82"/>
      <c r="J1088" s="83"/>
      <c r="K1088" s="84">
        <v>45413</v>
      </c>
      <c r="L1088" s="85"/>
      <c r="M1088" s="28">
        <v>84</v>
      </c>
      <c r="N1088" s="29">
        <v>3991.2879</v>
      </c>
      <c r="O1088" s="29">
        <v>17041.0254</v>
      </c>
    </row>
    <row r="1089" ht="9" customHeight="1" hidden="1">
      <c r="I1089" s="82"/>
      <c r="J1089" t="s" s="86">
        <v>2097</v>
      </c>
      <c r="K1089" s="87"/>
      <c r="L1089" s="85"/>
      <c r="M1089" s="28">
        <v>84</v>
      </c>
      <c r="N1089" s="29">
        <v>3991.2879</v>
      </c>
      <c r="O1089" s="29">
        <v>17041.0254</v>
      </c>
    </row>
    <row r="1090" ht="9" customHeight="1" hidden="1">
      <c r="I1090" s="77"/>
      <c r="J1090" s="78"/>
      <c r="K1090" s="78"/>
      <c r="L1090" t="s" s="79">
        <v>982</v>
      </c>
      <c r="M1090" s="80">
        <v>2</v>
      </c>
      <c r="N1090" s="81">
        <v>134.9946</v>
      </c>
      <c r="O1090" s="81">
        <v>269.9892</v>
      </c>
    </row>
    <row r="1091" ht="9" customHeight="1" hidden="1">
      <c r="I1091" s="77"/>
      <c r="J1091" s="78"/>
      <c r="K1091" s="78"/>
      <c r="L1091" t="s" s="79">
        <v>882</v>
      </c>
      <c r="M1091" s="80">
        <v>8</v>
      </c>
      <c r="N1091" s="81">
        <v>56.2425</v>
      </c>
      <c r="O1091" s="81">
        <v>449.94</v>
      </c>
    </row>
    <row r="1092" ht="9" customHeight="1" hidden="1">
      <c r="I1092" s="77"/>
      <c r="J1092" s="78"/>
      <c r="K1092" s="78"/>
      <c r="L1092" t="s" s="79">
        <v>359</v>
      </c>
      <c r="M1092" s="80">
        <v>8</v>
      </c>
      <c r="N1092" s="81">
        <v>0</v>
      </c>
      <c r="O1092" s="81">
        <v>0</v>
      </c>
    </row>
    <row r="1093" ht="9" customHeight="1" hidden="1">
      <c r="I1093" s="77"/>
      <c r="J1093" s="78"/>
      <c r="K1093" s="78"/>
      <c r="L1093" t="s" s="79">
        <v>73</v>
      </c>
      <c r="M1093" s="80">
        <v>1</v>
      </c>
      <c r="N1093" s="81">
        <v>299.9925</v>
      </c>
      <c r="O1093" s="81">
        <v>299.9925</v>
      </c>
    </row>
    <row r="1094" ht="9" customHeight="1" hidden="1">
      <c r="I1094" s="77"/>
      <c r="J1094" s="78"/>
      <c r="K1094" s="78"/>
      <c r="L1094" t="s" s="79">
        <v>1428</v>
      </c>
      <c r="M1094" s="80">
        <v>1</v>
      </c>
      <c r="N1094" s="81">
        <v>30.5973</v>
      </c>
      <c r="O1094" s="81">
        <v>30.5973</v>
      </c>
    </row>
    <row r="1095" ht="9" customHeight="1" hidden="1">
      <c r="I1095" s="82"/>
      <c r="J1095" s="83"/>
      <c r="K1095" s="84">
        <v>45413</v>
      </c>
      <c r="L1095" s="85"/>
      <c r="M1095" s="28">
        <v>20</v>
      </c>
      <c r="N1095" s="29">
        <v>521.8269</v>
      </c>
      <c r="O1095" s="29">
        <v>1050.519</v>
      </c>
    </row>
    <row r="1096" ht="9" customHeight="1" hidden="1">
      <c r="I1096" s="82"/>
      <c r="J1096" t="s" s="86">
        <v>2100</v>
      </c>
      <c r="K1096" s="87"/>
      <c r="L1096" s="85"/>
      <c r="M1096" s="28">
        <v>20</v>
      </c>
      <c r="N1096" s="29">
        <v>521.8269</v>
      </c>
      <c r="O1096" s="29">
        <v>1050.519</v>
      </c>
    </row>
    <row r="1097" ht="9" customHeight="1" hidden="1">
      <c r="I1097" s="77"/>
      <c r="J1097" s="78"/>
      <c r="K1097" s="78"/>
      <c r="L1097" t="s" s="79">
        <v>19</v>
      </c>
      <c r="M1097" s="80">
        <v>12</v>
      </c>
      <c r="N1097" s="81">
        <v>89.99250000000001</v>
      </c>
      <c r="O1097" s="81">
        <v>1079.91</v>
      </c>
    </row>
    <row r="1098" ht="9" customHeight="1" hidden="1">
      <c r="I1098" s="77"/>
      <c r="J1098" s="78"/>
      <c r="K1098" s="78"/>
      <c r="L1098" t="s" s="79">
        <v>54</v>
      </c>
      <c r="M1098" s="80">
        <v>10</v>
      </c>
      <c r="N1098" s="81">
        <v>2.4975</v>
      </c>
      <c r="O1098" s="81">
        <v>24.975</v>
      </c>
    </row>
    <row r="1099" ht="9" customHeight="1" hidden="1">
      <c r="I1099" s="77"/>
      <c r="J1099" s="78"/>
      <c r="K1099" s="78"/>
      <c r="L1099" t="s" s="79">
        <v>133</v>
      </c>
      <c r="M1099" s="80">
        <v>2</v>
      </c>
      <c r="N1099" s="81">
        <v>149.9925</v>
      </c>
      <c r="O1099" s="81">
        <v>299.985</v>
      </c>
    </row>
    <row r="1100" ht="9" customHeight="1" hidden="1">
      <c r="I1100" s="77"/>
      <c r="J1100" s="78"/>
      <c r="K1100" s="78"/>
      <c r="L1100" t="s" s="79">
        <v>559</v>
      </c>
      <c r="M1100" s="80">
        <v>30</v>
      </c>
      <c r="N1100" s="81">
        <v>0</v>
      </c>
      <c r="O1100" s="81">
        <v>0</v>
      </c>
    </row>
    <row r="1101" ht="9" customHeight="1" hidden="1">
      <c r="I1101" s="77"/>
      <c r="J1101" s="78"/>
      <c r="K1101" s="78"/>
      <c r="L1101" t="s" s="79">
        <v>1906</v>
      </c>
      <c r="M1101" s="80">
        <v>1</v>
      </c>
      <c r="N1101" s="81">
        <v>-719.9299999999999</v>
      </c>
      <c r="O1101" s="81">
        <v>-719.9299999999999</v>
      </c>
    </row>
    <row r="1102" ht="9" customHeight="1" hidden="1">
      <c r="I1102" s="77"/>
      <c r="J1102" s="78"/>
      <c r="K1102" s="78"/>
      <c r="L1102" t="s" s="79">
        <v>47</v>
      </c>
      <c r="M1102" s="80">
        <v>1</v>
      </c>
      <c r="N1102" s="81">
        <v>45.4</v>
      </c>
      <c r="O1102" s="81">
        <v>45.4</v>
      </c>
    </row>
    <row r="1103" ht="9" customHeight="1" hidden="1">
      <c r="I1103" s="82"/>
      <c r="J1103" s="83"/>
      <c r="K1103" s="84">
        <v>45413</v>
      </c>
      <c r="L1103" s="85"/>
      <c r="M1103" s="28">
        <v>56</v>
      </c>
      <c r="N1103" s="29">
        <v>-432.0475</v>
      </c>
      <c r="O1103" s="29">
        <v>730.34</v>
      </c>
    </row>
    <row r="1104" ht="9" customHeight="1" hidden="1">
      <c r="I1104" s="82"/>
      <c r="J1104" t="s" s="86">
        <v>1905</v>
      </c>
      <c r="K1104" s="87"/>
      <c r="L1104" s="85"/>
      <c r="M1104" s="28">
        <v>56</v>
      </c>
      <c r="N1104" s="29">
        <v>-432.0475</v>
      </c>
      <c r="O1104" s="29">
        <v>730.34</v>
      </c>
    </row>
    <row r="1105" ht="9" customHeight="1" hidden="1">
      <c r="I1105" s="77"/>
      <c r="J1105" s="78"/>
      <c r="K1105" s="78"/>
      <c r="L1105" t="s" s="79">
        <v>1896</v>
      </c>
      <c r="M1105" s="80">
        <v>7</v>
      </c>
      <c r="N1105" s="81">
        <v>56.2425</v>
      </c>
      <c r="O1105" s="81">
        <v>393.6975</v>
      </c>
    </row>
    <row r="1106" ht="9" customHeight="1" hidden="1">
      <c r="I1106" s="77"/>
      <c r="J1106" s="78"/>
      <c r="K1106" s="78"/>
      <c r="L1106" t="s" s="79">
        <v>979</v>
      </c>
      <c r="M1106" s="80">
        <v>1</v>
      </c>
      <c r="N1106" s="81">
        <v>74.99250000000001</v>
      </c>
      <c r="O1106" s="81">
        <v>74.99250000000001</v>
      </c>
    </row>
    <row r="1107" ht="9" customHeight="1" hidden="1">
      <c r="I1107" s="77"/>
      <c r="J1107" s="78"/>
      <c r="K1107" s="78"/>
      <c r="L1107" t="s" s="79">
        <v>47</v>
      </c>
      <c r="M1107" s="80">
        <v>1</v>
      </c>
      <c r="N1107" s="81">
        <v>40.15</v>
      </c>
      <c r="O1107" s="81">
        <v>40.15</v>
      </c>
    </row>
    <row r="1108" ht="9" customHeight="1" hidden="1">
      <c r="I1108" s="82"/>
      <c r="J1108" s="83"/>
      <c r="K1108" s="84">
        <v>45413</v>
      </c>
      <c r="L1108" s="85"/>
      <c r="M1108" s="28">
        <v>9</v>
      </c>
      <c r="N1108" s="29">
        <v>171.385</v>
      </c>
      <c r="O1108" s="29">
        <v>508.84</v>
      </c>
    </row>
    <row r="1109" ht="9" customHeight="1" hidden="1">
      <c r="I1109" s="82"/>
      <c r="J1109" t="s" s="86">
        <v>1895</v>
      </c>
      <c r="K1109" s="87"/>
      <c r="L1109" s="85"/>
      <c r="M1109" s="28">
        <v>9</v>
      </c>
      <c r="N1109" s="29">
        <v>171.385</v>
      </c>
      <c r="O1109" s="29">
        <v>508.84</v>
      </c>
    </row>
    <row r="1110" ht="15.55" customHeight="1">
      <c r="I1110" t="s" s="27">
        <v>1759</v>
      </c>
      <c r="J1110" s="87"/>
      <c r="K1110" s="87"/>
      <c r="L1110" s="85"/>
      <c r="M1110" s="28">
        <v>169</v>
      </c>
      <c r="N1110" s="29">
        <v>4252.4523</v>
      </c>
      <c r="O1110" s="29">
        <v>19330.7244</v>
      </c>
    </row>
    <row r="1111" ht="9" customHeight="1" hidden="1">
      <c r="I1111" s="77"/>
      <c r="J1111" s="78"/>
      <c r="K1111" s="78"/>
      <c r="L1111" t="s" s="79">
        <v>115</v>
      </c>
      <c r="M1111" s="80">
        <v>5</v>
      </c>
      <c r="N1111" s="81">
        <v>22.99</v>
      </c>
      <c r="O1111" s="81">
        <v>114.95</v>
      </c>
    </row>
    <row r="1112" ht="9" customHeight="1" hidden="1">
      <c r="I1112" s="77"/>
      <c r="J1112" s="78"/>
      <c r="K1112" s="78"/>
      <c r="L1112" t="s" s="79">
        <v>1986</v>
      </c>
      <c r="M1112" s="80">
        <v>5</v>
      </c>
      <c r="N1112" s="81">
        <v>72</v>
      </c>
      <c r="O1112" s="81">
        <v>360</v>
      </c>
    </row>
    <row r="1113" ht="9" customHeight="1" hidden="1">
      <c r="I1113" s="82"/>
      <c r="J1113" s="83"/>
      <c r="K1113" s="84">
        <v>45413</v>
      </c>
      <c r="L1113" s="85"/>
      <c r="M1113" s="28">
        <v>10</v>
      </c>
      <c r="N1113" s="29">
        <v>94.98999999999999</v>
      </c>
      <c r="O1113" s="29">
        <v>474.95</v>
      </c>
    </row>
    <row r="1114" ht="9" customHeight="1" hidden="1">
      <c r="I1114" s="82"/>
      <c r="J1114" t="s" s="86">
        <v>1984</v>
      </c>
      <c r="K1114" s="87"/>
      <c r="L1114" s="85"/>
      <c r="M1114" s="28">
        <v>10</v>
      </c>
      <c r="N1114" s="29">
        <v>94.98999999999999</v>
      </c>
      <c r="O1114" s="29">
        <v>474.95</v>
      </c>
    </row>
    <row r="1115" ht="15.55" customHeight="1">
      <c r="I1115" t="s" s="27">
        <v>1985</v>
      </c>
      <c r="J1115" s="87"/>
      <c r="K1115" s="87"/>
      <c r="L1115" s="85"/>
      <c r="M1115" s="28">
        <v>10</v>
      </c>
      <c r="N1115" s="29">
        <v>94.98999999999999</v>
      </c>
      <c r="O1115" s="29">
        <v>474.95</v>
      </c>
    </row>
    <row r="1116" ht="9" customHeight="1" hidden="1">
      <c r="I1116" s="77"/>
      <c r="J1116" s="78"/>
      <c r="K1116" s="78"/>
      <c r="L1116" t="s" s="79">
        <v>39</v>
      </c>
      <c r="M1116" s="80">
        <v>1</v>
      </c>
      <c r="N1116" s="81">
        <v>109.99</v>
      </c>
      <c r="O1116" s="81">
        <v>109.99</v>
      </c>
    </row>
    <row r="1117" ht="9" customHeight="1" hidden="1">
      <c r="I1117" s="82"/>
      <c r="J1117" s="83"/>
      <c r="K1117" s="84">
        <v>45413</v>
      </c>
      <c r="L1117" s="85"/>
      <c r="M1117" s="28">
        <v>1</v>
      </c>
      <c r="N1117" s="29">
        <v>109.99</v>
      </c>
      <c r="O1117" s="29">
        <v>109.99</v>
      </c>
    </row>
    <row r="1118" ht="9" customHeight="1" hidden="1">
      <c r="I1118" s="82"/>
      <c r="J1118" t="s" s="86">
        <v>1995</v>
      </c>
      <c r="K1118" s="87"/>
      <c r="L1118" s="85"/>
      <c r="M1118" s="28">
        <v>1</v>
      </c>
      <c r="N1118" s="29">
        <v>109.99</v>
      </c>
      <c r="O1118" s="29">
        <v>109.99</v>
      </c>
    </row>
    <row r="1119" ht="15.55" customHeight="1">
      <c r="I1119" t="s" s="27">
        <v>1996</v>
      </c>
      <c r="J1119" s="87"/>
      <c r="K1119" s="87"/>
      <c r="L1119" s="85"/>
      <c r="M1119" s="28">
        <v>1</v>
      </c>
      <c r="N1119" s="29">
        <v>109.99</v>
      </c>
      <c r="O1119" s="29">
        <v>109.99</v>
      </c>
    </row>
    <row r="1120" ht="9" customHeight="1" hidden="1">
      <c r="I1120" s="77"/>
      <c r="J1120" s="78"/>
      <c r="K1120" s="78"/>
      <c r="L1120" t="s" s="79">
        <v>31</v>
      </c>
      <c r="M1120" s="80">
        <v>2</v>
      </c>
      <c r="N1120" s="81">
        <v>599.99</v>
      </c>
      <c r="O1120" s="81">
        <v>1199.98</v>
      </c>
    </row>
    <row r="1121" ht="9" customHeight="1" hidden="1">
      <c r="I1121" s="82"/>
      <c r="J1121" s="83"/>
      <c r="K1121" s="84">
        <v>45413</v>
      </c>
      <c r="L1121" s="85"/>
      <c r="M1121" s="28">
        <v>2</v>
      </c>
      <c r="N1121" s="29">
        <v>599.99</v>
      </c>
      <c r="O1121" s="29">
        <v>1199.98</v>
      </c>
    </row>
    <row r="1122" ht="9" customHeight="1" hidden="1">
      <c r="I1122" s="82"/>
      <c r="J1122" t="s" s="86">
        <v>2109</v>
      </c>
      <c r="K1122" s="87"/>
      <c r="L1122" s="85"/>
      <c r="M1122" s="28">
        <v>2</v>
      </c>
      <c r="N1122" s="29">
        <v>599.99</v>
      </c>
      <c r="O1122" s="29">
        <v>1199.98</v>
      </c>
    </row>
    <row r="1123" ht="9" customHeight="1" hidden="1">
      <c r="I1123" s="77"/>
      <c r="J1123" s="78"/>
      <c r="K1123" s="78"/>
      <c r="L1123" t="s" s="79">
        <v>54</v>
      </c>
      <c r="M1123" s="80">
        <v>1</v>
      </c>
      <c r="N1123" s="81">
        <v>0</v>
      </c>
      <c r="O1123" s="81">
        <v>0</v>
      </c>
    </row>
    <row r="1124" ht="9" customHeight="1" hidden="1">
      <c r="I1124" s="82"/>
      <c r="J1124" s="83"/>
      <c r="K1124" s="84">
        <v>45413</v>
      </c>
      <c r="L1124" s="85"/>
      <c r="M1124" s="28">
        <v>1</v>
      </c>
      <c r="N1124" s="29">
        <v>0</v>
      </c>
      <c r="O1124" s="29">
        <v>0</v>
      </c>
    </row>
    <row r="1125" ht="9" customHeight="1" hidden="1">
      <c r="I1125" s="82"/>
      <c r="J1125" t="s" s="86">
        <v>2011</v>
      </c>
      <c r="K1125" s="87"/>
      <c r="L1125" s="85"/>
      <c r="M1125" s="28">
        <v>1</v>
      </c>
      <c r="N1125" s="29">
        <v>0</v>
      </c>
      <c r="O1125" s="29">
        <v>0</v>
      </c>
    </row>
    <row r="1126" ht="15.55" customHeight="1">
      <c r="I1126" t="s" s="27">
        <v>2012</v>
      </c>
      <c r="J1126" s="87"/>
      <c r="K1126" s="87"/>
      <c r="L1126" s="85"/>
      <c r="M1126" s="28">
        <v>3</v>
      </c>
      <c r="N1126" s="29">
        <v>599.99</v>
      </c>
      <c r="O1126" s="29">
        <v>1199.98</v>
      </c>
    </row>
    <row r="1127" ht="9" customHeight="1" hidden="1">
      <c r="I1127" s="77"/>
      <c r="J1127" s="78"/>
      <c r="K1127" s="78"/>
      <c r="L1127" t="s" s="79">
        <v>35</v>
      </c>
      <c r="M1127" s="80">
        <v>2</v>
      </c>
      <c r="N1127" s="81">
        <v>49.99</v>
      </c>
      <c r="O1127" s="81">
        <v>99.98</v>
      </c>
    </row>
    <row r="1128" ht="9" customHeight="1" hidden="1">
      <c r="I1128" s="82"/>
      <c r="J1128" s="83"/>
      <c r="K1128" s="84">
        <v>45413</v>
      </c>
      <c r="L1128" s="85"/>
      <c r="M1128" s="28">
        <v>2</v>
      </c>
      <c r="N1128" s="29">
        <v>49.99</v>
      </c>
      <c r="O1128" s="29">
        <v>99.98</v>
      </c>
    </row>
    <row r="1129" ht="9" customHeight="1" hidden="1">
      <c r="I1129" s="82"/>
      <c r="J1129" t="s" s="86">
        <v>1950</v>
      </c>
      <c r="K1129" s="87"/>
      <c r="L1129" s="85"/>
      <c r="M1129" s="28">
        <v>2</v>
      </c>
      <c r="N1129" s="29">
        <v>49.99</v>
      </c>
      <c r="O1129" s="29">
        <v>99.98</v>
      </c>
    </row>
    <row r="1130" ht="15.55" customHeight="1">
      <c r="I1130" t="s" s="27">
        <v>1951</v>
      </c>
      <c r="J1130" s="87"/>
      <c r="K1130" s="87"/>
      <c r="L1130" s="85"/>
      <c r="M1130" s="28">
        <v>2</v>
      </c>
      <c r="N1130" s="29">
        <v>49.99</v>
      </c>
      <c r="O1130" s="29">
        <v>99.98</v>
      </c>
    </row>
    <row r="1131" ht="9" customHeight="1" hidden="1">
      <c r="I1131" s="77"/>
      <c r="J1131" s="78"/>
      <c r="K1131" s="78"/>
      <c r="L1131" t="s" s="79">
        <v>73</v>
      </c>
      <c r="M1131" s="80">
        <v>1</v>
      </c>
      <c r="N1131" s="81">
        <v>399.99</v>
      </c>
      <c r="O1131" s="81">
        <v>399.99</v>
      </c>
    </row>
    <row r="1132" ht="9" customHeight="1" hidden="1">
      <c r="I1132" s="82"/>
      <c r="J1132" s="83"/>
      <c r="K1132" s="84">
        <v>45413</v>
      </c>
      <c r="L1132" s="85"/>
      <c r="M1132" s="28">
        <v>1</v>
      </c>
      <c r="N1132" s="29">
        <v>399.99</v>
      </c>
      <c r="O1132" s="29">
        <v>399.99</v>
      </c>
    </row>
    <row r="1133" ht="9" customHeight="1" hidden="1">
      <c r="I1133" s="82"/>
      <c r="J1133" t="s" s="86">
        <v>1922</v>
      </c>
      <c r="K1133" s="87"/>
      <c r="L1133" s="85"/>
      <c r="M1133" s="28">
        <v>1</v>
      </c>
      <c r="N1133" s="29">
        <v>399.99</v>
      </c>
      <c r="O1133" s="29">
        <v>399.99</v>
      </c>
    </row>
    <row r="1134" ht="15.55" customHeight="1">
      <c r="I1134" t="s" s="27">
        <v>1923</v>
      </c>
      <c r="J1134" s="87"/>
      <c r="K1134" s="87"/>
      <c r="L1134" s="85"/>
      <c r="M1134" s="28">
        <v>1</v>
      </c>
      <c r="N1134" s="29">
        <v>399.99</v>
      </c>
      <c r="O1134" s="29">
        <v>399.99</v>
      </c>
    </row>
    <row r="1135" ht="9" customHeight="1" hidden="1">
      <c r="I1135" s="77"/>
      <c r="J1135" s="78"/>
      <c r="K1135" s="78"/>
      <c r="L1135" t="s" s="79">
        <v>1695</v>
      </c>
      <c r="M1135" s="80">
        <v>2</v>
      </c>
      <c r="N1135" s="81">
        <v>49.99</v>
      </c>
      <c r="O1135" s="81">
        <v>99.98</v>
      </c>
    </row>
    <row r="1136" ht="9" customHeight="1" hidden="1">
      <c r="I1136" s="77"/>
      <c r="J1136" s="78"/>
      <c r="K1136" s="78"/>
      <c r="L1136" t="s" s="79">
        <v>15</v>
      </c>
      <c r="M1136" s="80">
        <v>2</v>
      </c>
      <c r="N1136" s="81">
        <v>0</v>
      </c>
      <c r="O1136" s="81">
        <v>0</v>
      </c>
    </row>
    <row r="1137" ht="9" customHeight="1" hidden="1">
      <c r="I1137" s="82"/>
      <c r="J1137" s="83"/>
      <c r="K1137" s="84">
        <v>45413</v>
      </c>
      <c r="L1137" s="85"/>
      <c r="M1137" s="28">
        <v>4</v>
      </c>
      <c r="N1137" s="29">
        <v>49.99</v>
      </c>
      <c r="O1137" s="29">
        <v>99.98</v>
      </c>
    </row>
    <row r="1138" ht="9" customHeight="1" hidden="1">
      <c r="I1138" s="82"/>
      <c r="J1138" t="s" s="86">
        <v>1864</v>
      </c>
      <c r="K1138" s="87"/>
      <c r="L1138" s="85"/>
      <c r="M1138" s="28">
        <v>4</v>
      </c>
      <c r="N1138" s="29">
        <v>49.99</v>
      </c>
      <c r="O1138" s="29">
        <v>99.98</v>
      </c>
    </row>
    <row r="1139" ht="15.55" customHeight="1">
      <c r="I1139" t="s" s="27">
        <v>1865</v>
      </c>
      <c r="J1139" s="87"/>
      <c r="K1139" s="87"/>
      <c r="L1139" s="85"/>
      <c r="M1139" s="28">
        <v>4</v>
      </c>
      <c r="N1139" s="29">
        <v>49.99</v>
      </c>
      <c r="O1139" s="29">
        <v>99.98</v>
      </c>
    </row>
    <row r="1140" ht="9" customHeight="1" hidden="1">
      <c r="I1140" s="77"/>
      <c r="J1140" s="78"/>
      <c r="K1140" s="78"/>
      <c r="L1140" t="s" s="79">
        <v>19</v>
      </c>
      <c r="M1140" s="80">
        <v>6</v>
      </c>
      <c r="N1140" s="81">
        <v>119.99</v>
      </c>
      <c r="O1140" s="81">
        <v>719.9400000000001</v>
      </c>
    </row>
    <row r="1141" ht="9" customHeight="1" hidden="1">
      <c r="I1141" s="82"/>
      <c r="J1141" s="83"/>
      <c r="K1141" s="84">
        <v>45413</v>
      </c>
      <c r="L1141" s="85"/>
      <c r="M1141" s="28">
        <v>6</v>
      </c>
      <c r="N1141" s="29">
        <v>119.99</v>
      </c>
      <c r="O1141" s="29">
        <v>719.9400000000001</v>
      </c>
    </row>
    <row r="1142" ht="9" customHeight="1" hidden="1">
      <c r="I1142" s="82"/>
      <c r="J1142" t="s" s="86">
        <v>2116</v>
      </c>
      <c r="K1142" s="87"/>
      <c r="L1142" s="85"/>
      <c r="M1142" s="28">
        <v>6</v>
      </c>
      <c r="N1142" s="29">
        <v>119.99</v>
      </c>
      <c r="O1142" s="29">
        <v>719.9400000000001</v>
      </c>
    </row>
    <row r="1143" ht="15.55" customHeight="1">
      <c r="I1143" t="s" s="27">
        <v>2117</v>
      </c>
      <c r="J1143" s="87"/>
      <c r="K1143" s="87"/>
      <c r="L1143" s="85"/>
      <c r="M1143" s="28">
        <v>6</v>
      </c>
      <c r="N1143" s="29">
        <v>119.99</v>
      </c>
      <c r="O1143" s="29">
        <v>719.9400000000001</v>
      </c>
    </row>
    <row r="1144" ht="9" customHeight="1" hidden="1">
      <c r="I1144" s="77"/>
      <c r="J1144" s="78"/>
      <c r="K1144" s="78"/>
      <c r="L1144" t="s" s="79">
        <v>402</v>
      </c>
      <c r="M1144" s="80">
        <v>4</v>
      </c>
      <c r="N1144" s="81">
        <v>0</v>
      </c>
      <c r="O1144" s="81">
        <v>0</v>
      </c>
    </row>
    <row r="1145" ht="9" customHeight="1" hidden="1">
      <c r="I1145" s="82"/>
      <c r="J1145" s="83"/>
      <c r="K1145" s="84">
        <v>45413</v>
      </c>
      <c r="L1145" s="85"/>
      <c r="M1145" s="28">
        <v>4</v>
      </c>
      <c r="N1145" s="29">
        <v>0</v>
      </c>
      <c r="O1145" s="29">
        <v>0</v>
      </c>
    </row>
    <row r="1146" ht="9" customHeight="1" hidden="1">
      <c r="I1146" s="82"/>
      <c r="J1146" t="s" s="86">
        <v>1880</v>
      </c>
      <c r="K1146" s="87"/>
      <c r="L1146" s="85"/>
      <c r="M1146" s="28">
        <v>4</v>
      </c>
      <c r="N1146" s="29">
        <v>0</v>
      </c>
      <c r="O1146" s="29">
        <v>0</v>
      </c>
    </row>
    <row r="1147" ht="15.55" customHeight="1">
      <c r="I1147" t="s" s="27">
        <v>1881</v>
      </c>
      <c r="J1147" s="87"/>
      <c r="K1147" s="87"/>
      <c r="L1147" s="85"/>
      <c r="M1147" s="28">
        <v>4</v>
      </c>
      <c r="N1147" s="29">
        <v>0</v>
      </c>
      <c r="O1147" s="29">
        <v>0</v>
      </c>
    </row>
    <row r="1148" ht="9" customHeight="1" hidden="1">
      <c r="I1148" s="77"/>
      <c r="J1148" s="78"/>
      <c r="K1148" s="78"/>
      <c r="L1148" t="s" s="79">
        <v>2125</v>
      </c>
      <c r="M1148" s="80">
        <v>1</v>
      </c>
      <c r="N1148" s="81">
        <v>0</v>
      </c>
      <c r="O1148" s="81">
        <v>0</v>
      </c>
    </row>
    <row r="1149" ht="9" customHeight="1" hidden="1">
      <c r="I1149" s="82"/>
      <c r="J1149" s="83"/>
      <c r="K1149" s="84">
        <v>45413</v>
      </c>
      <c r="L1149" s="85"/>
      <c r="M1149" s="28">
        <v>1</v>
      </c>
      <c r="N1149" s="29">
        <v>0</v>
      </c>
      <c r="O1149" s="29">
        <v>0</v>
      </c>
    </row>
    <row r="1150" ht="9" customHeight="1" hidden="1">
      <c r="I1150" s="82"/>
      <c r="J1150" t="s" s="86">
        <v>2142</v>
      </c>
      <c r="K1150" s="87"/>
      <c r="L1150" s="85"/>
      <c r="M1150" s="28">
        <v>1</v>
      </c>
      <c r="N1150" s="29">
        <v>0</v>
      </c>
      <c r="O1150" s="29">
        <v>0</v>
      </c>
    </row>
    <row r="1151" ht="15.55" customHeight="1">
      <c r="I1151" t="s" s="27">
        <v>2143</v>
      </c>
      <c r="J1151" s="87"/>
      <c r="K1151" s="87"/>
      <c r="L1151" s="85"/>
      <c r="M1151" s="28">
        <v>1</v>
      </c>
      <c r="N1151" s="29">
        <v>0</v>
      </c>
      <c r="O1151" s="29">
        <v>0</v>
      </c>
    </row>
    <row r="1152" ht="9" customHeight="1" hidden="1">
      <c r="I1152" s="77"/>
      <c r="J1152" s="78"/>
      <c r="K1152" s="78"/>
      <c r="L1152" t="s" s="79">
        <v>19</v>
      </c>
      <c r="M1152" s="80">
        <v>2</v>
      </c>
      <c r="N1152" s="81">
        <v>119.99</v>
      </c>
      <c r="O1152" s="81">
        <v>239.98</v>
      </c>
    </row>
    <row r="1153" ht="9" customHeight="1" hidden="1">
      <c r="I1153" s="77"/>
      <c r="J1153" s="78"/>
      <c r="K1153" s="78"/>
      <c r="L1153" t="s" s="79">
        <v>84</v>
      </c>
      <c r="M1153" s="80">
        <v>2</v>
      </c>
      <c r="N1153" s="81">
        <v>0</v>
      </c>
      <c r="O1153" s="81">
        <v>0</v>
      </c>
    </row>
    <row r="1154" ht="9" customHeight="1" hidden="1">
      <c r="I1154" s="77"/>
      <c r="J1154" s="78"/>
      <c r="K1154" s="78"/>
      <c r="L1154" t="s" s="79">
        <v>179</v>
      </c>
      <c r="M1154" s="80">
        <v>2</v>
      </c>
      <c r="N1154" s="81">
        <v>49.99</v>
      </c>
      <c r="O1154" s="81">
        <v>99.98</v>
      </c>
    </row>
    <row r="1155" ht="9" customHeight="1" hidden="1">
      <c r="I1155" s="77"/>
      <c r="J1155" s="78"/>
      <c r="K1155" s="78"/>
      <c r="L1155" t="s" s="79">
        <v>23</v>
      </c>
      <c r="M1155" s="80">
        <v>2</v>
      </c>
      <c r="N1155" s="81">
        <v>0</v>
      </c>
      <c r="O1155" s="81">
        <v>0</v>
      </c>
    </row>
    <row r="1156" ht="9" customHeight="1" hidden="1">
      <c r="I1156" s="77"/>
      <c r="J1156" s="78"/>
      <c r="K1156" s="78"/>
      <c r="L1156" t="s" s="79">
        <v>81</v>
      </c>
      <c r="M1156" s="80">
        <v>2</v>
      </c>
      <c r="N1156" s="81">
        <v>849.99</v>
      </c>
      <c r="O1156" s="81">
        <v>1699.98</v>
      </c>
    </row>
    <row r="1157" ht="9" customHeight="1" hidden="1">
      <c r="I1157" s="77"/>
      <c r="J1157" s="78"/>
      <c r="K1157" s="78"/>
      <c r="L1157" t="s" s="79">
        <v>50</v>
      </c>
      <c r="M1157" s="80">
        <v>2</v>
      </c>
      <c r="N1157" s="81">
        <v>0</v>
      </c>
      <c r="O1157" s="81">
        <v>0</v>
      </c>
    </row>
    <row r="1158" ht="9" customHeight="1" hidden="1">
      <c r="I1158" s="82"/>
      <c r="J1158" s="83"/>
      <c r="K1158" s="84">
        <v>45413</v>
      </c>
      <c r="L1158" s="85"/>
      <c r="M1158" s="28">
        <v>12</v>
      </c>
      <c r="N1158" s="29">
        <v>1019.97</v>
      </c>
      <c r="O1158" s="29">
        <v>2039.94</v>
      </c>
    </row>
    <row r="1159" ht="9" customHeight="1" hidden="1">
      <c r="I1159" s="82"/>
      <c r="J1159" t="s" s="86">
        <v>2041</v>
      </c>
      <c r="K1159" s="87"/>
      <c r="L1159" s="85"/>
      <c r="M1159" s="28">
        <v>12</v>
      </c>
      <c r="N1159" s="29">
        <v>1019.97</v>
      </c>
      <c r="O1159" s="29">
        <v>2039.94</v>
      </c>
    </row>
    <row r="1160" ht="15.55" customHeight="1">
      <c r="I1160" t="s" s="27">
        <v>2042</v>
      </c>
      <c r="J1160" s="87"/>
      <c r="K1160" s="87"/>
      <c r="L1160" s="85"/>
      <c r="M1160" s="28">
        <v>12</v>
      </c>
      <c r="N1160" s="29">
        <v>1019.97</v>
      </c>
      <c r="O1160" s="29">
        <v>2039.94</v>
      </c>
    </row>
    <row r="1161" ht="9" customHeight="1" hidden="1">
      <c r="I1161" s="77"/>
      <c r="J1161" s="78"/>
      <c r="K1161" s="78"/>
      <c r="L1161" t="s" s="79">
        <v>27</v>
      </c>
      <c r="M1161" s="80">
        <v>1</v>
      </c>
      <c r="N1161" s="81">
        <v>79.98999999999999</v>
      </c>
      <c r="O1161" s="81">
        <v>79.98999999999999</v>
      </c>
    </row>
    <row r="1162" ht="9" customHeight="1" hidden="1">
      <c r="I1162" s="82"/>
      <c r="J1162" s="83"/>
      <c r="K1162" s="84">
        <v>45413</v>
      </c>
      <c r="L1162" s="85"/>
      <c r="M1162" s="28">
        <v>1</v>
      </c>
      <c r="N1162" s="29">
        <v>79.98999999999999</v>
      </c>
      <c r="O1162" s="29">
        <v>79.98999999999999</v>
      </c>
    </row>
    <row r="1163" ht="9" customHeight="1" hidden="1">
      <c r="I1163" s="82"/>
      <c r="J1163" t="s" s="86">
        <v>1857</v>
      </c>
      <c r="K1163" s="87"/>
      <c r="L1163" s="85"/>
      <c r="M1163" s="28">
        <v>1</v>
      </c>
      <c r="N1163" s="29">
        <v>79.98999999999999</v>
      </c>
      <c r="O1163" s="29">
        <v>79.98999999999999</v>
      </c>
    </row>
    <row r="1164" ht="15.55" customHeight="1">
      <c r="I1164" t="s" s="27">
        <v>1858</v>
      </c>
      <c r="J1164" s="87"/>
      <c r="K1164" s="87"/>
      <c r="L1164" s="85"/>
      <c r="M1164" s="28">
        <v>1</v>
      </c>
      <c r="N1164" s="29">
        <v>79.98999999999999</v>
      </c>
      <c r="O1164" s="29">
        <v>79.98999999999999</v>
      </c>
    </row>
    <row r="1165" ht="9" customHeight="1" hidden="1">
      <c r="I1165" s="77"/>
      <c r="J1165" s="78"/>
      <c r="K1165" s="78"/>
      <c r="L1165" t="s" s="79">
        <v>89</v>
      </c>
      <c r="M1165" s="80">
        <v>1</v>
      </c>
      <c r="N1165" s="81">
        <v>59.99</v>
      </c>
      <c r="O1165" s="81">
        <v>59.99</v>
      </c>
    </row>
    <row r="1166" ht="9" customHeight="1" hidden="1">
      <c r="I1166" s="82"/>
      <c r="J1166" s="83"/>
      <c r="K1166" s="84">
        <v>45413</v>
      </c>
      <c r="L1166" s="85"/>
      <c r="M1166" s="28">
        <v>1</v>
      </c>
      <c r="N1166" s="29">
        <v>59.99</v>
      </c>
      <c r="O1166" s="29">
        <v>59.99</v>
      </c>
    </row>
    <row r="1167" ht="9" customHeight="1" hidden="1">
      <c r="I1167" s="82"/>
      <c r="J1167" t="s" s="86">
        <v>2093</v>
      </c>
      <c r="K1167" s="87"/>
      <c r="L1167" s="85"/>
      <c r="M1167" s="28">
        <v>1</v>
      </c>
      <c r="N1167" s="29">
        <v>59.99</v>
      </c>
      <c r="O1167" s="29">
        <v>59.99</v>
      </c>
    </row>
    <row r="1168" ht="15.55" customHeight="1">
      <c r="I1168" t="s" s="27">
        <v>2094</v>
      </c>
      <c r="J1168" s="87"/>
      <c r="K1168" s="87"/>
      <c r="L1168" s="85"/>
      <c r="M1168" s="28">
        <v>1</v>
      </c>
      <c r="N1168" s="29">
        <v>59.99</v>
      </c>
      <c r="O1168" s="29">
        <v>59.99</v>
      </c>
    </row>
    <row r="1169" ht="9" customHeight="1" hidden="1">
      <c r="I1169" s="77"/>
      <c r="J1169" s="78"/>
      <c r="K1169" s="78"/>
      <c r="L1169" t="s" s="79">
        <v>602</v>
      </c>
      <c r="M1169" s="80">
        <v>1</v>
      </c>
      <c r="N1169" s="81">
        <v>299.99</v>
      </c>
      <c r="O1169" s="81">
        <v>299.99</v>
      </c>
    </row>
    <row r="1170" ht="9" customHeight="1" hidden="1">
      <c r="I1170" s="82"/>
      <c r="J1170" s="83"/>
      <c r="K1170" s="84">
        <v>45413</v>
      </c>
      <c r="L1170" s="85"/>
      <c r="M1170" s="28">
        <v>1</v>
      </c>
      <c r="N1170" s="29">
        <v>299.99</v>
      </c>
      <c r="O1170" s="29">
        <v>299.99</v>
      </c>
    </row>
    <row r="1171" ht="9" customHeight="1" hidden="1">
      <c r="I1171" s="82"/>
      <c r="J1171" t="s" s="86">
        <v>2051</v>
      </c>
      <c r="K1171" s="87"/>
      <c r="L1171" s="85"/>
      <c r="M1171" s="28">
        <v>1</v>
      </c>
      <c r="N1171" s="29">
        <v>299.99</v>
      </c>
      <c r="O1171" s="29">
        <v>299.99</v>
      </c>
    </row>
    <row r="1172" ht="9" customHeight="1" hidden="1">
      <c r="I1172" s="77"/>
      <c r="J1172" s="78"/>
      <c r="K1172" s="78"/>
      <c r="L1172" t="s" s="79">
        <v>602</v>
      </c>
      <c r="M1172" s="80">
        <v>1</v>
      </c>
      <c r="N1172" s="81">
        <v>299.99</v>
      </c>
      <c r="O1172" s="81">
        <v>299.99</v>
      </c>
    </row>
    <row r="1173" ht="9" customHeight="1" hidden="1">
      <c r="I1173" s="82"/>
      <c r="J1173" s="83"/>
      <c r="K1173" s="84">
        <v>45413</v>
      </c>
      <c r="L1173" s="85"/>
      <c r="M1173" s="28">
        <v>1</v>
      </c>
      <c r="N1173" s="29">
        <v>299.99</v>
      </c>
      <c r="O1173" s="29">
        <v>299.99</v>
      </c>
    </row>
    <row r="1174" ht="9" customHeight="1" hidden="1">
      <c r="I1174" s="82"/>
      <c r="J1174" t="s" s="86">
        <v>1990</v>
      </c>
      <c r="K1174" s="87"/>
      <c r="L1174" s="85"/>
      <c r="M1174" s="28">
        <v>1</v>
      </c>
      <c r="N1174" s="29">
        <v>299.99</v>
      </c>
      <c r="O1174" s="29">
        <v>299.99</v>
      </c>
    </row>
    <row r="1175" ht="15.55" customHeight="1">
      <c r="I1175" t="s" s="27">
        <v>1991</v>
      </c>
      <c r="J1175" s="87"/>
      <c r="K1175" s="87"/>
      <c r="L1175" s="85"/>
      <c r="M1175" s="28">
        <v>2</v>
      </c>
      <c r="N1175" s="29">
        <v>599.98</v>
      </c>
      <c r="O1175" s="29">
        <v>599.98</v>
      </c>
    </row>
    <row r="1176" ht="9" customHeight="1" hidden="1">
      <c r="I1176" s="77"/>
      <c r="J1176" s="78"/>
      <c r="K1176" s="78"/>
      <c r="L1176" t="s" s="79">
        <v>171</v>
      </c>
      <c r="M1176" s="80">
        <v>1</v>
      </c>
      <c r="N1176" s="81">
        <v>412.4925</v>
      </c>
      <c r="O1176" s="81">
        <v>412.4925</v>
      </c>
    </row>
    <row r="1177" ht="9" customHeight="1" hidden="1">
      <c r="I1177" s="77"/>
      <c r="J1177" s="78"/>
      <c r="K1177" s="78"/>
      <c r="L1177" t="s" s="79">
        <v>27</v>
      </c>
      <c r="M1177" s="80">
        <v>2</v>
      </c>
      <c r="N1177" s="81">
        <v>59.9925</v>
      </c>
      <c r="O1177" s="81">
        <v>119.985</v>
      </c>
    </row>
    <row r="1178" ht="9" customHeight="1" hidden="1">
      <c r="I1178" s="77"/>
      <c r="J1178" s="78"/>
      <c r="K1178" s="78"/>
      <c r="L1178" t="s" s="79">
        <v>63</v>
      </c>
      <c r="M1178" s="80">
        <v>1</v>
      </c>
      <c r="N1178" s="81">
        <v>66.8</v>
      </c>
      <c r="O1178" s="81">
        <v>66.8</v>
      </c>
    </row>
    <row r="1179" ht="9" customHeight="1" hidden="1">
      <c r="I1179" s="82"/>
      <c r="J1179" s="83"/>
      <c r="K1179" s="84">
        <v>45413</v>
      </c>
      <c r="L1179" s="85"/>
      <c r="M1179" s="28">
        <v>4</v>
      </c>
      <c r="N1179" s="29">
        <v>539.285</v>
      </c>
      <c r="O1179" s="29">
        <v>599.2775</v>
      </c>
    </row>
    <row r="1180" ht="9" customHeight="1" hidden="1">
      <c r="I1180" s="82"/>
      <c r="J1180" t="s" s="86">
        <v>1969</v>
      </c>
      <c r="K1180" s="87"/>
      <c r="L1180" s="85"/>
      <c r="M1180" s="28">
        <v>4</v>
      </c>
      <c r="N1180" s="29">
        <v>539.285</v>
      </c>
      <c r="O1180" s="29">
        <v>599.2775</v>
      </c>
    </row>
    <row r="1181" ht="15.55" customHeight="1">
      <c r="I1181" t="s" s="27">
        <v>721</v>
      </c>
      <c r="J1181" s="87"/>
      <c r="K1181" s="87"/>
      <c r="L1181" s="85"/>
      <c r="M1181" s="28">
        <v>4</v>
      </c>
      <c r="N1181" s="29">
        <v>539.285</v>
      </c>
      <c r="O1181" s="29">
        <v>599.2775</v>
      </c>
    </row>
    <row r="1182" ht="9" customHeight="1" hidden="1">
      <c r="I1182" s="77"/>
      <c r="J1182" s="78"/>
      <c r="K1182" s="78"/>
      <c r="L1182" t="s" s="79">
        <v>35</v>
      </c>
      <c r="M1182" s="80">
        <v>2</v>
      </c>
      <c r="N1182" s="81">
        <v>49.99</v>
      </c>
      <c r="O1182" s="81">
        <v>99.98</v>
      </c>
    </row>
    <row r="1183" ht="9" customHeight="1" hidden="1">
      <c r="I1183" s="82"/>
      <c r="J1183" s="83"/>
      <c r="K1183" s="84">
        <v>45413</v>
      </c>
      <c r="L1183" s="85"/>
      <c r="M1183" s="28">
        <v>2</v>
      </c>
      <c r="N1183" s="29">
        <v>49.99</v>
      </c>
      <c r="O1183" s="29">
        <v>99.98</v>
      </c>
    </row>
    <row r="1184" ht="9" customHeight="1" hidden="1">
      <c r="I1184" s="82"/>
      <c r="J1184" t="s" s="86">
        <v>2026</v>
      </c>
      <c r="K1184" s="87"/>
      <c r="L1184" s="85"/>
      <c r="M1184" s="28">
        <v>2</v>
      </c>
      <c r="N1184" s="29">
        <v>49.99</v>
      </c>
      <c r="O1184" s="29">
        <v>99.98</v>
      </c>
    </row>
    <row r="1185" ht="15.55" customHeight="1">
      <c r="I1185" t="s" s="27">
        <v>2027</v>
      </c>
      <c r="J1185" s="87"/>
      <c r="K1185" s="87"/>
      <c r="L1185" s="85"/>
      <c r="M1185" s="28">
        <v>2</v>
      </c>
      <c r="N1185" s="29">
        <v>49.99</v>
      </c>
      <c r="O1185" s="29">
        <v>99.98</v>
      </c>
    </row>
    <row r="1186" ht="9" customHeight="1" hidden="1">
      <c r="I1186" s="77"/>
      <c r="J1186" s="78"/>
      <c r="K1186" s="78"/>
      <c r="L1186" t="s" s="79">
        <v>73</v>
      </c>
      <c r="M1186" s="80">
        <v>1</v>
      </c>
      <c r="N1186" s="81">
        <v>399.99</v>
      </c>
      <c r="O1186" s="81">
        <v>399.99</v>
      </c>
    </row>
    <row r="1187" ht="9" customHeight="1" hidden="1">
      <c r="I1187" s="82"/>
      <c r="J1187" s="83"/>
      <c r="K1187" s="84">
        <v>45413</v>
      </c>
      <c r="L1187" s="85"/>
      <c r="M1187" s="28">
        <v>1</v>
      </c>
      <c r="N1187" s="29">
        <v>399.99</v>
      </c>
      <c r="O1187" s="29">
        <v>399.99</v>
      </c>
    </row>
    <row r="1188" ht="9" customHeight="1" hidden="1">
      <c r="I1188" s="82"/>
      <c r="J1188" t="s" s="86">
        <v>2092</v>
      </c>
      <c r="K1188" s="87"/>
      <c r="L1188" s="85"/>
      <c r="M1188" s="28">
        <v>1</v>
      </c>
      <c r="N1188" s="29">
        <v>399.99</v>
      </c>
      <c r="O1188" s="29">
        <v>399.99</v>
      </c>
    </row>
    <row r="1189" ht="9" customHeight="1" hidden="1">
      <c r="I1189" s="77"/>
      <c r="J1189" s="78"/>
      <c r="K1189" s="78"/>
      <c r="L1189" t="s" s="79">
        <v>179</v>
      </c>
      <c r="M1189" s="80">
        <v>2</v>
      </c>
      <c r="N1189" s="81">
        <v>49.99</v>
      </c>
      <c r="O1189" s="81">
        <v>99.98</v>
      </c>
    </row>
    <row r="1190" ht="9" customHeight="1" hidden="1">
      <c r="I1190" s="77"/>
      <c r="J1190" s="78"/>
      <c r="K1190" s="78"/>
      <c r="L1190" t="s" s="79">
        <v>23</v>
      </c>
      <c r="M1190" s="80">
        <v>1</v>
      </c>
      <c r="N1190" s="81">
        <v>0</v>
      </c>
      <c r="O1190" s="81">
        <v>0</v>
      </c>
    </row>
    <row r="1191" ht="9" customHeight="1" hidden="1">
      <c r="I1191" s="77"/>
      <c r="J1191" s="78"/>
      <c r="K1191" s="78"/>
      <c r="L1191" t="s" s="79">
        <v>81</v>
      </c>
      <c r="M1191" s="80">
        <v>1</v>
      </c>
      <c r="N1191" s="81">
        <v>849.99</v>
      </c>
      <c r="O1191" s="81">
        <v>849.99</v>
      </c>
    </row>
    <row r="1192" ht="9" customHeight="1" hidden="1">
      <c r="I1192" s="77"/>
      <c r="J1192" s="78"/>
      <c r="K1192" s="78"/>
      <c r="L1192" t="s" s="79">
        <v>50</v>
      </c>
      <c r="M1192" s="80">
        <v>1</v>
      </c>
      <c r="N1192" s="81">
        <v>0</v>
      </c>
      <c r="O1192" s="81">
        <v>0</v>
      </c>
    </row>
    <row r="1193" ht="9" customHeight="1" hidden="1">
      <c r="I1193" s="82"/>
      <c r="J1193" s="83"/>
      <c r="K1193" s="84">
        <v>45413</v>
      </c>
      <c r="L1193" s="85"/>
      <c r="M1193" s="28">
        <v>5</v>
      </c>
      <c r="N1193" s="29">
        <v>899.98</v>
      </c>
      <c r="O1193" s="29">
        <v>949.97</v>
      </c>
    </row>
    <row r="1194" ht="9" customHeight="1" hidden="1">
      <c r="I1194" s="82"/>
      <c r="J1194" t="s" s="86">
        <v>2054</v>
      </c>
      <c r="K1194" s="87"/>
      <c r="L1194" s="85"/>
      <c r="M1194" s="28">
        <v>5</v>
      </c>
      <c r="N1194" s="29">
        <v>899.98</v>
      </c>
      <c r="O1194" s="29">
        <v>949.97</v>
      </c>
    </row>
    <row r="1195" ht="9" customHeight="1" hidden="1">
      <c r="I1195" s="77"/>
      <c r="J1195" s="78"/>
      <c r="K1195" s="78"/>
      <c r="L1195" t="s" s="79">
        <v>19</v>
      </c>
      <c r="M1195" s="80">
        <v>2</v>
      </c>
      <c r="N1195" s="81">
        <v>119.99</v>
      </c>
      <c r="O1195" s="81">
        <v>239.98</v>
      </c>
    </row>
    <row r="1196" ht="9" customHeight="1" hidden="1">
      <c r="I1196" s="77"/>
      <c r="J1196" s="78"/>
      <c r="K1196" s="78"/>
      <c r="L1196" t="s" s="79">
        <v>589</v>
      </c>
      <c r="M1196" s="80">
        <v>2</v>
      </c>
      <c r="N1196" s="81">
        <v>7.49</v>
      </c>
      <c r="O1196" s="81">
        <v>14.98</v>
      </c>
    </row>
    <row r="1197" ht="9" customHeight="1" hidden="1">
      <c r="I1197" s="82"/>
      <c r="J1197" s="83"/>
      <c r="K1197" s="84">
        <v>45413</v>
      </c>
      <c r="L1197" s="85"/>
      <c r="M1197" s="28">
        <v>4</v>
      </c>
      <c r="N1197" s="29">
        <v>127.48</v>
      </c>
      <c r="O1197" s="29">
        <v>254.96</v>
      </c>
    </row>
    <row r="1198" ht="9" customHeight="1" hidden="1">
      <c r="I1198" s="82"/>
      <c r="J1198" t="s" s="86">
        <v>1970</v>
      </c>
      <c r="K1198" s="87"/>
      <c r="L1198" s="85"/>
      <c r="M1198" s="28">
        <v>4</v>
      </c>
      <c r="N1198" s="29">
        <v>127.48</v>
      </c>
      <c r="O1198" s="29">
        <v>254.96</v>
      </c>
    </row>
    <row r="1199" ht="9" customHeight="1" hidden="1">
      <c r="I1199" s="77"/>
      <c r="J1199" s="78"/>
      <c r="K1199" s="78"/>
      <c r="L1199" t="s" s="79">
        <v>1695</v>
      </c>
      <c r="M1199" s="80">
        <v>2</v>
      </c>
      <c r="N1199" s="81">
        <v>49.99</v>
      </c>
      <c r="O1199" s="81">
        <v>99.98</v>
      </c>
    </row>
    <row r="1200" ht="9" customHeight="1" hidden="1">
      <c r="I1200" s="77"/>
      <c r="J1200" s="78"/>
      <c r="K1200" s="78"/>
      <c r="L1200" t="s" s="79">
        <v>15</v>
      </c>
      <c r="M1200" s="80">
        <v>2</v>
      </c>
      <c r="N1200" s="81">
        <v>0</v>
      </c>
      <c r="O1200" s="81">
        <v>0</v>
      </c>
    </row>
    <row r="1201" ht="9" customHeight="1" hidden="1">
      <c r="I1201" s="82"/>
      <c r="J1201" s="83"/>
      <c r="K1201" s="84">
        <v>45413</v>
      </c>
      <c r="L1201" s="85"/>
      <c r="M1201" s="28">
        <v>4</v>
      </c>
      <c r="N1201" s="29">
        <v>49.99</v>
      </c>
      <c r="O1201" s="29">
        <v>99.98</v>
      </c>
    </row>
    <row r="1202" ht="9" customHeight="1" hidden="1">
      <c r="I1202" s="82"/>
      <c r="J1202" t="s" s="86">
        <v>1955</v>
      </c>
      <c r="K1202" s="87"/>
      <c r="L1202" s="85"/>
      <c r="M1202" s="28">
        <v>4</v>
      </c>
      <c r="N1202" s="29">
        <v>49.99</v>
      </c>
      <c r="O1202" s="29">
        <v>99.98</v>
      </c>
    </row>
    <row r="1203" ht="15.55" customHeight="1">
      <c r="I1203" t="s" s="27">
        <v>1956</v>
      </c>
      <c r="J1203" s="87"/>
      <c r="K1203" s="87"/>
      <c r="L1203" s="85"/>
      <c r="M1203" s="28">
        <v>14</v>
      </c>
      <c r="N1203" s="29">
        <v>1477.44</v>
      </c>
      <c r="O1203" s="29">
        <v>1704.9</v>
      </c>
    </row>
    <row r="1204" ht="9" customHeight="1" hidden="1">
      <c r="I1204" s="77"/>
      <c r="J1204" s="78"/>
      <c r="K1204" s="78"/>
      <c r="L1204" t="s" s="79">
        <v>402</v>
      </c>
      <c r="M1204" s="80">
        <v>2</v>
      </c>
      <c r="N1204" s="81">
        <v>0</v>
      </c>
      <c r="O1204" s="81">
        <v>0</v>
      </c>
    </row>
    <row r="1205" ht="9" customHeight="1" hidden="1">
      <c r="I1205" s="77"/>
      <c r="J1205" s="78"/>
      <c r="K1205" s="78"/>
      <c r="L1205" t="s" s="79">
        <v>254</v>
      </c>
      <c r="M1205" s="80">
        <v>1</v>
      </c>
      <c r="N1205" s="81">
        <v>0</v>
      </c>
      <c r="O1205" s="81">
        <v>0</v>
      </c>
    </row>
    <row r="1206" ht="9" customHeight="1" hidden="1">
      <c r="I1206" s="77"/>
      <c r="J1206" s="78"/>
      <c r="K1206" s="78"/>
      <c r="L1206" t="s" s="79">
        <v>2125</v>
      </c>
      <c r="M1206" s="80">
        <v>1</v>
      </c>
      <c r="N1206" s="81">
        <v>0</v>
      </c>
      <c r="O1206" s="81">
        <v>0</v>
      </c>
    </row>
    <row r="1207" ht="9" customHeight="1" hidden="1">
      <c r="I1207" s="77"/>
      <c r="J1207" s="78"/>
      <c r="K1207" s="78"/>
      <c r="L1207" t="s" s="79">
        <v>726</v>
      </c>
      <c r="M1207" s="80">
        <v>1</v>
      </c>
      <c r="N1207" s="81">
        <v>0</v>
      </c>
      <c r="O1207" s="81">
        <v>0</v>
      </c>
    </row>
    <row r="1208" ht="9" customHeight="1" hidden="1">
      <c r="I1208" s="82"/>
      <c r="J1208" s="83"/>
      <c r="K1208" s="84">
        <v>45413</v>
      </c>
      <c r="L1208" s="85"/>
      <c r="M1208" s="28">
        <v>5</v>
      </c>
      <c r="N1208" s="29">
        <v>0</v>
      </c>
      <c r="O1208" s="29">
        <v>0</v>
      </c>
    </row>
    <row r="1209" ht="9" customHeight="1" hidden="1">
      <c r="I1209" s="82"/>
      <c r="J1209" t="s" s="86">
        <v>2123</v>
      </c>
      <c r="K1209" s="87"/>
      <c r="L1209" s="85"/>
      <c r="M1209" s="28">
        <v>5</v>
      </c>
      <c r="N1209" s="29">
        <v>0</v>
      </c>
      <c r="O1209" s="29">
        <v>0</v>
      </c>
    </row>
    <row r="1210" ht="9" customHeight="1" hidden="1">
      <c r="I1210" s="77"/>
      <c r="J1210" s="78"/>
      <c r="K1210" s="78"/>
      <c r="L1210" t="s" s="79">
        <v>59</v>
      </c>
      <c r="M1210" s="80">
        <v>1</v>
      </c>
      <c r="N1210" s="81">
        <v>899.9924999999999</v>
      </c>
      <c r="O1210" s="81">
        <v>899.9924999999999</v>
      </c>
    </row>
    <row r="1211" ht="9" customHeight="1" hidden="1">
      <c r="I1211" s="82"/>
      <c r="J1211" s="83"/>
      <c r="K1211" s="84">
        <v>45413</v>
      </c>
      <c r="L1211" s="85"/>
      <c r="M1211" s="28">
        <v>1</v>
      </c>
      <c r="N1211" s="29">
        <v>899.9924999999999</v>
      </c>
      <c r="O1211" s="29">
        <v>899.9924999999999</v>
      </c>
    </row>
    <row r="1212" ht="9" customHeight="1" hidden="1">
      <c r="I1212" s="82"/>
      <c r="J1212" t="s" s="86">
        <v>1879</v>
      </c>
      <c r="K1212" s="87"/>
      <c r="L1212" s="85"/>
      <c r="M1212" s="28">
        <v>1</v>
      </c>
      <c r="N1212" s="29">
        <v>899.9924999999999</v>
      </c>
      <c r="O1212" s="29">
        <v>899.9924999999999</v>
      </c>
    </row>
    <row r="1213" ht="15.55" customHeight="1">
      <c r="I1213" t="s" s="27">
        <v>122</v>
      </c>
      <c r="J1213" s="87"/>
      <c r="K1213" s="87"/>
      <c r="L1213" s="85"/>
      <c r="M1213" s="28">
        <v>6</v>
      </c>
      <c r="N1213" s="29">
        <v>899.9924999999999</v>
      </c>
      <c r="O1213" s="29">
        <v>899.9924999999999</v>
      </c>
    </row>
    <row r="1214" ht="9" customHeight="1" hidden="1">
      <c r="I1214" s="77"/>
      <c r="J1214" s="78"/>
      <c r="K1214" s="78"/>
      <c r="L1214" t="s" s="79">
        <v>50</v>
      </c>
      <c r="M1214" s="80">
        <v>31</v>
      </c>
      <c r="N1214" s="81">
        <v>26.991</v>
      </c>
      <c r="O1214" s="81">
        <v>836.721</v>
      </c>
    </row>
    <row r="1215" ht="9" customHeight="1" hidden="1">
      <c r="I1215" s="82"/>
      <c r="J1215" s="83"/>
      <c r="K1215" s="84">
        <v>45413</v>
      </c>
      <c r="L1215" s="85"/>
      <c r="M1215" s="28">
        <v>31</v>
      </c>
      <c r="N1215" s="29">
        <v>26.991</v>
      </c>
      <c r="O1215" s="29">
        <v>836.721</v>
      </c>
    </row>
    <row r="1216" ht="9" customHeight="1" hidden="1">
      <c r="I1216" s="82"/>
      <c r="J1216" t="s" s="86">
        <v>1940</v>
      </c>
      <c r="K1216" s="87"/>
      <c r="L1216" s="85"/>
      <c r="M1216" s="28">
        <v>31</v>
      </c>
      <c r="N1216" s="29">
        <v>26.991</v>
      </c>
      <c r="O1216" s="29">
        <v>836.721</v>
      </c>
    </row>
    <row r="1217" ht="15.55" customHeight="1">
      <c r="I1217" t="s" s="27">
        <v>964</v>
      </c>
      <c r="J1217" s="87"/>
      <c r="K1217" s="87"/>
      <c r="L1217" s="85"/>
      <c r="M1217" s="28">
        <v>31</v>
      </c>
      <c r="N1217" s="29">
        <v>26.991</v>
      </c>
      <c r="O1217" s="29">
        <v>836.721</v>
      </c>
    </row>
    <row r="1218" ht="9" customHeight="1" hidden="1">
      <c r="I1218" s="77"/>
      <c r="J1218" s="78"/>
      <c r="K1218" s="78"/>
      <c r="L1218" t="s" s="79">
        <v>54</v>
      </c>
      <c r="M1218" s="80">
        <v>1</v>
      </c>
      <c r="N1218" s="81">
        <v>9.99</v>
      </c>
      <c r="O1218" s="81">
        <v>9.99</v>
      </c>
    </row>
    <row r="1219" ht="9" customHeight="1" hidden="1">
      <c r="I1219" s="77"/>
      <c r="J1219" s="78"/>
      <c r="K1219" s="78"/>
      <c r="L1219" t="s" s="79">
        <v>35</v>
      </c>
      <c r="M1219" s="80">
        <v>1</v>
      </c>
      <c r="N1219" s="81">
        <v>49.99</v>
      </c>
      <c r="O1219" s="81">
        <v>49.99</v>
      </c>
    </row>
    <row r="1220" ht="9" customHeight="1" hidden="1">
      <c r="I1220" s="82"/>
      <c r="J1220" s="83"/>
      <c r="K1220" s="84">
        <v>45413</v>
      </c>
      <c r="L1220" s="85"/>
      <c r="M1220" s="28">
        <v>2</v>
      </c>
      <c r="N1220" s="29">
        <v>59.98</v>
      </c>
      <c r="O1220" s="29">
        <v>59.98</v>
      </c>
    </row>
    <row r="1221" ht="9" customHeight="1" hidden="1">
      <c r="I1221" s="82"/>
      <c r="J1221" t="s" s="86">
        <v>1932</v>
      </c>
      <c r="K1221" s="87"/>
      <c r="L1221" s="85"/>
      <c r="M1221" s="28">
        <v>2</v>
      </c>
      <c r="N1221" s="29">
        <v>59.98</v>
      </c>
      <c r="O1221" s="29">
        <v>59.98</v>
      </c>
    </row>
    <row r="1222" ht="15.55" customHeight="1">
      <c r="I1222" t="s" s="27">
        <v>1933</v>
      </c>
      <c r="J1222" s="87"/>
      <c r="K1222" s="87"/>
      <c r="L1222" s="85"/>
      <c r="M1222" s="28">
        <v>2</v>
      </c>
      <c r="N1222" s="29">
        <v>59.98</v>
      </c>
      <c r="O1222" s="29">
        <v>59.98</v>
      </c>
    </row>
    <row r="1223" ht="9" customHeight="1" hidden="1">
      <c r="I1223" s="77"/>
      <c r="J1223" s="78"/>
      <c r="K1223" s="78"/>
      <c r="L1223" t="s" s="79">
        <v>19</v>
      </c>
      <c r="M1223" s="80">
        <v>2</v>
      </c>
      <c r="N1223" s="81">
        <v>117.49</v>
      </c>
      <c r="O1223" s="81">
        <v>234.98</v>
      </c>
    </row>
    <row r="1224" ht="9" customHeight="1" hidden="1">
      <c r="I1224" s="77"/>
      <c r="J1224" s="78"/>
      <c r="K1224" s="78"/>
      <c r="L1224" t="s" s="79">
        <v>1961</v>
      </c>
      <c r="M1224" s="80">
        <v>2</v>
      </c>
      <c r="N1224" s="81">
        <v>107.49</v>
      </c>
      <c r="O1224" s="81">
        <v>214.98</v>
      </c>
    </row>
    <row r="1225" ht="9" customHeight="1" hidden="1">
      <c r="I1225" s="77"/>
      <c r="J1225" s="78"/>
      <c r="K1225" s="78"/>
      <c r="L1225" t="s" s="79">
        <v>35</v>
      </c>
      <c r="M1225" s="80">
        <v>4</v>
      </c>
      <c r="N1225" s="81">
        <v>47.49</v>
      </c>
      <c r="O1225" s="81">
        <v>189.96</v>
      </c>
    </row>
    <row r="1226" ht="9" customHeight="1" hidden="1">
      <c r="I1226" s="77"/>
      <c r="J1226" s="78"/>
      <c r="K1226" s="78"/>
      <c r="L1226" t="s" s="79">
        <v>95</v>
      </c>
      <c r="M1226" s="80">
        <v>2</v>
      </c>
      <c r="N1226" s="81">
        <v>347.49</v>
      </c>
      <c r="O1226" s="81">
        <v>694.98</v>
      </c>
    </row>
    <row r="1227" ht="9" customHeight="1" hidden="1">
      <c r="I1227" s="82"/>
      <c r="J1227" s="83"/>
      <c r="K1227" s="84">
        <v>45413</v>
      </c>
      <c r="L1227" s="85"/>
      <c r="M1227" s="28">
        <v>10</v>
      </c>
      <c r="N1227" s="29">
        <v>619.96</v>
      </c>
      <c r="O1227" s="29">
        <v>1334.9</v>
      </c>
    </row>
    <row r="1228" ht="9" customHeight="1" hidden="1">
      <c r="I1228" s="82"/>
      <c r="J1228" t="s" s="86">
        <v>1959</v>
      </c>
      <c r="K1228" s="87"/>
      <c r="L1228" s="85"/>
      <c r="M1228" s="28">
        <v>10</v>
      </c>
      <c r="N1228" s="29">
        <v>619.96</v>
      </c>
      <c r="O1228" s="29">
        <v>1334.9</v>
      </c>
    </row>
    <row r="1229" ht="15.55" customHeight="1">
      <c r="I1229" t="s" s="27">
        <v>1960</v>
      </c>
      <c r="J1229" s="87"/>
      <c r="K1229" s="87"/>
      <c r="L1229" s="85"/>
      <c r="M1229" s="28">
        <v>10</v>
      </c>
      <c r="N1229" s="29">
        <v>619.96</v>
      </c>
      <c r="O1229" s="29">
        <v>1334.9</v>
      </c>
    </row>
    <row r="1230" ht="9" customHeight="1" hidden="1">
      <c r="I1230" s="77"/>
      <c r="J1230" s="78"/>
      <c r="K1230" s="78"/>
      <c r="L1230" t="s" s="79">
        <v>780</v>
      </c>
      <c r="M1230" s="80">
        <v>3</v>
      </c>
      <c r="N1230" s="81">
        <v>0</v>
      </c>
      <c r="O1230" s="81">
        <v>0</v>
      </c>
    </row>
    <row r="1231" ht="9" customHeight="1" hidden="1">
      <c r="I1231" s="77"/>
      <c r="J1231" s="78"/>
      <c r="K1231" s="78"/>
      <c r="L1231" t="s" s="79">
        <v>2050</v>
      </c>
      <c r="M1231" s="80">
        <v>1</v>
      </c>
      <c r="N1231" s="81">
        <v>0</v>
      </c>
      <c r="O1231" s="81">
        <v>0</v>
      </c>
    </row>
    <row r="1232" ht="9" customHeight="1" hidden="1">
      <c r="I1232" s="77"/>
      <c r="J1232" s="78"/>
      <c r="K1232" s="78"/>
      <c r="L1232" t="s" s="79">
        <v>778</v>
      </c>
      <c r="M1232" s="80">
        <v>3</v>
      </c>
      <c r="N1232" s="81">
        <v>299.99</v>
      </c>
      <c r="O1232" s="81">
        <v>899.97</v>
      </c>
    </row>
    <row r="1233" ht="9" customHeight="1" hidden="1">
      <c r="I1233" s="77"/>
      <c r="J1233" s="78"/>
      <c r="K1233" s="78"/>
      <c r="L1233" t="s" s="79">
        <v>882</v>
      </c>
      <c r="M1233" s="80">
        <v>4</v>
      </c>
      <c r="N1233" s="81">
        <v>94.98999999999999</v>
      </c>
      <c r="O1233" s="81">
        <v>379.96</v>
      </c>
    </row>
    <row r="1234" ht="9" customHeight="1" hidden="1">
      <c r="I1234" s="82"/>
      <c r="J1234" s="83"/>
      <c r="K1234" s="84">
        <v>45413</v>
      </c>
      <c r="L1234" s="85"/>
      <c r="M1234" s="28">
        <v>11</v>
      </c>
      <c r="N1234" s="29">
        <v>394.98</v>
      </c>
      <c r="O1234" s="29">
        <v>1279.93</v>
      </c>
    </row>
    <row r="1235" ht="9" customHeight="1" hidden="1">
      <c r="I1235" s="82"/>
      <c r="J1235" t="s" s="86">
        <v>2049</v>
      </c>
      <c r="K1235" s="87"/>
      <c r="L1235" s="85"/>
      <c r="M1235" s="28">
        <v>11</v>
      </c>
      <c r="N1235" s="29">
        <v>394.98</v>
      </c>
      <c r="O1235" s="29">
        <v>1279.93</v>
      </c>
    </row>
    <row r="1236" ht="15.55" customHeight="1">
      <c r="I1236" t="s" s="27">
        <v>777</v>
      </c>
      <c r="J1236" s="87"/>
      <c r="K1236" s="87"/>
      <c r="L1236" s="85"/>
      <c r="M1236" s="28">
        <v>11</v>
      </c>
      <c r="N1236" s="29">
        <v>394.98</v>
      </c>
      <c r="O1236" s="29">
        <v>1279.93</v>
      </c>
    </row>
    <row r="1237" ht="9" customHeight="1" hidden="1">
      <c r="I1237" s="77"/>
      <c r="J1237" s="78"/>
      <c r="K1237" s="78"/>
      <c r="L1237" t="s" s="79">
        <v>115</v>
      </c>
      <c r="M1237" s="80">
        <v>1</v>
      </c>
      <c r="N1237" s="81">
        <v>22.99</v>
      </c>
      <c r="O1237" s="81">
        <v>22.99</v>
      </c>
    </row>
    <row r="1238" ht="9" customHeight="1" hidden="1">
      <c r="I1238" s="77"/>
      <c r="J1238" s="78"/>
      <c r="K1238" s="78"/>
      <c r="L1238" t="s" s="79">
        <v>2099</v>
      </c>
      <c r="M1238" s="80">
        <v>1</v>
      </c>
      <c r="N1238" s="81">
        <v>75.5</v>
      </c>
      <c r="O1238" s="81">
        <v>75.5</v>
      </c>
    </row>
    <row r="1239" ht="9" customHeight="1" hidden="1">
      <c r="I1239" s="77"/>
      <c r="J1239" s="78"/>
      <c r="K1239" s="78"/>
      <c r="L1239" t="s" s="79">
        <v>15</v>
      </c>
      <c r="M1239" s="80">
        <v>2</v>
      </c>
      <c r="N1239" s="81">
        <v>0</v>
      </c>
      <c r="O1239" s="81">
        <v>0</v>
      </c>
    </row>
    <row r="1240" ht="9" customHeight="1" hidden="1">
      <c r="I1240" s="82"/>
      <c r="J1240" s="83"/>
      <c r="K1240" s="84">
        <v>45413</v>
      </c>
      <c r="L1240" s="85"/>
      <c r="M1240" s="28">
        <v>4</v>
      </c>
      <c r="N1240" s="29">
        <v>98.48999999999999</v>
      </c>
      <c r="O1240" s="29">
        <v>98.48999999999999</v>
      </c>
    </row>
    <row r="1241" ht="9" customHeight="1" hidden="1">
      <c r="I1241" s="82"/>
      <c r="J1241" t="s" s="86">
        <v>2098</v>
      </c>
      <c r="K1241" s="87"/>
      <c r="L1241" s="85"/>
      <c r="M1241" s="28">
        <v>4</v>
      </c>
      <c r="N1241" s="29">
        <v>98.48999999999999</v>
      </c>
      <c r="O1241" s="29">
        <v>98.48999999999999</v>
      </c>
    </row>
    <row r="1242" ht="15.55" customHeight="1">
      <c r="I1242" t="s" s="27">
        <v>101</v>
      </c>
      <c r="J1242" s="87"/>
      <c r="K1242" s="87"/>
      <c r="L1242" s="85"/>
      <c r="M1242" s="28">
        <v>4</v>
      </c>
      <c r="N1242" s="29">
        <v>98.48999999999999</v>
      </c>
      <c r="O1242" s="29">
        <v>98.48999999999999</v>
      </c>
    </row>
    <row r="1243" ht="9" customHeight="1" hidden="1">
      <c r="I1243" s="77"/>
      <c r="J1243" s="78"/>
      <c r="K1243" s="78"/>
      <c r="L1243" t="s" s="79">
        <v>27</v>
      </c>
      <c r="M1243" s="80">
        <v>2</v>
      </c>
      <c r="N1243" s="81">
        <v>79.98999999999999</v>
      </c>
      <c r="O1243" s="81">
        <v>159.98</v>
      </c>
    </row>
    <row r="1244" ht="9" customHeight="1" hidden="1">
      <c r="I1244" s="82"/>
      <c r="J1244" s="83"/>
      <c r="K1244" s="84">
        <v>45413</v>
      </c>
      <c r="L1244" s="85"/>
      <c r="M1244" s="28">
        <v>2</v>
      </c>
      <c r="N1244" s="29">
        <v>79.98999999999999</v>
      </c>
      <c r="O1244" s="29">
        <v>159.98</v>
      </c>
    </row>
    <row r="1245" ht="9" customHeight="1" hidden="1">
      <c r="I1245" s="82"/>
      <c r="J1245" t="s" s="86">
        <v>2134</v>
      </c>
      <c r="K1245" s="87"/>
      <c r="L1245" s="85"/>
      <c r="M1245" s="28">
        <v>2</v>
      </c>
      <c r="N1245" s="29">
        <v>79.98999999999999</v>
      </c>
      <c r="O1245" s="29">
        <v>159.98</v>
      </c>
    </row>
    <row r="1246" ht="15.55" customHeight="1">
      <c r="I1246" t="s" s="27">
        <v>2135</v>
      </c>
      <c r="J1246" s="87"/>
      <c r="K1246" s="87"/>
      <c r="L1246" s="85"/>
      <c r="M1246" s="28">
        <v>2</v>
      </c>
      <c r="N1246" s="29">
        <v>79.98999999999999</v>
      </c>
      <c r="O1246" s="29">
        <v>159.98</v>
      </c>
    </row>
    <row r="1247" ht="9" customHeight="1" hidden="1">
      <c r="I1247" s="77"/>
      <c r="J1247" s="78"/>
      <c r="K1247" s="78"/>
      <c r="L1247" t="s" s="79">
        <v>119</v>
      </c>
      <c r="M1247" s="80">
        <v>1</v>
      </c>
      <c r="N1247" s="81">
        <v>1.99</v>
      </c>
      <c r="O1247" s="81">
        <v>1.99</v>
      </c>
    </row>
    <row r="1248" ht="9" customHeight="1" hidden="1">
      <c r="I1248" s="77"/>
      <c r="J1248" s="78"/>
      <c r="K1248" s="78"/>
      <c r="L1248" t="s" s="79">
        <v>11</v>
      </c>
      <c r="M1248" s="80">
        <v>1</v>
      </c>
      <c r="N1248" s="81">
        <v>399.99</v>
      </c>
      <c r="O1248" s="81">
        <v>399.99</v>
      </c>
    </row>
    <row r="1249" ht="9" customHeight="1" hidden="1">
      <c r="I1249" s="82"/>
      <c r="J1249" s="83"/>
      <c r="K1249" s="84">
        <v>45413</v>
      </c>
      <c r="L1249" s="85"/>
      <c r="M1249" s="28">
        <v>2</v>
      </c>
      <c r="N1249" s="29">
        <v>401.98</v>
      </c>
      <c r="O1249" s="29">
        <v>401.98</v>
      </c>
    </row>
    <row r="1250" ht="9" customHeight="1" hidden="1">
      <c r="I1250" s="82"/>
      <c r="J1250" t="s" s="86">
        <v>1901</v>
      </c>
      <c r="K1250" s="87"/>
      <c r="L1250" s="85"/>
      <c r="M1250" s="28">
        <v>2</v>
      </c>
      <c r="N1250" s="29">
        <v>401.98</v>
      </c>
      <c r="O1250" s="29">
        <v>401.98</v>
      </c>
    </row>
    <row r="1251" ht="15.55" customHeight="1">
      <c r="I1251" t="s" s="27">
        <v>1902</v>
      </c>
      <c r="J1251" s="87"/>
      <c r="K1251" s="87"/>
      <c r="L1251" s="85"/>
      <c r="M1251" s="28">
        <v>2</v>
      </c>
      <c r="N1251" s="29">
        <v>401.98</v>
      </c>
      <c r="O1251" s="29">
        <v>401.98</v>
      </c>
    </row>
    <row r="1252" ht="9" customHeight="1" hidden="1">
      <c r="I1252" s="77"/>
      <c r="J1252" s="78"/>
      <c r="K1252" s="78"/>
      <c r="L1252" t="s" s="79">
        <v>23</v>
      </c>
      <c r="M1252" s="80">
        <v>4</v>
      </c>
      <c r="N1252" s="81">
        <v>149.99</v>
      </c>
      <c r="O1252" s="81">
        <v>599.96</v>
      </c>
    </row>
    <row r="1253" ht="9" customHeight="1" hidden="1">
      <c r="I1253" s="82"/>
      <c r="J1253" s="83"/>
      <c r="K1253" s="84">
        <v>45413</v>
      </c>
      <c r="L1253" s="85"/>
      <c r="M1253" s="28">
        <v>4</v>
      </c>
      <c r="N1253" s="29">
        <v>149.99</v>
      </c>
      <c r="O1253" s="29">
        <v>599.96</v>
      </c>
    </row>
    <row r="1254" ht="9" customHeight="1" hidden="1">
      <c r="I1254" s="82"/>
      <c r="J1254" t="s" s="86">
        <v>2020</v>
      </c>
      <c r="K1254" s="87"/>
      <c r="L1254" s="85"/>
      <c r="M1254" s="28">
        <v>4</v>
      </c>
      <c r="N1254" s="29">
        <v>149.99</v>
      </c>
      <c r="O1254" s="29">
        <v>599.96</v>
      </c>
    </row>
    <row r="1255" ht="15.55" customHeight="1">
      <c r="I1255" t="s" s="27">
        <v>2021</v>
      </c>
      <c r="J1255" s="87"/>
      <c r="K1255" s="87"/>
      <c r="L1255" s="85"/>
      <c r="M1255" s="28">
        <v>4</v>
      </c>
      <c r="N1255" s="29">
        <v>149.99</v>
      </c>
      <c r="O1255" s="29">
        <v>599.96</v>
      </c>
    </row>
    <row r="1256" ht="9" customHeight="1" hidden="1">
      <c r="I1256" s="77"/>
      <c r="J1256" s="78"/>
      <c r="K1256" s="78"/>
      <c r="L1256" t="s" s="79">
        <v>50</v>
      </c>
      <c r="M1256" s="80">
        <v>7</v>
      </c>
      <c r="N1256" s="81">
        <v>29.99</v>
      </c>
      <c r="O1256" s="81">
        <v>209.93</v>
      </c>
    </row>
    <row r="1257" ht="9" customHeight="1" hidden="1">
      <c r="I1257" s="82"/>
      <c r="J1257" s="83"/>
      <c r="K1257" s="84">
        <v>45413</v>
      </c>
      <c r="L1257" s="85"/>
      <c r="M1257" s="28">
        <v>7</v>
      </c>
      <c r="N1257" s="29">
        <v>29.99</v>
      </c>
      <c r="O1257" s="29">
        <v>209.93</v>
      </c>
    </row>
    <row r="1258" ht="9" customHeight="1" hidden="1">
      <c r="I1258" s="82"/>
      <c r="J1258" t="s" s="86">
        <v>2079</v>
      </c>
      <c r="K1258" s="87"/>
      <c r="L1258" s="85"/>
      <c r="M1258" s="28">
        <v>7</v>
      </c>
      <c r="N1258" s="29">
        <v>29.99</v>
      </c>
      <c r="O1258" s="29">
        <v>209.93</v>
      </c>
    </row>
    <row r="1259" ht="15.55" customHeight="1">
      <c r="I1259" t="s" s="27">
        <v>2080</v>
      </c>
      <c r="J1259" s="87"/>
      <c r="K1259" s="87"/>
      <c r="L1259" s="85"/>
      <c r="M1259" s="28">
        <v>7</v>
      </c>
      <c r="N1259" s="29">
        <v>29.99</v>
      </c>
      <c r="O1259" s="29">
        <v>209.93</v>
      </c>
    </row>
    <row r="1260" ht="9" customHeight="1" hidden="1">
      <c r="I1260" s="77"/>
      <c r="J1260" s="78"/>
      <c r="K1260" s="78"/>
      <c r="L1260" t="s" s="79">
        <v>50</v>
      </c>
      <c r="M1260" s="80">
        <v>6</v>
      </c>
      <c r="N1260" s="81">
        <v>29.99</v>
      </c>
      <c r="O1260" s="81">
        <v>179.94</v>
      </c>
    </row>
    <row r="1261" ht="9" customHeight="1" hidden="1">
      <c r="I1261" s="82"/>
      <c r="J1261" s="83"/>
      <c r="K1261" s="84">
        <v>45413</v>
      </c>
      <c r="L1261" s="85"/>
      <c r="M1261" s="28">
        <v>6</v>
      </c>
      <c r="N1261" s="29">
        <v>29.99</v>
      </c>
      <c r="O1261" s="29">
        <v>179.94</v>
      </c>
    </row>
    <row r="1262" ht="9" customHeight="1" hidden="1">
      <c r="I1262" s="82"/>
      <c r="J1262" t="s" s="86">
        <v>1871</v>
      </c>
      <c r="K1262" s="87"/>
      <c r="L1262" s="85"/>
      <c r="M1262" s="28">
        <v>6</v>
      </c>
      <c r="N1262" s="29">
        <v>29.99</v>
      </c>
      <c r="O1262" s="29">
        <v>179.94</v>
      </c>
    </row>
    <row r="1263" ht="15.55" customHeight="1">
      <c r="I1263" t="s" s="27">
        <v>1872</v>
      </c>
      <c r="J1263" s="87"/>
      <c r="K1263" s="87"/>
      <c r="L1263" s="85"/>
      <c r="M1263" s="28">
        <v>6</v>
      </c>
      <c r="N1263" s="29">
        <v>29.99</v>
      </c>
      <c r="O1263" s="29">
        <v>179.94</v>
      </c>
    </row>
    <row r="1264" ht="9" customHeight="1" hidden="1">
      <c r="I1264" s="77"/>
      <c r="J1264" s="78"/>
      <c r="K1264" s="78"/>
      <c r="L1264" t="s" s="79">
        <v>31</v>
      </c>
      <c r="M1264" s="80">
        <v>1</v>
      </c>
      <c r="N1264" s="81">
        <v>574.99</v>
      </c>
      <c r="O1264" s="81">
        <v>574.99</v>
      </c>
    </row>
    <row r="1265" ht="9" customHeight="1" hidden="1">
      <c r="I1265" s="82"/>
      <c r="J1265" s="83"/>
      <c r="K1265" s="84">
        <v>45413</v>
      </c>
      <c r="L1265" s="85"/>
      <c r="M1265" s="28">
        <v>1</v>
      </c>
      <c r="N1265" s="29">
        <v>574.99</v>
      </c>
      <c r="O1265" s="29">
        <v>574.99</v>
      </c>
    </row>
    <row r="1266" ht="9" customHeight="1" hidden="1">
      <c r="I1266" s="82"/>
      <c r="J1266" t="s" s="86">
        <v>2112</v>
      </c>
      <c r="K1266" s="87"/>
      <c r="L1266" s="85"/>
      <c r="M1266" s="28">
        <v>1</v>
      </c>
      <c r="N1266" s="29">
        <v>574.99</v>
      </c>
      <c r="O1266" s="29">
        <v>574.99</v>
      </c>
    </row>
    <row r="1267" ht="15.55" customHeight="1">
      <c r="I1267" t="s" s="27">
        <v>2113</v>
      </c>
      <c r="J1267" s="87"/>
      <c r="K1267" s="87"/>
      <c r="L1267" s="85"/>
      <c r="M1267" s="28">
        <v>1</v>
      </c>
      <c r="N1267" s="29">
        <v>574.99</v>
      </c>
      <c r="O1267" s="29">
        <v>574.99</v>
      </c>
    </row>
    <row r="1268" ht="9" customHeight="1" hidden="1">
      <c r="I1268" s="77"/>
      <c r="J1268" s="78"/>
      <c r="K1268" s="78"/>
      <c r="L1268" t="s" s="79">
        <v>119</v>
      </c>
      <c r="M1268" s="80">
        <v>1</v>
      </c>
      <c r="N1268" s="81">
        <v>0</v>
      </c>
      <c r="O1268" s="81">
        <v>0</v>
      </c>
    </row>
    <row r="1269" ht="9" customHeight="1" hidden="1">
      <c r="I1269" s="82"/>
      <c r="J1269" s="83"/>
      <c r="K1269" s="84">
        <v>45413</v>
      </c>
      <c r="L1269" s="85"/>
      <c r="M1269" s="28">
        <v>1</v>
      </c>
      <c r="N1269" s="29">
        <v>0</v>
      </c>
      <c r="O1269" s="29">
        <v>0</v>
      </c>
    </row>
    <row r="1270" ht="9" customHeight="1" hidden="1">
      <c r="I1270" s="82"/>
      <c r="J1270" t="s" s="86">
        <v>1828</v>
      </c>
      <c r="K1270" s="87"/>
      <c r="L1270" s="85"/>
      <c r="M1270" s="28">
        <v>1</v>
      </c>
      <c r="N1270" s="29">
        <v>0</v>
      </c>
      <c r="O1270" s="29">
        <v>0</v>
      </c>
    </row>
    <row r="1271" ht="15.55" customHeight="1">
      <c r="I1271" t="s" s="27">
        <v>1829</v>
      </c>
      <c r="J1271" s="87"/>
      <c r="K1271" s="87"/>
      <c r="L1271" s="85"/>
      <c r="M1271" s="28">
        <v>1</v>
      </c>
      <c r="N1271" s="29">
        <v>0</v>
      </c>
      <c r="O1271" s="29">
        <v>0</v>
      </c>
    </row>
    <row r="1272" ht="9" customHeight="1" hidden="1">
      <c r="I1272" s="77"/>
      <c r="J1272" s="78"/>
      <c r="K1272" s="78"/>
      <c r="L1272" t="s" s="79">
        <v>95</v>
      </c>
      <c r="M1272" s="80">
        <v>2</v>
      </c>
      <c r="N1272" s="81">
        <v>349.99</v>
      </c>
      <c r="O1272" s="81">
        <v>699.98</v>
      </c>
    </row>
    <row r="1273" ht="9" customHeight="1" hidden="1">
      <c r="I1273" s="82"/>
      <c r="J1273" s="83"/>
      <c r="K1273" s="84">
        <v>45413</v>
      </c>
      <c r="L1273" s="85"/>
      <c r="M1273" s="28">
        <v>2</v>
      </c>
      <c r="N1273" s="29">
        <v>349.99</v>
      </c>
      <c r="O1273" s="29">
        <v>699.98</v>
      </c>
    </row>
    <row r="1274" ht="9" customHeight="1" hidden="1">
      <c r="I1274" s="82"/>
      <c r="J1274" t="s" s="86">
        <v>2043</v>
      </c>
      <c r="K1274" s="87"/>
      <c r="L1274" s="85"/>
      <c r="M1274" s="28">
        <v>2</v>
      </c>
      <c r="N1274" s="29">
        <v>349.99</v>
      </c>
      <c r="O1274" s="29">
        <v>699.98</v>
      </c>
    </row>
    <row r="1275" ht="15.4" customHeight="1">
      <c r="I1275" t="s" s="30">
        <v>2044</v>
      </c>
      <c r="J1275" s="88"/>
      <c r="K1275" s="88"/>
      <c r="L1275" s="89"/>
      <c r="M1275" s="31">
        <v>2</v>
      </c>
      <c r="N1275" s="32">
        <v>349.99</v>
      </c>
      <c r="O1275" s="32">
        <v>699.98</v>
      </c>
    </row>
    <row r="1276" ht="13.1" customHeight="1">
      <c r="I1276" t="s" s="33">
        <v>620</v>
      </c>
      <c r="J1276" s="90"/>
      <c r="K1276" s="90"/>
      <c r="L1276" s="91"/>
      <c r="M1276" s="34">
        <v>1363</v>
      </c>
      <c r="N1276" s="35">
        <v>107669.9657</v>
      </c>
      <c r="O1276" s="35">
        <v>257616.8298</v>
      </c>
    </row>
    <row r="1278" ht="15.55" customHeight="1">
      <c r="P1278" t="s" s="2">
        <v>2145</v>
      </c>
      <c r="Q1278" s="2"/>
    </row>
    <row r="1279" ht="13.1" customHeight="1">
      <c r="P1279" t="s" s="37">
        <v>4</v>
      </c>
      <c r="Q1279" t="s" s="23">
        <v>617</v>
      </c>
    </row>
    <row r="1280" ht="13.1" customHeight="1">
      <c r="P1280" t="s" s="38">
        <v>726</v>
      </c>
      <c r="Q1280" s="39">
        <v>1</v>
      </c>
    </row>
    <row r="1281" ht="12.9" customHeight="1">
      <c r="P1281" t="s" s="40">
        <v>2125</v>
      </c>
      <c r="Q1281" s="41">
        <v>2</v>
      </c>
    </row>
    <row r="1282" ht="12.9" customHeight="1">
      <c r="P1282" t="s" s="40">
        <v>861</v>
      </c>
      <c r="Q1282" s="41">
        <v>1</v>
      </c>
    </row>
    <row r="1283" ht="12.9" customHeight="1">
      <c r="P1283" t="s" s="40">
        <v>2015</v>
      </c>
      <c r="Q1283" s="41">
        <v>1</v>
      </c>
    </row>
    <row r="1284" ht="12.9" customHeight="1">
      <c r="P1284" t="s" s="40">
        <v>47</v>
      </c>
      <c r="Q1284" s="41">
        <v>8</v>
      </c>
    </row>
    <row r="1285" ht="12.9" customHeight="1">
      <c r="P1285" t="s" s="40">
        <v>63</v>
      </c>
      <c r="Q1285" s="41">
        <v>18</v>
      </c>
    </row>
    <row r="1286" ht="12.9" customHeight="1">
      <c r="P1286" t="s" s="40">
        <v>254</v>
      </c>
      <c r="Q1286" s="41">
        <v>10</v>
      </c>
    </row>
    <row r="1287" ht="12.9" customHeight="1">
      <c r="P1287" t="s" s="40">
        <v>1906</v>
      </c>
      <c r="Q1287" s="41">
        <v>1</v>
      </c>
    </row>
    <row r="1288" ht="12.9" customHeight="1">
      <c r="P1288" t="s" s="40">
        <v>1953</v>
      </c>
      <c r="Q1288" s="41">
        <v>1</v>
      </c>
    </row>
    <row r="1289" ht="12.9" customHeight="1">
      <c r="P1289" t="s" s="40">
        <v>409</v>
      </c>
      <c r="Q1289" s="41">
        <v>4</v>
      </c>
    </row>
    <row r="1290" ht="12.9" customHeight="1">
      <c r="P1290" t="s" s="40">
        <v>1914</v>
      </c>
      <c r="Q1290" s="41">
        <v>12</v>
      </c>
    </row>
    <row r="1291" ht="12.9" customHeight="1">
      <c r="P1291" t="s" s="40">
        <v>1974</v>
      </c>
      <c r="Q1291" s="41">
        <v>25</v>
      </c>
    </row>
    <row r="1292" ht="12.9" customHeight="1">
      <c r="P1292" t="s" s="40">
        <v>1550</v>
      </c>
      <c r="Q1292" s="41">
        <v>2</v>
      </c>
    </row>
    <row r="1293" ht="12.9" customHeight="1">
      <c r="P1293" t="s" s="40">
        <v>2006</v>
      </c>
      <c r="Q1293" s="41">
        <v>1</v>
      </c>
    </row>
    <row r="1294" ht="12.9" customHeight="1">
      <c r="P1294" t="s" s="40">
        <v>1826</v>
      </c>
      <c r="Q1294" s="41">
        <v>1</v>
      </c>
    </row>
    <row r="1295" ht="12.9" customHeight="1">
      <c r="P1295" t="s" s="40">
        <v>2071</v>
      </c>
      <c r="Q1295" s="41">
        <v>5</v>
      </c>
    </row>
    <row r="1296" ht="12.9" customHeight="1">
      <c r="P1296" t="s" s="40">
        <v>402</v>
      </c>
      <c r="Q1296" s="41">
        <v>6</v>
      </c>
    </row>
    <row r="1297" ht="12.9" customHeight="1">
      <c r="P1297" t="s" s="40">
        <v>2009</v>
      </c>
      <c r="Q1297" s="41">
        <v>1</v>
      </c>
    </row>
    <row r="1298" ht="12.9" customHeight="1">
      <c r="P1298" t="s" s="40">
        <v>1097</v>
      </c>
      <c r="Q1298" s="41">
        <v>3</v>
      </c>
    </row>
    <row r="1299" ht="12.9" customHeight="1">
      <c r="P1299" t="s" s="40">
        <v>442</v>
      </c>
      <c r="Q1299" s="41">
        <v>1</v>
      </c>
    </row>
    <row r="1300" ht="12.9" customHeight="1">
      <c r="P1300" t="s" s="40">
        <v>1428</v>
      </c>
      <c r="Q1300" s="41">
        <v>3</v>
      </c>
    </row>
    <row r="1301" ht="12.9" customHeight="1">
      <c r="P1301" t="s" s="40">
        <v>1845</v>
      </c>
      <c r="Q1301" s="41">
        <v>1</v>
      </c>
    </row>
    <row r="1302" ht="12.9" customHeight="1">
      <c r="P1302" t="s" s="40">
        <v>207</v>
      </c>
      <c r="Q1302" s="41">
        <v>6</v>
      </c>
    </row>
    <row r="1303" ht="12.9" customHeight="1">
      <c r="P1303" t="s" s="40">
        <v>315</v>
      </c>
      <c r="Q1303" s="41">
        <v>150</v>
      </c>
    </row>
    <row r="1304" ht="12.9" customHeight="1">
      <c r="P1304" t="s" s="40">
        <v>15</v>
      </c>
      <c r="Q1304" s="41">
        <v>53</v>
      </c>
    </row>
    <row r="1305" ht="12.9" customHeight="1">
      <c r="P1305" t="s" s="40">
        <v>559</v>
      </c>
      <c r="Q1305" s="41">
        <v>30</v>
      </c>
    </row>
    <row r="1306" ht="12.9" customHeight="1">
      <c r="P1306" t="s" s="40">
        <v>27</v>
      </c>
      <c r="Q1306" s="41">
        <v>40</v>
      </c>
    </row>
    <row r="1307" ht="12.9" customHeight="1">
      <c r="P1307" t="s" s="40">
        <v>73</v>
      </c>
      <c r="Q1307" s="41">
        <v>23</v>
      </c>
    </row>
    <row r="1308" ht="12.9" customHeight="1">
      <c r="P1308" t="s" s="40">
        <v>59</v>
      </c>
      <c r="Q1308" s="41">
        <v>5</v>
      </c>
    </row>
    <row r="1309" ht="12.9" customHeight="1">
      <c r="P1309" t="s" s="40">
        <v>143</v>
      </c>
      <c r="Q1309" s="41">
        <v>6</v>
      </c>
    </row>
    <row r="1310" ht="12.9" customHeight="1">
      <c r="P1310" t="s" s="40">
        <v>493</v>
      </c>
      <c r="Q1310" s="41">
        <v>5</v>
      </c>
    </row>
    <row r="1311" ht="12.9" customHeight="1">
      <c r="P1311" t="s" s="40">
        <v>824</v>
      </c>
      <c r="Q1311" s="41">
        <v>1</v>
      </c>
    </row>
    <row r="1312" ht="12.9" customHeight="1">
      <c r="P1312" t="s" s="40">
        <v>491</v>
      </c>
      <c r="Q1312" s="41">
        <v>8</v>
      </c>
    </row>
    <row r="1313" ht="12.9" customHeight="1">
      <c r="P1313" t="s" s="40">
        <v>1633</v>
      </c>
      <c r="Q1313" s="41">
        <v>4</v>
      </c>
    </row>
    <row r="1314" ht="12.9" customHeight="1">
      <c r="P1314" t="s" s="40">
        <v>489</v>
      </c>
      <c r="Q1314" s="41">
        <v>5</v>
      </c>
    </row>
    <row r="1315" ht="12.9" customHeight="1">
      <c r="P1315" t="s" s="40">
        <v>468</v>
      </c>
      <c r="Q1315" s="41">
        <v>2</v>
      </c>
    </row>
    <row r="1316" ht="12.9" customHeight="1">
      <c r="P1316" t="s" s="40">
        <v>933</v>
      </c>
      <c r="Q1316" s="41">
        <v>20</v>
      </c>
    </row>
    <row r="1317" ht="12.9" customHeight="1">
      <c r="P1317" t="s" s="40">
        <v>48</v>
      </c>
      <c r="Q1317" s="41">
        <v>28</v>
      </c>
    </row>
    <row r="1318" ht="12.9" customHeight="1">
      <c r="P1318" t="s" s="40">
        <v>979</v>
      </c>
      <c r="Q1318" s="41">
        <v>1</v>
      </c>
    </row>
    <row r="1319" ht="12.9" customHeight="1">
      <c r="P1319" t="s" s="40">
        <v>1896</v>
      </c>
      <c r="Q1319" s="41">
        <v>7</v>
      </c>
    </row>
    <row r="1320" ht="12.9" customHeight="1">
      <c r="P1320" t="s" s="40">
        <v>50</v>
      </c>
      <c r="Q1320" s="41">
        <v>112</v>
      </c>
    </row>
    <row r="1321" ht="12.9" customHeight="1">
      <c r="P1321" t="s" s="40">
        <v>722</v>
      </c>
      <c r="Q1321" s="41">
        <v>6</v>
      </c>
    </row>
    <row r="1322" ht="12.9" customHeight="1">
      <c r="P1322" t="s" s="40">
        <v>81</v>
      </c>
      <c r="Q1322" s="41">
        <v>11</v>
      </c>
    </row>
    <row r="1323" ht="12.9" customHeight="1">
      <c r="P1323" t="s" s="40">
        <v>31</v>
      </c>
      <c r="Q1323" s="41">
        <v>14</v>
      </c>
    </row>
    <row r="1324" ht="12.9" customHeight="1">
      <c r="P1324" t="s" s="40">
        <v>11</v>
      </c>
      <c r="Q1324" s="41">
        <v>9</v>
      </c>
    </row>
    <row r="1325" ht="12.9" customHeight="1">
      <c r="P1325" t="s" s="40">
        <v>171</v>
      </c>
      <c r="Q1325" s="41">
        <v>8</v>
      </c>
    </row>
    <row r="1326" ht="12.9" customHeight="1">
      <c r="P1326" t="s" s="40">
        <v>95</v>
      </c>
      <c r="Q1326" s="41">
        <v>12</v>
      </c>
    </row>
    <row r="1327" ht="12.9" customHeight="1">
      <c r="P1327" t="s" s="40">
        <v>1729</v>
      </c>
      <c r="Q1327" s="41">
        <v>2</v>
      </c>
    </row>
    <row r="1328" ht="12.9" customHeight="1">
      <c r="P1328" t="s" s="40">
        <v>146</v>
      </c>
      <c r="Q1328" s="41">
        <v>3</v>
      </c>
    </row>
    <row r="1329" ht="12.9" customHeight="1">
      <c r="P1329" t="s" s="40">
        <v>77</v>
      </c>
      <c r="Q1329" s="41">
        <v>24</v>
      </c>
    </row>
    <row r="1330" ht="12.9" customHeight="1">
      <c r="P1330" t="s" s="40">
        <v>359</v>
      </c>
      <c r="Q1330" s="41">
        <v>20</v>
      </c>
    </row>
    <row r="1331" ht="12.9" customHeight="1">
      <c r="P1331" t="s" s="40">
        <v>52</v>
      </c>
      <c r="Q1331" s="41">
        <v>48</v>
      </c>
    </row>
    <row r="1332" ht="12.9" customHeight="1">
      <c r="P1332" t="s" s="40">
        <v>1619</v>
      </c>
      <c r="Q1332" s="41">
        <v>4</v>
      </c>
    </row>
    <row r="1333" ht="12.9" customHeight="1">
      <c r="P1333" t="s" s="40">
        <v>89</v>
      </c>
      <c r="Q1333" s="41">
        <v>7</v>
      </c>
    </row>
    <row r="1334" ht="12.9" customHeight="1">
      <c r="P1334" t="s" s="40">
        <v>35</v>
      </c>
      <c r="Q1334" s="41">
        <v>35</v>
      </c>
    </row>
    <row r="1335" ht="12.9" customHeight="1">
      <c r="P1335" t="s" s="40">
        <v>1257</v>
      </c>
      <c r="Q1335" s="41">
        <v>4</v>
      </c>
    </row>
    <row r="1336" ht="12.9" customHeight="1">
      <c r="P1336" t="s" s="40">
        <v>948</v>
      </c>
      <c r="Q1336" s="41">
        <v>2</v>
      </c>
    </row>
    <row r="1337" ht="12.9" customHeight="1">
      <c r="P1337" t="s" s="40">
        <v>602</v>
      </c>
      <c r="Q1337" s="41">
        <v>7</v>
      </c>
    </row>
    <row r="1338" ht="12.9" customHeight="1">
      <c r="P1338" t="s" s="40">
        <v>470</v>
      </c>
      <c r="Q1338" s="41">
        <v>2</v>
      </c>
    </row>
    <row r="1339" ht="12.9" customHeight="1">
      <c r="P1339" t="s" s="40">
        <v>1875</v>
      </c>
      <c r="Q1339" s="41">
        <v>64</v>
      </c>
    </row>
    <row r="1340" ht="12.9" customHeight="1">
      <c r="P1340" t="s" s="40">
        <v>133</v>
      </c>
      <c r="Q1340" s="41">
        <v>12</v>
      </c>
    </row>
    <row r="1341" ht="12.9" customHeight="1">
      <c r="P1341" t="s" s="40">
        <v>23</v>
      </c>
      <c r="Q1341" s="41">
        <v>49</v>
      </c>
    </row>
    <row r="1342" ht="12.9" customHeight="1">
      <c r="P1342" t="s" s="40">
        <v>354</v>
      </c>
      <c r="Q1342" s="41">
        <v>4</v>
      </c>
    </row>
    <row r="1343" ht="12.9" customHeight="1">
      <c r="P1343" t="s" s="40">
        <v>39</v>
      </c>
      <c r="Q1343" s="41">
        <v>1</v>
      </c>
    </row>
    <row r="1344" ht="12.9" customHeight="1">
      <c r="P1344" t="s" s="40">
        <v>1961</v>
      </c>
      <c r="Q1344" s="41">
        <v>2</v>
      </c>
    </row>
    <row r="1345" ht="12.9" customHeight="1">
      <c r="P1345" t="s" s="40">
        <v>487</v>
      </c>
      <c r="Q1345" s="41">
        <v>14</v>
      </c>
    </row>
    <row r="1346" ht="12.9" customHeight="1">
      <c r="P1346" t="s" s="40">
        <v>882</v>
      </c>
      <c r="Q1346" s="41">
        <v>14</v>
      </c>
    </row>
    <row r="1347" ht="12.9" customHeight="1">
      <c r="P1347" t="s" s="40">
        <v>299</v>
      </c>
      <c r="Q1347" s="41">
        <v>14</v>
      </c>
    </row>
    <row r="1348" ht="12.9" customHeight="1">
      <c r="P1348" t="s" s="40">
        <v>1791</v>
      </c>
      <c r="Q1348" s="41">
        <v>4</v>
      </c>
    </row>
    <row r="1349" ht="12.9" customHeight="1">
      <c r="P1349" t="s" s="40">
        <v>585</v>
      </c>
      <c r="Q1349" s="41">
        <v>6</v>
      </c>
    </row>
    <row r="1350" ht="12.9" customHeight="1">
      <c r="P1350" t="s" s="40">
        <v>225</v>
      </c>
      <c r="Q1350" s="41">
        <v>4</v>
      </c>
    </row>
    <row r="1351" ht="12.9" customHeight="1">
      <c r="P1351" t="s" s="40">
        <v>587</v>
      </c>
      <c r="Q1351" s="41">
        <v>6</v>
      </c>
    </row>
    <row r="1352" ht="12.9" customHeight="1">
      <c r="P1352" t="s" s="40">
        <v>589</v>
      </c>
      <c r="Q1352" s="41">
        <v>6</v>
      </c>
    </row>
    <row r="1353" ht="12.9" customHeight="1">
      <c r="P1353" t="s" s="40">
        <v>119</v>
      </c>
      <c r="Q1353" s="41">
        <v>10</v>
      </c>
    </row>
    <row r="1354" ht="12.9" customHeight="1">
      <c r="P1354" t="s" s="40">
        <v>179</v>
      </c>
      <c r="Q1354" s="41">
        <v>6</v>
      </c>
    </row>
    <row r="1355" ht="12.9" customHeight="1">
      <c r="P1355" t="s" s="40">
        <v>84</v>
      </c>
      <c r="Q1355" s="41">
        <v>19</v>
      </c>
    </row>
    <row r="1356" ht="12.9" customHeight="1">
      <c r="P1356" t="s" s="40">
        <v>369</v>
      </c>
      <c r="Q1356" s="41">
        <v>3</v>
      </c>
    </row>
    <row r="1357" ht="12.9" customHeight="1">
      <c r="P1357" t="s" s="40">
        <v>57</v>
      </c>
      <c r="Q1357" s="41">
        <v>16</v>
      </c>
    </row>
    <row r="1358" ht="12.9" customHeight="1">
      <c r="P1358" t="s" s="40">
        <v>1695</v>
      </c>
      <c r="Q1358" s="41">
        <v>10</v>
      </c>
    </row>
    <row r="1359" ht="12.9" customHeight="1">
      <c r="P1359" t="s" s="40">
        <v>54</v>
      </c>
      <c r="Q1359" s="41">
        <v>59</v>
      </c>
    </row>
    <row r="1360" ht="12.9" customHeight="1">
      <c r="P1360" t="s" s="40">
        <v>341</v>
      </c>
      <c r="Q1360" s="41">
        <v>4</v>
      </c>
    </row>
    <row r="1361" ht="12.9" customHeight="1">
      <c r="P1361" t="s" s="40">
        <v>167</v>
      </c>
      <c r="Q1361" s="41">
        <v>3</v>
      </c>
    </row>
    <row r="1362" ht="12.9" customHeight="1">
      <c r="P1362" t="s" s="40">
        <v>227</v>
      </c>
      <c r="Q1362" s="41">
        <v>16</v>
      </c>
    </row>
    <row r="1363" ht="12.9" customHeight="1">
      <c r="P1363" t="s" s="40">
        <v>317</v>
      </c>
      <c r="Q1363" s="41">
        <v>14</v>
      </c>
    </row>
    <row r="1364" ht="12.9" customHeight="1">
      <c r="P1364" t="s" s="40">
        <v>19</v>
      </c>
      <c r="Q1364" s="41">
        <v>54</v>
      </c>
    </row>
    <row r="1365" ht="12.9" customHeight="1">
      <c r="P1365" t="s" s="40">
        <v>982</v>
      </c>
      <c r="Q1365" s="41">
        <v>2</v>
      </c>
    </row>
    <row r="1366" ht="12.9" customHeight="1">
      <c r="P1366" t="s" s="40">
        <v>123</v>
      </c>
      <c r="Q1366" s="41">
        <v>2</v>
      </c>
    </row>
    <row r="1367" ht="12.9" customHeight="1">
      <c r="P1367" t="s" s="40">
        <v>1986</v>
      </c>
      <c r="Q1367" s="41">
        <v>5</v>
      </c>
    </row>
    <row r="1368" ht="12.9" customHeight="1">
      <c r="P1368" t="s" s="40">
        <v>778</v>
      </c>
      <c r="Q1368" s="41">
        <v>3</v>
      </c>
    </row>
    <row r="1369" ht="12.9" customHeight="1">
      <c r="P1369" t="s" s="40">
        <v>1917</v>
      </c>
      <c r="Q1369" s="41">
        <v>1</v>
      </c>
    </row>
    <row r="1370" ht="12.9" customHeight="1">
      <c r="P1370" t="s" s="40">
        <v>2050</v>
      </c>
      <c r="Q1370" s="41">
        <v>1</v>
      </c>
    </row>
    <row r="1371" ht="12.9" customHeight="1">
      <c r="P1371" t="s" s="40">
        <v>780</v>
      </c>
      <c r="Q1371" s="41">
        <v>3</v>
      </c>
    </row>
    <row r="1372" ht="12.9" customHeight="1">
      <c r="P1372" t="s" s="40">
        <v>1892</v>
      </c>
      <c r="Q1372" s="41">
        <v>2</v>
      </c>
    </row>
    <row r="1373" ht="12.9" customHeight="1">
      <c r="P1373" t="s" s="40">
        <v>2119</v>
      </c>
      <c r="Q1373" s="41">
        <v>1</v>
      </c>
    </row>
    <row r="1374" ht="12.9" customHeight="1">
      <c r="P1374" t="s" s="40">
        <v>775</v>
      </c>
      <c r="Q1374" s="41">
        <v>4</v>
      </c>
    </row>
    <row r="1375" ht="12.9" customHeight="1">
      <c r="P1375" t="s" s="40">
        <v>2099</v>
      </c>
      <c r="Q1375" s="41">
        <v>1</v>
      </c>
    </row>
    <row r="1376" ht="12.9" customHeight="1">
      <c r="P1376" t="s" s="40">
        <v>2089</v>
      </c>
      <c r="Q1376" s="41">
        <v>1</v>
      </c>
    </row>
    <row r="1377" ht="12.9" customHeight="1">
      <c r="P1377" t="s" s="40">
        <v>1889</v>
      </c>
      <c r="Q1377" s="41">
        <v>1</v>
      </c>
    </row>
    <row r="1378" ht="12.9" customHeight="1">
      <c r="P1378" t="s" s="40">
        <v>109</v>
      </c>
      <c r="Q1378" s="41">
        <v>6</v>
      </c>
    </row>
    <row r="1379" ht="12.9" customHeight="1">
      <c r="P1379" t="s" s="40">
        <v>1187</v>
      </c>
      <c r="Q1379" s="41">
        <v>6</v>
      </c>
    </row>
    <row r="1380" ht="12.9" customHeight="1">
      <c r="P1380" t="s" s="40">
        <v>2073</v>
      </c>
      <c r="Q1380" s="41">
        <v>10</v>
      </c>
    </row>
    <row r="1381" ht="12.9" customHeight="1">
      <c r="P1381" t="s" s="40">
        <v>1891</v>
      </c>
      <c r="Q1381" s="41">
        <v>2</v>
      </c>
    </row>
    <row r="1382" ht="12.9" customHeight="1">
      <c r="P1382" t="s" s="40">
        <v>1186</v>
      </c>
      <c r="Q1382" s="41">
        <v>6</v>
      </c>
    </row>
    <row r="1383" ht="13.1" customHeight="1">
      <c r="P1383" t="s" s="42">
        <v>115</v>
      </c>
      <c r="Q1383" s="43">
        <v>60</v>
      </c>
    </row>
    <row r="1384" ht="13.1" customHeight="1">
      <c r="P1384" t="s" s="44">
        <v>620</v>
      </c>
      <c r="Q1384" s="34">
        <v>1363</v>
      </c>
    </row>
    <row r="1386" ht="15.55" customHeight="1">
      <c r="R1386" t="s" s="2">
        <v>2146</v>
      </c>
      <c r="S1386" s="2"/>
    </row>
    <row r="1387" ht="13.1" customHeight="1">
      <c r="R1387" t="s" s="37">
        <v>4</v>
      </c>
      <c r="S1387" t="s" s="23">
        <v>619</v>
      </c>
    </row>
    <row r="1388" ht="13.1" customHeight="1">
      <c r="R1388" t="s" s="38">
        <v>726</v>
      </c>
      <c r="S1388" s="56">
        <v>0</v>
      </c>
    </row>
    <row r="1389" ht="12.9" customHeight="1">
      <c r="R1389" t="s" s="40">
        <v>2125</v>
      </c>
      <c r="S1389" s="57">
        <v>0</v>
      </c>
    </row>
    <row r="1390" ht="12.9" customHeight="1">
      <c r="R1390" t="s" s="40">
        <v>861</v>
      </c>
      <c r="S1390" s="57">
        <v>64.3</v>
      </c>
    </row>
    <row r="1391" ht="12.9" customHeight="1">
      <c r="R1391" t="s" s="40">
        <v>2015</v>
      </c>
      <c r="S1391" s="57">
        <v>0</v>
      </c>
    </row>
    <row r="1392" ht="12.9" customHeight="1">
      <c r="R1392" t="s" s="40">
        <v>47</v>
      </c>
      <c r="S1392" s="57">
        <v>1764.62</v>
      </c>
    </row>
    <row r="1393" ht="12.9" customHeight="1">
      <c r="R1393" t="s" s="40">
        <v>63</v>
      </c>
      <c r="S1393" s="57">
        <v>5371.26</v>
      </c>
    </row>
    <row r="1394" ht="12.9" customHeight="1">
      <c r="R1394" t="s" s="40">
        <v>254</v>
      </c>
      <c r="S1394" s="57">
        <v>125</v>
      </c>
    </row>
    <row r="1395" ht="12.9" customHeight="1">
      <c r="R1395" t="s" s="40">
        <v>1906</v>
      </c>
      <c r="S1395" s="57">
        <v>-719.9299999999999</v>
      </c>
    </row>
    <row r="1396" ht="12.9" customHeight="1">
      <c r="R1396" t="s" s="40">
        <v>1953</v>
      </c>
      <c r="S1396" s="57">
        <v>30000</v>
      </c>
    </row>
    <row r="1397" ht="12.9" customHeight="1">
      <c r="R1397" t="s" s="40">
        <v>409</v>
      </c>
      <c r="S1397" s="57">
        <v>360</v>
      </c>
    </row>
    <row r="1398" ht="12.9" customHeight="1">
      <c r="R1398" t="s" s="40">
        <v>1914</v>
      </c>
      <c r="S1398" s="57">
        <v>262.5</v>
      </c>
    </row>
    <row r="1399" ht="12.9" customHeight="1">
      <c r="R1399" t="s" s="40">
        <v>1974</v>
      </c>
      <c r="S1399" s="57">
        <v>45625</v>
      </c>
    </row>
    <row r="1400" ht="12.9" customHeight="1">
      <c r="R1400" t="s" s="40">
        <v>1550</v>
      </c>
      <c r="S1400" s="57">
        <v>7500</v>
      </c>
    </row>
    <row r="1401" ht="12.9" customHeight="1">
      <c r="R1401" t="s" s="40">
        <v>2006</v>
      </c>
      <c r="S1401" s="57">
        <v>449.9925</v>
      </c>
    </row>
    <row r="1402" ht="12.9" customHeight="1">
      <c r="R1402" t="s" s="40">
        <v>1826</v>
      </c>
      <c r="S1402" s="57">
        <v>356.79</v>
      </c>
    </row>
    <row r="1403" ht="12.9" customHeight="1">
      <c r="R1403" t="s" s="40">
        <v>2071</v>
      </c>
      <c r="S1403" s="57">
        <v>0</v>
      </c>
    </row>
    <row r="1404" ht="12.9" customHeight="1">
      <c r="R1404" t="s" s="40">
        <v>402</v>
      </c>
      <c r="S1404" s="57">
        <v>0</v>
      </c>
    </row>
    <row r="1405" ht="12.9" customHeight="1">
      <c r="R1405" t="s" s="40">
        <v>2009</v>
      </c>
      <c r="S1405" s="57">
        <v>0</v>
      </c>
    </row>
    <row r="1406" ht="12.9" customHeight="1">
      <c r="R1406" t="s" s="40">
        <v>1097</v>
      </c>
      <c r="S1406" s="57">
        <v>0</v>
      </c>
    </row>
    <row r="1407" ht="12.9" customHeight="1">
      <c r="R1407" t="s" s="40">
        <v>442</v>
      </c>
      <c r="S1407" s="57">
        <v>-114.35</v>
      </c>
    </row>
    <row r="1408" ht="12.9" customHeight="1">
      <c r="R1408" t="s" s="40">
        <v>1428</v>
      </c>
      <c r="S1408" s="57">
        <v>514.9896</v>
      </c>
    </row>
    <row r="1409" ht="12.9" customHeight="1">
      <c r="R1409" t="s" s="40">
        <v>1845</v>
      </c>
      <c r="S1409" s="57">
        <v>0</v>
      </c>
    </row>
    <row r="1410" ht="12.9" customHeight="1">
      <c r="R1410" t="s" s="40">
        <v>207</v>
      </c>
      <c r="S1410" s="57">
        <v>0</v>
      </c>
    </row>
    <row r="1411" ht="12.9" customHeight="1">
      <c r="R1411" t="s" s="40">
        <v>315</v>
      </c>
      <c r="S1411" s="57">
        <v>56.25</v>
      </c>
    </row>
    <row r="1412" ht="12.9" customHeight="1">
      <c r="R1412" t="s" s="40">
        <v>15</v>
      </c>
      <c r="S1412" s="57">
        <v>355.58</v>
      </c>
    </row>
    <row r="1413" ht="12.9" customHeight="1">
      <c r="R1413" t="s" s="40">
        <v>559</v>
      </c>
      <c r="S1413" s="57">
        <v>0</v>
      </c>
    </row>
    <row r="1414" ht="12.9" customHeight="1">
      <c r="R1414" t="s" s="40">
        <v>27</v>
      </c>
      <c r="S1414" s="57">
        <v>2647.669</v>
      </c>
    </row>
    <row r="1415" ht="12.9" customHeight="1">
      <c r="R1415" t="s" s="40">
        <v>73</v>
      </c>
      <c r="S1415" s="57">
        <v>7999.8</v>
      </c>
    </row>
    <row r="1416" ht="12.9" customHeight="1">
      <c r="R1416" t="s" s="40">
        <v>59</v>
      </c>
      <c r="S1416" s="57">
        <v>4499.9625</v>
      </c>
    </row>
    <row r="1417" ht="12.9" customHeight="1">
      <c r="R1417" t="s" s="40">
        <v>143</v>
      </c>
      <c r="S1417" s="57">
        <v>15199.9525</v>
      </c>
    </row>
    <row r="1418" ht="12.9" customHeight="1">
      <c r="R1418" t="s" s="40">
        <v>493</v>
      </c>
      <c r="S1418" s="57">
        <v>0</v>
      </c>
    </row>
    <row r="1419" ht="12.9" customHeight="1">
      <c r="R1419" t="s" s="40">
        <v>824</v>
      </c>
      <c r="S1419" s="57">
        <v>0</v>
      </c>
    </row>
    <row r="1420" ht="12.9" customHeight="1">
      <c r="R1420" t="s" s="40">
        <v>491</v>
      </c>
      <c r="S1420" s="57">
        <v>0</v>
      </c>
    </row>
    <row r="1421" ht="12.9" customHeight="1">
      <c r="R1421" t="s" s="40">
        <v>1633</v>
      </c>
      <c r="S1421" s="57">
        <v>0</v>
      </c>
    </row>
    <row r="1422" ht="12.9" customHeight="1">
      <c r="R1422" t="s" s="40">
        <v>489</v>
      </c>
      <c r="S1422" s="57">
        <v>5999.9625</v>
      </c>
    </row>
    <row r="1423" ht="12.9" customHeight="1">
      <c r="R1423" t="s" s="40">
        <v>468</v>
      </c>
      <c r="S1423" s="57">
        <v>3749.985</v>
      </c>
    </row>
    <row r="1424" ht="12.9" customHeight="1">
      <c r="R1424" t="s" s="40">
        <v>933</v>
      </c>
      <c r="S1424" s="57">
        <v>18000</v>
      </c>
    </row>
    <row r="1425" ht="12.9" customHeight="1">
      <c r="R1425" t="s" s="40">
        <v>48</v>
      </c>
      <c r="S1425" s="57">
        <v>30224.7675</v>
      </c>
    </row>
    <row r="1426" ht="12.9" customHeight="1">
      <c r="R1426" t="s" s="40">
        <v>979</v>
      </c>
      <c r="S1426" s="57">
        <v>74.99250000000001</v>
      </c>
    </row>
    <row r="1427" ht="12.9" customHeight="1">
      <c r="R1427" t="s" s="40">
        <v>1896</v>
      </c>
      <c r="S1427" s="57">
        <v>393.6975</v>
      </c>
    </row>
    <row r="1428" ht="12.9" customHeight="1">
      <c r="R1428" t="s" s="40">
        <v>50</v>
      </c>
      <c r="S1428" s="57">
        <v>1226.591</v>
      </c>
    </row>
    <row r="1429" ht="12.9" customHeight="1">
      <c r="R1429" t="s" s="40">
        <v>722</v>
      </c>
      <c r="S1429" s="57">
        <v>4175.952</v>
      </c>
    </row>
    <row r="1430" ht="12.9" customHeight="1">
      <c r="R1430" t="s" s="40">
        <v>81</v>
      </c>
      <c r="S1430" s="57">
        <v>9349.889999999999</v>
      </c>
    </row>
    <row r="1431" ht="12.9" customHeight="1">
      <c r="R1431" t="s" s="40">
        <v>31</v>
      </c>
      <c r="S1431" s="57">
        <v>8224.862499999999</v>
      </c>
    </row>
    <row r="1432" ht="12.9" customHeight="1">
      <c r="R1432" t="s" s="40">
        <v>11</v>
      </c>
      <c r="S1432" s="57">
        <v>3599.91</v>
      </c>
    </row>
    <row r="1433" ht="12.9" customHeight="1">
      <c r="R1433" t="s" s="40">
        <v>171</v>
      </c>
      <c r="S1433" s="57">
        <v>4262.4225</v>
      </c>
    </row>
    <row r="1434" ht="12.9" customHeight="1">
      <c r="R1434" t="s" s="40">
        <v>95</v>
      </c>
      <c r="S1434" s="57">
        <v>4194.88</v>
      </c>
    </row>
    <row r="1435" ht="12.9" customHeight="1">
      <c r="R1435" t="s" s="40">
        <v>1729</v>
      </c>
      <c r="S1435" s="57">
        <v>0</v>
      </c>
    </row>
    <row r="1436" ht="12.9" customHeight="1">
      <c r="R1436" t="s" s="40">
        <v>146</v>
      </c>
      <c r="S1436" s="57">
        <v>59.97</v>
      </c>
    </row>
    <row r="1437" ht="12.9" customHeight="1">
      <c r="R1437" t="s" s="40">
        <v>77</v>
      </c>
      <c r="S1437" s="57">
        <v>389.805</v>
      </c>
    </row>
    <row r="1438" ht="12.9" customHeight="1">
      <c r="R1438" t="s" s="40">
        <v>359</v>
      </c>
      <c r="S1438" s="57">
        <v>292.4025</v>
      </c>
    </row>
    <row r="1439" ht="12.9" customHeight="1">
      <c r="R1439" t="s" s="40">
        <v>52</v>
      </c>
      <c r="S1439" s="57">
        <v>0</v>
      </c>
    </row>
    <row r="1440" ht="12.9" customHeight="1">
      <c r="R1440" t="s" s="40">
        <v>1619</v>
      </c>
      <c r="S1440" s="57">
        <v>0</v>
      </c>
    </row>
    <row r="1441" ht="12.9" customHeight="1">
      <c r="R1441" t="s" s="40">
        <v>89</v>
      </c>
      <c r="S1441" s="57">
        <v>374.9375</v>
      </c>
    </row>
    <row r="1442" ht="12.9" customHeight="1">
      <c r="R1442" t="s" s="40">
        <v>35</v>
      </c>
      <c r="S1442" s="57">
        <v>1739.65</v>
      </c>
    </row>
    <row r="1443" ht="12.9" customHeight="1">
      <c r="R1443" t="s" s="40">
        <v>1257</v>
      </c>
      <c r="S1443" s="57">
        <v>600</v>
      </c>
    </row>
    <row r="1444" ht="12.9" customHeight="1">
      <c r="R1444" t="s" s="40">
        <v>948</v>
      </c>
      <c r="S1444" s="57">
        <v>104.985</v>
      </c>
    </row>
    <row r="1445" ht="12.9" customHeight="1">
      <c r="R1445" t="s" s="40">
        <v>602</v>
      </c>
      <c r="S1445" s="57">
        <v>1799.94</v>
      </c>
    </row>
    <row r="1446" ht="12.9" customHeight="1">
      <c r="R1446" t="s" s="40">
        <v>470</v>
      </c>
      <c r="S1446" s="57">
        <v>150</v>
      </c>
    </row>
    <row r="1447" ht="12.9" customHeight="1">
      <c r="R1447" t="s" s="40">
        <v>1875</v>
      </c>
      <c r="S1447" s="57">
        <v>4800</v>
      </c>
    </row>
    <row r="1448" ht="12.9" customHeight="1">
      <c r="R1448" t="s" s="40">
        <v>133</v>
      </c>
      <c r="S1448" s="57">
        <v>1299.95</v>
      </c>
    </row>
    <row r="1449" ht="12.9" customHeight="1">
      <c r="R1449" t="s" s="40">
        <v>23</v>
      </c>
      <c r="S1449" s="57">
        <v>1304.913</v>
      </c>
    </row>
    <row r="1450" ht="12.9" customHeight="1">
      <c r="R1450" t="s" s="40">
        <v>354</v>
      </c>
      <c r="S1450" s="57">
        <v>509.966</v>
      </c>
    </row>
    <row r="1451" ht="12.9" customHeight="1">
      <c r="R1451" t="s" s="40">
        <v>39</v>
      </c>
      <c r="S1451" s="57">
        <v>109.99</v>
      </c>
    </row>
    <row r="1452" ht="12.9" customHeight="1">
      <c r="R1452" t="s" s="40">
        <v>1961</v>
      </c>
      <c r="S1452" s="57">
        <v>214.98</v>
      </c>
    </row>
    <row r="1453" ht="12.9" customHeight="1">
      <c r="R1453" t="s" s="40">
        <v>487</v>
      </c>
      <c r="S1453" s="57">
        <v>1154.895</v>
      </c>
    </row>
    <row r="1454" ht="12.9" customHeight="1">
      <c r="R1454" t="s" s="40">
        <v>882</v>
      </c>
      <c r="S1454" s="57">
        <v>942.385</v>
      </c>
    </row>
    <row r="1455" ht="12.9" customHeight="1">
      <c r="R1455" t="s" s="40">
        <v>299</v>
      </c>
      <c r="S1455" s="57">
        <v>734.895</v>
      </c>
    </row>
    <row r="1456" ht="12.9" customHeight="1">
      <c r="R1456" t="s" s="40">
        <v>1791</v>
      </c>
      <c r="S1456" s="57">
        <v>0</v>
      </c>
    </row>
    <row r="1457" ht="12.9" customHeight="1">
      <c r="R1457" t="s" s="40">
        <v>585</v>
      </c>
      <c r="S1457" s="57">
        <v>2249.955</v>
      </c>
    </row>
    <row r="1458" ht="12.9" customHeight="1">
      <c r="R1458" t="s" s="40">
        <v>225</v>
      </c>
      <c r="S1458" s="57">
        <v>1499.97</v>
      </c>
    </row>
    <row r="1459" ht="12.9" customHeight="1">
      <c r="R1459" t="s" s="40">
        <v>587</v>
      </c>
      <c r="S1459" s="57">
        <v>0</v>
      </c>
    </row>
    <row r="1460" ht="12.9" customHeight="1">
      <c r="R1460" t="s" s="40">
        <v>589</v>
      </c>
      <c r="S1460" s="57">
        <v>14.98</v>
      </c>
    </row>
    <row r="1461" ht="12.9" customHeight="1">
      <c r="R1461" t="s" s="40">
        <v>119</v>
      </c>
      <c r="S1461" s="57">
        <v>17.91</v>
      </c>
    </row>
    <row r="1462" ht="12.9" customHeight="1">
      <c r="R1462" t="s" s="40">
        <v>179</v>
      </c>
      <c r="S1462" s="57">
        <v>299.94</v>
      </c>
    </row>
    <row r="1463" ht="12.9" customHeight="1">
      <c r="R1463" t="s" s="40">
        <v>84</v>
      </c>
      <c r="S1463" s="57">
        <v>0</v>
      </c>
    </row>
    <row r="1464" ht="12.9" customHeight="1">
      <c r="R1464" t="s" s="40">
        <v>369</v>
      </c>
      <c r="S1464" s="57">
        <v>9.7425</v>
      </c>
    </row>
    <row r="1465" ht="12.9" customHeight="1">
      <c r="R1465" t="s" s="40">
        <v>57</v>
      </c>
      <c r="S1465" s="57">
        <v>9599.879999999999</v>
      </c>
    </row>
    <row r="1466" ht="12.9" customHeight="1">
      <c r="R1466" t="s" s="40">
        <v>1695</v>
      </c>
      <c r="S1466" s="57">
        <v>487.4025</v>
      </c>
    </row>
    <row r="1467" ht="12.9" customHeight="1">
      <c r="R1467" t="s" s="40">
        <v>54</v>
      </c>
      <c r="S1467" s="57">
        <v>144.855</v>
      </c>
    </row>
    <row r="1468" ht="12.9" customHeight="1">
      <c r="R1468" t="s" s="40">
        <v>341</v>
      </c>
      <c r="S1468" s="57">
        <v>119.96</v>
      </c>
    </row>
    <row r="1469" ht="12.9" customHeight="1">
      <c r="R1469" t="s" s="40">
        <v>167</v>
      </c>
      <c r="S1469" s="57">
        <v>29.99</v>
      </c>
    </row>
    <row r="1470" ht="12.9" customHeight="1">
      <c r="R1470" t="s" s="40">
        <v>227</v>
      </c>
      <c r="S1470" s="57">
        <v>179.94</v>
      </c>
    </row>
    <row r="1471" ht="12.9" customHeight="1">
      <c r="R1471" t="s" s="40">
        <v>317</v>
      </c>
      <c r="S1471" s="57">
        <v>524.895</v>
      </c>
    </row>
    <row r="1472" ht="12.9" customHeight="1">
      <c r="R1472" t="s" s="40">
        <v>19</v>
      </c>
      <c r="S1472" s="57">
        <v>5994.5</v>
      </c>
    </row>
    <row r="1473" ht="12.9" customHeight="1">
      <c r="R1473" t="s" s="40">
        <v>982</v>
      </c>
      <c r="S1473" s="57">
        <v>269.9892</v>
      </c>
    </row>
    <row r="1474" ht="12.9" customHeight="1">
      <c r="R1474" t="s" s="40">
        <v>123</v>
      </c>
      <c r="S1474" s="57">
        <v>359.98</v>
      </c>
    </row>
    <row r="1475" ht="12.9" customHeight="1">
      <c r="R1475" t="s" s="40">
        <v>1986</v>
      </c>
      <c r="S1475" s="57">
        <v>360</v>
      </c>
    </row>
    <row r="1476" ht="12.9" customHeight="1">
      <c r="R1476" t="s" s="40">
        <v>778</v>
      </c>
      <c r="S1476" s="57">
        <v>899.97</v>
      </c>
    </row>
    <row r="1477" ht="12.9" customHeight="1">
      <c r="R1477" t="s" s="40">
        <v>1917</v>
      </c>
      <c r="S1477" s="57">
        <v>0</v>
      </c>
    </row>
    <row r="1478" ht="12.9" customHeight="1">
      <c r="R1478" t="s" s="40">
        <v>2050</v>
      </c>
      <c r="S1478" s="57">
        <v>0</v>
      </c>
    </row>
    <row r="1479" ht="12.9" customHeight="1">
      <c r="R1479" t="s" s="40">
        <v>780</v>
      </c>
      <c r="S1479" s="57">
        <v>0</v>
      </c>
    </row>
    <row r="1480" ht="12.9" customHeight="1">
      <c r="R1480" t="s" s="40">
        <v>1892</v>
      </c>
      <c r="S1480" s="57">
        <v>0</v>
      </c>
    </row>
    <row r="1481" ht="12.9" customHeight="1">
      <c r="R1481" t="s" s="40">
        <v>2119</v>
      </c>
      <c r="S1481" s="57">
        <v>74.625</v>
      </c>
    </row>
    <row r="1482" ht="12.9" customHeight="1">
      <c r="R1482" t="s" s="40">
        <v>775</v>
      </c>
      <c r="S1482" s="57">
        <v>140</v>
      </c>
    </row>
    <row r="1483" ht="12.9" customHeight="1">
      <c r="R1483" t="s" s="40">
        <v>2099</v>
      </c>
      <c r="S1483" s="57">
        <v>75.5</v>
      </c>
    </row>
    <row r="1484" ht="12.9" customHeight="1">
      <c r="R1484" t="s" s="40">
        <v>2089</v>
      </c>
      <c r="S1484" s="57">
        <v>374.9925</v>
      </c>
    </row>
    <row r="1485" ht="12.9" customHeight="1">
      <c r="R1485" t="s" s="40">
        <v>1889</v>
      </c>
      <c r="S1485" s="57">
        <v>0</v>
      </c>
    </row>
    <row r="1486" ht="12.9" customHeight="1">
      <c r="R1486" t="s" s="40">
        <v>109</v>
      </c>
      <c r="S1486" s="57">
        <v>599.98</v>
      </c>
    </row>
    <row r="1487" ht="12.9" customHeight="1">
      <c r="R1487" t="s" s="40">
        <v>1187</v>
      </c>
      <c r="S1487" s="57">
        <v>0</v>
      </c>
    </row>
    <row r="1488" ht="12.9" customHeight="1">
      <c r="R1488" t="s" s="40">
        <v>2073</v>
      </c>
      <c r="S1488" s="57">
        <v>0</v>
      </c>
    </row>
    <row r="1489" ht="12.9" customHeight="1">
      <c r="R1489" t="s" s="40">
        <v>1891</v>
      </c>
      <c r="S1489" s="57">
        <v>0</v>
      </c>
    </row>
    <row r="1490" ht="12.9" customHeight="1">
      <c r="R1490" t="s" s="40">
        <v>1186</v>
      </c>
      <c r="S1490" s="57">
        <v>0</v>
      </c>
    </row>
    <row r="1491" ht="13.1" customHeight="1">
      <c r="R1491" t="s" s="42">
        <v>115</v>
      </c>
      <c r="S1491" s="58">
        <v>906.91</v>
      </c>
    </row>
    <row r="1492" ht="13.1" customHeight="1">
      <c r="R1492" t="s" s="44">
        <v>620</v>
      </c>
      <c r="S1492" s="59">
        <v>257616.8298</v>
      </c>
    </row>
  </sheetData>
  <mergeCells count="4">
    <mergeCell ref="A1:H1"/>
    <mergeCell ref="I429:O429"/>
    <mergeCell ref="P1278:Q1278"/>
    <mergeCell ref="R1386:S1386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308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6.3516" style="109" customWidth="1"/>
    <col min="2" max="2" width="24.7656" style="109" customWidth="1"/>
    <col min="3" max="3" width="16.3516" style="109" customWidth="1"/>
    <col min="4" max="4" width="30.7578" style="109" customWidth="1"/>
    <col min="5" max="5" width="58.1797" style="109" customWidth="1"/>
    <col min="6" max="8" width="16.3516" style="109" customWidth="1"/>
    <col min="9" max="9" width="28.3203" style="112" customWidth="1"/>
    <col min="10" max="15" width="13.3516" style="112" customWidth="1"/>
    <col min="16" max="16" width="50.2031" style="113" customWidth="1"/>
    <col min="17" max="17" width="17.3516" style="113" customWidth="1"/>
    <col min="18" max="18" width="46.3984" style="114" customWidth="1"/>
    <col min="19" max="19" width="18.3516" style="114" customWidth="1"/>
    <col min="20" max="16384" width="16.3516" style="114" customWidth="1"/>
  </cols>
  <sheetData>
    <row r="1" ht="15.55" customHeight="1">
      <c r="A1" t="s" s="2">
        <v>2147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s="110">
        <v>4763</v>
      </c>
      <c r="B3" t="s" s="5">
        <v>2148</v>
      </c>
      <c r="C3" s="6">
        <v>45412</v>
      </c>
      <c r="D3" t="s" s="7">
        <v>19</v>
      </c>
      <c r="E3" t="s" s="7">
        <v>20</v>
      </c>
      <c r="F3" s="8">
        <v>2</v>
      </c>
      <c r="G3" s="9">
        <v>119.99</v>
      </c>
      <c r="H3" s="9">
        <f>F3*G3</f>
        <v>239.98</v>
      </c>
    </row>
    <row r="4" ht="12.9" customHeight="1">
      <c r="A4" s="111">
        <v>4763</v>
      </c>
      <c r="B4" t="s" s="11">
        <v>2148</v>
      </c>
      <c r="C4" s="12">
        <v>45412</v>
      </c>
      <c r="D4" t="s" s="13">
        <v>54</v>
      </c>
      <c r="E4" t="s" s="13">
        <v>93</v>
      </c>
      <c r="F4" s="14">
        <v>1</v>
      </c>
      <c r="G4" s="15">
        <v>9.99</v>
      </c>
      <c r="H4" s="15">
        <v>4763</v>
      </c>
    </row>
    <row r="5" ht="12.9" customHeight="1">
      <c r="A5" t="s" s="10">
        <v>2149</v>
      </c>
      <c r="B5" t="s" s="11">
        <v>563</v>
      </c>
      <c r="C5" s="12">
        <v>45412</v>
      </c>
      <c r="D5" t="s" s="13">
        <v>35</v>
      </c>
      <c r="E5" t="s" s="13">
        <v>36</v>
      </c>
      <c r="F5" s="14">
        <v>1</v>
      </c>
      <c r="G5" s="15">
        <v>37.4925</v>
      </c>
      <c r="H5" s="15">
        <v>37.4925</v>
      </c>
    </row>
    <row r="6" ht="12.9" customHeight="1">
      <c r="A6" t="s" s="10">
        <v>2149</v>
      </c>
      <c r="B6" t="s" s="11">
        <v>563</v>
      </c>
      <c r="C6" s="12">
        <v>45412</v>
      </c>
      <c r="D6" t="s" s="13">
        <v>63</v>
      </c>
      <c r="E6" s="16"/>
      <c r="F6" s="14">
        <v>1</v>
      </c>
      <c r="G6" s="15">
        <v>14.5</v>
      </c>
      <c r="H6" s="15">
        <v>14.5</v>
      </c>
    </row>
    <row r="7" ht="12.9" customHeight="1">
      <c r="A7" t="s" s="10">
        <v>2150</v>
      </c>
      <c r="B7" t="s" s="11">
        <v>2046</v>
      </c>
      <c r="C7" s="12">
        <v>45412.659405034719</v>
      </c>
      <c r="D7" t="s" s="13">
        <v>54</v>
      </c>
      <c r="E7" t="s" s="13">
        <v>93</v>
      </c>
      <c r="F7" s="14">
        <v>1</v>
      </c>
      <c r="G7" s="15">
        <v>9.99</v>
      </c>
      <c r="H7" s="15">
        <v>9.99</v>
      </c>
    </row>
    <row r="8" ht="12.9" customHeight="1">
      <c r="A8" t="s" s="10">
        <v>2150</v>
      </c>
      <c r="B8" t="s" s="11">
        <v>2046</v>
      </c>
      <c r="C8" s="12">
        <v>45412.659405034719</v>
      </c>
      <c r="D8" t="s" s="13">
        <v>39</v>
      </c>
      <c r="E8" t="s" s="13">
        <v>40</v>
      </c>
      <c r="F8" s="14">
        <v>1</v>
      </c>
      <c r="G8" s="15">
        <v>109.99</v>
      </c>
      <c r="H8" s="15">
        <v>109.99</v>
      </c>
    </row>
    <row r="9" ht="12.9" customHeight="1">
      <c r="A9" t="s" s="10">
        <v>2151</v>
      </c>
      <c r="B9" t="s" s="11">
        <v>2152</v>
      </c>
      <c r="C9" s="12">
        <v>45412.615321331017</v>
      </c>
      <c r="D9" t="s" s="13">
        <v>81</v>
      </c>
      <c r="E9" t="s" s="13">
        <v>82</v>
      </c>
      <c r="F9" s="14">
        <v>1</v>
      </c>
      <c r="G9" s="15">
        <v>849.99</v>
      </c>
      <c r="H9" s="15">
        <v>849.99</v>
      </c>
    </row>
    <row r="10" ht="12.9" customHeight="1">
      <c r="A10" t="s" s="10">
        <v>2151</v>
      </c>
      <c r="B10" t="s" s="11">
        <v>2152</v>
      </c>
      <c r="C10" s="12">
        <v>45412.615321331017</v>
      </c>
      <c r="D10" t="s" s="13">
        <v>133</v>
      </c>
      <c r="E10" t="s" s="13">
        <v>134</v>
      </c>
      <c r="F10" s="14">
        <v>1</v>
      </c>
      <c r="G10" s="15">
        <v>50</v>
      </c>
      <c r="H10" s="15">
        <v>50</v>
      </c>
    </row>
    <row r="11" ht="12.9" customHeight="1">
      <c r="A11" t="s" s="10">
        <v>2151</v>
      </c>
      <c r="B11" t="s" s="11">
        <v>2152</v>
      </c>
      <c r="C11" s="12">
        <v>45412.615321331017</v>
      </c>
      <c r="D11" t="s" s="13">
        <v>50</v>
      </c>
      <c r="E11" t="s" s="13">
        <v>83</v>
      </c>
      <c r="F11" s="14">
        <v>1</v>
      </c>
      <c r="G11" s="15">
        <v>0</v>
      </c>
      <c r="H11" s="15">
        <v>0</v>
      </c>
    </row>
    <row r="12" ht="12.9" customHeight="1">
      <c r="A12" t="s" s="10">
        <v>2151</v>
      </c>
      <c r="B12" t="s" s="11">
        <v>2152</v>
      </c>
      <c r="C12" s="12">
        <v>45412.615321331017</v>
      </c>
      <c r="D12" t="s" s="13">
        <v>84</v>
      </c>
      <c r="E12" t="s" s="13">
        <v>85</v>
      </c>
      <c r="F12" s="14">
        <v>1</v>
      </c>
      <c r="G12" s="15">
        <v>0</v>
      </c>
      <c r="H12" s="15">
        <v>0</v>
      </c>
    </row>
    <row r="13" ht="12.9" customHeight="1">
      <c r="A13" t="s" s="10">
        <v>2151</v>
      </c>
      <c r="B13" t="s" s="11">
        <v>2152</v>
      </c>
      <c r="C13" s="12">
        <v>45412.615321331017</v>
      </c>
      <c r="D13" t="s" s="13">
        <v>89</v>
      </c>
      <c r="E13" t="s" s="13">
        <v>90</v>
      </c>
      <c r="F13" s="14">
        <v>1</v>
      </c>
      <c r="G13" s="15">
        <v>59.99</v>
      </c>
      <c r="H13" s="15">
        <v>59.99</v>
      </c>
    </row>
    <row r="14" ht="12.9" customHeight="1">
      <c r="A14" t="s" s="10">
        <v>2151</v>
      </c>
      <c r="B14" t="s" s="11">
        <v>2152</v>
      </c>
      <c r="C14" s="12">
        <v>45412.615321331017</v>
      </c>
      <c r="D14" t="s" s="13">
        <v>19</v>
      </c>
      <c r="E14" t="s" s="13">
        <v>20</v>
      </c>
      <c r="F14" s="14">
        <v>1</v>
      </c>
      <c r="G14" s="15">
        <v>119.99</v>
      </c>
      <c r="H14" s="15">
        <v>119.99</v>
      </c>
    </row>
    <row r="15" ht="12.9" customHeight="1">
      <c r="A15" t="s" s="10">
        <v>2153</v>
      </c>
      <c r="B15" t="s" s="11">
        <v>2154</v>
      </c>
      <c r="C15" s="12">
        <v>45412.520054826389</v>
      </c>
      <c r="D15" t="s" s="13">
        <v>27</v>
      </c>
      <c r="E15" t="s" s="13">
        <v>28</v>
      </c>
      <c r="F15" s="14">
        <v>2</v>
      </c>
      <c r="G15" s="15">
        <v>79.98999999999999</v>
      </c>
      <c r="H15" s="15">
        <v>159.98</v>
      </c>
    </row>
    <row r="16" ht="12.9" customHeight="1">
      <c r="A16" t="s" s="10">
        <v>2155</v>
      </c>
      <c r="B16" t="s" s="11">
        <v>2156</v>
      </c>
      <c r="C16" s="12">
        <v>45412.247411087963</v>
      </c>
      <c r="D16" t="s" s="13">
        <v>95</v>
      </c>
      <c r="E16" t="s" s="13">
        <v>12</v>
      </c>
      <c r="F16" s="14">
        <v>2</v>
      </c>
      <c r="G16" s="15">
        <v>349.99</v>
      </c>
      <c r="H16" s="15">
        <v>699.98</v>
      </c>
    </row>
    <row r="17" ht="12.9" customHeight="1">
      <c r="A17" t="s" s="10">
        <v>2157</v>
      </c>
      <c r="B17" t="s" s="11">
        <v>2158</v>
      </c>
      <c r="C17" s="12">
        <v>45412.190420277781</v>
      </c>
      <c r="D17" t="s" s="13">
        <v>133</v>
      </c>
      <c r="E17" t="s" s="13">
        <v>134</v>
      </c>
      <c r="F17" s="14">
        <v>1</v>
      </c>
      <c r="G17" s="15">
        <v>199.99</v>
      </c>
      <c r="H17" s="15">
        <v>199.99</v>
      </c>
    </row>
    <row r="18" ht="12.9" customHeight="1">
      <c r="A18" t="s" s="10">
        <v>2159</v>
      </c>
      <c r="B18" t="s" s="11">
        <v>2160</v>
      </c>
      <c r="C18" s="12">
        <v>45411</v>
      </c>
      <c r="D18" t="s" s="13">
        <v>52</v>
      </c>
      <c r="E18" t="s" s="13">
        <v>321</v>
      </c>
      <c r="F18" s="14">
        <v>6</v>
      </c>
      <c r="G18" s="15">
        <v>19.99</v>
      </c>
      <c r="H18" s="15">
        <v>119.94</v>
      </c>
    </row>
    <row r="19" ht="12.9" customHeight="1">
      <c r="A19" t="s" s="10">
        <v>2159</v>
      </c>
      <c r="B19" t="s" s="11">
        <v>2160</v>
      </c>
      <c r="C19" s="12">
        <v>45411</v>
      </c>
      <c r="D19" t="s" s="13">
        <v>1731</v>
      </c>
      <c r="E19" t="s" s="13">
        <v>1732</v>
      </c>
      <c r="F19" s="14">
        <v>12</v>
      </c>
      <c r="G19" s="15">
        <v>24.99</v>
      </c>
      <c r="H19" s="15">
        <v>299.88</v>
      </c>
    </row>
    <row r="20" ht="12.9" customHeight="1">
      <c r="A20" t="s" s="10">
        <v>2161</v>
      </c>
      <c r="B20" t="s" s="11">
        <v>2162</v>
      </c>
      <c r="C20" s="12">
        <v>45411.830273854168</v>
      </c>
      <c r="D20" t="s" s="13">
        <v>470</v>
      </c>
      <c r="E20" t="s" s="13">
        <v>517</v>
      </c>
      <c r="F20" s="14">
        <v>1</v>
      </c>
      <c r="G20" s="15">
        <v>249.99</v>
      </c>
      <c r="H20" s="15">
        <v>249.99</v>
      </c>
    </row>
    <row r="21" ht="12.9" customHeight="1">
      <c r="A21" t="s" s="10">
        <v>2163</v>
      </c>
      <c r="B21" t="s" s="11">
        <v>2164</v>
      </c>
      <c r="C21" s="12">
        <v>45411.707940682871</v>
      </c>
      <c r="D21" t="s" s="13">
        <v>19</v>
      </c>
      <c r="E21" t="s" s="13">
        <v>20</v>
      </c>
      <c r="F21" s="14">
        <v>1</v>
      </c>
      <c r="G21" s="15">
        <v>119.99</v>
      </c>
      <c r="H21" s="15">
        <v>119.99</v>
      </c>
    </row>
    <row r="22" ht="12.9" customHeight="1">
      <c r="A22" t="s" s="10">
        <v>2165</v>
      </c>
      <c r="B22" t="s" s="11">
        <v>2166</v>
      </c>
      <c r="C22" s="12">
        <v>45411.7005012037</v>
      </c>
      <c r="D22" t="s" s="13">
        <v>54</v>
      </c>
      <c r="E22" t="s" s="13">
        <v>93</v>
      </c>
      <c r="F22" s="14">
        <v>5</v>
      </c>
      <c r="G22" s="15">
        <v>9.99</v>
      </c>
      <c r="H22" s="15">
        <v>49.95</v>
      </c>
    </row>
    <row r="23" ht="12.9" customHeight="1">
      <c r="A23" t="s" s="10">
        <v>2167</v>
      </c>
      <c r="B23" t="s" s="11">
        <v>2168</v>
      </c>
      <c r="C23" s="12">
        <v>45411.676884918983</v>
      </c>
      <c r="D23" t="s" s="13">
        <v>35</v>
      </c>
      <c r="E23" t="s" s="13">
        <v>36</v>
      </c>
      <c r="F23" s="14">
        <v>2</v>
      </c>
      <c r="G23" s="15">
        <v>49.99</v>
      </c>
      <c r="H23" s="15">
        <v>99.98</v>
      </c>
    </row>
    <row r="24" ht="12.9" customHeight="1">
      <c r="A24" t="s" s="10">
        <v>2169</v>
      </c>
      <c r="B24" t="s" s="11">
        <v>210</v>
      </c>
      <c r="C24" s="12">
        <v>45411</v>
      </c>
      <c r="D24" t="s" s="13">
        <v>2170</v>
      </c>
      <c r="E24" t="s" s="13">
        <v>2170</v>
      </c>
      <c r="F24" s="14">
        <v>8</v>
      </c>
      <c r="G24" s="15">
        <v>0</v>
      </c>
      <c r="H24" s="15">
        <v>0</v>
      </c>
    </row>
    <row r="25" ht="12.9" customHeight="1">
      <c r="A25" t="s" s="10">
        <v>2169</v>
      </c>
      <c r="B25" t="s" s="11">
        <v>210</v>
      </c>
      <c r="C25" s="12">
        <v>45411</v>
      </c>
      <c r="D25" t="s" s="13">
        <v>1048</v>
      </c>
      <c r="E25" t="s" s="13">
        <v>1049</v>
      </c>
      <c r="F25" s="14">
        <v>10</v>
      </c>
      <c r="G25" s="15">
        <v>0</v>
      </c>
      <c r="H25" s="15">
        <v>0</v>
      </c>
    </row>
    <row r="26" ht="12.9" customHeight="1">
      <c r="A26" t="s" s="10">
        <v>2169</v>
      </c>
      <c r="B26" t="s" s="11">
        <v>210</v>
      </c>
      <c r="C26" s="12">
        <v>45411</v>
      </c>
      <c r="D26" t="s" s="13">
        <v>1046</v>
      </c>
      <c r="E26" t="s" s="13">
        <v>1047</v>
      </c>
      <c r="F26" s="14">
        <v>10</v>
      </c>
      <c r="G26" s="15">
        <v>0</v>
      </c>
      <c r="H26" s="15">
        <v>0</v>
      </c>
    </row>
    <row r="27" ht="12.9" customHeight="1">
      <c r="A27" t="s" s="10">
        <v>2169</v>
      </c>
      <c r="B27" t="s" s="11">
        <v>210</v>
      </c>
      <c r="C27" s="12">
        <v>45411</v>
      </c>
      <c r="D27" t="s" s="13">
        <v>1044</v>
      </c>
      <c r="E27" t="s" s="13">
        <v>1045</v>
      </c>
      <c r="F27" s="14">
        <v>10</v>
      </c>
      <c r="G27" s="15">
        <v>0</v>
      </c>
      <c r="H27" s="15">
        <v>0</v>
      </c>
    </row>
    <row r="28" ht="12.9" customHeight="1">
      <c r="A28" t="s" s="10">
        <v>2171</v>
      </c>
      <c r="B28" t="s" s="11">
        <v>69</v>
      </c>
      <c r="C28" s="12">
        <v>45411</v>
      </c>
      <c r="D28" t="s" s="13">
        <v>59</v>
      </c>
      <c r="E28" t="s" s="13">
        <v>60</v>
      </c>
      <c r="F28" s="14">
        <v>1</v>
      </c>
      <c r="G28" s="15">
        <v>899.9924999999999</v>
      </c>
      <c r="H28" s="15">
        <v>899.9924999999999</v>
      </c>
    </row>
    <row r="29" ht="12.9" customHeight="1">
      <c r="A29" t="s" s="10">
        <v>2172</v>
      </c>
      <c r="B29" t="s" s="11">
        <v>2173</v>
      </c>
      <c r="C29" s="12">
        <v>45410.118773229166</v>
      </c>
      <c r="D29" t="s" s="13">
        <v>1695</v>
      </c>
      <c r="E29" t="s" s="13">
        <v>140</v>
      </c>
      <c r="F29" s="14">
        <v>1</v>
      </c>
      <c r="G29" s="15">
        <v>49.99</v>
      </c>
      <c r="H29" s="15">
        <v>49.99</v>
      </c>
    </row>
    <row r="30" ht="12.9" customHeight="1">
      <c r="A30" t="s" s="10">
        <v>2172</v>
      </c>
      <c r="B30" t="s" s="11">
        <v>2173</v>
      </c>
      <c r="C30" s="12">
        <v>45410.118773229166</v>
      </c>
      <c r="D30" t="s" s="13">
        <v>15</v>
      </c>
      <c r="E30" t="s" s="13">
        <v>16</v>
      </c>
      <c r="F30" s="14">
        <v>1</v>
      </c>
      <c r="G30" s="15">
        <v>0</v>
      </c>
      <c r="H30" s="15">
        <v>0</v>
      </c>
    </row>
    <row r="31" ht="12.9" customHeight="1">
      <c r="A31" t="s" s="10">
        <v>2174</v>
      </c>
      <c r="B31" t="s" s="11">
        <v>1929</v>
      </c>
      <c r="C31" s="12">
        <v>45409.723924259262</v>
      </c>
      <c r="D31" t="s" s="13">
        <v>11</v>
      </c>
      <c r="E31" t="s" s="13">
        <v>12</v>
      </c>
      <c r="F31" s="14">
        <v>1</v>
      </c>
      <c r="G31" s="15">
        <v>399.99</v>
      </c>
      <c r="H31" s="15">
        <v>399.99</v>
      </c>
    </row>
    <row r="32" ht="12.9" customHeight="1">
      <c r="A32" t="s" s="10">
        <v>2175</v>
      </c>
      <c r="B32" t="s" s="11">
        <v>2176</v>
      </c>
      <c r="C32" s="12">
        <v>45409.160888946761</v>
      </c>
      <c r="D32" t="s" s="13">
        <v>31</v>
      </c>
      <c r="E32" t="s" s="13">
        <v>32</v>
      </c>
      <c r="F32" s="14">
        <v>1</v>
      </c>
      <c r="G32" s="15">
        <v>599.99</v>
      </c>
      <c r="H32" s="15">
        <v>599.99</v>
      </c>
    </row>
    <row r="33" ht="12.9" customHeight="1">
      <c r="A33" t="s" s="10">
        <v>2177</v>
      </c>
      <c r="B33" t="s" s="11">
        <v>2178</v>
      </c>
      <c r="C33" s="12">
        <v>45408.947975821757</v>
      </c>
      <c r="D33" t="s" s="13">
        <v>19</v>
      </c>
      <c r="E33" t="s" s="13">
        <v>20</v>
      </c>
      <c r="F33" s="14">
        <v>4</v>
      </c>
      <c r="G33" s="15">
        <v>119.99</v>
      </c>
      <c r="H33" s="15">
        <v>479.96</v>
      </c>
    </row>
    <row r="34" ht="12.9" customHeight="1">
      <c r="A34" t="s" s="10">
        <v>2179</v>
      </c>
      <c r="B34" t="s" s="11">
        <v>563</v>
      </c>
      <c r="C34" s="12">
        <v>45408</v>
      </c>
      <c r="D34" t="s" s="13">
        <v>470</v>
      </c>
      <c r="E34" t="s" s="13">
        <v>517</v>
      </c>
      <c r="F34" s="14">
        <v>2</v>
      </c>
      <c r="G34" s="15">
        <v>187.4925</v>
      </c>
      <c r="H34" s="15">
        <v>374.985</v>
      </c>
    </row>
    <row r="35" ht="12.9" customHeight="1">
      <c r="A35" t="s" s="10">
        <v>2179</v>
      </c>
      <c r="B35" t="s" s="11">
        <v>563</v>
      </c>
      <c r="C35" s="12">
        <v>45408</v>
      </c>
      <c r="D35" t="s" s="13">
        <v>50</v>
      </c>
      <c r="E35" t="s" s="13">
        <v>83</v>
      </c>
      <c r="F35" s="14">
        <v>2</v>
      </c>
      <c r="G35" s="15">
        <v>22.4925</v>
      </c>
      <c r="H35" s="15">
        <v>44.985</v>
      </c>
    </row>
    <row r="36" ht="12.9" customHeight="1">
      <c r="A36" t="s" s="10">
        <v>2179</v>
      </c>
      <c r="B36" t="s" s="11">
        <v>563</v>
      </c>
      <c r="C36" s="12">
        <v>45408</v>
      </c>
      <c r="D36" t="s" s="13">
        <v>63</v>
      </c>
      <c r="E36" s="16"/>
      <c r="F36" s="14">
        <v>1</v>
      </c>
      <c r="G36" s="15">
        <v>19.6</v>
      </c>
      <c r="H36" s="15">
        <v>19.6</v>
      </c>
    </row>
    <row r="37" ht="12.9" customHeight="1">
      <c r="A37" t="s" s="10">
        <v>2180</v>
      </c>
      <c r="B37" t="s" s="11">
        <v>101</v>
      </c>
      <c r="C37" s="12">
        <v>45408</v>
      </c>
      <c r="D37" t="s" s="13">
        <v>102</v>
      </c>
      <c r="E37" t="s" s="13">
        <v>103</v>
      </c>
      <c r="F37" s="14">
        <v>2</v>
      </c>
      <c r="G37" s="15">
        <v>374.99</v>
      </c>
      <c r="H37" s="15">
        <v>749.98</v>
      </c>
    </row>
    <row r="38" ht="12.9" customHeight="1">
      <c r="A38" t="s" s="10">
        <v>2180</v>
      </c>
      <c r="B38" t="s" s="11">
        <v>101</v>
      </c>
      <c r="C38" s="12">
        <v>45408</v>
      </c>
      <c r="D38" t="s" s="13">
        <v>104</v>
      </c>
      <c r="E38" t="s" s="13">
        <v>105</v>
      </c>
      <c r="F38" s="14">
        <v>2</v>
      </c>
      <c r="G38" s="15">
        <v>59.99</v>
      </c>
      <c r="H38" s="15">
        <v>119.98</v>
      </c>
    </row>
    <row r="39" ht="12.9" customHeight="1">
      <c r="A39" t="s" s="10">
        <v>2180</v>
      </c>
      <c r="B39" t="s" s="11">
        <v>101</v>
      </c>
      <c r="C39" s="12">
        <v>45408</v>
      </c>
      <c r="D39" t="s" s="13">
        <v>106</v>
      </c>
      <c r="E39" t="s" s="13">
        <v>107</v>
      </c>
      <c r="F39" s="14">
        <v>2</v>
      </c>
      <c r="G39" s="15">
        <v>289.99</v>
      </c>
      <c r="H39" s="15">
        <v>579.98</v>
      </c>
    </row>
    <row r="40" ht="12.9" customHeight="1">
      <c r="A40" t="s" s="10">
        <v>2180</v>
      </c>
      <c r="B40" t="s" s="11">
        <v>101</v>
      </c>
      <c r="C40" s="12">
        <v>45408</v>
      </c>
      <c r="D40" t="s" s="13">
        <v>77</v>
      </c>
      <c r="E40" t="s" s="13">
        <v>108</v>
      </c>
      <c r="F40" s="14">
        <v>2</v>
      </c>
      <c r="G40" s="15">
        <v>140.49</v>
      </c>
      <c r="H40" s="15">
        <v>280.98</v>
      </c>
    </row>
    <row r="41" ht="12.9" customHeight="1">
      <c r="A41" t="s" s="10">
        <v>2180</v>
      </c>
      <c r="B41" t="s" s="11">
        <v>101</v>
      </c>
      <c r="C41" s="12">
        <v>45408</v>
      </c>
      <c r="D41" t="s" s="13">
        <v>109</v>
      </c>
      <c r="E41" t="s" s="13">
        <v>109</v>
      </c>
      <c r="F41" s="14">
        <v>2</v>
      </c>
      <c r="G41" s="15">
        <v>249.99</v>
      </c>
      <c r="H41" s="15">
        <v>499.98</v>
      </c>
    </row>
    <row r="42" ht="12.9" customHeight="1">
      <c r="A42" t="s" s="10">
        <v>2180</v>
      </c>
      <c r="B42" t="s" s="11">
        <v>101</v>
      </c>
      <c r="C42" s="12">
        <v>45408</v>
      </c>
      <c r="D42" t="s" s="13">
        <v>110</v>
      </c>
      <c r="E42" t="s" s="13">
        <v>110</v>
      </c>
      <c r="F42" s="14">
        <v>2</v>
      </c>
      <c r="G42" s="15">
        <v>0</v>
      </c>
      <c r="H42" s="15">
        <v>0</v>
      </c>
    </row>
    <row r="43" ht="12.9" customHeight="1">
      <c r="A43" t="s" s="10">
        <v>2181</v>
      </c>
      <c r="B43" t="s" s="11">
        <v>2182</v>
      </c>
      <c r="C43" s="12">
        <v>45408</v>
      </c>
      <c r="D43" t="s" s="13">
        <v>1257</v>
      </c>
      <c r="E43" t="s" s="13">
        <v>2183</v>
      </c>
      <c r="F43" s="14">
        <v>1</v>
      </c>
      <c r="G43" s="15">
        <v>229.99</v>
      </c>
      <c r="H43" s="15">
        <v>229.99</v>
      </c>
    </row>
    <row r="44" ht="12.9" customHeight="1">
      <c r="A44" t="s" s="10">
        <v>2181</v>
      </c>
      <c r="B44" t="s" s="11">
        <v>2182</v>
      </c>
      <c r="C44" s="12">
        <v>45408</v>
      </c>
      <c r="D44" t="s" s="13">
        <v>1257</v>
      </c>
      <c r="E44" t="s" s="13">
        <v>2184</v>
      </c>
      <c r="F44" s="14">
        <v>1</v>
      </c>
      <c r="G44" s="15">
        <v>264.99</v>
      </c>
      <c r="H44" s="15">
        <v>264.99</v>
      </c>
    </row>
    <row r="45" ht="12.9" customHeight="1">
      <c r="A45" t="s" s="10">
        <v>2181</v>
      </c>
      <c r="B45" t="s" s="11">
        <v>2182</v>
      </c>
      <c r="C45" s="12">
        <v>45408</v>
      </c>
      <c r="D45" t="s" s="13">
        <v>1257</v>
      </c>
      <c r="E45" t="s" s="13">
        <v>2185</v>
      </c>
      <c r="F45" s="14">
        <v>1</v>
      </c>
      <c r="G45" s="15">
        <v>269.99</v>
      </c>
      <c r="H45" s="15">
        <v>269.99</v>
      </c>
    </row>
    <row r="46" ht="12.9" customHeight="1">
      <c r="A46" t="s" s="10">
        <v>2181</v>
      </c>
      <c r="B46" t="s" s="11">
        <v>2182</v>
      </c>
      <c r="C46" s="12">
        <v>45408</v>
      </c>
      <c r="D46" t="s" s="13">
        <v>1257</v>
      </c>
      <c r="E46" t="s" s="13">
        <v>2186</v>
      </c>
      <c r="F46" s="14">
        <v>1</v>
      </c>
      <c r="G46" s="15">
        <v>299.99</v>
      </c>
      <c r="H46" s="15">
        <v>299.99</v>
      </c>
    </row>
    <row r="47" ht="12.9" customHeight="1">
      <c r="A47" t="s" s="10">
        <v>2181</v>
      </c>
      <c r="B47" t="s" s="11">
        <v>2182</v>
      </c>
      <c r="C47" s="12">
        <v>45408</v>
      </c>
      <c r="D47" t="s" s="13">
        <v>1257</v>
      </c>
      <c r="E47" t="s" s="13">
        <v>2187</v>
      </c>
      <c r="F47" s="14">
        <v>1</v>
      </c>
      <c r="G47" s="15">
        <v>329.99</v>
      </c>
      <c r="H47" s="15">
        <v>329.99</v>
      </c>
    </row>
    <row r="48" ht="12.9" customHeight="1">
      <c r="A48" t="s" s="10">
        <v>2181</v>
      </c>
      <c r="B48" t="s" s="11">
        <v>2182</v>
      </c>
      <c r="C48" s="12">
        <v>45408</v>
      </c>
      <c r="D48" t="s" s="13">
        <v>1257</v>
      </c>
      <c r="E48" t="s" s="13">
        <v>2188</v>
      </c>
      <c r="F48" s="14">
        <v>1</v>
      </c>
      <c r="G48" s="15">
        <v>359.99</v>
      </c>
      <c r="H48" s="15">
        <v>359.99</v>
      </c>
    </row>
    <row r="49" ht="12.9" customHeight="1">
      <c r="A49" t="s" s="10">
        <v>2181</v>
      </c>
      <c r="B49" t="s" s="11">
        <v>2182</v>
      </c>
      <c r="C49" s="12">
        <v>45408</v>
      </c>
      <c r="D49" t="s" s="13">
        <v>1257</v>
      </c>
      <c r="E49" t="s" s="13">
        <v>2189</v>
      </c>
      <c r="F49" s="14">
        <v>1</v>
      </c>
      <c r="G49" s="15">
        <v>409.99</v>
      </c>
      <c r="H49" s="15">
        <v>409.99</v>
      </c>
    </row>
    <row r="50" ht="12.9" customHeight="1">
      <c r="A50" t="s" s="10">
        <v>2181</v>
      </c>
      <c r="B50" t="s" s="11">
        <v>2182</v>
      </c>
      <c r="C50" s="12">
        <v>45408</v>
      </c>
      <c r="D50" t="s" s="13">
        <v>1257</v>
      </c>
      <c r="E50" t="s" s="13">
        <v>2190</v>
      </c>
      <c r="F50" s="14">
        <v>1</v>
      </c>
      <c r="G50" s="15">
        <v>429.99</v>
      </c>
      <c r="H50" s="15">
        <v>429.99</v>
      </c>
    </row>
    <row r="51" ht="12.9" customHeight="1">
      <c r="A51" t="s" s="10">
        <v>2191</v>
      </c>
      <c r="B51" t="s" s="11">
        <v>69</v>
      </c>
      <c r="C51" s="12">
        <v>45408</v>
      </c>
      <c r="D51" t="s" s="13">
        <v>102</v>
      </c>
      <c r="E51" t="s" s="13">
        <v>2192</v>
      </c>
      <c r="F51" s="14">
        <v>26</v>
      </c>
      <c r="G51" s="15">
        <v>71.24250000000001</v>
      </c>
      <c r="H51" s="15">
        <v>1852.305</v>
      </c>
    </row>
    <row r="52" ht="12.9" customHeight="1">
      <c r="A52" t="s" s="10">
        <v>2191</v>
      </c>
      <c r="B52" t="s" s="11">
        <v>69</v>
      </c>
      <c r="C52" s="12">
        <v>45408</v>
      </c>
      <c r="D52" t="s" s="13">
        <v>354</v>
      </c>
      <c r="E52" t="s" s="13">
        <v>355</v>
      </c>
      <c r="F52" s="14">
        <v>10</v>
      </c>
      <c r="G52" s="15">
        <v>112.4925</v>
      </c>
      <c r="H52" s="15">
        <v>1124.925</v>
      </c>
    </row>
    <row r="53" ht="12.9" customHeight="1">
      <c r="A53" t="s" s="10">
        <v>2191</v>
      </c>
      <c r="B53" t="s" s="11">
        <v>69</v>
      </c>
      <c r="C53" s="12">
        <v>45408</v>
      </c>
      <c r="D53" t="s" s="13">
        <v>2193</v>
      </c>
      <c r="E53" t="s" s="13">
        <v>2194</v>
      </c>
      <c r="F53" s="14">
        <v>12</v>
      </c>
      <c r="G53" s="15">
        <v>59.9925</v>
      </c>
      <c r="H53" s="15">
        <v>719.91</v>
      </c>
    </row>
    <row r="54" ht="12.9" customHeight="1">
      <c r="A54" t="s" s="10">
        <v>2191</v>
      </c>
      <c r="B54" t="s" s="11">
        <v>69</v>
      </c>
      <c r="C54" s="12">
        <v>45408</v>
      </c>
      <c r="D54" t="s" s="13">
        <v>106</v>
      </c>
      <c r="E54" t="s" s="13">
        <v>502</v>
      </c>
      <c r="F54" s="14">
        <v>10</v>
      </c>
      <c r="G54" s="15">
        <v>48.7425</v>
      </c>
      <c r="H54" s="15">
        <v>487.425</v>
      </c>
    </row>
    <row r="55" ht="12.9" customHeight="1">
      <c r="A55" t="s" s="10">
        <v>2191</v>
      </c>
      <c r="B55" t="s" s="11">
        <v>69</v>
      </c>
      <c r="C55" s="12">
        <v>45408</v>
      </c>
      <c r="D55" t="s" s="13">
        <v>47</v>
      </c>
      <c r="E55" s="16"/>
      <c r="F55" s="14">
        <v>1</v>
      </c>
      <c r="G55" s="15">
        <v>58.75</v>
      </c>
      <c r="H55" s="15">
        <v>58.75</v>
      </c>
    </row>
    <row r="56" ht="12.9" customHeight="1">
      <c r="A56" t="s" s="10">
        <v>2195</v>
      </c>
      <c r="B56" t="s" s="11">
        <v>2196</v>
      </c>
      <c r="C56" s="12">
        <v>45408</v>
      </c>
      <c r="D56" t="s" s="13">
        <v>254</v>
      </c>
      <c r="E56" t="s" s="13">
        <v>2197</v>
      </c>
      <c r="F56" s="14">
        <v>1</v>
      </c>
      <c r="G56" s="15">
        <v>0</v>
      </c>
      <c r="H56" s="15">
        <v>0</v>
      </c>
    </row>
    <row r="57" ht="12.9" customHeight="1">
      <c r="A57" t="s" s="10">
        <v>2198</v>
      </c>
      <c r="B57" t="s" s="11">
        <v>2042</v>
      </c>
      <c r="C57" s="12">
        <v>45408.681821319442</v>
      </c>
      <c r="D57" t="s" s="13">
        <v>39</v>
      </c>
      <c r="E57" t="s" s="13">
        <v>40</v>
      </c>
      <c r="F57" s="14">
        <v>2</v>
      </c>
      <c r="G57" s="15">
        <v>109.99</v>
      </c>
      <c r="H57" s="15">
        <v>219.98</v>
      </c>
    </row>
    <row r="58" ht="12.9" customHeight="1">
      <c r="A58" t="s" s="10">
        <v>2198</v>
      </c>
      <c r="B58" t="s" s="11">
        <v>2042</v>
      </c>
      <c r="C58" s="12">
        <v>45408.681821319442</v>
      </c>
      <c r="D58" t="s" s="13">
        <v>84</v>
      </c>
      <c r="E58" t="s" s="13">
        <v>85</v>
      </c>
      <c r="F58" s="14">
        <v>2</v>
      </c>
      <c r="G58" s="15">
        <v>9.99</v>
      </c>
      <c r="H58" s="15">
        <v>19.98</v>
      </c>
    </row>
    <row r="59" ht="12.9" customHeight="1">
      <c r="A59" t="s" s="10">
        <v>2199</v>
      </c>
      <c r="B59" t="s" s="11">
        <v>514</v>
      </c>
      <c r="C59" s="12">
        <v>45408.656559537034</v>
      </c>
      <c r="D59" t="s" s="13">
        <v>89</v>
      </c>
      <c r="E59" t="s" s="13">
        <v>90</v>
      </c>
      <c r="F59" s="14">
        <v>10</v>
      </c>
      <c r="G59" s="15">
        <v>59.99</v>
      </c>
      <c r="H59" s="15">
        <v>599.9</v>
      </c>
    </row>
    <row r="60" ht="12.9" customHeight="1">
      <c r="A60" t="s" s="10">
        <v>2200</v>
      </c>
      <c r="B60" t="s" s="11">
        <v>2042</v>
      </c>
      <c r="C60" s="12">
        <v>45408.647783333334</v>
      </c>
      <c r="D60" t="s" s="13">
        <v>77</v>
      </c>
      <c r="E60" t="s" s="13">
        <v>78</v>
      </c>
      <c r="F60" s="14">
        <v>2</v>
      </c>
      <c r="G60" s="15">
        <v>19.99</v>
      </c>
      <c r="H60" s="15">
        <v>39.98</v>
      </c>
    </row>
    <row r="61" ht="12.9" customHeight="1">
      <c r="A61" t="s" s="10">
        <v>2201</v>
      </c>
      <c r="B61" t="s" s="11">
        <v>2202</v>
      </c>
      <c r="C61" s="12">
        <v>45408.404003645832</v>
      </c>
      <c r="D61" t="s" s="13">
        <v>54</v>
      </c>
      <c r="E61" t="s" s="13">
        <v>93</v>
      </c>
      <c r="F61" s="14">
        <v>2</v>
      </c>
      <c r="G61" s="15">
        <v>9.99</v>
      </c>
      <c r="H61" s="15">
        <v>19.98</v>
      </c>
    </row>
    <row r="62" ht="12.9" customHeight="1">
      <c r="A62" t="s" s="10">
        <v>2203</v>
      </c>
      <c r="B62" t="s" s="11">
        <v>2204</v>
      </c>
      <c r="C62" s="12">
        <v>45408.147714733794</v>
      </c>
      <c r="D62" t="s" s="13">
        <v>95</v>
      </c>
      <c r="E62" t="s" s="13">
        <v>12</v>
      </c>
      <c r="F62" s="14">
        <v>1</v>
      </c>
      <c r="G62" s="15">
        <v>349.99</v>
      </c>
      <c r="H62" s="15">
        <v>349.99</v>
      </c>
    </row>
    <row r="63" ht="12.9" customHeight="1">
      <c r="A63" t="s" s="10">
        <v>2205</v>
      </c>
      <c r="B63" t="s" s="11">
        <v>1453</v>
      </c>
      <c r="C63" s="12">
        <v>45407.988851909722</v>
      </c>
      <c r="D63" t="s" s="13">
        <v>19</v>
      </c>
      <c r="E63" t="s" s="13">
        <v>20</v>
      </c>
      <c r="F63" s="14">
        <v>5</v>
      </c>
      <c r="G63" s="15">
        <v>119.99</v>
      </c>
      <c r="H63" s="15">
        <v>599.95</v>
      </c>
    </row>
    <row r="64" ht="12.9" customHeight="1">
      <c r="A64" t="s" s="10">
        <v>2205</v>
      </c>
      <c r="B64" t="s" s="11">
        <v>1453</v>
      </c>
      <c r="C64" s="12">
        <v>45407.988851909722</v>
      </c>
      <c r="D64" t="s" s="13">
        <v>1695</v>
      </c>
      <c r="E64" t="s" s="13">
        <v>140</v>
      </c>
      <c r="F64" s="14">
        <v>1</v>
      </c>
      <c r="G64" s="15">
        <v>49.99</v>
      </c>
      <c r="H64" s="15">
        <v>49.99</v>
      </c>
    </row>
    <row r="65" ht="12.9" customHeight="1">
      <c r="A65" t="s" s="10">
        <v>2205</v>
      </c>
      <c r="B65" t="s" s="11">
        <v>1453</v>
      </c>
      <c r="C65" s="12">
        <v>45407.988851909722</v>
      </c>
      <c r="D65" t="s" s="13">
        <v>15</v>
      </c>
      <c r="E65" t="s" s="13">
        <v>16</v>
      </c>
      <c r="F65" s="14">
        <v>1</v>
      </c>
      <c r="G65" s="15">
        <v>0</v>
      </c>
      <c r="H65" s="15">
        <v>0</v>
      </c>
    </row>
    <row r="66" ht="12.9" customHeight="1">
      <c r="A66" t="s" s="10">
        <v>2206</v>
      </c>
      <c r="B66" t="s" s="11">
        <v>329</v>
      </c>
      <c r="C66" s="12">
        <v>45407</v>
      </c>
      <c r="D66" t="s" s="13">
        <v>1308</v>
      </c>
      <c r="E66" t="s" s="13">
        <v>1309</v>
      </c>
      <c r="F66" s="14">
        <v>15</v>
      </c>
      <c r="G66" s="15">
        <v>0</v>
      </c>
      <c r="H66" s="15">
        <v>0</v>
      </c>
    </row>
    <row r="67" ht="12.9" customHeight="1">
      <c r="A67" t="s" s="10">
        <v>2206</v>
      </c>
      <c r="B67" t="s" s="11">
        <v>329</v>
      </c>
      <c r="C67" s="12">
        <v>45407</v>
      </c>
      <c r="D67" t="s" s="13">
        <v>15</v>
      </c>
      <c r="E67" t="s" s="13">
        <v>16</v>
      </c>
      <c r="F67" s="14">
        <v>1</v>
      </c>
      <c r="G67" s="15">
        <v>0</v>
      </c>
      <c r="H67" s="15">
        <v>0</v>
      </c>
    </row>
    <row r="68" ht="12.9" customHeight="1">
      <c r="A68" t="s" s="10">
        <v>2206</v>
      </c>
      <c r="B68" t="s" s="11">
        <v>329</v>
      </c>
      <c r="C68" s="12">
        <v>45407</v>
      </c>
      <c r="D68" t="s" s="13">
        <v>1306</v>
      </c>
      <c r="E68" t="s" s="13">
        <v>1307</v>
      </c>
      <c r="F68" s="14">
        <v>5</v>
      </c>
      <c r="G68" s="15">
        <v>0</v>
      </c>
      <c r="H68" s="15">
        <v>0</v>
      </c>
    </row>
    <row r="69" ht="12.9" customHeight="1">
      <c r="A69" t="s" s="10">
        <v>2207</v>
      </c>
      <c r="B69" t="s" s="11">
        <v>391</v>
      </c>
      <c r="C69" s="12">
        <v>45407</v>
      </c>
      <c r="D69" t="s" s="13">
        <v>59</v>
      </c>
      <c r="E69" t="s" s="13">
        <v>60</v>
      </c>
      <c r="F69" s="14">
        <v>1</v>
      </c>
      <c r="G69" s="15">
        <v>899.9924999999999</v>
      </c>
      <c r="H69" s="15">
        <v>899.9924999999999</v>
      </c>
    </row>
    <row r="70" ht="12.9" customHeight="1">
      <c r="A70" t="s" s="10">
        <v>2207</v>
      </c>
      <c r="B70" t="s" s="11">
        <v>391</v>
      </c>
      <c r="C70" s="12">
        <v>45407</v>
      </c>
      <c r="D70" t="s" s="13">
        <v>63</v>
      </c>
      <c r="E70" s="16"/>
      <c r="F70" s="14">
        <v>1</v>
      </c>
      <c r="G70" s="15">
        <v>61.8</v>
      </c>
      <c r="H70" s="15">
        <v>61.8</v>
      </c>
    </row>
    <row r="71" ht="12.9" customHeight="1">
      <c r="A71" t="s" s="10">
        <v>2208</v>
      </c>
      <c r="B71" t="s" s="11">
        <v>2209</v>
      </c>
      <c r="C71" s="12">
        <v>45407</v>
      </c>
      <c r="D71" t="s" s="13">
        <v>133</v>
      </c>
      <c r="E71" t="s" s="13">
        <v>134</v>
      </c>
      <c r="F71" s="14">
        <v>3</v>
      </c>
      <c r="G71" s="15">
        <v>199.99</v>
      </c>
      <c r="H71" s="15">
        <v>599.97</v>
      </c>
    </row>
    <row r="72" ht="12.9" customHeight="1">
      <c r="A72" t="s" s="10">
        <v>2208</v>
      </c>
      <c r="B72" t="s" s="11">
        <v>2209</v>
      </c>
      <c r="C72" s="12">
        <v>45407</v>
      </c>
      <c r="D72" t="s" s="13">
        <v>602</v>
      </c>
      <c r="E72" t="s" s="13">
        <v>686</v>
      </c>
      <c r="F72" s="14">
        <v>1</v>
      </c>
      <c r="G72" s="15">
        <v>299.99</v>
      </c>
      <c r="H72" s="15">
        <v>299.99</v>
      </c>
    </row>
    <row r="73" ht="12.9" customHeight="1">
      <c r="A73" t="s" s="10">
        <v>2208</v>
      </c>
      <c r="B73" t="s" s="11">
        <v>2209</v>
      </c>
      <c r="C73" s="12">
        <v>45407</v>
      </c>
      <c r="D73" t="s" s="13">
        <v>63</v>
      </c>
      <c r="E73" s="16"/>
      <c r="F73" s="14">
        <v>1</v>
      </c>
      <c r="G73" s="15">
        <v>53.25</v>
      </c>
      <c r="H73" s="15">
        <v>53.25</v>
      </c>
    </row>
    <row r="74" ht="12.9" customHeight="1">
      <c r="A74" t="s" s="10">
        <v>2210</v>
      </c>
      <c r="B74" t="s" s="11">
        <v>1751</v>
      </c>
      <c r="C74" s="12">
        <v>45407</v>
      </c>
      <c r="D74" t="s" s="13">
        <v>906</v>
      </c>
      <c r="E74" t="s" s="13">
        <v>907</v>
      </c>
      <c r="F74" s="14">
        <v>1</v>
      </c>
      <c r="G74" s="15">
        <v>7.5</v>
      </c>
      <c r="H74" s="15">
        <v>7.5</v>
      </c>
    </row>
    <row r="75" ht="12.9" customHeight="1">
      <c r="A75" t="s" s="10">
        <v>2210</v>
      </c>
      <c r="B75" t="s" s="11">
        <v>1751</v>
      </c>
      <c r="C75" s="12">
        <v>45407</v>
      </c>
      <c r="D75" t="s" s="13">
        <v>2211</v>
      </c>
      <c r="E75" t="s" s="13">
        <v>2212</v>
      </c>
      <c r="F75" s="14">
        <v>1</v>
      </c>
      <c r="G75" s="15">
        <v>7.5</v>
      </c>
      <c r="H75" s="15">
        <v>7.5</v>
      </c>
    </row>
    <row r="76" ht="12.9" customHeight="1">
      <c r="A76" t="s" s="10">
        <v>2210</v>
      </c>
      <c r="B76" t="s" s="11">
        <v>1751</v>
      </c>
      <c r="C76" s="12">
        <v>45407</v>
      </c>
      <c r="D76" t="s" s="13">
        <v>908</v>
      </c>
      <c r="E76" t="s" s="13">
        <v>2213</v>
      </c>
      <c r="F76" s="14">
        <v>1</v>
      </c>
      <c r="G76" s="15">
        <v>0</v>
      </c>
      <c r="H76" s="15">
        <v>0</v>
      </c>
    </row>
    <row r="77" ht="12.9" customHeight="1">
      <c r="A77" t="s" s="10">
        <v>2210</v>
      </c>
      <c r="B77" t="s" s="11">
        <v>1751</v>
      </c>
      <c r="C77" s="12">
        <v>45407</v>
      </c>
      <c r="D77" t="s" s="13">
        <v>77</v>
      </c>
      <c r="E77" t="s" s="13">
        <v>78</v>
      </c>
      <c r="F77" s="14">
        <v>1</v>
      </c>
      <c r="G77" s="15">
        <v>19.99</v>
      </c>
      <c r="H77" s="15">
        <v>19.99</v>
      </c>
    </row>
    <row r="78" ht="12.9" customHeight="1">
      <c r="A78" t="s" s="10">
        <v>2210</v>
      </c>
      <c r="B78" t="s" s="11">
        <v>1751</v>
      </c>
      <c r="C78" s="12">
        <v>45407</v>
      </c>
      <c r="D78" t="s" s="13">
        <v>497</v>
      </c>
      <c r="E78" t="s" s="13">
        <v>498</v>
      </c>
      <c r="F78" s="14">
        <v>1</v>
      </c>
      <c r="G78" s="15">
        <v>19.99</v>
      </c>
      <c r="H78" s="15">
        <v>19.99</v>
      </c>
    </row>
    <row r="79" ht="12.9" customHeight="1">
      <c r="A79" t="s" s="10">
        <v>2210</v>
      </c>
      <c r="B79" t="s" s="11">
        <v>1751</v>
      </c>
      <c r="C79" s="12">
        <v>45407</v>
      </c>
      <c r="D79" t="s" s="13">
        <v>780</v>
      </c>
      <c r="E79" t="s" s="13">
        <v>2214</v>
      </c>
      <c r="F79" s="14">
        <v>1</v>
      </c>
      <c r="G79" s="15">
        <v>0</v>
      </c>
      <c r="H79" s="15">
        <v>0</v>
      </c>
    </row>
    <row r="80" ht="12.9" customHeight="1">
      <c r="A80" t="s" s="10">
        <v>2210</v>
      </c>
      <c r="B80" t="s" s="11">
        <v>1751</v>
      </c>
      <c r="C80" s="12">
        <v>45407</v>
      </c>
      <c r="D80" t="s" s="13">
        <v>861</v>
      </c>
      <c r="E80" s="16"/>
      <c r="F80" s="14">
        <v>1</v>
      </c>
      <c r="G80" s="15">
        <v>4.81</v>
      </c>
      <c r="H80" s="15">
        <v>4.81</v>
      </c>
    </row>
    <row r="81" ht="12.9" customHeight="1">
      <c r="A81" t="s" s="10">
        <v>2215</v>
      </c>
      <c r="B81" t="s" s="11">
        <v>2216</v>
      </c>
      <c r="C81" s="12">
        <v>45407.088997129627</v>
      </c>
      <c r="D81" t="s" s="13">
        <v>27</v>
      </c>
      <c r="E81" t="s" s="13">
        <v>28</v>
      </c>
      <c r="F81" s="14">
        <v>5</v>
      </c>
      <c r="G81" s="15">
        <v>79.98999999999999</v>
      </c>
      <c r="H81" s="15">
        <v>399.95</v>
      </c>
    </row>
    <row r="82" ht="12.9" customHeight="1">
      <c r="A82" t="s" s="10">
        <v>2217</v>
      </c>
      <c r="B82" t="s" s="11">
        <v>2218</v>
      </c>
      <c r="C82" s="12">
        <v>45407.037825601852</v>
      </c>
      <c r="D82" t="s" s="13">
        <v>73</v>
      </c>
      <c r="E82" t="s" s="13">
        <v>74</v>
      </c>
      <c r="F82" s="14">
        <v>1</v>
      </c>
      <c r="G82" s="15">
        <v>399.99</v>
      </c>
      <c r="H82" s="15">
        <v>399.99</v>
      </c>
    </row>
    <row r="83" ht="12.9" customHeight="1">
      <c r="A83" t="s" s="10">
        <v>2219</v>
      </c>
      <c r="B83" t="s" s="11">
        <v>2220</v>
      </c>
      <c r="C83" s="12">
        <v>45407.003787638889</v>
      </c>
      <c r="D83" t="s" s="13">
        <v>23</v>
      </c>
      <c r="E83" t="s" s="13">
        <v>24</v>
      </c>
      <c r="F83" s="14">
        <v>1</v>
      </c>
      <c r="G83" s="15">
        <v>149.99</v>
      </c>
      <c r="H83" s="15">
        <v>149.99</v>
      </c>
    </row>
    <row r="84" ht="12.9" customHeight="1">
      <c r="A84" t="s" s="10">
        <v>2219</v>
      </c>
      <c r="B84" t="s" s="11">
        <v>2220</v>
      </c>
      <c r="C84" s="12">
        <v>45407.003787638889</v>
      </c>
      <c r="D84" t="s" s="13">
        <v>84</v>
      </c>
      <c r="E84" t="s" s="13">
        <v>85</v>
      </c>
      <c r="F84" s="14">
        <v>1</v>
      </c>
      <c r="G84" s="15">
        <v>9.99</v>
      </c>
      <c r="H84" s="15">
        <v>9.99</v>
      </c>
    </row>
    <row r="85" ht="12.9" customHeight="1">
      <c r="A85" t="s" s="10">
        <v>2221</v>
      </c>
      <c r="B85" t="s" s="11">
        <v>2222</v>
      </c>
      <c r="C85" s="12">
        <v>45406</v>
      </c>
      <c r="D85" t="s" s="13">
        <v>409</v>
      </c>
      <c r="E85" t="s" s="13">
        <v>409</v>
      </c>
      <c r="F85" s="14">
        <v>4</v>
      </c>
      <c r="G85" s="15">
        <v>20</v>
      </c>
      <c r="H85" s="15">
        <v>80</v>
      </c>
    </row>
    <row r="86" ht="12.9" customHeight="1">
      <c r="A86" t="s" s="10">
        <v>2221</v>
      </c>
      <c r="B86" t="s" s="11">
        <v>2222</v>
      </c>
      <c r="C86" s="12">
        <v>45406</v>
      </c>
      <c r="D86" t="s" s="13">
        <v>2223</v>
      </c>
      <c r="E86" t="s" s="13">
        <v>2224</v>
      </c>
      <c r="F86" s="14">
        <v>4</v>
      </c>
      <c r="G86" s="15">
        <v>10</v>
      </c>
      <c r="H86" s="15">
        <v>40</v>
      </c>
    </row>
    <row r="87" ht="12.9" customHeight="1">
      <c r="A87" t="s" s="10">
        <v>2221</v>
      </c>
      <c r="B87" t="s" s="11">
        <v>2222</v>
      </c>
      <c r="C87" s="12">
        <v>45406</v>
      </c>
      <c r="D87" t="s" s="13">
        <v>409</v>
      </c>
      <c r="E87" t="s" s="13">
        <v>2225</v>
      </c>
      <c r="F87" s="14">
        <v>2</v>
      </c>
      <c r="G87" s="15">
        <v>0</v>
      </c>
      <c r="H87" s="15">
        <v>0</v>
      </c>
    </row>
    <row r="88" ht="12.9" customHeight="1">
      <c r="A88" t="s" s="10">
        <v>2221</v>
      </c>
      <c r="B88" t="s" s="11">
        <v>2222</v>
      </c>
      <c r="C88" s="12">
        <v>45406</v>
      </c>
      <c r="D88" t="s" s="13">
        <v>2223</v>
      </c>
      <c r="E88" t="s" s="13">
        <v>2224</v>
      </c>
      <c r="F88" s="14">
        <v>2</v>
      </c>
      <c r="G88" s="15">
        <v>0</v>
      </c>
      <c r="H88" s="15">
        <v>0</v>
      </c>
    </row>
    <row r="89" ht="12.9" customHeight="1">
      <c r="A89" t="s" s="10">
        <v>2221</v>
      </c>
      <c r="B89" t="s" s="11">
        <v>2222</v>
      </c>
      <c r="C89" s="12">
        <v>45406</v>
      </c>
      <c r="D89" t="s" s="13">
        <v>63</v>
      </c>
      <c r="E89" s="16"/>
      <c r="F89" s="14">
        <v>1</v>
      </c>
      <c r="G89" s="15">
        <v>45.6</v>
      </c>
      <c r="H89" s="15">
        <v>45.6</v>
      </c>
    </row>
    <row r="90" ht="12.9" customHeight="1">
      <c r="A90" t="s" s="10">
        <v>2226</v>
      </c>
      <c r="B90" t="s" s="11">
        <v>1025</v>
      </c>
      <c r="C90" s="12">
        <v>45406.815191956019</v>
      </c>
      <c r="D90" t="s" s="13">
        <v>35</v>
      </c>
      <c r="E90" t="s" s="13">
        <v>36</v>
      </c>
      <c r="F90" s="14">
        <v>1</v>
      </c>
      <c r="G90" s="15">
        <v>49.99</v>
      </c>
      <c r="H90" s="15">
        <v>49.99</v>
      </c>
    </row>
    <row r="91" ht="12.9" customHeight="1">
      <c r="A91" t="s" s="10">
        <v>2227</v>
      </c>
      <c r="B91" t="s" s="11">
        <v>896</v>
      </c>
      <c r="C91" s="12">
        <v>45406</v>
      </c>
      <c r="D91" t="s" s="13">
        <v>998</v>
      </c>
      <c r="E91" t="s" s="13">
        <v>999</v>
      </c>
      <c r="F91" s="14">
        <v>4</v>
      </c>
      <c r="G91" s="15">
        <v>900</v>
      </c>
      <c r="H91" s="15">
        <v>3600</v>
      </c>
    </row>
    <row r="92" ht="12.9" customHeight="1">
      <c r="A92" t="s" s="10">
        <v>2227</v>
      </c>
      <c r="B92" t="s" s="11">
        <v>896</v>
      </c>
      <c r="C92" s="12">
        <v>45406</v>
      </c>
      <c r="D92" t="s" s="13">
        <v>50</v>
      </c>
      <c r="E92" t="s" s="13">
        <v>51</v>
      </c>
      <c r="F92" s="14">
        <v>4</v>
      </c>
      <c r="G92" s="15">
        <v>0</v>
      </c>
      <c r="H92" s="15">
        <v>0</v>
      </c>
    </row>
    <row r="93" ht="12.9" customHeight="1">
      <c r="A93" t="s" s="10">
        <v>2227</v>
      </c>
      <c r="B93" t="s" s="11">
        <v>896</v>
      </c>
      <c r="C93" s="12">
        <v>45406</v>
      </c>
      <c r="D93" t="s" s="13">
        <v>369</v>
      </c>
      <c r="E93" t="s" s="13">
        <v>2228</v>
      </c>
      <c r="F93" s="14">
        <v>2</v>
      </c>
      <c r="G93" s="15">
        <v>0</v>
      </c>
      <c r="H93" s="15">
        <v>0</v>
      </c>
    </row>
    <row r="94" ht="12.9" customHeight="1">
      <c r="A94" t="s" s="10">
        <v>2227</v>
      </c>
      <c r="B94" t="s" s="11">
        <v>896</v>
      </c>
      <c r="C94" s="12">
        <v>45406</v>
      </c>
      <c r="D94" t="s" s="13">
        <v>1917</v>
      </c>
      <c r="E94" t="s" s="13">
        <v>1917</v>
      </c>
      <c r="F94" s="14">
        <v>1</v>
      </c>
      <c r="G94" s="15">
        <v>41.25</v>
      </c>
      <c r="H94" s="15">
        <v>41.25</v>
      </c>
    </row>
    <row r="95" ht="12.9" customHeight="1">
      <c r="A95" t="s" s="10">
        <v>2227</v>
      </c>
      <c r="B95" t="s" s="11">
        <v>896</v>
      </c>
      <c r="C95" s="12">
        <v>45406</v>
      </c>
      <c r="D95" t="s" s="13">
        <v>63</v>
      </c>
      <c r="E95" s="16"/>
      <c r="F95" s="14">
        <v>1</v>
      </c>
      <c r="G95" s="15">
        <v>32.4</v>
      </c>
      <c r="H95" s="15">
        <v>32.4</v>
      </c>
    </row>
    <row r="96" ht="12.9" customHeight="1">
      <c r="A96" t="s" s="10">
        <v>2229</v>
      </c>
      <c r="B96" t="s" s="11">
        <v>2230</v>
      </c>
      <c r="C96" s="12">
        <v>45406.797495925923</v>
      </c>
      <c r="D96" t="s" s="13">
        <v>50</v>
      </c>
      <c r="E96" t="s" s="13">
        <v>83</v>
      </c>
      <c r="F96" s="14">
        <v>4</v>
      </c>
      <c r="G96" s="15">
        <v>29.99</v>
      </c>
      <c r="H96" s="15">
        <v>119.96</v>
      </c>
    </row>
    <row r="97" ht="12.9" customHeight="1">
      <c r="A97" t="s" s="10">
        <v>2231</v>
      </c>
      <c r="B97" t="s" s="11">
        <v>69</v>
      </c>
      <c r="C97" s="12">
        <v>45406</v>
      </c>
      <c r="D97" t="s" s="13">
        <v>254</v>
      </c>
      <c r="E97" t="s" s="13">
        <v>2232</v>
      </c>
      <c r="F97" s="14">
        <v>1</v>
      </c>
      <c r="G97" s="15">
        <v>0</v>
      </c>
      <c r="H97" s="15">
        <v>0</v>
      </c>
    </row>
    <row r="98" ht="12.9" customHeight="1">
      <c r="A98" t="s" s="10">
        <v>2233</v>
      </c>
      <c r="B98" t="s" s="11">
        <v>1751</v>
      </c>
      <c r="C98" s="12">
        <v>45406.730048738427</v>
      </c>
      <c r="D98" t="s" s="13">
        <v>39</v>
      </c>
      <c r="E98" t="s" s="13">
        <v>40</v>
      </c>
      <c r="F98" s="14">
        <v>1</v>
      </c>
      <c r="G98" s="15">
        <v>109.99</v>
      </c>
      <c r="H98" s="15">
        <v>109.99</v>
      </c>
    </row>
    <row r="99" ht="12.9" customHeight="1">
      <c r="A99" t="s" s="10">
        <v>2233</v>
      </c>
      <c r="B99" t="s" s="11">
        <v>1751</v>
      </c>
      <c r="C99" s="12">
        <v>45406.730048738427</v>
      </c>
      <c r="D99" t="s" s="13">
        <v>19</v>
      </c>
      <c r="E99" t="s" s="13">
        <v>20</v>
      </c>
      <c r="F99" s="14">
        <v>2</v>
      </c>
      <c r="G99" s="15">
        <v>119.99</v>
      </c>
      <c r="H99" s="15">
        <v>239.98</v>
      </c>
    </row>
    <row r="100" ht="12.9" customHeight="1">
      <c r="A100" t="s" s="10">
        <v>2234</v>
      </c>
      <c r="B100" t="s" s="11">
        <v>153</v>
      </c>
      <c r="C100" s="12">
        <v>45406.718196574075</v>
      </c>
      <c r="D100" t="s" s="13">
        <v>89</v>
      </c>
      <c r="E100" t="s" s="13">
        <v>90</v>
      </c>
      <c r="F100" s="14">
        <v>1</v>
      </c>
      <c r="G100" s="15">
        <v>59.99</v>
      </c>
      <c r="H100" s="15">
        <v>59.99</v>
      </c>
    </row>
    <row r="101" ht="12.9" customHeight="1">
      <c r="A101" t="s" s="10">
        <v>2234</v>
      </c>
      <c r="B101" t="s" s="11">
        <v>153</v>
      </c>
      <c r="C101" s="12">
        <v>45406.718196574075</v>
      </c>
      <c r="D101" t="s" s="13">
        <v>470</v>
      </c>
      <c r="E101" t="s" s="13">
        <v>517</v>
      </c>
      <c r="F101" s="14">
        <v>1</v>
      </c>
      <c r="G101" s="15">
        <v>249.99</v>
      </c>
      <c r="H101" s="15">
        <v>249.99</v>
      </c>
    </row>
    <row r="102" ht="12.9" customHeight="1">
      <c r="A102" t="s" s="10">
        <v>2235</v>
      </c>
      <c r="B102" t="s" s="11">
        <v>2143</v>
      </c>
      <c r="C102" s="12">
        <v>45406.5791062037</v>
      </c>
      <c r="D102" t="s" s="13">
        <v>73</v>
      </c>
      <c r="E102" t="s" s="13">
        <v>74</v>
      </c>
      <c r="F102" s="14">
        <v>1</v>
      </c>
      <c r="G102" s="15">
        <v>399.99</v>
      </c>
      <c r="H102" s="15">
        <v>399.99</v>
      </c>
    </row>
    <row r="103" ht="12.9" customHeight="1">
      <c r="A103" t="s" s="10">
        <v>2236</v>
      </c>
      <c r="B103" t="s" s="11">
        <v>2237</v>
      </c>
      <c r="C103" s="12">
        <v>45406.432208935184</v>
      </c>
      <c r="D103" t="s" s="13">
        <v>39</v>
      </c>
      <c r="E103" t="s" s="13">
        <v>40</v>
      </c>
      <c r="F103" s="14">
        <v>1</v>
      </c>
      <c r="G103" s="15">
        <v>109.99</v>
      </c>
      <c r="H103" s="15">
        <v>109.99</v>
      </c>
    </row>
    <row r="104" ht="12.9" customHeight="1">
      <c r="A104" t="s" s="10">
        <v>2236</v>
      </c>
      <c r="B104" t="s" s="11">
        <v>2237</v>
      </c>
      <c r="C104" s="12">
        <v>45406.432208935184</v>
      </c>
      <c r="D104" t="s" s="13">
        <v>84</v>
      </c>
      <c r="E104" t="s" s="13">
        <v>85</v>
      </c>
      <c r="F104" s="14">
        <v>1</v>
      </c>
      <c r="G104" s="15">
        <v>9.99</v>
      </c>
      <c r="H104" s="15">
        <v>9.99</v>
      </c>
    </row>
    <row r="105" ht="12.9" customHeight="1">
      <c r="A105" t="s" s="10">
        <v>2238</v>
      </c>
      <c r="B105" t="s" s="11">
        <v>2239</v>
      </c>
      <c r="C105" s="12">
        <v>45405.912499826387</v>
      </c>
      <c r="D105" t="s" s="13">
        <v>50</v>
      </c>
      <c r="E105" t="s" s="13">
        <v>83</v>
      </c>
      <c r="F105" s="14">
        <v>1</v>
      </c>
      <c r="G105" s="15">
        <v>29.99</v>
      </c>
      <c r="H105" s="15">
        <v>29.99</v>
      </c>
    </row>
    <row r="106" ht="12.9" customHeight="1">
      <c r="A106" t="s" s="10">
        <v>2240</v>
      </c>
      <c r="B106" t="s" s="11">
        <v>391</v>
      </c>
      <c r="C106" s="12">
        <v>45405</v>
      </c>
      <c r="D106" t="s" s="13">
        <v>57</v>
      </c>
      <c r="E106" t="s" s="13">
        <v>58</v>
      </c>
      <c r="F106" s="14">
        <v>2</v>
      </c>
      <c r="G106" s="15">
        <v>599.9924999999999</v>
      </c>
      <c r="H106" s="15">
        <v>1199.985</v>
      </c>
    </row>
    <row r="107" ht="12.9" customHeight="1">
      <c r="A107" t="s" s="10">
        <v>2240</v>
      </c>
      <c r="B107" t="s" s="11">
        <v>391</v>
      </c>
      <c r="C107" s="12">
        <v>45405</v>
      </c>
      <c r="D107" t="s" s="13">
        <v>404</v>
      </c>
      <c r="E107" t="s" s="13">
        <v>405</v>
      </c>
      <c r="F107" s="14">
        <v>1</v>
      </c>
      <c r="G107" s="15">
        <v>0</v>
      </c>
      <c r="H107" s="15">
        <v>0</v>
      </c>
    </row>
    <row r="108" ht="12.9" customHeight="1">
      <c r="A108" t="s" s="10">
        <v>2240</v>
      </c>
      <c r="B108" t="s" s="11">
        <v>391</v>
      </c>
      <c r="C108" s="12">
        <v>45405</v>
      </c>
      <c r="D108" t="s" s="13">
        <v>63</v>
      </c>
      <c r="E108" s="16"/>
      <c r="F108" s="14">
        <v>1</v>
      </c>
      <c r="G108" s="15">
        <v>55.32</v>
      </c>
      <c r="H108" s="15">
        <v>55.32</v>
      </c>
    </row>
    <row r="109" ht="12.9" customHeight="1">
      <c r="A109" t="s" s="10">
        <v>2241</v>
      </c>
      <c r="B109" t="s" s="11">
        <v>2242</v>
      </c>
      <c r="C109" s="12">
        <v>45405</v>
      </c>
      <c r="D109" t="s" s="13">
        <v>254</v>
      </c>
      <c r="E109" t="s" s="13">
        <v>2243</v>
      </c>
      <c r="F109" s="14">
        <v>1</v>
      </c>
      <c r="G109" s="15">
        <v>0</v>
      </c>
      <c r="H109" s="15">
        <v>0</v>
      </c>
    </row>
    <row r="110" ht="12.9" customHeight="1">
      <c r="A110" t="s" s="10">
        <v>2244</v>
      </c>
      <c r="B110" t="s" s="11">
        <v>2245</v>
      </c>
      <c r="C110" s="12">
        <v>45405.801034826392</v>
      </c>
      <c r="D110" t="s" s="13">
        <v>35</v>
      </c>
      <c r="E110" t="s" s="13">
        <v>36</v>
      </c>
      <c r="F110" s="14">
        <v>2</v>
      </c>
      <c r="G110" s="15">
        <v>49.99</v>
      </c>
      <c r="H110" s="15">
        <v>99.98</v>
      </c>
    </row>
    <row r="111" ht="12.9" customHeight="1">
      <c r="A111" t="s" s="10">
        <v>2246</v>
      </c>
      <c r="B111" t="s" s="11">
        <v>1956</v>
      </c>
      <c r="C111" s="12">
        <v>45405.738333275462</v>
      </c>
      <c r="D111" t="s" s="13">
        <v>54</v>
      </c>
      <c r="E111" t="s" s="13">
        <v>93</v>
      </c>
      <c r="F111" s="14">
        <v>1</v>
      </c>
      <c r="G111" s="15">
        <v>9.99</v>
      </c>
      <c r="H111" s="15">
        <v>9.99</v>
      </c>
    </row>
    <row r="112" ht="12.9" customHeight="1">
      <c r="A112" t="s" s="10">
        <v>2246</v>
      </c>
      <c r="B112" t="s" s="11">
        <v>1956</v>
      </c>
      <c r="C112" s="12">
        <v>45405.738333275462</v>
      </c>
      <c r="D112" t="s" s="13">
        <v>15</v>
      </c>
      <c r="E112" t="s" s="13">
        <v>16</v>
      </c>
      <c r="F112" s="14">
        <v>1</v>
      </c>
      <c r="G112" s="15">
        <v>9.99</v>
      </c>
      <c r="H112" s="15">
        <v>9.99</v>
      </c>
    </row>
    <row r="113" ht="12.9" customHeight="1">
      <c r="A113" t="s" s="10">
        <v>2247</v>
      </c>
      <c r="B113" t="s" s="11">
        <v>1933</v>
      </c>
      <c r="C113" s="12">
        <v>45404.871457592591</v>
      </c>
      <c r="D113" t="s" s="13">
        <v>31</v>
      </c>
      <c r="E113" t="s" s="13">
        <v>32</v>
      </c>
      <c r="F113" s="14">
        <v>1</v>
      </c>
      <c r="G113" s="15">
        <v>599.99</v>
      </c>
      <c r="H113" s="15">
        <v>599.99</v>
      </c>
    </row>
    <row r="114" ht="12.9" customHeight="1">
      <c r="A114" t="s" s="10">
        <v>2248</v>
      </c>
      <c r="B114" t="s" s="11">
        <v>2222</v>
      </c>
      <c r="C114" s="12">
        <v>45404</v>
      </c>
      <c r="D114" t="s" s="13">
        <v>409</v>
      </c>
      <c r="E114" t="s" s="13">
        <v>409</v>
      </c>
      <c r="F114" s="14">
        <v>3</v>
      </c>
      <c r="G114" s="15">
        <v>20</v>
      </c>
      <c r="H114" s="15">
        <v>60</v>
      </c>
    </row>
    <row r="115" ht="12.9" customHeight="1">
      <c r="A115" t="s" s="10">
        <v>2248</v>
      </c>
      <c r="B115" t="s" s="11">
        <v>2222</v>
      </c>
      <c r="C115" s="12">
        <v>45404</v>
      </c>
      <c r="D115" t="s" s="13">
        <v>63</v>
      </c>
      <c r="E115" s="16"/>
      <c r="F115" s="14">
        <v>1</v>
      </c>
      <c r="G115" s="15">
        <v>41.5</v>
      </c>
      <c r="H115" s="15">
        <v>41.5</v>
      </c>
    </row>
    <row r="116" ht="12.9" customHeight="1">
      <c r="A116" t="s" s="10">
        <v>2249</v>
      </c>
      <c r="B116" t="s" s="11">
        <v>2182</v>
      </c>
      <c r="C116" s="12">
        <v>45404</v>
      </c>
      <c r="D116" t="s" s="13">
        <v>133</v>
      </c>
      <c r="E116" t="s" s="13">
        <v>2250</v>
      </c>
      <c r="F116" s="14">
        <v>1</v>
      </c>
      <c r="G116" s="15">
        <v>199.99</v>
      </c>
      <c r="H116" s="15">
        <v>199.99</v>
      </c>
    </row>
    <row r="117" ht="12.9" customHeight="1">
      <c r="A117" t="s" s="10">
        <v>2249</v>
      </c>
      <c r="B117" t="s" s="11">
        <v>2182</v>
      </c>
      <c r="C117" s="12">
        <v>45404</v>
      </c>
      <c r="D117" t="s" s="13">
        <v>1257</v>
      </c>
      <c r="E117" t="s" s="13">
        <v>2251</v>
      </c>
      <c r="F117" s="14">
        <v>3</v>
      </c>
      <c r="G117" s="15">
        <v>449.99</v>
      </c>
      <c r="H117" s="15">
        <v>1349.97</v>
      </c>
    </row>
    <row r="118" ht="12.9" customHeight="1">
      <c r="A118" t="s" s="10">
        <v>2252</v>
      </c>
      <c r="B118" t="s" s="11">
        <v>2182</v>
      </c>
      <c r="C118" s="12">
        <v>45404</v>
      </c>
      <c r="D118" t="s" s="13">
        <v>81</v>
      </c>
      <c r="E118" t="s" s="13">
        <v>82</v>
      </c>
      <c r="F118" s="14">
        <v>1</v>
      </c>
      <c r="G118" s="15">
        <v>849.99</v>
      </c>
      <c r="H118" s="15">
        <v>849.99</v>
      </c>
    </row>
    <row r="119" ht="12.9" customHeight="1">
      <c r="A119" t="s" s="10">
        <v>2252</v>
      </c>
      <c r="B119" t="s" s="11">
        <v>2182</v>
      </c>
      <c r="C119" s="12">
        <v>45404</v>
      </c>
      <c r="D119" t="s" s="13">
        <v>50</v>
      </c>
      <c r="E119" t="s" s="13">
        <v>51</v>
      </c>
      <c r="F119" s="14">
        <v>1</v>
      </c>
      <c r="G119" s="15">
        <v>0</v>
      </c>
      <c r="H119" s="15">
        <v>0</v>
      </c>
    </row>
    <row r="120" ht="12.9" customHeight="1">
      <c r="A120" t="s" s="10">
        <v>2252</v>
      </c>
      <c r="B120" t="s" s="11">
        <v>2182</v>
      </c>
      <c r="C120" s="12">
        <v>45404</v>
      </c>
      <c r="D120" t="s" s="13">
        <v>54</v>
      </c>
      <c r="E120" t="s" s="13">
        <v>55</v>
      </c>
      <c r="F120" s="14">
        <v>1</v>
      </c>
      <c r="G120" s="15">
        <v>0</v>
      </c>
      <c r="H120" s="15">
        <v>0</v>
      </c>
    </row>
    <row r="121" ht="12.9" customHeight="1">
      <c r="A121" t="s" s="10">
        <v>2252</v>
      </c>
      <c r="B121" t="s" s="11">
        <v>2182</v>
      </c>
      <c r="C121" s="12">
        <v>45404</v>
      </c>
      <c r="D121" t="s" s="13">
        <v>23</v>
      </c>
      <c r="E121" t="s" s="13">
        <v>56</v>
      </c>
      <c r="F121" s="14">
        <v>1</v>
      </c>
      <c r="G121" s="15">
        <v>0</v>
      </c>
      <c r="H121" s="15">
        <v>0</v>
      </c>
    </row>
    <row r="122" ht="12.9" customHeight="1">
      <c r="A122" t="s" s="10">
        <v>2253</v>
      </c>
      <c r="B122" t="s" s="11">
        <v>2254</v>
      </c>
      <c r="C122" s="12">
        <v>45404.806001400466</v>
      </c>
      <c r="D122" t="s" s="13">
        <v>171</v>
      </c>
      <c r="E122" t="s" s="13">
        <v>172</v>
      </c>
      <c r="F122" s="14">
        <v>1</v>
      </c>
      <c r="G122" s="15">
        <v>549.99</v>
      </c>
      <c r="H122" s="15">
        <v>549.99</v>
      </c>
    </row>
    <row r="123" ht="12.9" customHeight="1">
      <c r="A123" t="s" s="10">
        <v>2255</v>
      </c>
      <c r="B123" t="s" s="11">
        <v>2256</v>
      </c>
      <c r="C123" s="12">
        <v>45404.765450486113</v>
      </c>
      <c r="D123" t="s" s="13">
        <v>81</v>
      </c>
      <c r="E123" t="s" s="13">
        <v>82</v>
      </c>
      <c r="F123" s="14">
        <v>2</v>
      </c>
      <c r="G123" s="15">
        <v>849.99</v>
      </c>
      <c r="H123" s="15">
        <v>1699.98</v>
      </c>
    </row>
    <row r="124" ht="12.9" customHeight="1">
      <c r="A124" t="s" s="10">
        <v>2255</v>
      </c>
      <c r="B124" t="s" s="11">
        <v>2256</v>
      </c>
      <c r="C124" s="12">
        <v>45404.765450486113</v>
      </c>
      <c r="D124" t="s" s="13">
        <v>23</v>
      </c>
      <c r="E124" t="s" s="13">
        <v>24</v>
      </c>
      <c r="F124" s="14">
        <v>2</v>
      </c>
      <c r="G124" s="15">
        <v>0</v>
      </c>
      <c r="H124" s="15">
        <v>0</v>
      </c>
    </row>
    <row r="125" ht="12.9" customHeight="1">
      <c r="A125" t="s" s="10">
        <v>2255</v>
      </c>
      <c r="B125" t="s" s="11">
        <v>2256</v>
      </c>
      <c r="C125" s="12">
        <v>45404.765450486113</v>
      </c>
      <c r="D125" t="s" s="13">
        <v>50</v>
      </c>
      <c r="E125" t="s" s="13">
        <v>83</v>
      </c>
      <c r="F125" s="14">
        <v>2</v>
      </c>
      <c r="G125" s="15">
        <v>0</v>
      </c>
      <c r="H125" s="15">
        <v>0</v>
      </c>
    </row>
    <row r="126" ht="12.9" customHeight="1">
      <c r="A126" t="s" s="10">
        <v>2255</v>
      </c>
      <c r="B126" t="s" s="11">
        <v>2256</v>
      </c>
      <c r="C126" s="12">
        <v>45404.765450486113</v>
      </c>
      <c r="D126" t="s" s="13">
        <v>84</v>
      </c>
      <c r="E126" t="s" s="13">
        <v>85</v>
      </c>
      <c r="F126" s="14">
        <v>2</v>
      </c>
      <c r="G126" s="15">
        <v>0</v>
      </c>
      <c r="H126" s="15">
        <v>0</v>
      </c>
    </row>
    <row r="127" ht="12.9" customHeight="1">
      <c r="A127" t="s" s="10">
        <v>2255</v>
      </c>
      <c r="B127" t="s" s="11">
        <v>2256</v>
      </c>
      <c r="C127" s="12">
        <v>45404.765450486113</v>
      </c>
      <c r="D127" t="s" s="13">
        <v>73</v>
      </c>
      <c r="E127" t="s" s="13">
        <v>74</v>
      </c>
      <c r="F127" s="14">
        <v>1</v>
      </c>
      <c r="G127" s="15">
        <v>399.99</v>
      </c>
      <c r="H127" s="15">
        <v>399.99</v>
      </c>
    </row>
    <row r="128" ht="12.9" customHeight="1">
      <c r="A128" t="s" s="10">
        <v>2255</v>
      </c>
      <c r="B128" t="s" s="11">
        <v>2256</v>
      </c>
      <c r="C128" s="12">
        <v>45404.765450486113</v>
      </c>
      <c r="D128" t="s" s="13">
        <v>59</v>
      </c>
      <c r="E128" t="s" s="13">
        <v>60</v>
      </c>
      <c r="F128" s="14">
        <v>1</v>
      </c>
      <c r="G128" s="15">
        <v>1199.99</v>
      </c>
      <c r="H128" s="15">
        <v>1199.99</v>
      </c>
    </row>
    <row r="129" ht="12.9" customHeight="1">
      <c r="A129" t="s" s="10">
        <v>2255</v>
      </c>
      <c r="B129" t="s" s="11">
        <v>2256</v>
      </c>
      <c r="C129" s="12">
        <v>45404.765450486113</v>
      </c>
      <c r="D129" t="s" s="13">
        <v>89</v>
      </c>
      <c r="E129" t="s" s="13">
        <v>90</v>
      </c>
      <c r="F129" s="14">
        <v>2</v>
      </c>
      <c r="G129" s="15">
        <v>59.99</v>
      </c>
      <c r="H129" s="15">
        <v>119.98</v>
      </c>
    </row>
    <row r="130" ht="12.9" customHeight="1">
      <c r="A130" t="s" s="10">
        <v>2255</v>
      </c>
      <c r="B130" t="s" s="11">
        <v>2256</v>
      </c>
      <c r="C130" s="12">
        <v>45404.765450486113</v>
      </c>
      <c r="D130" t="s" s="13">
        <v>19</v>
      </c>
      <c r="E130" t="s" s="13">
        <v>20</v>
      </c>
      <c r="F130" s="14">
        <v>1</v>
      </c>
      <c r="G130" s="15">
        <v>119.99</v>
      </c>
      <c r="H130" s="15">
        <v>119.99</v>
      </c>
    </row>
    <row r="131" ht="12.9" customHeight="1">
      <c r="A131" t="s" s="10">
        <v>2257</v>
      </c>
      <c r="B131" t="s" s="11">
        <v>2258</v>
      </c>
      <c r="C131" s="12">
        <v>45404.699003553244</v>
      </c>
      <c r="D131" t="s" s="13">
        <v>11</v>
      </c>
      <c r="E131" t="s" s="13">
        <v>12</v>
      </c>
      <c r="F131" s="14">
        <v>1</v>
      </c>
      <c r="G131" s="15">
        <v>399.99</v>
      </c>
      <c r="H131" s="15">
        <v>399.99</v>
      </c>
    </row>
    <row r="132" ht="12.9" customHeight="1">
      <c r="A132" t="s" s="10">
        <v>2259</v>
      </c>
      <c r="B132" t="s" s="11">
        <v>2254</v>
      </c>
      <c r="C132" s="12">
        <v>45404.696605902776</v>
      </c>
      <c r="D132" t="s" s="13">
        <v>146</v>
      </c>
      <c r="E132" t="s" s="13">
        <v>147</v>
      </c>
      <c r="F132" s="14">
        <v>1</v>
      </c>
      <c r="G132" s="15">
        <v>19.99</v>
      </c>
      <c r="H132" s="15">
        <v>19.99</v>
      </c>
    </row>
    <row r="133" ht="12.9" customHeight="1">
      <c r="A133" t="s" s="10">
        <v>2260</v>
      </c>
      <c r="B133" t="s" s="11">
        <v>2261</v>
      </c>
      <c r="C133" s="12">
        <v>45404.304768518516</v>
      </c>
      <c r="D133" t="s" s="13">
        <v>89</v>
      </c>
      <c r="E133" t="s" s="13">
        <v>90</v>
      </c>
      <c r="F133" s="14">
        <v>6</v>
      </c>
      <c r="G133" s="15">
        <v>59.99</v>
      </c>
      <c r="H133" s="15">
        <v>359.94</v>
      </c>
    </row>
    <row r="134" ht="12.9" customHeight="1">
      <c r="A134" t="s" s="10">
        <v>2262</v>
      </c>
      <c r="B134" t="s" s="11">
        <v>2263</v>
      </c>
      <c r="C134" s="12">
        <v>45404.060800486113</v>
      </c>
      <c r="D134" t="s" s="13">
        <v>35</v>
      </c>
      <c r="E134" t="s" s="13">
        <v>36</v>
      </c>
      <c r="F134" s="14">
        <v>2</v>
      </c>
      <c r="G134" s="15">
        <v>49.99</v>
      </c>
      <c r="H134" s="15">
        <v>99.98</v>
      </c>
    </row>
    <row r="135" ht="12.9" customHeight="1">
      <c r="A135" t="s" s="10">
        <v>2264</v>
      </c>
      <c r="B135" t="s" s="11">
        <v>1779</v>
      </c>
      <c r="C135" s="12">
        <v>45403.385062268520</v>
      </c>
      <c r="D135" t="s" s="13">
        <v>95</v>
      </c>
      <c r="E135" t="s" s="13">
        <v>12</v>
      </c>
      <c r="F135" s="14">
        <v>1</v>
      </c>
      <c r="G135" s="15">
        <v>349.99</v>
      </c>
      <c r="H135" s="15">
        <v>349.99</v>
      </c>
    </row>
    <row r="136" ht="12.9" customHeight="1">
      <c r="A136" t="s" s="10">
        <v>2265</v>
      </c>
      <c r="B136" t="s" s="11">
        <v>1779</v>
      </c>
      <c r="C136" s="12">
        <v>45403.380695844906</v>
      </c>
      <c r="D136" t="s" s="13">
        <v>95</v>
      </c>
      <c r="E136" t="s" s="13">
        <v>12</v>
      </c>
      <c r="F136" s="14">
        <v>1</v>
      </c>
      <c r="G136" s="15">
        <v>349.99</v>
      </c>
      <c r="H136" s="15">
        <v>349.99</v>
      </c>
    </row>
    <row r="137" ht="12.9" customHeight="1">
      <c r="A137" t="s" s="10">
        <v>2266</v>
      </c>
      <c r="B137" t="s" s="11">
        <v>2267</v>
      </c>
      <c r="C137" s="12">
        <v>45403.165242777781</v>
      </c>
      <c r="D137" t="s" s="13">
        <v>35</v>
      </c>
      <c r="E137" t="s" s="13">
        <v>36</v>
      </c>
      <c r="F137" s="14">
        <v>4</v>
      </c>
      <c r="G137" s="15">
        <v>49.99</v>
      </c>
      <c r="H137" s="15">
        <v>199.96</v>
      </c>
    </row>
    <row r="138" ht="12.9" customHeight="1">
      <c r="A138" t="s" s="10">
        <v>2268</v>
      </c>
      <c r="B138" t="s" s="11">
        <v>2269</v>
      </c>
      <c r="C138" s="12">
        <v>45402.286605196758</v>
      </c>
      <c r="D138" t="s" s="13">
        <v>81</v>
      </c>
      <c r="E138" t="s" s="13">
        <v>82</v>
      </c>
      <c r="F138" s="14">
        <v>2</v>
      </c>
      <c r="G138" s="15">
        <v>849.99</v>
      </c>
      <c r="H138" s="15">
        <v>1699.98</v>
      </c>
    </row>
    <row r="139" ht="12.9" customHeight="1">
      <c r="A139" t="s" s="10">
        <v>2268</v>
      </c>
      <c r="B139" t="s" s="11">
        <v>2269</v>
      </c>
      <c r="C139" s="12">
        <v>45402.286605196758</v>
      </c>
      <c r="D139" t="s" s="13">
        <v>23</v>
      </c>
      <c r="E139" t="s" s="13">
        <v>24</v>
      </c>
      <c r="F139" s="14">
        <v>2</v>
      </c>
      <c r="G139" s="15">
        <v>0</v>
      </c>
      <c r="H139" s="15">
        <v>0</v>
      </c>
    </row>
    <row r="140" ht="12.9" customHeight="1">
      <c r="A140" t="s" s="10">
        <v>2268</v>
      </c>
      <c r="B140" t="s" s="11">
        <v>2269</v>
      </c>
      <c r="C140" s="12">
        <v>45402.286605196758</v>
      </c>
      <c r="D140" t="s" s="13">
        <v>50</v>
      </c>
      <c r="E140" t="s" s="13">
        <v>83</v>
      </c>
      <c r="F140" s="14">
        <v>2</v>
      </c>
      <c r="G140" s="15">
        <v>0</v>
      </c>
      <c r="H140" s="15">
        <v>0</v>
      </c>
    </row>
    <row r="141" ht="12.9" customHeight="1">
      <c r="A141" t="s" s="10">
        <v>2268</v>
      </c>
      <c r="B141" t="s" s="11">
        <v>2269</v>
      </c>
      <c r="C141" s="12">
        <v>45402.286605196758</v>
      </c>
      <c r="D141" t="s" s="13">
        <v>84</v>
      </c>
      <c r="E141" t="s" s="13">
        <v>85</v>
      </c>
      <c r="F141" s="14">
        <v>2</v>
      </c>
      <c r="G141" s="15">
        <v>0</v>
      </c>
      <c r="H141" s="15">
        <v>0</v>
      </c>
    </row>
    <row r="142" ht="12.9" customHeight="1">
      <c r="A142" t="s" s="10">
        <v>2270</v>
      </c>
      <c r="B142" t="s" s="11">
        <v>2271</v>
      </c>
      <c r="C142" s="12">
        <v>45401</v>
      </c>
      <c r="D142" t="s" s="13">
        <v>1875</v>
      </c>
      <c r="E142" t="s" s="13">
        <v>2272</v>
      </c>
      <c r="F142" s="14">
        <v>2</v>
      </c>
      <c r="G142" s="15">
        <v>249.99</v>
      </c>
      <c r="H142" s="15">
        <v>499.98</v>
      </c>
    </row>
    <row r="143" ht="12.9" customHeight="1">
      <c r="A143" t="s" s="10">
        <v>2270</v>
      </c>
      <c r="B143" t="s" s="11">
        <v>2271</v>
      </c>
      <c r="C143" s="12">
        <v>45401</v>
      </c>
      <c r="D143" t="s" s="13">
        <v>63</v>
      </c>
      <c r="E143" s="16"/>
      <c r="F143" s="14">
        <v>1</v>
      </c>
      <c r="G143" s="15">
        <v>98.5</v>
      </c>
      <c r="H143" s="15">
        <v>98.5</v>
      </c>
    </row>
    <row r="144" ht="12.9" customHeight="1">
      <c r="A144" t="s" s="10">
        <v>2273</v>
      </c>
      <c r="B144" t="s" s="11">
        <v>563</v>
      </c>
      <c r="C144" s="12">
        <v>45401</v>
      </c>
      <c r="D144" t="s" s="13">
        <v>35</v>
      </c>
      <c r="E144" t="s" s="13">
        <v>36</v>
      </c>
      <c r="F144" s="14">
        <v>3</v>
      </c>
      <c r="G144" s="15">
        <v>37.4925</v>
      </c>
      <c r="H144" s="15">
        <v>112.4775</v>
      </c>
    </row>
    <row r="145" ht="12.9" customHeight="1">
      <c r="A145" t="s" s="10">
        <v>2273</v>
      </c>
      <c r="B145" t="s" s="11">
        <v>563</v>
      </c>
      <c r="C145" s="12">
        <v>45401</v>
      </c>
      <c r="D145" t="s" s="13">
        <v>63</v>
      </c>
      <c r="E145" s="16"/>
      <c r="F145" s="14">
        <v>1</v>
      </c>
      <c r="G145" s="15">
        <v>14.4</v>
      </c>
      <c r="H145" s="15">
        <v>14.4</v>
      </c>
    </row>
    <row r="146" ht="12.9" customHeight="1">
      <c r="A146" t="s" s="10">
        <v>2274</v>
      </c>
      <c r="B146" t="s" s="11">
        <v>2275</v>
      </c>
      <c r="C146" s="12">
        <v>45401</v>
      </c>
      <c r="D146" t="s" s="13">
        <v>299</v>
      </c>
      <c r="E146" t="s" s="13">
        <v>300</v>
      </c>
      <c r="F146" s="14">
        <v>5</v>
      </c>
      <c r="G146" s="15">
        <v>52.4925</v>
      </c>
      <c r="H146" s="15">
        <v>262.4625</v>
      </c>
    </row>
    <row r="147" ht="12.9" customHeight="1">
      <c r="A147" t="s" s="10">
        <v>2274</v>
      </c>
      <c r="B147" t="s" s="11">
        <v>2275</v>
      </c>
      <c r="C147" s="12">
        <v>45401</v>
      </c>
      <c r="D147" t="s" s="13">
        <v>2276</v>
      </c>
      <c r="E147" t="s" s="13">
        <v>2276</v>
      </c>
      <c r="F147" s="14">
        <v>5</v>
      </c>
      <c r="G147" s="15">
        <v>2.86956525</v>
      </c>
      <c r="H147" s="15">
        <v>14.34782625</v>
      </c>
    </row>
    <row r="148" ht="12.9" customHeight="1">
      <c r="A148" t="s" s="10">
        <v>2274</v>
      </c>
      <c r="B148" t="s" s="11">
        <v>2275</v>
      </c>
      <c r="C148" s="12">
        <v>45401</v>
      </c>
      <c r="D148" t="s" s="13">
        <v>63</v>
      </c>
      <c r="E148" s="16"/>
      <c r="F148" s="14">
        <v>1</v>
      </c>
      <c r="G148" s="15">
        <v>15</v>
      </c>
      <c r="H148" s="15">
        <v>15</v>
      </c>
    </row>
    <row r="149" ht="12.9" customHeight="1">
      <c r="A149" t="s" s="10">
        <v>2277</v>
      </c>
      <c r="B149" t="s" s="11">
        <v>329</v>
      </c>
      <c r="C149" s="12">
        <v>45401</v>
      </c>
      <c r="D149" t="s" s="13">
        <v>143</v>
      </c>
      <c r="E149" t="s" s="13">
        <v>144</v>
      </c>
      <c r="F149" s="14">
        <v>1</v>
      </c>
      <c r="G149" s="15">
        <v>2399.9925</v>
      </c>
      <c r="H149" s="15">
        <v>2399.9925</v>
      </c>
    </row>
    <row r="150" ht="12.9" customHeight="1">
      <c r="A150" t="s" s="10">
        <v>2277</v>
      </c>
      <c r="B150" t="s" s="11">
        <v>329</v>
      </c>
      <c r="C150" s="12">
        <v>45401</v>
      </c>
      <c r="D150" t="s" s="13">
        <v>2278</v>
      </c>
      <c r="E150" s="16"/>
      <c r="F150" s="14">
        <v>1</v>
      </c>
      <c r="G150" s="15">
        <v>143.9994</v>
      </c>
      <c r="H150" s="15">
        <v>143.9994</v>
      </c>
    </row>
    <row r="151" ht="12.9" customHeight="1">
      <c r="A151" t="s" s="10">
        <v>2277</v>
      </c>
      <c r="B151" t="s" s="11">
        <v>329</v>
      </c>
      <c r="C151" s="12">
        <v>45401</v>
      </c>
      <c r="D151" t="s" s="13">
        <v>47</v>
      </c>
      <c r="E151" s="16"/>
      <c r="F151" s="14">
        <v>1</v>
      </c>
      <c r="G151" s="15">
        <v>81.59999999999999</v>
      </c>
      <c r="H151" s="15">
        <v>81.59999999999999</v>
      </c>
    </row>
    <row r="152" ht="12.9" customHeight="1">
      <c r="A152" t="s" s="10">
        <v>2279</v>
      </c>
      <c r="B152" t="s" s="11">
        <v>72</v>
      </c>
      <c r="C152" s="12">
        <v>45401.837995081019</v>
      </c>
      <c r="D152" t="s" s="13">
        <v>73</v>
      </c>
      <c r="E152" t="s" s="13">
        <v>74</v>
      </c>
      <c r="F152" s="14">
        <v>1</v>
      </c>
      <c r="G152" s="15">
        <v>399.99</v>
      </c>
      <c r="H152" s="15">
        <v>399.99</v>
      </c>
    </row>
    <row r="153" ht="12.9" customHeight="1">
      <c r="A153" t="s" s="10">
        <v>2280</v>
      </c>
      <c r="B153" t="s" s="11">
        <v>1570</v>
      </c>
      <c r="C153" s="12">
        <v>45401</v>
      </c>
      <c r="D153" t="s" s="13">
        <v>27</v>
      </c>
      <c r="E153" t="s" s="13">
        <v>28</v>
      </c>
      <c r="F153" s="14">
        <v>2</v>
      </c>
      <c r="G153" s="15">
        <v>59.9925</v>
      </c>
      <c r="H153" s="15">
        <v>119.985</v>
      </c>
    </row>
    <row r="154" ht="12.9" customHeight="1">
      <c r="A154" t="s" s="10">
        <v>2280</v>
      </c>
      <c r="B154" t="s" s="11">
        <v>1570</v>
      </c>
      <c r="C154" s="12">
        <v>45401</v>
      </c>
      <c r="D154" t="s" s="13">
        <v>2281</v>
      </c>
      <c r="E154" s="16"/>
      <c r="F154" s="14">
        <v>1</v>
      </c>
      <c r="G154" s="15">
        <v>10.5</v>
      </c>
      <c r="H154" s="15">
        <v>10.5</v>
      </c>
    </row>
    <row r="155" ht="12.9" customHeight="1">
      <c r="A155" t="s" s="10">
        <v>2280</v>
      </c>
      <c r="B155" t="s" s="11">
        <v>1570</v>
      </c>
      <c r="C155" s="12">
        <v>45401</v>
      </c>
      <c r="D155" t="s" s="13">
        <v>63</v>
      </c>
      <c r="E155" s="16"/>
      <c r="F155" s="14">
        <v>1</v>
      </c>
      <c r="G155" s="15">
        <v>13.5</v>
      </c>
      <c r="H155" s="15">
        <v>13.5</v>
      </c>
    </row>
    <row r="156" ht="12.9" customHeight="1">
      <c r="A156" t="s" s="10">
        <v>2282</v>
      </c>
      <c r="B156" t="s" s="11">
        <v>69</v>
      </c>
      <c r="C156" s="12">
        <v>45401</v>
      </c>
      <c r="D156" t="s" s="13">
        <v>207</v>
      </c>
      <c r="E156" t="s" s="13">
        <v>208</v>
      </c>
      <c r="F156" s="14">
        <v>2</v>
      </c>
      <c r="G156" s="15">
        <v>0</v>
      </c>
      <c r="H156" s="15">
        <v>0</v>
      </c>
    </row>
    <row r="157" ht="12.9" customHeight="1">
      <c r="A157" t="s" s="10">
        <v>2283</v>
      </c>
      <c r="B157" t="s" s="11">
        <v>2284</v>
      </c>
      <c r="C157" s="12">
        <v>45400</v>
      </c>
      <c r="D157" t="s" s="13">
        <v>48</v>
      </c>
      <c r="E157" t="s" s="13">
        <v>49</v>
      </c>
      <c r="F157" s="14">
        <v>2</v>
      </c>
      <c r="G157" s="15">
        <v>1299.99</v>
      </c>
      <c r="H157" s="15">
        <v>2599.98</v>
      </c>
    </row>
    <row r="158" ht="12.9" customHeight="1">
      <c r="A158" t="s" s="10">
        <v>2283</v>
      </c>
      <c r="B158" t="s" s="11">
        <v>2284</v>
      </c>
      <c r="C158" s="12">
        <v>45400</v>
      </c>
      <c r="D158" t="s" s="13">
        <v>50</v>
      </c>
      <c r="E158" t="s" s="13">
        <v>51</v>
      </c>
      <c r="F158" s="14">
        <v>2</v>
      </c>
      <c r="G158" s="15">
        <v>0</v>
      </c>
      <c r="H158" s="15">
        <v>0</v>
      </c>
    </row>
    <row r="159" ht="12.9" customHeight="1">
      <c r="A159" t="s" s="10">
        <v>2283</v>
      </c>
      <c r="B159" t="s" s="11">
        <v>2284</v>
      </c>
      <c r="C159" s="12">
        <v>45400</v>
      </c>
      <c r="D159" t="s" s="13">
        <v>52</v>
      </c>
      <c r="E159" t="s" s="13">
        <v>53</v>
      </c>
      <c r="F159" s="14">
        <v>2</v>
      </c>
      <c r="G159" s="15">
        <v>0</v>
      </c>
      <c r="H159" s="15">
        <v>0</v>
      </c>
    </row>
    <row r="160" ht="12.9" customHeight="1">
      <c r="A160" t="s" s="10">
        <v>2283</v>
      </c>
      <c r="B160" t="s" s="11">
        <v>2284</v>
      </c>
      <c r="C160" s="12">
        <v>45400</v>
      </c>
      <c r="D160" t="s" s="13">
        <v>84</v>
      </c>
      <c r="E160" t="s" s="13">
        <v>330</v>
      </c>
      <c r="F160" s="14">
        <v>2</v>
      </c>
      <c r="G160" s="15">
        <v>0</v>
      </c>
      <c r="H160" s="15">
        <v>0</v>
      </c>
    </row>
    <row r="161" ht="12.9" customHeight="1">
      <c r="A161" t="s" s="10">
        <v>2283</v>
      </c>
      <c r="B161" t="s" s="11">
        <v>2284</v>
      </c>
      <c r="C161" s="12">
        <v>45400</v>
      </c>
      <c r="D161" t="s" s="13">
        <v>470</v>
      </c>
      <c r="E161" t="s" s="13">
        <v>471</v>
      </c>
      <c r="F161" s="14">
        <v>2</v>
      </c>
      <c r="G161" s="15">
        <v>100</v>
      </c>
      <c r="H161" s="15">
        <v>200</v>
      </c>
    </row>
    <row r="162" ht="12.9" customHeight="1">
      <c r="A162" t="s" s="10">
        <v>2283</v>
      </c>
      <c r="B162" t="s" s="11">
        <v>2284</v>
      </c>
      <c r="C162" s="12">
        <v>45400</v>
      </c>
      <c r="D162" t="s" s="13">
        <v>59</v>
      </c>
      <c r="E162" t="s" s="13">
        <v>60</v>
      </c>
      <c r="F162" s="14">
        <v>1</v>
      </c>
      <c r="G162" s="15">
        <v>1199.99</v>
      </c>
      <c r="H162" s="15">
        <v>1199.99</v>
      </c>
    </row>
    <row r="163" ht="12.9" customHeight="1">
      <c r="A163" t="s" s="10">
        <v>2283</v>
      </c>
      <c r="B163" t="s" s="11">
        <v>2284</v>
      </c>
      <c r="C163" s="12">
        <v>45400</v>
      </c>
      <c r="D163" t="s" s="13">
        <v>63</v>
      </c>
      <c r="E163" s="16"/>
      <c r="F163" s="14">
        <v>1</v>
      </c>
      <c r="G163" s="15">
        <v>391.42</v>
      </c>
      <c r="H163" s="15">
        <v>391.42</v>
      </c>
    </row>
    <row r="164" ht="12.9" customHeight="1">
      <c r="A164" t="s" s="10">
        <v>2285</v>
      </c>
      <c r="B164" t="s" s="11">
        <v>2286</v>
      </c>
      <c r="C164" s="12">
        <v>45400.656632083330</v>
      </c>
      <c r="D164" t="s" s="13">
        <v>171</v>
      </c>
      <c r="E164" t="s" s="13">
        <v>172</v>
      </c>
      <c r="F164" s="14">
        <v>1</v>
      </c>
      <c r="G164" s="15">
        <v>549.99</v>
      </c>
      <c r="H164" s="15">
        <v>549.99</v>
      </c>
    </row>
    <row r="165" ht="12.9" customHeight="1">
      <c r="A165" t="s" s="10">
        <v>2287</v>
      </c>
      <c r="B165" t="s" s="11">
        <v>2288</v>
      </c>
      <c r="C165" s="12">
        <v>45400.624839212964</v>
      </c>
      <c r="D165" t="s" s="13">
        <v>19</v>
      </c>
      <c r="E165" t="s" s="13">
        <v>20</v>
      </c>
      <c r="F165" s="14">
        <v>2</v>
      </c>
      <c r="G165" s="15">
        <v>119.99</v>
      </c>
      <c r="H165" s="15">
        <v>239.98</v>
      </c>
    </row>
    <row r="166" ht="12.9" customHeight="1">
      <c r="A166" t="s" s="10">
        <v>2289</v>
      </c>
      <c r="B166" t="s" s="11">
        <v>1166</v>
      </c>
      <c r="C166" s="12">
        <v>45400.569894930559</v>
      </c>
      <c r="D166" t="s" s="13">
        <v>73</v>
      </c>
      <c r="E166" t="s" s="13">
        <v>74</v>
      </c>
      <c r="F166" s="14">
        <v>1</v>
      </c>
      <c r="G166" s="15">
        <v>399.99</v>
      </c>
      <c r="H166" s="15">
        <v>399.99</v>
      </c>
    </row>
    <row r="167" ht="12.9" customHeight="1">
      <c r="A167" t="s" s="10">
        <v>2289</v>
      </c>
      <c r="B167" t="s" s="11">
        <v>1166</v>
      </c>
      <c r="C167" s="12">
        <v>45400.569894930559</v>
      </c>
      <c r="D167" t="s" s="13">
        <v>27</v>
      </c>
      <c r="E167" t="s" s="13">
        <v>28</v>
      </c>
      <c r="F167" s="14">
        <v>2</v>
      </c>
      <c r="G167" s="15">
        <v>79.98999999999999</v>
      </c>
      <c r="H167" s="15">
        <v>159.98</v>
      </c>
    </row>
    <row r="168" ht="12.9" customHeight="1">
      <c r="A168" t="s" s="10">
        <v>2290</v>
      </c>
      <c r="B168" t="s" s="11">
        <v>1658</v>
      </c>
      <c r="C168" s="12">
        <v>45400.050887071760</v>
      </c>
      <c r="D168" t="s" s="13">
        <v>239</v>
      </c>
      <c r="E168" t="s" s="13">
        <v>240</v>
      </c>
      <c r="F168" s="14">
        <v>2</v>
      </c>
      <c r="G168" s="15">
        <v>99.98999999999999</v>
      </c>
      <c r="H168" s="15">
        <v>199.98</v>
      </c>
    </row>
    <row r="169" ht="12.9" customHeight="1">
      <c r="A169" t="s" s="10">
        <v>2290</v>
      </c>
      <c r="B169" t="s" s="11">
        <v>1658</v>
      </c>
      <c r="C169" s="12">
        <v>45400.050887071760</v>
      </c>
      <c r="D169" t="s" s="13">
        <v>146</v>
      </c>
      <c r="E169" t="s" s="13">
        <v>147</v>
      </c>
      <c r="F169" s="14">
        <v>1</v>
      </c>
      <c r="G169" s="15">
        <v>19.99</v>
      </c>
      <c r="H169" s="15">
        <v>19.99</v>
      </c>
    </row>
    <row r="170" ht="12.9" customHeight="1">
      <c r="A170" t="s" s="10">
        <v>2291</v>
      </c>
      <c r="B170" t="s" s="11">
        <v>2292</v>
      </c>
      <c r="C170" s="12">
        <v>45399</v>
      </c>
      <c r="D170" t="s" s="13">
        <v>254</v>
      </c>
      <c r="E170" t="s" s="13">
        <v>2293</v>
      </c>
      <c r="F170" s="14">
        <v>1</v>
      </c>
      <c r="G170" s="15">
        <v>0</v>
      </c>
      <c r="H170" s="15">
        <v>0</v>
      </c>
    </row>
    <row r="171" ht="12.9" customHeight="1">
      <c r="A171" t="s" s="10">
        <v>2291</v>
      </c>
      <c r="B171" t="s" s="11">
        <v>2292</v>
      </c>
      <c r="C171" s="12">
        <v>45399</v>
      </c>
      <c r="D171" t="s" s="13">
        <v>726</v>
      </c>
      <c r="E171" t="s" s="13">
        <v>726</v>
      </c>
      <c r="F171" s="14">
        <v>2</v>
      </c>
      <c r="G171" s="15">
        <v>0</v>
      </c>
      <c r="H171" s="15">
        <v>0</v>
      </c>
    </row>
    <row r="172" ht="12.9" customHeight="1">
      <c r="A172" t="s" s="10">
        <v>2291</v>
      </c>
      <c r="B172" t="s" s="11">
        <v>2292</v>
      </c>
      <c r="C172" s="12">
        <v>45399</v>
      </c>
      <c r="D172" t="s" s="13">
        <v>762</v>
      </c>
      <c r="E172" t="s" s="13">
        <v>763</v>
      </c>
      <c r="F172" s="14">
        <v>1</v>
      </c>
      <c r="G172" s="15">
        <v>0</v>
      </c>
      <c r="H172" s="15">
        <v>0</v>
      </c>
    </row>
    <row r="173" ht="12.9" customHeight="1">
      <c r="A173" t="s" s="10">
        <v>2294</v>
      </c>
      <c r="B173" t="s" s="11">
        <v>2295</v>
      </c>
      <c r="C173" s="12">
        <v>45399.879926412039</v>
      </c>
      <c r="D173" t="s" s="13">
        <v>39</v>
      </c>
      <c r="E173" t="s" s="13">
        <v>40</v>
      </c>
      <c r="F173" s="14">
        <v>1</v>
      </c>
      <c r="G173" s="15">
        <v>109.99</v>
      </c>
      <c r="H173" s="15">
        <v>109.99</v>
      </c>
    </row>
    <row r="174" ht="12.9" customHeight="1">
      <c r="A174" t="s" s="10">
        <v>2296</v>
      </c>
      <c r="B174" t="s" s="11">
        <v>2297</v>
      </c>
      <c r="C174" s="12">
        <v>45399.784276076389</v>
      </c>
      <c r="D174" t="s" s="13">
        <v>35</v>
      </c>
      <c r="E174" t="s" s="13">
        <v>36</v>
      </c>
      <c r="F174" s="14">
        <v>2</v>
      </c>
      <c r="G174" s="15">
        <v>49.99</v>
      </c>
      <c r="H174" s="15">
        <v>99.98</v>
      </c>
    </row>
    <row r="175" ht="12.9" customHeight="1">
      <c r="A175" t="s" s="10">
        <v>2296</v>
      </c>
      <c r="B175" t="s" s="11">
        <v>2297</v>
      </c>
      <c r="C175" s="12">
        <v>45399.784276076389</v>
      </c>
      <c r="D175" t="s" s="13">
        <v>89</v>
      </c>
      <c r="E175" t="s" s="13">
        <v>90</v>
      </c>
      <c r="F175" s="14">
        <v>6</v>
      </c>
      <c r="G175" s="15">
        <v>59.99</v>
      </c>
      <c r="H175" s="15">
        <v>359.94</v>
      </c>
    </row>
    <row r="176" ht="12.9" customHeight="1">
      <c r="A176" t="s" s="10">
        <v>2298</v>
      </c>
      <c r="B176" t="s" s="11">
        <v>2299</v>
      </c>
      <c r="C176" s="12">
        <v>45399.702719814813</v>
      </c>
      <c r="D176" t="s" s="13">
        <v>19</v>
      </c>
      <c r="E176" t="s" s="13">
        <v>20</v>
      </c>
      <c r="F176" s="14">
        <v>1</v>
      </c>
      <c r="G176" s="15">
        <v>119.99</v>
      </c>
      <c r="H176" s="15">
        <v>119.99</v>
      </c>
    </row>
    <row r="177" ht="12.9" customHeight="1">
      <c r="A177" t="s" s="10">
        <v>2300</v>
      </c>
      <c r="B177" t="s" s="11">
        <v>2301</v>
      </c>
      <c r="C177" s="12">
        <v>45399.702661840274</v>
      </c>
      <c r="D177" t="s" s="13">
        <v>11</v>
      </c>
      <c r="E177" t="s" s="13">
        <v>12</v>
      </c>
      <c r="F177" s="14">
        <v>1</v>
      </c>
      <c r="G177" s="15">
        <v>399.99</v>
      </c>
      <c r="H177" s="15">
        <v>399.99</v>
      </c>
    </row>
    <row r="178" ht="12.9" customHeight="1">
      <c r="A178" t="s" s="10">
        <v>2302</v>
      </c>
      <c r="B178" t="s" s="11">
        <v>1967</v>
      </c>
      <c r="C178" s="12">
        <v>45399</v>
      </c>
      <c r="D178" t="s" s="13">
        <v>35</v>
      </c>
      <c r="E178" t="s" s="13">
        <v>36</v>
      </c>
      <c r="F178" s="14">
        <v>2</v>
      </c>
      <c r="G178" s="15">
        <v>49.99</v>
      </c>
      <c r="H178" s="15">
        <v>99.98</v>
      </c>
    </row>
    <row r="179" ht="12.9" customHeight="1">
      <c r="A179" t="s" s="10">
        <v>2302</v>
      </c>
      <c r="B179" t="s" s="11">
        <v>1967</v>
      </c>
      <c r="C179" s="12">
        <v>45399</v>
      </c>
      <c r="D179" t="s" s="13">
        <v>442</v>
      </c>
      <c r="E179" s="16"/>
      <c r="F179" s="14">
        <v>1</v>
      </c>
      <c r="G179" s="15">
        <v>-25</v>
      </c>
      <c r="H179" s="15">
        <v>-25</v>
      </c>
    </row>
    <row r="180" ht="12.9" customHeight="1">
      <c r="A180" t="s" s="10">
        <v>2302</v>
      </c>
      <c r="B180" t="s" s="11">
        <v>1967</v>
      </c>
      <c r="C180" s="12">
        <v>45399</v>
      </c>
      <c r="D180" t="s" s="13">
        <v>63</v>
      </c>
      <c r="E180" s="16"/>
      <c r="F180" s="14">
        <v>1</v>
      </c>
      <c r="G180" s="15">
        <v>11.5</v>
      </c>
      <c r="H180" s="15">
        <v>11.5</v>
      </c>
    </row>
    <row r="181" ht="12.9" customHeight="1">
      <c r="A181" t="s" s="10">
        <v>2303</v>
      </c>
      <c r="B181" t="s" s="11">
        <v>2304</v>
      </c>
      <c r="C181" s="12">
        <v>45399.615486979164</v>
      </c>
      <c r="D181" t="s" s="13">
        <v>95</v>
      </c>
      <c r="E181" t="s" s="13">
        <v>12</v>
      </c>
      <c r="F181" s="14">
        <v>1</v>
      </c>
      <c r="G181" s="15">
        <v>349.99</v>
      </c>
      <c r="H181" s="15">
        <v>349.99</v>
      </c>
    </row>
    <row r="182" ht="12.9" customHeight="1">
      <c r="A182" t="s" s="10">
        <v>2305</v>
      </c>
      <c r="B182" t="s" s="11">
        <v>2306</v>
      </c>
      <c r="C182" s="12">
        <v>45399.235533206018</v>
      </c>
      <c r="D182" t="s" s="13">
        <v>19</v>
      </c>
      <c r="E182" t="s" s="13">
        <v>20</v>
      </c>
      <c r="F182" s="14">
        <v>9</v>
      </c>
      <c r="G182" s="15">
        <v>119.99</v>
      </c>
      <c r="H182" s="15">
        <v>1079.91</v>
      </c>
    </row>
    <row r="183" ht="12.9" customHeight="1">
      <c r="A183" t="s" s="10">
        <v>2307</v>
      </c>
      <c r="B183" t="s" s="11">
        <v>1956</v>
      </c>
      <c r="C183" s="12">
        <v>45398.930215763889</v>
      </c>
      <c r="D183" t="s" s="13">
        <v>81</v>
      </c>
      <c r="E183" t="s" s="13">
        <v>82</v>
      </c>
      <c r="F183" s="14">
        <v>1</v>
      </c>
      <c r="G183" s="15">
        <v>849.99</v>
      </c>
      <c r="H183" s="15">
        <v>849.99</v>
      </c>
    </row>
    <row r="184" ht="12.9" customHeight="1">
      <c r="A184" t="s" s="10">
        <v>2307</v>
      </c>
      <c r="B184" t="s" s="11">
        <v>1956</v>
      </c>
      <c r="C184" s="12">
        <v>45398.930215763889</v>
      </c>
      <c r="D184" t="s" s="13">
        <v>133</v>
      </c>
      <c r="E184" t="s" s="13">
        <v>134</v>
      </c>
      <c r="F184" s="14">
        <v>1</v>
      </c>
      <c r="G184" s="15">
        <v>50</v>
      </c>
      <c r="H184" s="15">
        <v>50</v>
      </c>
    </row>
    <row r="185" ht="12.9" customHeight="1">
      <c r="A185" t="s" s="10">
        <v>2307</v>
      </c>
      <c r="B185" t="s" s="11">
        <v>1956</v>
      </c>
      <c r="C185" s="12">
        <v>45398.930215763889</v>
      </c>
      <c r="D185" t="s" s="13">
        <v>50</v>
      </c>
      <c r="E185" t="s" s="13">
        <v>83</v>
      </c>
      <c r="F185" s="14">
        <v>1</v>
      </c>
      <c r="G185" s="15">
        <v>0</v>
      </c>
      <c r="H185" s="15">
        <v>0</v>
      </c>
    </row>
    <row r="186" ht="12.9" customHeight="1">
      <c r="A186" t="s" s="10">
        <v>2307</v>
      </c>
      <c r="B186" t="s" s="11">
        <v>1956</v>
      </c>
      <c r="C186" s="12">
        <v>45398.930215763889</v>
      </c>
      <c r="D186" t="s" s="13">
        <v>84</v>
      </c>
      <c r="E186" t="s" s="13">
        <v>85</v>
      </c>
      <c r="F186" s="14">
        <v>1</v>
      </c>
      <c r="G186" s="15">
        <v>0</v>
      </c>
      <c r="H186" s="15">
        <v>0</v>
      </c>
    </row>
    <row r="187" ht="12.9" customHeight="1">
      <c r="A187" t="s" s="10">
        <v>2308</v>
      </c>
      <c r="B187" t="s" s="11">
        <v>441</v>
      </c>
      <c r="C187" s="12">
        <v>45398</v>
      </c>
      <c r="D187" t="s" s="13">
        <v>585</v>
      </c>
      <c r="E187" t="s" s="13">
        <v>586</v>
      </c>
      <c r="F187" s="14">
        <v>1</v>
      </c>
      <c r="G187" s="15">
        <v>499.99</v>
      </c>
      <c r="H187" s="15">
        <v>499.99</v>
      </c>
    </row>
    <row r="188" ht="12.9" customHeight="1">
      <c r="A188" t="s" s="10">
        <v>2308</v>
      </c>
      <c r="B188" t="s" s="11">
        <v>441</v>
      </c>
      <c r="C188" s="12">
        <v>45398</v>
      </c>
      <c r="D188" t="s" s="13">
        <v>598</v>
      </c>
      <c r="E188" t="s" s="13">
        <v>599</v>
      </c>
      <c r="F188" s="14">
        <v>3</v>
      </c>
      <c r="G188" s="15">
        <v>0</v>
      </c>
      <c r="H188" s="15">
        <v>0</v>
      </c>
    </row>
    <row r="189" ht="12.9" customHeight="1">
      <c r="A189" t="s" s="10">
        <v>2308</v>
      </c>
      <c r="B189" t="s" s="11">
        <v>441</v>
      </c>
      <c r="C189" s="12">
        <v>45398</v>
      </c>
      <c r="D189" t="s" s="13">
        <v>2050</v>
      </c>
      <c r="E189" t="s" s="13">
        <v>2309</v>
      </c>
      <c r="F189" s="14">
        <v>3</v>
      </c>
      <c r="G189" s="15">
        <v>15.217391</v>
      </c>
      <c r="H189" s="15">
        <v>45.652173</v>
      </c>
    </row>
    <row r="190" ht="12.9" customHeight="1">
      <c r="A190" t="s" s="10">
        <v>2308</v>
      </c>
      <c r="B190" t="s" s="11">
        <v>441</v>
      </c>
      <c r="C190" s="12">
        <v>45398</v>
      </c>
      <c r="D190" t="s" s="13">
        <v>89</v>
      </c>
      <c r="E190" t="s" s="13">
        <v>90</v>
      </c>
      <c r="F190" s="14">
        <v>8</v>
      </c>
      <c r="G190" s="15">
        <v>59.99</v>
      </c>
      <c r="H190" s="15">
        <v>479.92</v>
      </c>
    </row>
    <row r="191" ht="12.9" customHeight="1">
      <c r="A191" t="s" s="10">
        <v>2308</v>
      </c>
      <c r="B191" t="s" s="11">
        <v>441</v>
      </c>
      <c r="C191" s="12">
        <v>45398</v>
      </c>
      <c r="D191" t="s" s="13">
        <v>979</v>
      </c>
      <c r="E191" t="s" s="13">
        <v>980</v>
      </c>
      <c r="F191" s="14">
        <v>1</v>
      </c>
      <c r="G191" s="15">
        <v>99.98999999999999</v>
      </c>
      <c r="H191" s="15">
        <v>99.98999999999999</v>
      </c>
    </row>
    <row r="192" ht="12.9" customHeight="1">
      <c r="A192" t="s" s="10">
        <v>2308</v>
      </c>
      <c r="B192" t="s" s="11">
        <v>441</v>
      </c>
      <c r="C192" s="12">
        <v>45398</v>
      </c>
      <c r="D192" t="s" s="13">
        <v>167</v>
      </c>
      <c r="E192" t="s" s="13">
        <v>168</v>
      </c>
      <c r="F192" s="14">
        <v>3</v>
      </c>
      <c r="G192" s="15">
        <v>29.99</v>
      </c>
      <c r="H192" s="15">
        <v>89.97</v>
      </c>
    </row>
    <row r="193" ht="12.9" customHeight="1">
      <c r="A193" t="s" s="10">
        <v>2308</v>
      </c>
      <c r="B193" t="s" s="11">
        <v>441</v>
      </c>
      <c r="C193" s="12">
        <v>45398</v>
      </c>
      <c r="D193" t="s" s="13">
        <v>442</v>
      </c>
      <c r="E193" s="16"/>
      <c r="F193" s="14">
        <v>1</v>
      </c>
      <c r="G193" s="15">
        <v>-1215.52</v>
      </c>
      <c r="H193" s="15">
        <v>-1215.52</v>
      </c>
    </row>
    <row r="194" ht="12.9" customHeight="1">
      <c r="A194" t="s" s="10">
        <v>2310</v>
      </c>
      <c r="B194" t="s" s="11">
        <v>2271</v>
      </c>
      <c r="C194" s="12">
        <v>45398</v>
      </c>
      <c r="D194" t="s" s="13">
        <v>48</v>
      </c>
      <c r="E194" t="s" s="13">
        <v>49</v>
      </c>
      <c r="F194" s="14">
        <v>4</v>
      </c>
      <c r="G194" s="15">
        <v>1299.99</v>
      </c>
      <c r="H194" s="15">
        <v>5199.96</v>
      </c>
    </row>
    <row r="195" ht="12.9" customHeight="1">
      <c r="A195" t="s" s="10">
        <v>2310</v>
      </c>
      <c r="B195" t="s" s="11">
        <v>2271</v>
      </c>
      <c r="C195" s="12">
        <v>45398</v>
      </c>
      <c r="D195" t="s" s="13">
        <v>50</v>
      </c>
      <c r="E195" t="s" s="13">
        <v>51</v>
      </c>
      <c r="F195" s="14">
        <v>4</v>
      </c>
      <c r="G195" s="15">
        <v>0</v>
      </c>
      <c r="H195" s="15">
        <v>0</v>
      </c>
    </row>
    <row r="196" ht="12.9" customHeight="1">
      <c r="A196" t="s" s="10">
        <v>2310</v>
      </c>
      <c r="B196" t="s" s="11">
        <v>2271</v>
      </c>
      <c r="C196" s="12">
        <v>45398</v>
      </c>
      <c r="D196" t="s" s="13">
        <v>52</v>
      </c>
      <c r="E196" t="s" s="13">
        <v>53</v>
      </c>
      <c r="F196" s="14">
        <v>4</v>
      </c>
      <c r="G196" s="15">
        <v>0</v>
      </c>
      <c r="H196" s="15">
        <v>0</v>
      </c>
    </row>
    <row r="197" ht="12.9" customHeight="1">
      <c r="A197" t="s" s="10">
        <v>2310</v>
      </c>
      <c r="B197" t="s" s="11">
        <v>2271</v>
      </c>
      <c r="C197" s="12">
        <v>45398</v>
      </c>
      <c r="D197" t="s" s="13">
        <v>84</v>
      </c>
      <c r="E197" t="s" s="13">
        <v>330</v>
      </c>
      <c r="F197" s="14">
        <v>4</v>
      </c>
      <c r="G197" s="15">
        <v>0</v>
      </c>
      <c r="H197" s="15">
        <v>0</v>
      </c>
    </row>
    <row r="198" ht="12.9" customHeight="1">
      <c r="A198" t="s" s="10">
        <v>2310</v>
      </c>
      <c r="B198" t="s" s="11">
        <v>2271</v>
      </c>
      <c r="C198" s="12">
        <v>45398</v>
      </c>
      <c r="D198" t="s" s="13">
        <v>1257</v>
      </c>
      <c r="E198" t="s" s="13">
        <v>2311</v>
      </c>
      <c r="F198" s="14">
        <v>4</v>
      </c>
      <c r="G198" s="15">
        <v>325</v>
      </c>
      <c r="H198" s="15">
        <v>1300</v>
      </c>
    </row>
    <row r="199" ht="12.9" customHeight="1">
      <c r="A199" t="s" s="10">
        <v>2310</v>
      </c>
      <c r="B199" t="s" s="11">
        <v>2271</v>
      </c>
      <c r="C199" s="12">
        <v>45398</v>
      </c>
      <c r="D199" t="s" s="13">
        <v>19</v>
      </c>
      <c r="E199" t="s" s="13">
        <v>20</v>
      </c>
      <c r="F199" s="14">
        <v>4</v>
      </c>
      <c r="G199" s="15">
        <v>119.99</v>
      </c>
      <c r="H199" s="15">
        <v>479.96</v>
      </c>
    </row>
    <row r="200" ht="12.9" customHeight="1">
      <c r="A200" t="s" s="10">
        <v>2310</v>
      </c>
      <c r="B200" t="s" s="11">
        <v>2271</v>
      </c>
      <c r="C200" s="12">
        <v>45398</v>
      </c>
      <c r="D200" t="s" s="13">
        <v>47</v>
      </c>
      <c r="E200" s="16"/>
      <c r="F200" s="14">
        <v>1</v>
      </c>
      <c r="G200" s="15">
        <v>353.64</v>
      </c>
      <c r="H200" s="15">
        <v>353.64</v>
      </c>
    </row>
    <row r="201" ht="12.9" customHeight="1">
      <c r="A201" t="s" s="10">
        <v>2312</v>
      </c>
      <c r="B201" t="s" s="11">
        <v>2313</v>
      </c>
      <c r="C201" s="12">
        <v>45398.733296875</v>
      </c>
      <c r="D201" t="s" s="13">
        <v>89</v>
      </c>
      <c r="E201" t="s" s="13">
        <v>90</v>
      </c>
      <c r="F201" s="14">
        <v>2</v>
      </c>
      <c r="G201" s="15">
        <v>59.99</v>
      </c>
      <c r="H201" s="15">
        <v>119.98</v>
      </c>
    </row>
    <row r="202" ht="12.9" customHeight="1">
      <c r="A202" t="s" s="10">
        <v>2314</v>
      </c>
      <c r="B202" t="s" s="11">
        <v>210</v>
      </c>
      <c r="C202" s="12">
        <v>45398</v>
      </c>
      <c r="D202" t="s" s="13">
        <v>123</v>
      </c>
      <c r="E202" t="s" s="13">
        <v>124</v>
      </c>
      <c r="F202" s="14">
        <v>2</v>
      </c>
      <c r="G202" s="15">
        <v>134.9925</v>
      </c>
      <c r="H202" s="15">
        <v>269.985</v>
      </c>
    </row>
    <row r="203" ht="12.9" customHeight="1">
      <c r="A203" t="s" s="10">
        <v>2314</v>
      </c>
      <c r="B203" t="s" s="11">
        <v>210</v>
      </c>
      <c r="C203" s="12">
        <v>45398</v>
      </c>
      <c r="D203" t="s" s="13">
        <v>125</v>
      </c>
      <c r="E203" t="s" s="13">
        <v>126</v>
      </c>
      <c r="F203" s="14">
        <v>8</v>
      </c>
      <c r="G203" s="15">
        <v>48.7425</v>
      </c>
      <c r="H203" s="15">
        <v>389.94</v>
      </c>
    </row>
    <row r="204" ht="12.9" customHeight="1">
      <c r="A204" t="s" s="10">
        <v>2314</v>
      </c>
      <c r="B204" t="s" s="11">
        <v>210</v>
      </c>
      <c r="C204" s="12">
        <v>45398</v>
      </c>
      <c r="D204" t="s" s="13">
        <v>146</v>
      </c>
      <c r="E204" t="s" s="13">
        <v>147</v>
      </c>
      <c r="F204" s="14">
        <v>3</v>
      </c>
      <c r="G204" s="15">
        <v>14.9925</v>
      </c>
      <c r="H204" s="15">
        <v>44.9775</v>
      </c>
    </row>
    <row r="205" ht="12.9" customHeight="1">
      <c r="A205" t="s" s="10">
        <v>2314</v>
      </c>
      <c r="B205" t="s" s="11">
        <v>210</v>
      </c>
      <c r="C205" s="12">
        <v>45398</v>
      </c>
      <c r="D205" t="s" s="13">
        <v>412</v>
      </c>
      <c r="E205" t="s" s="13">
        <v>413</v>
      </c>
      <c r="F205" s="14">
        <v>8</v>
      </c>
      <c r="G205" s="15">
        <v>1.4925</v>
      </c>
      <c r="H205" s="15">
        <v>11.94</v>
      </c>
    </row>
    <row r="206" ht="12.9" customHeight="1">
      <c r="A206" t="s" s="10">
        <v>2314</v>
      </c>
      <c r="B206" t="s" s="11">
        <v>210</v>
      </c>
      <c r="C206" s="12">
        <v>45398</v>
      </c>
      <c r="D206" t="s" s="13">
        <v>15</v>
      </c>
      <c r="E206" t="s" s="13">
        <v>16</v>
      </c>
      <c r="F206" s="14">
        <v>4</v>
      </c>
      <c r="G206" s="15">
        <v>7.4925</v>
      </c>
      <c r="H206" s="15">
        <v>29.97</v>
      </c>
    </row>
    <row r="207" ht="12.9" customHeight="1">
      <c r="A207" t="s" s="10">
        <v>2314</v>
      </c>
      <c r="B207" t="s" s="11">
        <v>210</v>
      </c>
      <c r="C207" s="12">
        <v>45398</v>
      </c>
      <c r="D207" t="s" s="13">
        <v>54</v>
      </c>
      <c r="E207" t="s" s="13">
        <v>93</v>
      </c>
      <c r="F207" s="14">
        <v>8</v>
      </c>
      <c r="G207" s="15">
        <v>7.4925</v>
      </c>
      <c r="H207" s="15">
        <v>59.94</v>
      </c>
    </row>
    <row r="208" ht="12.9" customHeight="1">
      <c r="A208" t="s" s="10">
        <v>2314</v>
      </c>
      <c r="B208" t="s" s="11">
        <v>210</v>
      </c>
      <c r="C208" s="12">
        <v>45398</v>
      </c>
      <c r="D208" t="s" s="13">
        <v>882</v>
      </c>
      <c r="E208" t="s" s="13">
        <v>2315</v>
      </c>
      <c r="F208" s="14">
        <v>1</v>
      </c>
      <c r="G208" s="15">
        <v>56.2425</v>
      </c>
      <c r="H208" s="15">
        <v>56.2425</v>
      </c>
    </row>
    <row r="209" ht="12.9" customHeight="1">
      <c r="A209" t="s" s="10">
        <v>2314</v>
      </c>
      <c r="B209" t="s" s="11">
        <v>210</v>
      </c>
      <c r="C209" s="12">
        <v>45398</v>
      </c>
      <c r="D209" t="s" s="13">
        <v>73</v>
      </c>
      <c r="E209" t="s" s="13">
        <v>74</v>
      </c>
      <c r="F209" s="14">
        <v>1</v>
      </c>
      <c r="G209" s="15">
        <v>299.9925</v>
      </c>
      <c r="H209" s="15">
        <v>299.9925</v>
      </c>
    </row>
    <row r="210" ht="12.9" customHeight="1">
      <c r="A210" t="s" s="10">
        <v>2316</v>
      </c>
      <c r="B210" t="s" s="11">
        <v>2317</v>
      </c>
      <c r="C210" s="12">
        <v>45398</v>
      </c>
      <c r="D210" t="s" s="13">
        <v>48</v>
      </c>
      <c r="E210" t="s" s="13">
        <v>49</v>
      </c>
      <c r="F210" s="14">
        <v>2</v>
      </c>
      <c r="G210" s="15">
        <v>974.9924999999999</v>
      </c>
      <c r="H210" s="15">
        <v>1949.985</v>
      </c>
    </row>
    <row r="211" ht="12.9" customHeight="1">
      <c r="A211" t="s" s="10">
        <v>2316</v>
      </c>
      <c r="B211" t="s" s="11">
        <v>2317</v>
      </c>
      <c r="C211" s="12">
        <v>45398</v>
      </c>
      <c r="D211" t="s" s="13">
        <v>50</v>
      </c>
      <c r="E211" t="s" s="13">
        <v>51</v>
      </c>
      <c r="F211" s="14">
        <v>2</v>
      </c>
      <c r="G211" s="15">
        <v>0</v>
      </c>
      <c r="H211" s="15">
        <v>0</v>
      </c>
    </row>
    <row r="212" ht="12.9" customHeight="1">
      <c r="A212" t="s" s="10">
        <v>2316</v>
      </c>
      <c r="B212" t="s" s="11">
        <v>2317</v>
      </c>
      <c r="C212" s="12">
        <v>45398</v>
      </c>
      <c r="D212" t="s" s="13">
        <v>52</v>
      </c>
      <c r="E212" t="s" s="13">
        <v>53</v>
      </c>
      <c r="F212" s="14">
        <v>2</v>
      </c>
      <c r="G212" s="15">
        <v>0</v>
      </c>
      <c r="H212" s="15">
        <v>0</v>
      </c>
    </row>
    <row r="213" ht="12.9" customHeight="1">
      <c r="A213" t="s" s="10">
        <v>2316</v>
      </c>
      <c r="B213" t="s" s="11">
        <v>2317</v>
      </c>
      <c r="C213" s="12">
        <v>45398</v>
      </c>
      <c r="D213" t="s" s="13">
        <v>1054</v>
      </c>
      <c r="E213" t="s" s="13">
        <v>1418</v>
      </c>
      <c r="F213" s="14">
        <v>2</v>
      </c>
      <c r="G213" s="15">
        <v>0</v>
      </c>
      <c r="H213" s="15">
        <v>0</v>
      </c>
    </row>
    <row r="214" ht="12.9" customHeight="1">
      <c r="A214" t="s" s="10">
        <v>2316</v>
      </c>
      <c r="B214" t="s" s="11">
        <v>2317</v>
      </c>
      <c r="C214" s="12">
        <v>45398</v>
      </c>
      <c r="D214" t="s" s="13">
        <v>412</v>
      </c>
      <c r="E214" t="s" s="13">
        <v>413</v>
      </c>
      <c r="F214" s="14">
        <v>12</v>
      </c>
      <c r="G214" s="15">
        <v>1.4925</v>
      </c>
      <c r="H214" s="15">
        <v>17.91</v>
      </c>
    </row>
    <row r="215" ht="12.9" customHeight="1">
      <c r="A215" t="s" s="10">
        <v>2316</v>
      </c>
      <c r="B215" t="s" s="11">
        <v>2317</v>
      </c>
      <c r="C215" s="12">
        <v>45398</v>
      </c>
      <c r="D215" t="s" s="13">
        <v>119</v>
      </c>
      <c r="E215" t="s" s="13">
        <v>120</v>
      </c>
      <c r="F215" s="14">
        <v>10</v>
      </c>
      <c r="G215" s="15">
        <v>1.4925</v>
      </c>
      <c r="H215" s="15">
        <v>14.925</v>
      </c>
    </row>
    <row r="216" ht="12.9" customHeight="1">
      <c r="A216" t="s" s="10">
        <v>2316</v>
      </c>
      <c r="B216" t="s" s="11">
        <v>2317</v>
      </c>
      <c r="C216" s="12">
        <v>45398</v>
      </c>
      <c r="D216" t="s" s="13">
        <v>15</v>
      </c>
      <c r="E216" t="s" s="13">
        <v>1636</v>
      </c>
      <c r="F216" s="14">
        <v>1</v>
      </c>
      <c r="G216" s="15">
        <v>0</v>
      </c>
      <c r="H216" s="15">
        <v>0</v>
      </c>
    </row>
    <row r="217" ht="12.9" customHeight="1">
      <c r="A217" t="s" s="10">
        <v>2316</v>
      </c>
      <c r="B217" t="s" s="11">
        <v>2317</v>
      </c>
      <c r="C217" s="12">
        <v>45398</v>
      </c>
      <c r="D217" t="s" s="13">
        <v>115</v>
      </c>
      <c r="E217" t="s" s="13">
        <v>1856</v>
      </c>
      <c r="F217" s="14">
        <v>1</v>
      </c>
      <c r="G217" s="15">
        <v>17.2425</v>
      </c>
      <c r="H217" s="15">
        <v>17.2425</v>
      </c>
    </row>
    <row r="218" ht="12.9" customHeight="1">
      <c r="A218" t="s" s="10">
        <v>2316</v>
      </c>
      <c r="B218" t="s" s="11">
        <v>2317</v>
      </c>
      <c r="C218" s="12">
        <v>45398</v>
      </c>
      <c r="D218" t="s" s="13">
        <v>602</v>
      </c>
      <c r="E218" t="s" s="13">
        <v>686</v>
      </c>
      <c r="F218" s="14">
        <v>2</v>
      </c>
      <c r="G218" s="15">
        <v>224.9925</v>
      </c>
      <c r="H218" s="15">
        <v>449.985</v>
      </c>
    </row>
    <row r="219" ht="12.9" customHeight="1">
      <c r="A219" t="s" s="10">
        <v>2316</v>
      </c>
      <c r="B219" t="s" s="11">
        <v>2317</v>
      </c>
      <c r="C219" s="12">
        <v>45398</v>
      </c>
      <c r="D219" t="s" s="13">
        <v>63</v>
      </c>
      <c r="E219" s="16"/>
      <c r="F219" s="14">
        <v>1</v>
      </c>
      <c r="G219" s="15">
        <v>45.64</v>
      </c>
      <c r="H219" s="15">
        <v>45.64</v>
      </c>
    </row>
    <row r="220" ht="12.9" customHeight="1">
      <c r="A220" t="s" s="10">
        <v>2318</v>
      </c>
      <c r="B220" t="s" s="11">
        <v>1426</v>
      </c>
      <c r="C220" s="12">
        <v>45398</v>
      </c>
      <c r="D220" t="s" s="13">
        <v>57</v>
      </c>
      <c r="E220" t="s" s="13">
        <v>58</v>
      </c>
      <c r="F220" s="14">
        <v>4</v>
      </c>
      <c r="G220" s="15">
        <v>599.9924999999999</v>
      </c>
      <c r="H220" s="15">
        <v>2399.97</v>
      </c>
    </row>
    <row r="221" ht="12.9" customHeight="1">
      <c r="A221" t="s" s="10">
        <v>2318</v>
      </c>
      <c r="B221" t="s" s="11">
        <v>1426</v>
      </c>
      <c r="C221" s="12">
        <v>45398</v>
      </c>
      <c r="D221" t="s" s="13">
        <v>47</v>
      </c>
      <c r="E221" s="16"/>
      <c r="F221" s="14">
        <v>1</v>
      </c>
      <c r="G221" s="15">
        <v>41.15</v>
      </c>
      <c r="H221" s="15">
        <v>41.15</v>
      </c>
    </row>
    <row r="222" ht="12.9" customHeight="1">
      <c r="A222" t="s" s="10">
        <v>2319</v>
      </c>
      <c r="B222" t="s" s="11">
        <v>2320</v>
      </c>
      <c r="C222" s="12">
        <v>45398.623916435186</v>
      </c>
      <c r="D222" t="s" s="13">
        <v>35</v>
      </c>
      <c r="E222" t="s" s="13">
        <v>36</v>
      </c>
      <c r="F222" s="14">
        <v>1</v>
      </c>
      <c r="G222" s="15">
        <v>49.99</v>
      </c>
      <c r="H222" s="15">
        <v>49.99</v>
      </c>
    </row>
    <row r="223" ht="12.9" customHeight="1">
      <c r="A223" t="s" s="10">
        <v>2321</v>
      </c>
      <c r="B223" t="s" s="11">
        <v>1967</v>
      </c>
      <c r="C223" s="12">
        <v>45398.220776956019</v>
      </c>
      <c r="D223" t="s" s="13">
        <v>95</v>
      </c>
      <c r="E223" t="s" s="13">
        <v>12</v>
      </c>
      <c r="F223" s="14">
        <v>2</v>
      </c>
      <c r="G223" s="15">
        <v>349.99</v>
      </c>
      <c r="H223" s="15">
        <v>699.98</v>
      </c>
    </row>
    <row r="224" ht="12.9" customHeight="1">
      <c r="A224" t="s" s="10">
        <v>2322</v>
      </c>
      <c r="B224" t="s" s="11">
        <v>2323</v>
      </c>
      <c r="C224" s="12">
        <v>45397</v>
      </c>
      <c r="D224" t="s" s="13">
        <v>27</v>
      </c>
      <c r="E224" t="s" s="13">
        <v>28</v>
      </c>
      <c r="F224" s="14">
        <v>2</v>
      </c>
      <c r="G224" s="15">
        <v>59.9925</v>
      </c>
      <c r="H224" s="15">
        <v>119.985</v>
      </c>
    </row>
    <row r="225" ht="12.9" customHeight="1">
      <c r="A225" t="s" s="10">
        <v>2322</v>
      </c>
      <c r="B225" t="s" s="11">
        <v>2323</v>
      </c>
      <c r="C225" s="12">
        <v>45397</v>
      </c>
      <c r="D225" t="s" s="13">
        <v>63</v>
      </c>
      <c r="E225" s="16"/>
      <c r="F225" s="14">
        <v>1</v>
      </c>
      <c r="G225" s="15">
        <v>14.35</v>
      </c>
      <c r="H225" s="15">
        <v>14.35</v>
      </c>
    </row>
    <row r="226" ht="12.9" customHeight="1">
      <c r="A226" t="s" s="10">
        <v>2324</v>
      </c>
      <c r="B226" t="s" s="11">
        <v>164</v>
      </c>
      <c r="C226" s="12">
        <v>45397.871019236110</v>
      </c>
      <c r="D226" t="s" s="13">
        <v>225</v>
      </c>
      <c r="E226" t="s" s="13">
        <v>226</v>
      </c>
      <c r="F226" s="14">
        <v>2</v>
      </c>
      <c r="G226" s="15">
        <v>499.99</v>
      </c>
      <c r="H226" s="15">
        <v>999.98</v>
      </c>
    </row>
    <row r="227" ht="12.9" customHeight="1">
      <c r="A227" t="s" s="10">
        <v>2324</v>
      </c>
      <c r="B227" t="s" s="11">
        <v>164</v>
      </c>
      <c r="C227" s="12">
        <v>45397.871019236110</v>
      </c>
      <c r="D227" t="s" s="13">
        <v>227</v>
      </c>
      <c r="E227" t="s" s="13">
        <v>228</v>
      </c>
      <c r="F227" s="14">
        <v>2</v>
      </c>
      <c r="G227" s="15">
        <v>29.99</v>
      </c>
      <c r="H227" s="15">
        <v>59.98</v>
      </c>
    </row>
    <row r="228" ht="12.9" customHeight="1">
      <c r="A228" t="s" s="10">
        <v>2324</v>
      </c>
      <c r="B228" t="s" s="11">
        <v>164</v>
      </c>
      <c r="C228" s="12">
        <v>45397.871019236110</v>
      </c>
      <c r="D228" t="s" s="13">
        <v>165</v>
      </c>
      <c r="E228" t="s" s="13">
        <v>392</v>
      </c>
      <c r="F228" s="14">
        <v>2</v>
      </c>
      <c r="G228" s="15">
        <v>0</v>
      </c>
      <c r="H228" s="15">
        <v>0</v>
      </c>
    </row>
    <row r="229" ht="12.9" customHeight="1">
      <c r="A229" t="s" s="10">
        <v>2324</v>
      </c>
      <c r="B229" t="s" s="11">
        <v>164</v>
      </c>
      <c r="C229" s="12">
        <v>45397.871019236110</v>
      </c>
      <c r="D229" t="s" s="13">
        <v>23</v>
      </c>
      <c r="E229" t="s" s="13">
        <v>24</v>
      </c>
      <c r="F229" s="14">
        <v>2</v>
      </c>
      <c r="G229" s="15">
        <v>149.99</v>
      </c>
      <c r="H229" s="15">
        <v>299.98</v>
      </c>
    </row>
    <row r="230" ht="12.9" customHeight="1">
      <c r="A230" t="s" s="10">
        <v>2324</v>
      </c>
      <c r="B230" t="s" s="11">
        <v>164</v>
      </c>
      <c r="C230" s="12">
        <v>45397.871019236110</v>
      </c>
      <c r="D230" t="s" s="13">
        <v>84</v>
      </c>
      <c r="E230" t="s" s="13">
        <v>85</v>
      </c>
      <c r="F230" s="14">
        <v>2</v>
      </c>
      <c r="G230" s="15">
        <v>9.99</v>
      </c>
      <c r="H230" s="15">
        <v>19.98</v>
      </c>
    </row>
    <row r="231" ht="12.9" customHeight="1">
      <c r="A231" t="s" s="10">
        <v>2325</v>
      </c>
      <c r="B231" t="s" s="11">
        <v>2326</v>
      </c>
      <c r="C231" s="12">
        <v>45397.120561875</v>
      </c>
      <c r="D231" t="s" s="13">
        <v>73</v>
      </c>
      <c r="E231" t="s" s="13">
        <v>74</v>
      </c>
      <c r="F231" s="14">
        <v>1</v>
      </c>
      <c r="G231" s="15">
        <v>399.99</v>
      </c>
      <c r="H231" s="15">
        <v>399.99</v>
      </c>
    </row>
    <row r="232" ht="12.9" customHeight="1">
      <c r="A232" t="s" s="10">
        <v>2327</v>
      </c>
      <c r="B232" t="s" s="11">
        <v>2328</v>
      </c>
      <c r="C232" s="12">
        <v>45396.852585555556</v>
      </c>
      <c r="D232" t="s" s="13">
        <v>95</v>
      </c>
      <c r="E232" t="s" s="13">
        <v>12</v>
      </c>
      <c r="F232" s="14">
        <v>1</v>
      </c>
      <c r="G232" s="15">
        <v>349.99</v>
      </c>
      <c r="H232" s="15">
        <v>349.99</v>
      </c>
    </row>
    <row r="233" ht="12.9" customHeight="1">
      <c r="A233" t="s" s="10">
        <v>2329</v>
      </c>
      <c r="B233" t="s" s="11">
        <v>2330</v>
      </c>
      <c r="C233" s="12">
        <v>45396.178610775460</v>
      </c>
      <c r="D233" t="s" s="13">
        <v>19</v>
      </c>
      <c r="E233" t="s" s="13">
        <v>20</v>
      </c>
      <c r="F233" s="14">
        <v>2</v>
      </c>
      <c r="G233" s="15">
        <v>119.99</v>
      </c>
      <c r="H233" s="15">
        <v>239.98</v>
      </c>
    </row>
    <row r="234" ht="12.9" customHeight="1">
      <c r="A234" t="s" s="10">
        <v>2331</v>
      </c>
      <c r="B234" t="s" s="11">
        <v>164</v>
      </c>
      <c r="C234" s="12">
        <v>45395.656457430552</v>
      </c>
      <c r="D234" t="s" s="13">
        <v>23</v>
      </c>
      <c r="E234" t="s" s="13">
        <v>24</v>
      </c>
      <c r="F234" s="14">
        <v>2</v>
      </c>
      <c r="G234" s="15">
        <v>149.99</v>
      </c>
      <c r="H234" s="15">
        <v>299.98</v>
      </c>
    </row>
    <row r="235" ht="12.9" customHeight="1">
      <c r="A235" t="s" s="10">
        <v>2331</v>
      </c>
      <c r="B235" t="s" s="11">
        <v>164</v>
      </c>
      <c r="C235" s="12">
        <v>45395.656457430552</v>
      </c>
      <c r="D235" t="s" s="13">
        <v>2332</v>
      </c>
      <c r="E235" t="s" s="13">
        <v>2333</v>
      </c>
      <c r="F235" s="14">
        <v>1</v>
      </c>
      <c r="G235" s="15">
        <v>199.99</v>
      </c>
      <c r="H235" s="15">
        <v>199.99</v>
      </c>
    </row>
    <row r="236" ht="12.9" customHeight="1">
      <c r="A236" t="s" s="10">
        <v>2331</v>
      </c>
      <c r="B236" t="s" s="11">
        <v>164</v>
      </c>
      <c r="C236" s="12">
        <v>45395.656457430552</v>
      </c>
      <c r="D236" t="s" s="13">
        <v>95</v>
      </c>
      <c r="E236" t="s" s="13">
        <v>12</v>
      </c>
      <c r="F236" s="14">
        <v>1</v>
      </c>
      <c r="G236" s="15">
        <v>349.99</v>
      </c>
      <c r="H236" s="15">
        <v>349.99</v>
      </c>
    </row>
    <row r="237" ht="12.9" customHeight="1">
      <c r="A237" t="s" s="10">
        <v>2334</v>
      </c>
      <c r="B237" t="s" s="11">
        <v>1025</v>
      </c>
      <c r="C237" s="12">
        <v>45395.257571481481</v>
      </c>
      <c r="D237" t="s" s="13">
        <v>95</v>
      </c>
      <c r="E237" t="s" s="13">
        <v>12</v>
      </c>
      <c r="F237" s="14">
        <v>1</v>
      </c>
      <c r="G237" s="15">
        <v>349.99</v>
      </c>
      <c r="H237" s="15">
        <v>349.99</v>
      </c>
    </row>
    <row r="238" ht="12.9" customHeight="1">
      <c r="A238" t="s" s="10">
        <v>2335</v>
      </c>
      <c r="B238" t="s" s="11">
        <v>2336</v>
      </c>
      <c r="C238" s="12">
        <v>45394.948011145832</v>
      </c>
      <c r="D238" t="s" s="13">
        <v>225</v>
      </c>
      <c r="E238" t="s" s="13">
        <v>226</v>
      </c>
      <c r="F238" s="14">
        <v>1</v>
      </c>
      <c r="G238" s="15">
        <v>499.99</v>
      </c>
      <c r="H238" s="15">
        <v>499.99</v>
      </c>
    </row>
    <row r="239" ht="12.9" customHeight="1">
      <c r="A239" t="s" s="10">
        <v>2335</v>
      </c>
      <c r="B239" t="s" s="11">
        <v>2336</v>
      </c>
      <c r="C239" s="12">
        <v>45394.948011145832</v>
      </c>
      <c r="D239" t="s" s="13">
        <v>165</v>
      </c>
      <c r="E239" t="s" s="13">
        <v>392</v>
      </c>
      <c r="F239" s="14">
        <v>1</v>
      </c>
      <c r="G239" s="15">
        <v>0</v>
      </c>
      <c r="H239" s="15">
        <v>0</v>
      </c>
    </row>
    <row r="240" ht="12.9" customHeight="1">
      <c r="A240" t="s" s="10">
        <v>2337</v>
      </c>
      <c r="B240" t="s" s="11">
        <v>2338</v>
      </c>
      <c r="C240" s="12">
        <v>45394.709599918984</v>
      </c>
      <c r="D240" t="s" s="13">
        <v>35</v>
      </c>
      <c r="E240" t="s" s="13">
        <v>36</v>
      </c>
      <c r="F240" s="14">
        <v>1</v>
      </c>
      <c r="G240" s="15">
        <v>49.99</v>
      </c>
      <c r="H240" s="15">
        <v>49.99</v>
      </c>
    </row>
    <row r="241" ht="12.9" customHeight="1">
      <c r="A241" t="s" s="10">
        <v>2339</v>
      </c>
      <c r="B241" t="s" s="11">
        <v>2340</v>
      </c>
      <c r="C241" s="12">
        <v>45394.701148981483</v>
      </c>
      <c r="D241" t="s" s="13">
        <v>81</v>
      </c>
      <c r="E241" t="s" s="13">
        <v>82</v>
      </c>
      <c r="F241" s="14">
        <v>2</v>
      </c>
      <c r="G241" s="15">
        <v>849.99</v>
      </c>
      <c r="H241" s="15">
        <v>1699.98</v>
      </c>
    </row>
    <row r="242" ht="12.9" customHeight="1">
      <c r="A242" t="s" s="10">
        <v>2339</v>
      </c>
      <c r="B242" t="s" s="11">
        <v>2340</v>
      </c>
      <c r="C242" s="12">
        <v>45394.701148981483</v>
      </c>
      <c r="D242" t="s" s="13">
        <v>23</v>
      </c>
      <c r="E242" t="s" s="13">
        <v>24</v>
      </c>
      <c r="F242" s="14">
        <v>2</v>
      </c>
      <c r="G242" s="15">
        <v>0</v>
      </c>
      <c r="H242" s="15">
        <v>0</v>
      </c>
    </row>
    <row r="243" ht="12.9" customHeight="1">
      <c r="A243" t="s" s="10">
        <v>2339</v>
      </c>
      <c r="B243" t="s" s="11">
        <v>2340</v>
      </c>
      <c r="C243" s="12">
        <v>45394.701148981483</v>
      </c>
      <c r="D243" t="s" s="13">
        <v>50</v>
      </c>
      <c r="E243" t="s" s="13">
        <v>83</v>
      </c>
      <c r="F243" s="14">
        <v>2</v>
      </c>
      <c r="G243" s="15">
        <v>0</v>
      </c>
      <c r="H243" s="15">
        <v>0</v>
      </c>
    </row>
    <row r="244" ht="12.9" customHeight="1">
      <c r="A244" t="s" s="10">
        <v>2339</v>
      </c>
      <c r="B244" t="s" s="11">
        <v>2340</v>
      </c>
      <c r="C244" s="12">
        <v>45394.701148981483</v>
      </c>
      <c r="D244" t="s" s="13">
        <v>84</v>
      </c>
      <c r="E244" t="s" s="13">
        <v>85</v>
      </c>
      <c r="F244" s="14">
        <v>2</v>
      </c>
      <c r="G244" s="15">
        <v>0</v>
      </c>
      <c r="H244" s="15">
        <v>0</v>
      </c>
    </row>
    <row r="245" ht="12.9" customHeight="1">
      <c r="A245" t="s" s="10">
        <v>2341</v>
      </c>
      <c r="B245" t="s" s="11">
        <v>2342</v>
      </c>
      <c r="C245" s="12">
        <v>45394.670787557872</v>
      </c>
      <c r="D245" t="s" s="13">
        <v>59</v>
      </c>
      <c r="E245" t="s" s="13">
        <v>60</v>
      </c>
      <c r="F245" s="14">
        <v>1</v>
      </c>
      <c r="G245" s="15">
        <v>1199.99</v>
      </c>
      <c r="H245" s="15">
        <v>1199.99</v>
      </c>
    </row>
    <row r="246" ht="12.9" customHeight="1">
      <c r="A246" t="s" s="10">
        <v>2343</v>
      </c>
      <c r="B246" t="s" s="11">
        <v>2344</v>
      </c>
      <c r="C246" s="12">
        <v>45394.662347083336</v>
      </c>
      <c r="D246" t="s" s="13">
        <v>19</v>
      </c>
      <c r="E246" t="s" s="13">
        <v>20</v>
      </c>
      <c r="F246" s="14">
        <v>2</v>
      </c>
      <c r="G246" s="15">
        <v>119.99</v>
      </c>
      <c r="H246" s="15">
        <v>239.98</v>
      </c>
    </row>
    <row r="247" ht="12.9" customHeight="1">
      <c r="A247" t="s" s="10">
        <v>2345</v>
      </c>
      <c r="B247" t="s" s="11">
        <v>2346</v>
      </c>
      <c r="C247" s="12">
        <v>45394</v>
      </c>
      <c r="D247" t="s" s="13">
        <v>2347</v>
      </c>
      <c r="E247" t="s" s="13">
        <v>2348</v>
      </c>
      <c r="F247" s="14">
        <v>2</v>
      </c>
      <c r="G247" s="15">
        <v>449.99</v>
      </c>
      <c r="H247" s="15">
        <v>899.98</v>
      </c>
    </row>
    <row r="248" ht="12.9" customHeight="1">
      <c r="A248" t="s" s="10">
        <v>2345</v>
      </c>
      <c r="B248" t="s" s="11">
        <v>2346</v>
      </c>
      <c r="C248" s="12">
        <v>45394</v>
      </c>
      <c r="D248" t="s" s="13">
        <v>445</v>
      </c>
      <c r="E248" t="s" s="13">
        <v>446</v>
      </c>
      <c r="F248" s="14">
        <v>1</v>
      </c>
      <c r="G248" s="15">
        <v>149.99</v>
      </c>
      <c r="H248" s="15">
        <v>149.99</v>
      </c>
    </row>
    <row r="249" ht="12.9" customHeight="1">
      <c r="A249" t="s" s="10">
        <v>2345</v>
      </c>
      <c r="B249" t="s" s="11">
        <v>2346</v>
      </c>
      <c r="C249" s="12">
        <v>45394</v>
      </c>
      <c r="D249" t="s" s="13">
        <v>1069</v>
      </c>
      <c r="E249" t="s" s="13">
        <v>1070</v>
      </c>
      <c r="F249" s="14">
        <v>2</v>
      </c>
      <c r="G249" s="15">
        <v>99.98999999999999</v>
      </c>
      <c r="H249" s="15">
        <v>199.98</v>
      </c>
    </row>
    <row r="250" ht="12.9" customHeight="1">
      <c r="A250" t="s" s="10">
        <v>2345</v>
      </c>
      <c r="B250" t="s" s="11">
        <v>2346</v>
      </c>
      <c r="C250" s="12">
        <v>45394</v>
      </c>
      <c r="D250" t="s" s="13">
        <v>2349</v>
      </c>
      <c r="E250" t="s" s="13">
        <v>2350</v>
      </c>
      <c r="F250" s="14">
        <v>1</v>
      </c>
      <c r="G250" s="15">
        <v>79.98999999999999</v>
      </c>
      <c r="H250" s="15">
        <v>79.98999999999999</v>
      </c>
    </row>
    <row r="251" ht="12.9" customHeight="1">
      <c r="A251" t="s" s="10">
        <v>2345</v>
      </c>
      <c r="B251" t="s" s="11">
        <v>2346</v>
      </c>
      <c r="C251" s="12">
        <v>45394</v>
      </c>
      <c r="D251" t="s" s="13">
        <v>50</v>
      </c>
      <c r="E251" t="s" s="13">
        <v>83</v>
      </c>
      <c r="F251" s="14">
        <v>1</v>
      </c>
      <c r="G251" s="15">
        <v>0</v>
      </c>
      <c r="H251" s="15">
        <v>0</v>
      </c>
    </row>
    <row r="252" ht="12.9" customHeight="1">
      <c r="A252" t="s" s="10">
        <v>2345</v>
      </c>
      <c r="B252" t="s" s="11">
        <v>2346</v>
      </c>
      <c r="C252" s="12">
        <v>45394</v>
      </c>
      <c r="D252" t="s" s="13">
        <v>2351</v>
      </c>
      <c r="E252" t="s" s="13">
        <v>2352</v>
      </c>
      <c r="F252" s="14">
        <v>1</v>
      </c>
      <c r="G252" s="15">
        <v>0</v>
      </c>
      <c r="H252" s="15">
        <v>0</v>
      </c>
    </row>
    <row r="253" ht="12.9" customHeight="1">
      <c r="A253" t="s" s="10">
        <v>2353</v>
      </c>
      <c r="B253" t="s" s="11">
        <v>2354</v>
      </c>
      <c r="C253" s="12">
        <v>45394.6025831713</v>
      </c>
      <c r="D253" t="s" s="13">
        <v>171</v>
      </c>
      <c r="E253" t="s" s="13">
        <v>172</v>
      </c>
      <c r="F253" s="14">
        <v>1</v>
      </c>
      <c r="G253" s="15">
        <v>549.99</v>
      </c>
      <c r="H253" s="15">
        <v>549.99</v>
      </c>
    </row>
    <row r="254" ht="12.9" customHeight="1">
      <c r="A254" t="s" s="10">
        <v>2355</v>
      </c>
      <c r="B254" t="s" s="11">
        <v>2356</v>
      </c>
      <c r="C254" s="12">
        <v>45393.852923622682</v>
      </c>
      <c r="D254" t="s" s="13">
        <v>11</v>
      </c>
      <c r="E254" t="s" s="13">
        <v>12</v>
      </c>
      <c r="F254" s="14">
        <v>1</v>
      </c>
      <c r="G254" s="15">
        <v>374.99</v>
      </c>
      <c r="H254" s="15">
        <v>374.99</v>
      </c>
    </row>
    <row r="255" ht="12.9" customHeight="1">
      <c r="A255" t="s" s="10">
        <v>2357</v>
      </c>
      <c r="B255" t="s" s="11">
        <v>476</v>
      </c>
      <c r="C255" s="12">
        <v>45393</v>
      </c>
      <c r="D255" t="s" s="13">
        <v>143</v>
      </c>
      <c r="E255" t="s" s="13">
        <v>144</v>
      </c>
      <c r="F255" s="14">
        <v>2</v>
      </c>
      <c r="G255" s="15">
        <v>2399.9925</v>
      </c>
      <c r="H255" s="15">
        <v>4799.985</v>
      </c>
    </row>
    <row r="256" ht="12.9" customHeight="1">
      <c r="A256" t="s" s="10">
        <v>2357</v>
      </c>
      <c r="B256" t="s" s="11">
        <v>476</v>
      </c>
      <c r="C256" s="12">
        <v>45393</v>
      </c>
      <c r="D256" t="s" s="13">
        <v>73</v>
      </c>
      <c r="E256" t="s" s="13">
        <v>74</v>
      </c>
      <c r="F256" s="14">
        <v>2</v>
      </c>
      <c r="G256" s="15">
        <v>299.9925</v>
      </c>
      <c r="H256" s="15">
        <v>599.985</v>
      </c>
    </row>
    <row r="257" ht="12.9" customHeight="1">
      <c r="A257" t="s" s="10">
        <v>2357</v>
      </c>
      <c r="B257" t="s" s="11">
        <v>476</v>
      </c>
      <c r="C257" s="12">
        <v>45393</v>
      </c>
      <c r="D257" t="s" s="13">
        <v>63</v>
      </c>
      <c r="E257" s="16"/>
      <c r="F257" s="14">
        <v>1</v>
      </c>
      <c r="G257" s="15">
        <v>216.8</v>
      </c>
      <c r="H257" s="15">
        <v>216.8</v>
      </c>
    </row>
    <row r="258" ht="12.9" customHeight="1">
      <c r="A258" t="s" s="10">
        <v>2358</v>
      </c>
      <c r="B258" t="s" s="11">
        <v>1200</v>
      </c>
      <c r="C258" s="12">
        <v>45393</v>
      </c>
      <c r="D258" t="s" s="13">
        <v>89</v>
      </c>
      <c r="E258" t="s" s="13">
        <v>90</v>
      </c>
      <c r="F258" s="14">
        <v>4</v>
      </c>
      <c r="G258" s="15">
        <v>0</v>
      </c>
      <c r="H258" s="15">
        <v>0</v>
      </c>
    </row>
    <row r="259" ht="12.9" customHeight="1">
      <c r="A259" t="s" s="10">
        <v>2358</v>
      </c>
      <c r="B259" t="s" s="11">
        <v>1200</v>
      </c>
      <c r="C259" s="12">
        <v>45393</v>
      </c>
      <c r="D259" t="s" s="13">
        <v>50</v>
      </c>
      <c r="E259" t="s" s="13">
        <v>83</v>
      </c>
      <c r="F259" s="14">
        <v>4</v>
      </c>
      <c r="G259" s="15">
        <v>0</v>
      </c>
      <c r="H259" s="15">
        <v>0</v>
      </c>
    </row>
    <row r="260" ht="12.9" customHeight="1">
      <c r="A260" t="s" s="10">
        <v>2358</v>
      </c>
      <c r="B260" t="s" s="11">
        <v>1200</v>
      </c>
      <c r="C260" s="12">
        <v>45393</v>
      </c>
      <c r="D260" t="s" s="13">
        <v>2359</v>
      </c>
      <c r="E260" t="s" s="13">
        <v>2360</v>
      </c>
      <c r="F260" s="14">
        <v>2</v>
      </c>
      <c r="G260" s="15">
        <v>0</v>
      </c>
      <c r="H260" s="15">
        <v>0</v>
      </c>
    </row>
    <row r="261" ht="12.9" customHeight="1">
      <c r="A261" t="s" s="10">
        <v>2358</v>
      </c>
      <c r="B261" t="s" s="11">
        <v>1200</v>
      </c>
      <c r="C261" s="12">
        <v>45393</v>
      </c>
      <c r="D261" t="s" s="13">
        <v>52</v>
      </c>
      <c r="E261" t="s" s="13">
        <v>321</v>
      </c>
      <c r="F261" s="14">
        <v>4</v>
      </c>
      <c r="G261" s="15">
        <v>0</v>
      </c>
      <c r="H261" s="15">
        <v>0</v>
      </c>
    </row>
    <row r="262" ht="12.9" customHeight="1">
      <c r="A262" t="s" s="10">
        <v>2361</v>
      </c>
      <c r="B262" t="s" s="11">
        <v>2362</v>
      </c>
      <c r="C262" s="12">
        <v>45393</v>
      </c>
      <c r="D262" t="s" s="13">
        <v>81</v>
      </c>
      <c r="E262" t="s" s="13">
        <v>82</v>
      </c>
      <c r="F262" s="14">
        <v>2</v>
      </c>
      <c r="G262" s="15">
        <v>849.99</v>
      </c>
      <c r="H262" s="15">
        <v>1699.98</v>
      </c>
    </row>
    <row r="263" ht="12.9" customHeight="1">
      <c r="A263" t="s" s="10">
        <v>2361</v>
      </c>
      <c r="B263" t="s" s="11">
        <v>2362</v>
      </c>
      <c r="C263" s="12">
        <v>45393</v>
      </c>
      <c r="D263" t="s" s="13">
        <v>50</v>
      </c>
      <c r="E263" t="s" s="13">
        <v>51</v>
      </c>
      <c r="F263" s="14">
        <v>2</v>
      </c>
      <c r="G263" s="15">
        <v>0</v>
      </c>
      <c r="H263" s="15">
        <v>0</v>
      </c>
    </row>
    <row r="264" ht="12.9" customHeight="1">
      <c r="A264" t="s" s="10">
        <v>2361</v>
      </c>
      <c r="B264" t="s" s="11">
        <v>2362</v>
      </c>
      <c r="C264" s="12">
        <v>45393</v>
      </c>
      <c r="D264" t="s" s="13">
        <v>2363</v>
      </c>
      <c r="E264" t="s" s="13">
        <v>2364</v>
      </c>
      <c r="F264" s="14">
        <v>2</v>
      </c>
      <c r="G264" s="15">
        <v>0</v>
      </c>
      <c r="H264" s="15">
        <v>0</v>
      </c>
    </row>
    <row r="265" ht="12.9" customHeight="1">
      <c r="A265" t="s" s="10">
        <v>2361</v>
      </c>
      <c r="B265" t="s" s="11">
        <v>2362</v>
      </c>
      <c r="C265" s="12">
        <v>45393</v>
      </c>
      <c r="D265" t="s" s="13">
        <v>2365</v>
      </c>
      <c r="E265" t="s" s="13">
        <v>2366</v>
      </c>
      <c r="F265" s="14">
        <v>2</v>
      </c>
      <c r="G265" s="15">
        <v>0</v>
      </c>
      <c r="H265" s="15">
        <v>0</v>
      </c>
    </row>
    <row r="266" ht="12.9" customHeight="1">
      <c r="A266" t="s" s="10">
        <v>2361</v>
      </c>
      <c r="B266" t="s" s="11">
        <v>2362</v>
      </c>
      <c r="C266" s="12">
        <v>45393</v>
      </c>
      <c r="D266" t="s" s="13">
        <v>23</v>
      </c>
      <c r="E266" t="s" s="13">
        <v>56</v>
      </c>
      <c r="F266" s="14">
        <v>2</v>
      </c>
      <c r="G266" s="15">
        <v>0</v>
      </c>
      <c r="H266" s="15">
        <v>0</v>
      </c>
    </row>
    <row r="267" ht="12.9" customHeight="1">
      <c r="A267" t="s" s="10">
        <v>2361</v>
      </c>
      <c r="B267" t="s" s="11">
        <v>2362</v>
      </c>
      <c r="C267" s="12">
        <v>45393</v>
      </c>
      <c r="D267" t="s" s="13">
        <v>54</v>
      </c>
      <c r="E267" t="s" s="13">
        <v>55</v>
      </c>
      <c r="F267" s="14">
        <v>2</v>
      </c>
      <c r="G267" s="15">
        <v>0</v>
      </c>
      <c r="H267" s="15">
        <v>0</v>
      </c>
    </row>
    <row r="268" ht="12.9" customHeight="1">
      <c r="A268" t="s" s="10">
        <v>2361</v>
      </c>
      <c r="B268" t="s" s="11">
        <v>2362</v>
      </c>
      <c r="C268" s="12">
        <v>45393</v>
      </c>
      <c r="D268" t="s" s="13">
        <v>589</v>
      </c>
      <c r="E268" t="s" s="13">
        <v>1635</v>
      </c>
      <c r="F268" s="14">
        <v>2</v>
      </c>
      <c r="G268" s="15">
        <v>0</v>
      </c>
      <c r="H268" s="15">
        <v>0</v>
      </c>
    </row>
    <row r="269" ht="12.9" customHeight="1">
      <c r="A269" t="s" s="10">
        <v>2361</v>
      </c>
      <c r="B269" t="s" s="11">
        <v>2362</v>
      </c>
      <c r="C269" s="12">
        <v>45393</v>
      </c>
      <c r="D269" t="s" s="13">
        <v>19</v>
      </c>
      <c r="E269" t="s" s="13">
        <v>20</v>
      </c>
      <c r="F269" s="14">
        <v>2</v>
      </c>
      <c r="G269" s="15">
        <v>119.99</v>
      </c>
      <c r="H269" s="15">
        <v>239.98</v>
      </c>
    </row>
    <row r="270" ht="12.9" customHeight="1">
      <c r="A270" t="s" s="10">
        <v>2361</v>
      </c>
      <c r="B270" t="s" s="11">
        <v>2362</v>
      </c>
      <c r="C270" s="12">
        <v>45393</v>
      </c>
      <c r="D270" t="s" s="13">
        <v>39</v>
      </c>
      <c r="E270" t="s" s="13">
        <v>40</v>
      </c>
      <c r="F270" s="14">
        <v>2</v>
      </c>
      <c r="G270" s="15">
        <v>109.99</v>
      </c>
      <c r="H270" s="15">
        <v>219.98</v>
      </c>
    </row>
    <row r="271" ht="12.9" customHeight="1">
      <c r="A271" t="s" s="10">
        <v>2361</v>
      </c>
      <c r="B271" t="s" s="11">
        <v>2362</v>
      </c>
      <c r="C271" s="12">
        <v>45393</v>
      </c>
      <c r="D271" t="s" s="13">
        <v>23</v>
      </c>
      <c r="E271" t="s" s="13">
        <v>24</v>
      </c>
      <c r="F271" s="14">
        <v>2</v>
      </c>
      <c r="G271" s="15">
        <v>149.99</v>
      </c>
      <c r="H271" s="15">
        <v>299.98</v>
      </c>
    </row>
    <row r="272" ht="12.9" customHeight="1">
      <c r="A272" t="s" s="10">
        <v>2367</v>
      </c>
      <c r="B272" t="s" s="11">
        <v>210</v>
      </c>
      <c r="C272" s="12">
        <v>45393</v>
      </c>
      <c r="D272" t="s" s="13">
        <v>2368</v>
      </c>
      <c r="E272" t="s" s="13">
        <v>2368</v>
      </c>
      <c r="F272" s="14">
        <v>24</v>
      </c>
      <c r="G272" s="15">
        <v>5</v>
      </c>
      <c r="H272" s="15">
        <v>120</v>
      </c>
    </row>
    <row r="273" ht="12.9" customHeight="1">
      <c r="A273" t="s" s="10">
        <v>2367</v>
      </c>
      <c r="B273" t="s" s="11">
        <v>210</v>
      </c>
      <c r="C273" s="12">
        <v>45393</v>
      </c>
      <c r="D273" t="s" s="13">
        <v>2369</v>
      </c>
      <c r="E273" t="s" s="13">
        <v>2370</v>
      </c>
      <c r="F273" s="14">
        <v>24</v>
      </c>
      <c r="G273" s="15">
        <v>0</v>
      </c>
      <c r="H273" s="15">
        <v>0</v>
      </c>
    </row>
    <row r="274" ht="12.9" customHeight="1">
      <c r="A274" t="s" s="10">
        <v>2371</v>
      </c>
      <c r="B274" t="s" s="11">
        <v>2346</v>
      </c>
      <c r="C274" s="12">
        <v>45393</v>
      </c>
      <c r="D274" t="s" s="13">
        <v>109</v>
      </c>
      <c r="E274" t="s" s="13">
        <v>109</v>
      </c>
      <c r="F274" s="14">
        <v>1</v>
      </c>
      <c r="G274" s="15">
        <v>199.99</v>
      </c>
      <c r="H274" s="15">
        <v>199.99</v>
      </c>
    </row>
    <row r="275" ht="12.9" customHeight="1">
      <c r="A275" t="s" s="10">
        <v>2371</v>
      </c>
      <c r="B275" t="s" s="11">
        <v>2346</v>
      </c>
      <c r="C275" s="12">
        <v>45393</v>
      </c>
      <c r="D275" t="s" s="13">
        <v>1619</v>
      </c>
      <c r="E275" t="s" s="13">
        <v>1620</v>
      </c>
      <c r="F275" s="14">
        <v>1</v>
      </c>
      <c r="G275" s="15">
        <v>24.99</v>
      </c>
      <c r="H275" s="15">
        <v>24.99</v>
      </c>
    </row>
    <row r="276" ht="12.9" customHeight="1">
      <c r="A276" t="s" s="10">
        <v>2371</v>
      </c>
      <c r="B276" t="s" s="11">
        <v>2346</v>
      </c>
      <c r="C276" s="12">
        <v>45393</v>
      </c>
      <c r="D276" t="s" s="13">
        <v>775</v>
      </c>
      <c r="E276" t="s" s="13">
        <v>775</v>
      </c>
      <c r="F276" s="14">
        <v>1</v>
      </c>
      <c r="G276" s="15">
        <v>69.98999999999999</v>
      </c>
      <c r="H276" s="15">
        <v>69.98999999999999</v>
      </c>
    </row>
    <row r="277" ht="12.9" customHeight="1">
      <c r="A277" t="s" s="10">
        <v>2371</v>
      </c>
      <c r="B277" t="s" s="11">
        <v>2346</v>
      </c>
      <c r="C277" s="12">
        <v>45393</v>
      </c>
      <c r="D277" t="s" s="13">
        <v>1204</v>
      </c>
      <c r="E277" t="s" s="13">
        <v>2372</v>
      </c>
      <c r="F277" s="14">
        <v>1</v>
      </c>
      <c r="G277" s="15">
        <v>49.99</v>
      </c>
      <c r="H277" s="15">
        <v>49.99</v>
      </c>
    </row>
    <row r="278" ht="12.9" customHeight="1">
      <c r="A278" t="s" s="10">
        <v>2371</v>
      </c>
      <c r="B278" t="s" s="11">
        <v>2346</v>
      </c>
      <c r="C278" s="12">
        <v>45393</v>
      </c>
      <c r="D278" t="s" s="13">
        <v>258</v>
      </c>
      <c r="E278" t="s" s="13">
        <v>774</v>
      </c>
      <c r="F278" s="14">
        <v>1</v>
      </c>
      <c r="G278" s="15">
        <v>0</v>
      </c>
      <c r="H278" s="15">
        <v>0</v>
      </c>
    </row>
    <row r="279" ht="12.9" customHeight="1">
      <c r="A279" t="s" s="10">
        <v>2371</v>
      </c>
      <c r="B279" t="s" s="11">
        <v>2346</v>
      </c>
      <c r="C279" s="12">
        <v>45393</v>
      </c>
      <c r="D279" t="s" s="13">
        <v>2373</v>
      </c>
      <c r="E279" t="s" s="13">
        <v>2373</v>
      </c>
      <c r="F279" s="14">
        <v>1</v>
      </c>
      <c r="G279" s="15">
        <v>0</v>
      </c>
      <c r="H279" s="15">
        <v>0</v>
      </c>
    </row>
    <row r="280" ht="12.9" customHeight="1">
      <c r="A280" t="s" s="10">
        <v>2371</v>
      </c>
      <c r="B280" t="s" s="11">
        <v>2346</v>
      </c>
      <c r="C280" s="12">
        <v>45393</v>
      </c>
      <c r="D280" t="s" s="13">
        <v>780</v>
      </c>
      <c r="E280" t="s" s="13">
        <v>780</v>
      </c>
      <c r="F280" s="14">
        <v>1</v>
      </c>
      <c r="G280" s="15">
        <v>0</v>
      </c>
      <c r="H280" s="15">
        <v>0</v>
      </c>
    </row>
    <row r="281" ht="12.9" customHeight="1">
      <c r="A281" t="s" s="10">
        <v>2374</v>
      </c>
      <c r="B281" t="s" s="11">
        <v>2375</v>
      </c>
      <c r="C281" s="12">
        <v>45393.070188912039</v>
      </c>
      <c r="D281" t="s" s="13">
        <v>412</v>
      </c>
      <c r="E281" t="s" s="13">
        <v>413</v>
      </c>
      <c r="F281" s="14">
        <v>2</v>
      </c>
      <c r="G281" s="15">
        <v>1.99</v>
      </c>
      <c r="H281" s="15">
        <v>3.98</v>
      </c>
    </row>
    <row r="282" ht="12.9" customHeight="1">
      <c r="A282" t="s" s="10">
        <v>2374</v>
      </c>
      <c r="B282" t="s" s="11">
        <v>2375</v>
      </c>
      <c r="C282" s="12">
        <v>45393.070188912039</v>
      </c>
      <c r="D282" t="s" s="13">
        <v>119</v>
      </c>
      <c r="E282" t="s" s="13">
        <v>120</v>
      </c>
      <c r="F282" s="14">
        <v>1</v>
      </c>
      <c r="G282" s="15">
        <v>1.99</v>
      </c>
      <c r="H282" s="15">
        <v>1.99</v>
      </c>
    </row>
    <row r="283" ht="12.9" customHeight="1">
      <c r="A283" t="s" s="10">
        <v>2374</v>
      </c>
      <c r="B283" t="s" s="11">
        <v>2375</v>
      </c>
      <c r="C283" s="12">
        <v>45393.070188912039</v>
      </c>
      <c r="D283" t="s" s="13">
        <v>77</v>
      </c>
      <c r="E283" t="s" s="13">
        <v>78</v>
      </c>
      <c r="F283" s="14">
        <v>1</v>
      </c>
      <c r="G283" s="15">
        <v>19.99</v>
      </c>
      <c r="H283" s="15">
        <v>19.99</v>
      </c>
    </row>
    <row r="284" ht="12.9" customHeight="1">
      <c r="A284" t="s" s="10">
        <v>2376</v>
      </c>
      <c r="B284" t="s" s="11">
        <v>2117</v>
      </c>
      <c r="C284" s="12">
        <v>45393.022759085645</v>
      </c>
      <c r="D284" t="s" s="13">
        <v>73</v>
      </c>
      <c r="E284" t="s" s="13">
        <v>74</v>
      </c>
      <c r="F284" s="14">
        <v>5</v>
      </c>
      <c r="G284" s="15">
        <v>399.99</v>
      </c>
      <c r="H284" s="15">
        <v>1999.95</v>
      </c>
    </row>
    <row r="285" ht="12.9" customHeight="1">
      <c r="A285" t="s" s="10">
        <v>2377</v>
      </c>
      <c r="B285" t="s" s="11">
        <v>2378</v>
      </c>
      <c r="C285" s="12">
        <v>45392.9103981713</v>
      </c>
      <c r="D285" t="s" s="13">
        <v>95</v>
      </c>
      <c r="E285" t="s" s="13">
        <v>12</v>
      </c>
      <c r="F285" s="14">
        <v>1</v>
      </c>
      <c r="G285" s="15">
        <v>349.99</v>
      </c>
      <c r="H285" s="15">
        <v>349.99</v>
      </c>
    </row>
    <row r="286" ht="12.9" customHeight="1">
      <c r="A286" t="s" s="10">
        <v>2379</v>
      </c>
      <c r="B286" t="s" s="11">
        <v>2380</v>
      </c>
      <c r="C286" s="12">
        <v>45392</v>
      </c>
      <c r="D286" t="s" s="13">
        <v>359</v>
      </c>
      <c r="E286" t="s" s="13">
        <v>360</v>
      </c>
      <c r="F286" s="14">
        <v>4</v>
      </c>
      <c r="G286" s="15">
        <v>22.4925</v>
      </c>
      <c r="H286" s="15">
        <v>89.97</v>
      </c>
    </row>
    <row r="287" ht="12.9" customHeight="1">
      <c r="A287" t="s" s="10">
        <v>2379</v>
      </c>
      <c r="B287" t="s" s="11">
        <v>2380</v>
      </c>
      <c r="C287" s="12">
        <v>45392</v>
      </c>
      <c r="D287" t="s" s="13">
        <v>63</v>
      </c>
      <c r="E287" s="16"/>
      <c r="F287" s="14">
        <v>1</v>
      </c>
      <c r="G287" s="15">
        <v>14.56</v>
      </c>
      <c r="H287" s="15">
        <v>14.56</v>
      </c>
    </row>
    <row r="288" ht="12.9" customHeight="1">
      <c r="A288" t="s" s="10">
        <v>2381</v>
      </c>
      <c r="B288" t="s" s="11">
        <v>2382</v>
      </c>
      <c r="C288" s="12">
        <v>45392</v>
      </c>
      <c r="D288" t="s" s="13">
        <v>468</v>
      </c>
      <c r="E288" t="s" s="13">
        <v>2383</v>
      </c>
      <c r="F288" s="14">
        <v>2</v>
      </c>
      <c r="G288" s="15">
        <v>1874.9925</v>
      </c>
      <c r="H288" s="15">
        <v>3749.985</v>
      </c>
    </row>
    <row r="289" ht="12.9" customHeight="1">
      <c r="A289" t="s" s="10">
        <v>2381</v>
      </c>
      <c r="B289" t="s" s="11">
        <v>2382</v>
      </c>
      <c r="C289" s="12">
        <v>45392</v>
      </c>
      <c r="D289" t="s" s="13">
        <v>50</v>
      </c>
      <c r="E289" t="s" s="13">
        <v>51</v>
      </c>
      <c r="F289" s="14">
        <v>2</v>
      </c>
      <c r="G289" s="15">
        <v>0</v>
      </c>
      <c r="H289" s="15">
        <v>0</v>
      </c>
    </row>
    <row r="290" ht="12.9" customHeight="1">
      <c r="A290" t="s" s="10">
        <v>2381</v>
      </c>
      <c r="B290" t="s" s="11">
        <v>2382</v>
      </c>
      <c r="C290" s="12">
        <v>45392</v>
      </c>
      <c r="D290" t="s" s="13">
        <v>23</v>
      </c>
      <c r="E290" t="s" s="13">
        <v>56</v>
      </c>
      <c r="F290" s="14">
        <v>8</v>
      </c>
      <c r="G290" s="15">
        <v>0</v>
      </c>
      <c r="H290" s="15">
        <v>0</v>
      </c>
    </row>
    <row r="291" ht="12.9" customHeight="1">
      <c r="A291" t="s" s="10">
        <v>2381</v>
      </c>
      <c r="B291" t="s" s="11">
        <v>2382</v>
      </c>
      <c r="C291" s="12">
        <v>45392</v>
      </c>
      <c r="D291" t="s" s="13">
        <v>54</v>
      </c>
      <c r="E291" t="s" s="13">
        <v>55</v>
      </c>
      <c r="F291" s="14">
        <v>8</v>
      </c>
      <c r="G291" s="15">
        <v>0</v>
      </c>
      <c r="H291" s="15">
        <v>0</v>
      </c>
    </row>
    <row r="292" ht="12.9" customHeight="1">
      <c r="A292" t="s" s="10">
        <v>2381</v>
      </c>
      <c r="B292" t="s" s="11">
        <v>2382</v>
      </c>
      <c r="C292" s="12">
        <v>45392</v>
      </c>
      <c r="D292" t="s" s="13">
        <v>1428</v>
      </c>
      <c r="E292" t="s" s="13">
        <v>2384</v>
      </c>
      <c r="F292" s="14">
        <v>1</v>
      </c>
      <c r="G292" s="15">
        <v>112.4994</v>
      </c>
      <c r="H292" s="15">
        <v>112.4994</v>
      </c>
    </row>
    <row r="293" ht="12.9" customHeight="1">
      <c r="A293" t="s" s="10">
        <v>2381</v>
      </c>
      <c r="B293" t="s" s="11">
        <v>2382</v>
      </c>
      <c r="C293" s="12">
        <v>45392</v>
      </c>
      <c r="D293" t="s" s="13">
        <v>47</v>
      </c>
      <c r="E293" s="16"/>
      <c r="F293" s="14">
        <v>1</v>
      </c>
      <c r="G293" s="15">
        <v>182.57</v>
      </c>
      <c r="H293" s="15">
        <v>182.57</v>
      </c>
    </row>
    <row r="294" ht="12.9" customHeight="1">
      <c r="A294" t="s" s="10">
        <v>2385</v>
      </c>
      <c r="B294" t="s" s="11">
        <v>2386</v>
      </c>
      <c r="C294" s="12">
        <v>45392.774560995371</v>
      </c>
      <c r="D294" t="s" s="13">
        <v>11</v>
      </c>
      <c r="E294" t="s" s="13">
        <v>12</v>
      </c>
      <c r="F294" s="14">
        <v>1</v>
      </c>
      <c r="G294" s="15">
        <v>399.99</v>
      </c>
      <c r="H294" s="15">
        <v>399.99</v>
      </c>
    </row>
    <row r="295" ht="12.9" customHeight="1">
      <c r="A295" t="s" s="10">
        <v>2387</v>
      </c>
      <c r="B295" t="s" s="11">
        <v>2388</v>
      </c>
      <c r="C295" s="12">
        <v>45392.6522628588</v>
      </c>
      <c r="D295" t="s" s="13">
        <v>19</v>
      </c>
      <c r="E295" t="s" s="13">
        <v>20</v>
      </c>
      <c r="F295" s="14">
        <v>1</v>
      </c>
      <c r="G295" s="15">
        <v>119.99</v>
      </c>
      <c r="H295" s="15">
        <v>119.99</v>
      </c>
    </row>
    <row r="296" ht="12.9" customHeight="1">
      <c r="A296" t="s" s="10">
        <v>2389</v>
      </c>
      <c r="B296" t="s" s="11">
        <v>555</v>
      </c>
      <c r="C296" s="12">
        <v>45392</v>
      </c>
      <c r="D296" t="s" s="13">
        <v>89</v>
      </c>
      <c r="E296" t="s" s="13">
        <v>90</v>
      </c>
      <c r="F296" s="14">
        <v>2</v>
      </c>
      <c r="G296" s="15">
        <v>44.9925</v>
      </c>
      <c r="H296" s="15">
        <v>89.985</v>
      </c>
    </row>
    <row r="297" ht="12.9" customHeight="1">
      <c r="A297" t="s" s="10">
        <v>2389</v>
      </c>
      <c r="B297" t="s" s="11">
        <v>555</v>
      </c>
      <c r="C297" s="12">
        <v>45392</v>
      </c>
      <c r="D297" t="s" s="13">
        <v>27</v>
      </c>
      <c r="E297" t="s" s="13">
        <v>28</v>
      </c>
      <c r="F297" s="14">
        <v>5</v>
      </c>
      <c r="G297" s="15">
        <v>59.9925</v>
      </c>
      <c r="H297" s="15">
        <v>299.9625</v>
      </c>
    </row>
    <row r="298" ht="12.9" customHeight="1">
      <c r="A298" t="s" s="10">
        <v>2389</v>
      </c>
      <c r="B298" t="s" s="11">
        <v>555</v>
      </c>
      <c r="C298" s="12">
        <v>45392</v>
      </c>
      <c r="D298" t="s" s="13">
        <v>589</v>
      </c>
      <c r="E298" t="s" s="13">
        <v>590</v>
      </c>
      <c r="F298" s="14">
        <v>8</v>
      </c>
      <c r="G298" s="15">
        <v>5.6175</v>
      </c>
      <c r="H298" s="15">
        <v>44.94</v>
      </c>
    </row>
    <row r="299" ht="12.9" customHeight="1">
      <c r="A299" t="s" s="10">
        <v>2389</v>
      </c>
      <c r="B299" t="s" s="11">
        <v>555</v>
      </c>
      <c r="C299" s="12">
        <v>45392</v>
      </c>
      <c r="D299" t="s" s="13">
        <v>63</v>
      </c>
      <c r="E299" s="16"/>
      <c r="F299" s="14">
        <v>1</v>
      </c>
      <c r="G299" s="15">
        <v>66.95</v>
      </c>
      <c r="H299" s="15">
        <v>66.95</v>
      </c>
    </row>
    <row r="300" ht="12.9" customHeight="1">
      <c r="A300" t="s" s="10">
        <v>2390</v>
      </c>
      <c r="B300" t="s" s="11">
        <v>2143</v>
      </c>
      <c r="C300" s="12">
        <v>45392</v>
      </c>
      <c r="D300" t="s" s="13">
        <v>81</v>
      </c>
      <c r="E300" t="s" s="13">
        <v>82</v>
      </c>
      <c r="F300" s="14">
        <v>2</v>
      </c>
      <c r="G300" s="15">
        <v>849.99</v>
      </c>
      <c r="H300" s="15">
        <v>1699.98</v>
      </c>
    </row>
    <row r="301" ht="12.9" customHeight="1">
      <c r="A301" t="s" s="10">
        <v>2390</v>
      </c>
      <c r="B301" t="s" s="11">
        <v>2143</v>
      </c>
      <c r="C301" s="12">
        <v>45392</v>
      </c>
      <c r="D301" t="s" s="13">
        <v>133</v>
      </c>
      <c r="E301" t="s" s="13">
        <v>2391</v>
      </c>
      <c r="F301" s="14">
        <v>2</v>
      </c>
      <c r="G301" s="15">
        <v>50</v>
      </c>
      <c r="H301" s="15">
        <v>100</v>
      </c>
    </row>
    <row r="302" ht="12.9" customHeight="1">
      <c r="A302" t="s" s="10">
        <v>2390</v>
      </c>
      <c r="B302" t="s" s="11">
        <v>2143</v>
      </c>
      <c r="C302" s="12">
        <v>45392</v>
      </c>
      <c r="D302" t="s" s="13">
        <v>50</v>
      </c>
      <c r="E302" t="s" s="13">
        <v>51</v>
      </c>
      <c r="F302" s="14">
        <v>2</v>
      </c>
      <c r="G302" s="15">
        <v>0</v>
      </c>
      <c r="H302" s="15">
        <v>0</v>
      </c>
    </row>
    <row r="303" ht="12.9" customHeight="1">
      <c r="A303" t="s" s="10">
        <v>2390</v>
      </c>
      <c r="B303" t="s" s="11">
        <v>2143</v>
      </c>
      <c r="C303" s="12">
        <v>45392</v>
      </c>
      <c r="D303" t="s" s="13">
        <v>84</v>
      </c>
      <c r="E303" t="s" s="13">
        <v>330</v>
      </c>
      <c r="F303" s="14">
        <v>2</v>
      </c>
      <c r="G303" s="15">
        <v>0</v>
      </c>
      <c r="H303" s="15">
        <v>0</v>
      </c>
    </row>
    <row r="304" ht="12.9" customHeight="1">
      <c r="A304" t="s" s="10">
        <v>2390</v>
      </c>
      <c r="B304" t="s" s="11">
        <v>2143</v>
      </c>
      <c r="C304" s="12">
        <v>45392</v>
      </c>
      <c r="D304" t="s" s="13">
        <v>341</v>
      </c>
      <c r="E304" t="s" s="13">
        <v>342</v>
      </c>
      <c r="F304" s="14">
        <v>4</v>
      </c>
      <c r="G304" s="15">
        <v>29.99</v>
      </c>
      <c r="H304" s="15">
        <v>119.96</v>
      </c>
    </row>
    <row r="305" ht="12.9" customHeight="1">
      <c r="A305" t="s" s="10">
        <v>2390</v>
      </c>
      <c r="B305" t="s" s="11">
        <v>2143</v>
      </c>
      <c r="C305" s="12">
        <v>45392</v>
      </c>
      <c r="D305" t="s" s="13">
        <v>63</v>
      </c>
      <c r="E305" s="16"/>
      <c r="F305" s="14">
        <v>1</v>
      </c>
      <c r="G305" s="15">
        <v>176.23</v>
      </c>
      <c r="H305" s="15">
        <v>176.23</v>
      </c>
    </row>
    <row r="306" ht="12.9" customHeight="1">
      <c r="A306" t="s" s="10">
        <v>2392</v>
      </c>
      <c r="B306" t="s" s="11">
        <v>2393</v>
      </c>
      <c r="C306" s="12">
        <v>45391.855648449076</v>
      </c>
      <c r="D306" t="s" s="13">
        <v>23</v>
      </c>
      <c r="E306" t="s" s="13">
        <v>24</v>
      </c>
      <c r="F306" s="14">
        <v>1</v>
      </c>
      <c r="G306" s="15">
        <v>149.99</v>
      </c>
      <c r="H306" s="15">
        <v>149.99</v>
      </c>
    </row>
    <row r="307" ht="12.9" customHeight="1">
      <c r="A307" t="s" s="10">
        <v>2394</v>
      </c>
      <c r="B307" t="s" s="11">
        <v>2393</v>
      </c>
      <c r="C307" s="12">
        <v>45391.846280682868</v>
      </c>
      <c r="D307" t="s" s="13">
        <v>225</v>
      </c>
      <c r="E307" t="s" s="13">
        <v>226</v>
      </c>
      <c r="F307" s="14">
        <v>1</v>
      </c>
      <c r="G307" s="15">
        <v>499.99</v>
      </c>
      <c r="H307" s="15">
        <v>499.99</v>
      </c>
    </row>
    <row r="308" ht="12.9" customHeight="1">
      <c r="A308" t="s" s="10">
        <v>2394</v>
      </c>
      <c r="B308" t="s" s="11">
        <v>2393</v>
      </c>
      <c r="C308" s="12">
        <v>45391.846280682868</v>
      </c>
      <c r="D308" t="s" s="13">
        <v>165</v>
      </c>
      <c r="E308" t="s" s="13">
        <v>392</v>
      </c>
      <c r="F308" s="14">
        <v>1</v>
      </c>
      <c r="G308" s="15">
        <v>0</v>
      </c>
      <c r="H308" s="15">
        <v>0</v>
      </c>
    </row>
    <row r="309" ht="12.9" customHeight="1">
      <c r="A309" t="s" s="10">
        <v>2394</v>
      </c>
      <c r="B309" t="s" s="11">
        <v>2393</v>
      </c>
      <c r="C309" s="12">
        <v>45391.846280682868</v>
      </c>
      <c r="D309" t="s" s="13">
        <v>50</v>
      </c>
      <c r="E309" t="s" s="13">
        <v>83</v>
      </c>
      <c r="F309" s="14">
        <v>1</v>
      </c>
      <c r="G309" s="15">
        <v>29.99</v>
      </c>
      <c r="H309" s="15">
        <v>29.99</v>
      </c>
    </row>
    <row r="310" ht="12.9" customHeight="1">
      <c r="A310" t="s" s="10">
        <v>2395</v>
      </c>
      <c r="B310" t="s" s="11">
        <v>2396</v>
      </c>
      <c r="C310" s="12">
        <v>45391.786365613429</v>
      </c>
      <c r="D310" t="s" s="13">
        <v>81</v>
      </c>
      <c r="E310" t="s" s="13">
        <v>82</v>
      </c>
      <c r="F310" s="14">
        <v>2</v>
      </c>
      <c r="G310" s="15">
        <v>849.99</v>
      </c>
      <c r="H310" s="15">
        <v>1699.98</v>
      </c>
    </row>
    <row r="311" ht="12.9" customHeight="1">
      <c r="A311" t="s" s="10">
        <v>2395</v>
      </c>
      <c r="B311" t="s" s="11">
        <v>2396</v>
      </c>
      <c r="C311" s="12">
        <v>45391.786365613429</v>
      </c>
      <c r="D311" t="s" s="13">
        <v>133</v>
      </c>
      <c r="E311" t="s" s="13">
        <v>134</v>
      </c>
      <c r="F311" s="14">
        <v>2</v>
      </c>
      <c r="G311" s="15">
        <v>50</v>
      </c>
      <c r="H311" s="15">
        <v>100</v>
      </c>
    </row>
    <row r="312" ht="12.9" customHeight="1">
      <c r="A312" t="s" s="10">
        <v>2395</v>
      </c>
      <c r="B312" t="s" s="11">
        <v>2396</v>
      </c>
      <c r="C312" s="12">
        <v>45391.786365613429</v>
      </c>
      <c r="D312" t="s" s="13">
        <v>660</v>
      </c>
      <c r="E312" t="s" s="13">
        <v>661</v>
      </c>
      <c r="F312" s="14">
        <v>2</v>
      </c>
      <c r="G312" s="15">
        <v>5.99</v>
      </c>
      <c r="H312" s="15">
        <v>11.98</v>
      </c>
    </row>
    <row r="313" ht="12.9" customHeight="1">
      <c r="A313" t="s" s="10">
        <v>2395</v>
      </c>
      <c r="B313" t="s" s="11">
        <v>2396</v>
      </c>
      <c r="C313" s="12">
        <v>45391.786365613429</v>
      </c>
      <c r="D313" t="s" s="13">
        <v>50</v>
      </c>
      <c r="E313" t="s" s="13">
        <v>83</v>
      </c>
      <c r="F313" s="14">
        <v>2</v>
      </c>
      <c r="G313" s="15">
        <v>0</v>
      </c>
      <c r="H313" s="15">
        <v>0</v>
      </c>
    </row>
    <row r="314" ht="12.9" customHeight="1">
      <c r="A314" t="s" s="10">
        <v>2395</v>
      </c>
      <c r="B314" t="s" s="11">
        <v>2396</v>
      </c>
      <c r="C314" s="12">
        <v>45391.786365613429</v>
      </c>
      <c r="D314" t="s" s="13">
        <v>84</v>
      </c>
      <c r="E314" t="s" s="13">
        <v>85</v>
      </c>
      <c r="F314" s="14">
        <v>2</v>
      </c>
      <c r="G314" s="15">
        <v>0</v>
      </c>
      <c r="H314" s="15">
        <v>0</v>
      </c>
    </row>
    <row r="315" ht="12.9" customHeight="1">
      <c r="A315" t="s" s="10">
        <v>2395</v>
      </c>
      <c r="B315" t="s" s="11">
        <v>2396</v>
      </c>
      <c r="C315" s="12">
        <v>45391.786365613429</v>
      </c>
      <c r="D315" t="s" s="13">
        <v>19</v>
      </c>
      <c r="E315" t="s" s="13">
        <v>20</v>
      </c>
      <c r="F315" s="14">
        <v>4</v>
      </c>
      <c r="G315" s="15">
        <v>119.99</v>
      </c>
      <c r="H315" s="15">
        <v>479.96</v>
      </c>
    </row>
    <row r="316" ht="12.9" customHeight="1">
      <c r="A316" t="s" s="10">
        <v>2395</v>
      </c>
      <c r="B316" t="s" s="11">
        <v>2396</v>
      </c>
      <c r="C316" s="12">
        <v>45391.786365613429</v>
      </c>
      <c r="D316" t="s" s="13">
        <v>133</v>
      </c>
      <c r="E316" t="s" s="13">
        <v>134</v>
      </c>
      <c r="F316" s="14">
        <v>1</v>
      </c>
      <c r="G316" s="15">
        <v>199.99</v>
      </c>
      <c r="H316" s="15">
        <v>199.99</v>
      </c>
    </row>
    <row r="317" ht="12.9" customHeight="1">
      <c r="A317" t="s" s="10">
        <v>2397</v>
      </c>
      <c r="B317" t="s" s="11">
        <v>2143</v>
      </c>
      <c r="C317" s="12">
        <v>45391.783222152779</v>
      </c>
      <c r="D317" t="s" s="13">
        <v>81</v>
      </c>
      <c r="E317" t="s" s="13">
        <v>82</v>
      </c>
      <c r="F317" s="14">
        <v>2</v>
      </c>
      <c r="G317" s="15">
        <v>849.99</v>
      </c>
      <c r="H317" s="15">
        <v>1699.98</v>
      </c>
    </row>
    <row r="318" ht="12.9" customHeight="1">
      <c r="A318" t="s" s="10">
        <v>2397</v>
      </c>
      <c r="B318" t="s" s="11">
        <v>2143</v>
      </c>
      <c r="C318" s="12">
        <v>45391.783222152779</v>
      </c>
      <c r="D318" t="s" s="13">
        <v>133</v>
      </c>
      <c r="E318" t="s" s="13">
        <v>134</v>
      </c>
      <c r="F318" s="14">
        <v>2</v>
      </c>
      <c r="G318" s="15">
        <v>50</v>
      </c>
      <c r="H318" s="15">
        <v>100</v>
      </c>
    </row>
    <row r="319" ht="12.9" customHeight="1">
      <c r="A319" t="s" s="10">
        <v>2397</v>
      </c>
      <c r="B319" t="s" s="11">
        <v>2143</v>
      </c>
      <c r="C319" s="12">
        <v>45391.783222152779</v>
      </c>
      <c r="D319" t="s" s="13">
        <v>50</v>
      </c>
      <c r="E319" t="s" s="13">
        <v>83</v>
      </c>
      <c r="F319" s="14">
        <v>2</v>
      </c>
      <c r="G319" s="15">
        <v>0</v>
      </c>
      <c r="H319" s="15">
        <v>0</v>
      </c>
    </row>
    <row r="320" ht="12.9" customHeight="1">
      <c r="A320" t="s" s="10">
        <v>2397</v>
      </c>
      <c r="B320" t="s" s="11">
        <v>2143</v>
      </c>
      <c r="C320" s="12">
        <v>45391.783222152779</v>
      </c>
      <c r="D320" t="s" s="13">
        <v>84</v>
      </c>
      <c r="E320" t="s" s="13">
        <v>85</v>
      </c>
      <c r="F320" s="14">
        <v>2</v>
      </c>
      <c r="G320" s="15">
        <v>0</v>
      </c>
      <c r="H320" s="15">
        <v>0</v>
      </c>
    </row>
    <row r="321" ht="12.9" customHeight="1">
      <c r="A321" t="s" s="10">
        <v>2397</v>
      </c>
      <c r="B321" t="s" s="11">
        <v>2143</v>
      </c>
      <c r="C321" s="12">
        <v>45391.783222152779</v>
      </c>
      <c r="D321" t="s" s="13">
        <v>341</v>
      </c>
      <c r="E321" t="s" s="13">
        <v>342</v>
      </c>
      <c r="F321" s="14">
        <v>4</v>
      </c>
      <c r="G321" s="15">
        <v>29.99</v>
      </c>
      <c r="H321" s="15">
        <v>119.96</v>
      </c>
    </row>
    <row r="322" ht="12.9" customHeight="1">
      <c r="A322" t="s" s="10">
        <v>2398</v>
      </c>
      <c r="B322" t="s" s="11">
        <v>2399</v>
      </c>
      <c r="C322" s="12">
        <v>45391.765392731482</v>
      </c>
      <c r="D322" t="s" s="13">
        <v>73</v>
      </c>
      <c r="E322" t="s" s="13">
        <v>74</v>
      </c>
      <c r="F322" s="14">
        <v>1</v>
      </c>
      <c r="G322" s="15">
        <v>399.99</v>
      </c>
      <c r="H322" s="15">
        <v>399.99</v>
      </c>
    </row>
    <row r="323" ht="12.9" customHeight="1">
      <c r="A323" t="s" s="10">
        <v>2400</v>
      </c>
      <c r="B323" t="s" s="11">
        <v>2401</v>
      </c>
      <c r="C323" s="12">
        <v>45391.720982523148</v>
      </c>
      <c r="D323" t="s" s="13">
        <v>31</v>
      </c>
      <c r="E323" t="s" s="13">
        <v>32</v>
      </c>
      <c r="F323" s="14">
        <v>1</v>
      </c>
      <c r="G323" s="15">
        <v>574.99</v>
      </c>
      <c r="H323" s="15">
        <v>574.99</v>
      </c>
    </row>
    <row r="324" ht="12.9" customHeight="1">
      <c r="A324" t="s" s="10">
        <v>2402</v>
      </c>
      <c r="B324" t="s" s="11">
        <v>2403</v>
      </c>
      <c r="C324" s="12">
        <v>45391</v>
      </c>
      <c r="D324" t="s" s="13">
        <v>2404</v>
      </c>
      <c r="E324" t="s" s="13">
        <v>2405</v>
      </c>
      <c r="F324" s="14">
        <v>10</v>
      </c>
      <c r="G324" s="15">
        <v>130</v>
      </c>
      <c r="H324" s="15">
        <v>1300</v>
      </c>
    </row>
    <row r="325" ht="12.9" customHeight="1">
      <c r="A325" t="s" s="10">
        <v>2402</v>
      </c>
      <c r="B325" t="s" s="11">
        <v>2403</v>
      </c>
      <c r="C325" s="12">
        <v>45391</v>
      </c>
      <c r="D325" t="s" s="13">
        <v>111</v>
      </c>
      <c r="E325" s="16"/>
      <c r="F325" s="14">
        <v>12</v>
      </c>
      <c r="G325" s="15">
        <v>49.5</v>
      </c>
      <c r="H325" s="15">
        <v>594</v>
      </c>
    </row>
    <row r="326" ht="12.9" customHeight="1">
      <c r="A326" t="s" s="10">
        <v>2406</v>
      </c>
      <c r="B326" t="s" s="11">
        <v>2407</v>
      </c>
      <c r="C326" s="12">
        <v>45391.622810150460</v>
      </c>
      <c r="D326" t="s" s="13">
        <v>11</v>
      </c>
      <c r="E326" t="s" s="13">
        <v>12</v>
      </c>
      <c r="F326" s="14">
        <v>1</v>
      </c>
      <c r="G326" s="15">
        <v>399.99</v>
      </c>
      <c r="H326" s="15">
        <v>399.99</v>
      </c>
    </row>
    <row r="327" ht="12.9" customHeight="1">
      <c r="A327" t="s" s="10">
        <v>2408</v>
      </c>
      <c r="B327" t="s" s="11">
        <v>1359</v>
      </c>
      <c r="C327" s="12">
        <v>45391.087134583337</v>
      </c>
      <c r="D327" t="s" s="13">
        <v>11</v>
      </c>
      <c r="E327" t="s" s="13">
        <v>12</v>
      </c>
      <c r="F327" s="14">
        <v>1</v>
      </c>
      <c r="G327" s="15">
        <v>399.99</v>
      </c>
      <c r="H327" s="15">
        <v>399.99</v>
      </c>
    </row>
    <row r="328" ht="12.9" customHeight="1">
      <c r="A328" t="s" s="10">
        <v>2409</v>
      </c>
      <c r="B328" t="s" s="11">
        <v>1406</v>
      </c>
      <c r="C328" s="12">
        <v>45390</v>
      </c>
      <c r="D328" t="s" s="13">
        <v>489</v>
      </c>
      <c r="E328" t="s" s="13">
        <v>490</v>
      </c>
      <c r="F328" s="14">
        <v>1</v>
      </c>
      <c r="G328" s="15">
        <v>1599.99</v>
      </c>
      <c r="H328" s="15">
        <v>1599.99</v>
      </c>
    </row>
    <row r="329" ht="12.9" customHeight="1">
      <c r="A329" t="s" s="10">
        <v>2409</v>
      </c>
      <c r="B329" t="s" s="11">
        <v>1406</v>
      </c>
      <c r="C329" s="12">
        <v>45390</v>
      </c>
      <c r="D329" t="s" s="13">
        <v>1633</v>
      </c>
      <c r="E329" t="s" s="13">
        <v>1634</v>
      </c>
      <c r="F329" s="14">
        <v>1</v>
      </c>
      <c r="G329" s="15">
        <v>0</v>
      </c>
      <c r="H329" s="15">
        <v>0</v>
      </c>
    </row>
    <row r="330" ht="12.9" customHeight="1">
      <c r="A330" t="s" s="10">
        <v>2409</v>
      </c>
      <c r="B330" t="s" s="11">
        <v>1406</v>
      </c>
      <c r="C330" s="12">
        <v>45390</v>
      </c>
      <c r="D330" t="s" s="13">
        <v>491</v>
      </c>
      <c r="E330" t="s" s="13">
        <v>492</v>
      </c>
      <c r="F330" s="14">
        <v>2</v>
      </c>
      <c r="G330" s="15">
        <v>0</v>
      </c>
      <c r="H330" s="15">
        <v>0</v>
      </c>
    </row>
    <row r="331" ht="12.9" customHeight="1">
      <c r="A331" t="s" s="10">
        <v>2409</v>
      </c>
      <c r="B331" t="s" s="11">
        <v>1406</v>
      </c>
      <c r="C331" s="12">
        <v>45390</v>
      </c>
      <c r="D331" t="s" s="13">
        <v>493</v>
      </c>
      <c r="E331" t="s" s="13">
        <v>494</v>
      </c>
      <c r="F331" s="14">
        <v>1</v>
      </c>
      <c r="G331" s="15">
        <v>0</v>
      </c>
      <c r="H331" s="15">
        <v>0</v>
      </c>
    </row>
    <row r="332" ht="12.9" customHeight="1">
      <c r="A332" t="s" s="10">
        <v>2409</v>
      </c>
      <c r="B332" t="s" s="11">
        <v>1406</v>
      </c>
      <c r="C332" s="12">
        <v>45390</v>
      </c>
      <c r="D332" t="s" s="13">
        <v>57</v>
      </c>
      <c r="E332" t="s" s="13">
        <v>58</v>
      </c>
      <c r="F332" s="14">
        <v>4</v>
      </c>
      <c r="G332" s="15">
        <v>749.99</v>
      </c>
      <c r="H332" s="15">
        <v>2999.96</v>
      </c>
    </row>
    <row r="333" ht="12.9" customHeight="1">
      <c r="A333" t="s" s="10">
        <v>2409</v>
      </c>
      <c r="B333" t="s" s="11">
        <v>1406</v>
      </c>
      <c r="C333" s="12">
        <v>45390</v>
      </c>
      <c r="D333" t="s" s="13">
        <v>589</v>
      </c>
      <c r="E333" t="s" s="13">
        <v>1635</v>
      </c>
      <c r="F333" s="14">
        <v>2</v>
      </c>
      <c r="G333" s="15">
        <v>0</v>
      </c>
      <c r="H333" s="15">
        <v>0</v>
      </c>
    </row>
    <row r="334" ht="12.9" customHeight="1">
      <c r="A334" t="s" s="10">
        <v>2409</v>
      </c>
      <c r="B334" t="s" s="11">
        <v>1406</v>
      </c>
      <c r="C334" s="12">
        <v>45390</v>
      </c>
      <c r="D334" t="s" s="13">
        <v>15</v>
      </c>
      <c r="E334" t="s" s="13">
        <v>1636</v>
      </c>
      <c r="F334" s="14">
        <v>2</v>
      </c>
      <c r="G334" s="15">
        <v>0</v>
      </c>
      <c r="H334" s="15">
        <v>0</v>
      </c>
    </row>
    <row r="335" ht="12.9" customHeight="1">
      <c r="A335" t="s" s="10">
        <v>2409</v>
      </c>
      <c r="B335" t="s" s="11">
        <v>1406</v>
      </c>
      <c r="C335" s="12">
        <v>45390</v>
      </c>
      <c r="D335" t="s" s="13">
        <v>1054</v>
      </c>
      <c r="E335" t="s" s="13">
        <v>1055</v>
      </c>
      <c r="F335" s="14">
        <v>2</v>
      </c>
      <c r="G335" s="15">
        <v>149.99</v>
      </c>
      <c r="H335" s="15">
        <v>299.98</v>
      </c>
    </row>
    <row r="336" ht="12.9" customHeight="1">
      <c r="A336" t="s" s="10">
        <v>2409</v>
      </c>
      <c r="B336" t="s" s="11">
        <v>1406</v>
      </c>
      <c r="C336" s="12">
        <v>45390</v>
      </c>
      <c r="D336" t="s" s="13">
        <v>1407</v>
      </c>
      <c r="E336" t="s" s="13">
        <v>1637</v>
      </c>
      <c r="F336" s="14">
        <v>2</v>
      </c>
      <c r="G336" s="15">
        <v>0</v>
      </c>
      <c r="H336" s="15">
        <v>0</v>
      </c>
    </row>
    <row r="337" ht="12.9" customHeight="1">
      <c r="A337" t="s" s="10">
        <v>2409</v>
      </c>
      <c r="B337" t="s" s="11">
        <v>1406</v>
      </c>
      <c r="C337" s="12">
        <v>45390</v>
      </c>
      <c r="D337" t="s" s="13">
        <v>47</v>
      </c>
      <c r="E337" s="16"/>
      <c r="F337" s="14">
        <v>1</v>
      </c>
      <c r="G337" s="15">
        <v>186.4</v>
      </c>
      <c r="H337" s="15">
        <v>186.4</v>
      </c>
    </row>
    <row r="338" ht="12.9" customHeight="1">
      <c r="A338" t="s" s="10">
        <v>2410</v>
      </c>
      <c r="B338" t="s" s="11">
        <v>1624</v>
      </c>
      <c r="C338" s="12">
        <v>45390</v>
      </c>
      <c r="D338" t="s" s="13">
        <v>559</v>
      </c>
      <c r="E338" t="s" s="13">
        <v>560</v>
      </c>
      <c r="F338" s="14">
        <v>100</v>
      </c>
      <c r="G338" s="15">
        <v>0</v>
      </c>
      <c r="H338" s="15">
        <v>0</v>
      </c>
    </row>
    <row r="339" ht="12.9" customHeight="1">
      <c r="A339" t="s" s="10">
        <v>2411</v>
      </c>
      <c r="B339" t="s" s="11">
        <v>2412</v>
      </c>
      <c r="C339" s="12">
        <v>45390.810289340276</v>
      </c>
      <c r="D339" t="s" s="13">
        <v>50</v>
      </c>
      <c r="E339" t="s" s="13">
        <v>83</v>
      </c>
      <c r="F339" s="14">
        <v>1</v>
      </c>
      <c r="G339" s="15">
        <v>29.99</v>
      </c>
      <c r="H339" s="15">
        <v>29.99</v>
      </c>
    </row>
    <row r="340" ht="12.9" customHeight="1">
      <c r="A340" t="s" s="10">
        <v>2411</v>
      </c>
      <c r="B340" t="s" s="11">
        <v>2412</v>
      </c>
      <c r="C340" s="12">
        <v>45390.810289340276</v>
      </c>
      <c r="D340" t="s" s="13">
        <v>979</v>
      </c>
      <c r="E340" t="s" s="13">
        <v>980</v>
      </c>
      <c r="F340" s="14">
        <v>1</v>
      </c>
      <c r="G340" s="15">
        <v>99.98999999999999</v>
      </c>
      <c r="H340" s="15">
        <v>99.98999999999999</v>
      </c>
    </row>
    <row r="341" ht="12.9" customHeight="1">
      <c r="A341" t="s" s="10">
        <v>2411</v>
      </c>
      <c r="B341" t="s" s="11">
        <v>2412</v>
      </c>
      <c r="C341" s="12">
        <v>45390.810289340276</v>
      </c>
      <c r="D341" t="s" s="13">
        <v>1896</v>
      </c>
      <c r="E341" t="s" s="13">
        <v>1897</v>
      </c>
      <c r="F341" s="14">
        <v>2</v>
      </c>
      <c r="G341" s="15">
        <v>74.98999999999999</v>
      </c>
      <c r="H341" s="15">
        <v>149.98</v>
      </c>
    </row>
    <row r="342" ht="12.9" customHeight="1">
      <c r="A342" t="s" s="10">
        <v>2413</v>
      </c>
      <c r="B342" t="s" s="11">
        <v>2256</v>
      </c>
      <c r="C342" s="12">
        <v>45390.8097328588</v>
      </c>
      <c r="D342" t="s" s="13">
        <v>31</v>
      </c>
      <c r="E342" t="s" s="13">
        <v>32</v>
      </c>
      <c r="F342" s="14">
        <v>2</v>
      </c>
      <c r="G342" s="15">
        <v>599.99</v>
      </c>
      <c r="H342" s="15">
        <v>1199.98</v>
      </c>
    </row>
    <row r="343" ht="12.9" customHeight="1">
      <c r="A343" t="s" s="10">
        <v>2414</v>
      </c>
      <c r="B343" t="s" s="11">
        <v>2415</v>
      </c>
      <c r="C343" s="12">
        <v>45390.6311928125</v>
      </c>
      <c r="D343" t="s" s="13">
        <v>143</v>
      </c>
      <c r="E343" t="s" s="13">
        <v>144</v>
      </c>
      <c r="F343" s="14">
        <v>1</v>
      </c>
      <c r="G343" s="15">
        <v>3199.99</v>
      </c>
      <c r="H343" s="15">
        <v>3199.99</v>
      </c>
    </row>
    <row r="344" ht="12.9" customHeight="1">
      <c r="A344" t="s" s="10">
        <v>2416</v>
      </c>
      <c r="B344" t="s" s="11">
        <v>329</v>
      </c>
      <c r="C344" s="12">
        <v>45390</v>
      </c>
      <c r="D344" t="s" s="13">
        <v>77</v>
      </c>
      <c r="E344" t="s" s="13">
        <v>78</v>
      </c>
      <c r="F344" s="14">
        <v>12</v>
      </c>
      <c r="G344" s="15">
        <v>14.9925</v>
      </c>
      <c r="H344" s="15">
        <v>179.91</v>
      </c>
    </row>
    <row r="345" ht="12.9" customHeight="1">
      <c r="A345" t="s" s="10">
        <v>2416</v>
      </c>
      <c r="B345" t="s" s="11">
        <v>329</v>
      </c>
      <c r="C345" s="12">
        <v>45390</v>
      </c>
      <c r="D345" t="s" s="13">
        <v>63</v>
      </c>
      <c r="E345" s="16"/>
      <c r="F345" s="14">
        <v>1</v>
      </c>
      <c r="G345" s="15">
        <v>41.25</v>
      </c>
      <c r="H345" s="15">
        <v>41.25</v>
      </c>
    </row>
    <row r="346" ht="12.9" customHeight="1">
      <c r="A346" t="s" s="10">
        <v>2417</v>
      </c>
      <c r="B346" t="s" s="11">
        <v>2418</v>
      </c>
      <c r="C346" s="12">
        <v>45388.718022395835</v>
      </c>
      <c r="D346" t="s" s="13">
        <v>81</v>
      </c>
      <c r="E346" t="s" s="13">
        <v>82</v>
      </c>
      <c r="F346" s="14">
        <v>2</v>
      </c>
      <c r="G346" s="15">
        <v>844.4299999999999</v>
      </c>
      <c r="H346" s="15">
        <v>1688.86</v>
      </c>
    </row>
    <row r="347" ht="12.9" customHeight="1">
      <c r="A347" t="s" s="10">
        <v>2417</v>
      </c>
      <c r="B347" t="s" s="11">
        <v>2418</v>
      </c>
      <c r="C347" s="12">
        <v>45388.718022395835</v>
      </c>
      <c r="D347" t="s" s="13">
        <v>133</v>
      </c>
      <c r="E347" t="s" s="13">
        <v>134</v>
      </c>
      <c r="F347" s="14">
        <v>2</v>
      </c>
      <c r="G347" s="15">
        <v>44.45</v>
      </c>
      <c r="H347" s="15">
        <v>88.90000000000001</v>
      </c>
    </row>
    <row r="348" ht="12.9" customHeight="1">
      <c r="A348" t="s" s="10">
        <v>2417</v>
      </c>
      <c r="B348" t="s" s="11">
        <v>2418</v>
      </c>
      <c r="C348" s="12">
        <v>45388.718022395835</v>
      </c>
      <c r="D348" t="s" s="13">
        <v>50</v>
      </c>
      <c r="E348" t="s" s="13">
        <v>83</v>
      </c>
      <c r="F348" s="14">
        <v>2</v>
      </c>
      <c r="G348" s="15">
        <v>0</v>
      </c>
      <c r="H348" s="15">
        <v>0</v>
      </c>
    </row>
    <row r="349" ht="12.9" customHeight="1">
      <c r="A349" t="s" s="10">
        <v>2417</v>
      </c>
      <c r="B349" t="s" s="11">
        <v>2418</v>
      </c>
      <c r="C349" s="12">
        <v>45388.718022395835</v>
      </c>
      <c r="D349" t="s" s="13">
        <v>84</v>
      </c>
      <c r="E349" t="s" s="13">
        <v>85</v>
      </c>
      <c r="F349" s="14">
        <v>2</v>
      </c>
      <c r="G349" s="15">
        <v>0</v>
      </c>
      <c r="H349" s="15">
        <v>0</v>
      </c>
    </row>
    <row r="350" ht="12.9" customHeight="1">
      <c r="A350" t="s" s="10">
        <v>2417</v>
      </c>
      <c r="B350" t="s" s="11">
        <v>2418</v>
      </c>
      <c r="C350" s="12">
        <v>45388.718022395835</v>
      </c>
      <c r="D350" t="s" s="13">
        <v>73</v>
      </c>
      <c r="E350" t="s" s="13">
        <v>74</v>
      </c>
      <c r="F350" s="14">
        <v>1</v>
      </c>
      <c r="G350" s="15">
        <v>394.43</v>
      </c>
      <c r="H350" s="15">
        <v>394.43</v>
      </c>
    </row>
    <row r="351" ht="12.9" customHeight="1">
      <c r="A351" t="s" s="10">
        <v>2417</v>
      </c>
      <c r="B351" t="s" s="11">
        <v>2418</v>
      </c>
      <c r="C351" s="12">
        <v>45388.718022395835</v>
      </c>
      <c r="D351" t="s" s="13">
        <v>89</v>
      </c>
      <c r="E351" t="s" s="13">
        <v>90</v>
      </c>
      <c r="F351" s="14">
        <v>2</v>
      </c>
      <c r="G351" s="15">
        <v>54.43</v>
      </c>
      <c r="H351" s="15">
        <v>108.86</v>
      </c>
    </row>
    <row r="352" ht="12.9" customHeight="1">
      <c r="A352" t="s" s="10">
        <v>2417</v>
      </c>
      <c r="B352" t="s" s="11">
        <v>2418</v>
      </c>
      <c r="C352" s="12">
        <v>45388.718022395835</v>
      </c>
      <c r="D352" t="s" s="13">
        <v>35</v>
      </c>
      <c r="E352" t="s" s="13">
        <v>36</v>
      </c>
      <c r="F352" s="14">
        <v>2</v>
      </c>
      <c r="G352" s="15">
        <v>44.44</v>
      </c>
      <c r="H352" s="15">
        <v>88.88</v>
      </c>
    </row>
    <row r="353" ht="12.9" customHeight="1">
      <c r="A353" t="s" s="10">
        <v>2419</v>
      </c>
      <c r="B353" t="s" s="11">
        <v>2420</v>
      </c>
      <c r="C353" s="12">
        <v>45388.047876331017</v>
      </c>
      <c r="D353" t="s" s="13">
        <v>54</v>
      </c>
      <c r="E353" t="s" s="13">
        <v>93</v>
      </c>
      <c r="F353" s="14">
        <v>1</v>
      </c>
      <c r="G353" s="15">
        <v>9.99</v>
      </c>
      <c r="H353" s="15">
        <v>9.99</v>
      </c>
    </row>
    <row r="354" ht="12.9" customHeight="1">
      <c r="A354" t="s" s="10">
        <v>2419</v>
      </c>
      <c r="B354" t="s" s="11">
        <v>2420</v>
      </c>
      <c r="C354" s="12">
        <v>45388.047876331017</v>
      </c>
      <c r="D354" t="s" s="13">
        <v>1695</v>
      </c>
      <c r="E354" t="s" s="13">
        <v>140</v>
      </c>
      <c r="F354" s="14">
        <v>1</v>
      </c>
      <c r="G354" s="15">
        <v>49.99</v>
      </c>
      <c r="H354" s="15">
        <v>49.99</v>
      </c>
    </row>
    <row r="355" ht="12.9" customHeight="1">
      <c r="A355" t="s" s="10">
        <v>2419</v>
      </c>
      <c r="B355" t="s" s="11">
        <v>2420</v>
      </c>
      <c r="C355" s="12">
        <v>45388.047876331017</v>
      </c>
      <c r="D355" t="s" s="13">
        <v>15</v>
      </c>
      <c r="E355" t="s" s="13">
        <v>16</v>
      </c>
      <c r="F355" s="14">
        <v>1</v>
      </c>
      <c r="G355" s="15">
        <v>0</v>
      </c>
      <c r="H355" s="15">
        <v>0</v>
      </c>
    </row>
    <row r="356" ht="12.9" customHeight="1">
      <c r="A356" t="s" s="10">
        <v>2419</v>
      </c>
      <c r="B356" t="s" s="11">
        <v>2420</v>
      </c>
      <c r="C356" s="12">
        <v>45388.047876331017</v>
      </c>
      <c r="D356" t="s" s="13">
        <v>89</v>
      </c>
      <c r="E356" t="s" s="13">
        <v>90</v>
      </c>
      <c r="F356" s="14">
        <v>1</v>
      </c>
      <c r="G356" s="15">
        <v>59.99</v>
      </c>
      <c r="H356" s="15">
        <v>59.99</v>
      </c>
    </row>
    <row r="357" ht="12.9" customHeight="1">
      <c r="A357" t="s" s="10">
        <v>2421</v>
      </c>
      <c r="B357" t="s" s="11">
        <v>2412</v>
      </c>
      <c r="C357" s="12">
        <v>45387</v>
      </c>
      <c r="D357" t="s" s="13">
        <v>225</v>
      </c>
      <c r="E357" t="s" s="13">
        <v>226</v>
      </c>
      <c r="F357" s="14">
        <v>2</v>
      </c>
      <c r="G357" s="15">
        <v>499.99</v>
      </c>
      <c r="H357" s="15">
        <v>999.98</v>
      </c>
    </row>
    <row r="358" ht="12.9" customHeight="1">
      <c r="A358" t="s" s="10">
        <v>2421</v>
      </c>
      <c r="B358" t="s" s="11">
        <v>2412</v>
      </c>
      <c r="C358" s="12">
        <v>45387</v>
      </c>
      <c r="D358" t="s" s="13">
        <v>167</v>
      </c>
      <c r="E358" t="s" s="13">
        <v>495</v>
      </c>
      <c r="F358" s="14">
        <v>2</v>
      </c>
      <c r="G358" s="15">
        <v>0</v>
      </c>
      <c r="H358" s="15">
        <v>0</v>
      </c>
    </row>
    <row r="359" ht="12.9" customHeight="1">
      <c r="A359" t="s" s="10">
        <v>2421</v>
      </c>
      <c r="B359" t="s" s="11">
        <v>2412</v>
      </c>
      <c r="C359" s="12">
        <v>45387</v>
      </c>
      <c r="D359" t="s" s="13">
        <v>165</v>
      </c>
      <c r="E359" t="s" s="13">
        <v>392</v>
      </c>
      <c r="F359" s="14">
        <v>2</v>
      </c>
      <c r="G359" s="15">
        <v>29.99</v>
      </c>
      <c r="H359" s="15">
        <v>59.98</v>
      </c>
    </row>
    <row r="360" ht="12.9" customHeight="1">
      <c r="A360" t="s" s="10">
        <v>2421</v>
      </c>
      <c r="B360" t="s" s="11">
        <v>2412</v>
      </c>
      <c r="C360" s="12">
        <v>45387</v>
      </c>
      <c r="D360" t="s" s="13">
        <v>23</v>
      </c>
      <c r="E360" t="s" s="13">
        <v>24</v>
      </c>
      <c r="F360" s="14">
        <v>2</v>
      </c>
      <c r="G360" s="15">
        <v>149.99</v>
      </c>
      <c r="H360" s="15">
        <v>299.98</v>
      </c>
    </row>
    <row r="361" ht="12.9" customHeight="1">
      <c r="A361" t="s" s="10">
        <v>2421</v>
      </c>
      <c r="B361" t="s" s="11">
        <v>2412</v>
      </c>
      <c r="C361" s="12">
        <v>45387</v>
      </c>
      <c r="D361" t="s" s="13">
        <v>445</v>
      </c>
      <c r="E361" t="s" s="13">
        <v>446</v>
      </c>
      <c r="F361" s="14">
        <v>1</v>
      </c>
      <c r="G361" s="15">
        <v>149.99</v>
      </c>
      <c r="H361" s="15">
        <v>149.99</v>
      </c>
    </row>
    <row r="362" ht="12.9" customHeight="1">
      <c r="A362" t="s" s="10">
        <v>2421</v>
      </c>
      <c r="B362" t="s" s="11">
        <v>2412</v>
      </c>
      <c r="C362" s="12">
        <v>45387</v>
      </c>
      <c r="D362" t="s" s="13">
        <v>345</v>
      </c>
      <c r="E362" t="s" s="13">
        <v>346</v>
      </c>
      <c r="F362" s="14">
        <v>1</v>
      </c>
      <c r="G362" s="15">
        <v>219.99</v>
      </c>
      <c r="H362" s="15">
        <v>219.99</v>
      </c>
    </row>
    <row r="363" ht="12.9" customHeight="1">
      <c r="A363" t="s" s="10">
        <v>2421</v>
      </c>
      <c r="B363" t="s" s="11">
        <v>2412</v>
      </c>
      <c r="C363" s="12">
        <v>45387</v>
      </c>
      <c r="D363" t="s" s="13">
        <v>54</v>
      </c>
      <c r="E363" t="s" s="13">
        <v>565</v>
      </c>
      <c r="F363" s="14">
        <v>2</v>
      </c>
      <c r="G363" s="15">
        <v>0</v>
      </c>
      <c r="H363" s="15">
        <v>0</v>
      </c>
    </row>
    <row r="364" ht="12.9" customHeight="1">
      <c r="A364" t="s" s="10">
        <v>2422</v>
      </c>
      <c r="B364" t="s" s="11">
        <v>2344</v>
      </c>
      <c r="C364" s="12">
        <v>45387.852643564816</v>
      </c>
      <c r="D364" t="s" s="13">
        <v>19</v>
      </c>
      <c r="E364" t="s" s="13">
        <v>20</v>
      </c>
      <c r="F364" s="14">
        <v>4</v>
      </c>
      <c r="G364" s="15">
        <v>119.99</v>
      </c>
      <c r="H364" s="15">
        <v>479.96</v>
      </c>
    </row>
    <row r="365" ht="12.9" customHeight="1">
      <c r="A365" t="s" s="10">
        <v>2423</v>
      </c>
      <c r="B365" t="s" s="11">
        <v>2222</v>
      </c>
      <c r="C365" s="12">
        <v>45387</v>
      </c>
      <c r="D365" t="s" s="13">
        <v>254</v>
      </c>
      <c r="E365" t="s" s="13">
        <v>2424</v>
      </c>
      <c r="F365" s="14">
        <v>1</v>
      </c>
      <c r="G365" s="15">
        <v>55</v>
      </c>
      <c r="H365" s="15">
        <v>55</v>
      </c>
    </row>
    <row r="366" ht="12.9" customHeight="1">
      <c r="A366" t="s" s="10">
        <v>2423</v>
      </c>
      <c r="B366" t="s" s="11">
        <v>2222</v>
      </c>
      <c r="C366" s="12">
        <v>45387</v>
      </c>
      <c r="D366" t="s" s="13">
        <v>2425</v>
      </c>
      <c r="E366" t="s" s="13">
        <v>2426</v>
      </c>
      <c r="F366" s="14">
        <v>1</v>
      </c>
      <c r="G366" s="15">
        <v>120</v>
      </c>
      <c r="H366" s="15">
        <v>120</v>
      </c>
    </row>
    <row r="367" ht="12.9" customHeight="1">
      <c r="A367" t="s" s="10">
        <v>2423</v>
      </c>
      <c r="B367" t="s" s="11">
        <v>2222</v>
      </c>
      <c r="C367" s="12">
        <v>45387</v>
      </c>
      <c r="D367" t="s" s="13">
        <v>402</v>
      </c>
      <c r="E367" t="s" s="13">
        <v>403</v>
      </c>
      <c r="F367" s="14">
        <v>1</v>
      </c>
      <c r="G367" s="15">
        <v>0</v>
      </c>
      <c r="H367" s="15">
        <v>0</v>
      </c>
    </row>
    <row r="368" ht="12.9" customHeight="1">
      <c r="A368" t="s" s="10">
        <v>2423</v>
      </c>
      <c r="B368" t="s" s="11">
        <v>2222</v>
      </c>
      <c r="C368" s="12">
        <v>45387</v>
      </c>
      <c r="D368" t="s" s="13">
        <v>63</v>
      </c>
      <c r="E368" s="16"/>
      <c r="F368" s="14">
        <v>1</v>
      </c>
      <c r="G368" s="15">
        <v>55.68</v>
      </c>
      <c r="H368" s="15">
        <v>55.68</v>
      </c>
    </row>
    <row r="369" ht="12.9" customHeight="1">
      <c r="A369" t="s" s="10">
        <v>2427</v>
      </c>
      <c r="B369" t="s" s="11">
        <v>2428</v>
      </c>
      <c r="C369" s="12">
        <v>45387.773204513891</v>
      </c>
      <c r="D369" t="s" s="13">
        <v>35</v>
      </c>
      <c r="E369" t="s" s="13">
        <v>36</v>
      </c>
      <c r="F369" s="14">
        <v>1</v>
      </c>
      <c r="G369" s="15">
        <v>49.99</v>
      </c>
      <c r="H369" s="15">
        <v>49.99</v>
      </c>
    </row>
    <row r="370" ht="12.9" customHeight="1">
      <c r="A370" t="s" s="10">
        <v>2429</v>
      </c>
      <c r="B370" t="s" s="11">
        <v>2428</v>
      </c>
      <c r="C370" s="12">
        <v>45387.771892488425</v>
      </c>
      <c r="D370" t="s" s="13">
        <v>11</v>
      </c>
      <c r="E370" t="s" s="13">
        <v>12</v>
      </c>
      <c r="F370" s="14">
        <v>1</v>
      </c>
      <c r="G370" s="15">
        <v>399.99</v>
      </c>
      <c r="H370" s="15">
        <v>399.99</v>
      </c>
    </row>
    <row r="371" ht="12.9" customHeight="1">
      <c r="A371" t="s" s="10">
        <v>2430</v>
      </c>
      <c r="B371" t="s" s="11">
        <v>122</v>
      </c>
      <c r="C371" s="12">
        <v>45387</v>
      </c>
      <c r="D371" t="s" s="13">
        <v>27</v>
      </c>
      <c r="E371" t="s" s="13">
        <v>28</v>
      </c>
      <c r="F371" s="14">
        <v>5</v>
      </c>
      <c r="G371" s="15">
        <v>59.9925</v>
      </c>
      <c r="H371" s="15">
        <v>299.9625</v>
      </c>
    </row>
    <row r="372" ht="12.9" customHeight="1">
      <c r="A372" t="s" s="10">
        <v>2430</v>
      </c>
      <c r="B372" t="s" s="11">
        <v>122</v>
      </c>
      <c r="C372" s="12">
        <v>45387</v>
      </c>
      <c r="D372" t="s" s="13">
        <v>63</v>
      </c>
      <c r="E372" s="16"/>
      <c r="F372" s="14">
        <v>1</v>
      </c>
      <c r="G372" s="15">
        <v>15.5</v>
      </c>
      <c r="H372" s="15">
        <v>15.5</v>
      </c>
    </row>
    <row r="373" ht="12.9" customHeight="1">
      <c r="A373" t="s" s="10">
        <v>2431</v>
      </c>
      <c r="B373" t="s" s="11">
        <v>2209</v>
      </c>
      <c r="C373" s="12">
        <v>45387</v>
      </c>
      <c r="D373" t="s" s="13">
        <v>27</v>
      </c>
      <c r="E373" t="s" s="13">
        <v>28</v>
      </c>
      <c r="F373" s="14">
        <v>1</v>
      </c>
      <c r="G373" s="15">
        <v>79.98999999999999</v>
      </c>
      <c r="H373" s="15">
        <v>79.98999999999999</v>
      </c>
    </row>
    <row r="374" ht="12.9" customHeight="1">
      <c r="A374" t="s" s="10">
        <v>2431</v>
      </c>
      <c r="B374" t="s" s="11">
        <v>2209</v>
      </c>
      <c r="C374" s="12">
        <v>45387</v>
      </c>
      <c r="D374" t="s" s="13">
        <v>1695</v>
      </c>
      <c r="E374" t="s" s="13">
        <v>140</v>
      </c>
      <c r="F374" s="14">
        <v>2</v>
      </c>
      <c r="G374" s="15">
        <v>49.99</v>
      </c>
      <c r="H374" s="15">
        <v>99.98</v>
      </c>
    </row>
    <row r="375" ht="12.9" customHeight="1">
      <c r="A375" t="s" s="10">
        <v>2431</v>
      </c>
      <c r="B375" t="s" s="11">
        <v>2209</v>
      </c>
      <c r="C375" s="12">
        <v>45387</v>
      </c>
      <c r="D375" t="s" s="13">
        <v>179</v>
      </c>
      <c r="E375" t="s" s="13">
        <v>180</v>
      </c>
      <c r="F375" s="14">
        <v>2</v>
      </c>
      <c r="G375" s="15">
        <v>49.99</v>
      </c>
      <c r="H375" s="15">
        <v>99.98</v>
      </c>
    </row>
    <row r="376" ht="12.9" customHeight="1">
      <c r="A376" t="s" s="10">
        <v>2431</v>
      </c>
      <c r="B376" t="s" s="11">
        <v>2209</v>
      </c>
      <c r="C376" s="12">
        <v>45387</v>
      </c>
      <c r="D376" t="s" s="13">
        <v>559</v>
      </c>
      <c r="E376" t="s" s="13">
        <v>1908</v>
      </c>
      <c r="F376" s="14">
        <v>50</v>
      </c>
      <c r="G376" s="15">
        <v>0</v>
      </c>
      <c r="H376" s="15">
        <v>0</v>
      </c>
    </row>
    <row r="377" ht="12.9" customHeight="1">
      <c r="A377" t="s" s="10">
        <v>2431</v>
      </c>
      <c r="B377" t="s" s="11">
        <v>2209</v>
      </c>
      <c r="C377" s="12">
        <v>45387</v>
      </c>
      <c r="D377" t="s" s="13">
        <v>52</v>
      </c>
      <c r="E377" t="s" s="13">
        <v>321</v>
      </c>
      <c r="F377" s="14">
        <v>6</v>
      </c>
      <c r="G377" s="15">
        <v>19.99</v>
      </c>
      <c r="H377" s="15">
        <v>119.94</v>
      </c>
    </row>
    <row r="378" ht="12.9" customHeight="1">
      <c r="A378" t="s" s="10">
        <v>2431</v>
      </c>
      <c r="B378" t="s" s="11">
        <v>2209</v>
      </c>
      <c r="C378" s="12">
        <v>45387</v>
      </c>
      <c r="D378" t="s" s="13">
        <v>77</v>
      </c>
      <c r="E378" t="s" s="13">
        <v>78</v>
      </c>
      <c r="F378" s="14">
        <v>2</v>
      </c>
      <c r="G378" s="15">
        <v>19.99</v>
      </c>
      <c r="H378" s="15">
        <v>39.98</v>
      </c>
    </row>
    <row r="379" ht="12.9" customHeight="1">
      <c r="A379" t="s" s="10">
        <v>2431</v>
      </c>
      <c r="B379" t="s" s="11">
        <v>2209</v>
      </c>
      <c r="C379" s="12">
        <v>45387</v>
      </c>
      <c r="D379" t="s" s="13">
        <v>359</v>
      </c>
      <c r="E379" t="s" s="13">
        <v>360</v>
      </c>
      <c r="F379" s="14">
        <v>2</v>
      </c>
      <c r="G379" s="15">
        <v>29.99</v>
      </c>
      <c r="H379" s="15">
        <v>59.98</v>
      </c>
    </row>
    <row r="380" ht="12.9" customHeight="1">
      <c r="A380" t="s" s="10">
        <v>2432</v>
      </c>
      <c r="B380" t="s" s="11">
        <v>1913</v>
      </c>
      <c r="C380" s="12">
        <v>45387</v>
      </c>
      <c r="D380" t="s" s="13">
        <v>254</v>
      </c>
      <c r="E380" t="s" s="13">
        <v>771</v>
      </c>
      <c r="F380" s="14">
        <v>1</v>
      </c>
      <c r="G380" s="15">
        <v>50</v>
      </c>
      <c r="H380" s="15">
        <v>50</v>
      </c>
    </row>
    <row r="381" ht="12.9" customHeight="1">
      <c r="A381" t="s" s="10">
        <v>2432</v>
      </c>
      <c r="B381" t="s" s="11">
        <v>1913</v>
      </c>
      <c r="C381" s="12">
        <v>45387</v>
      </c>
      <c r="D381" t="s" s="13">
        <v>2433</v>
      </c>
      <c r="E381" t="s" s="13">
        <v>2434</v>
      </c>
      <c r="F381" s="14">
        <v>1</v>
      </c>
      <c r="G381" s="15">
        <v>0</v>
      </c>
      <c r="H381" s="15">
        <v>0</v>
      </c>
    </row>
    <row r="382" ht="12.9" customHeight="1">
      <c r="A382" t="s" s="10">
        <v>2432</v>
      </c>
      <c r="B382" t="s" s="11">
        <v>1913</v>
      </c>
      <c r="C382" s="12">
        <v>45387</v>
      </c>
      <c r="D382" t="s" s="13">
        <v>2435</v>
      </c>
      <c r="E382" t="s" s="13">
        <v>2436</v>
      </c>
      <c r="F382" s="14">
        <v>1</v>
      </c>
      <c r="G382" s="15">
        <v>0</v>
      </c>
      <c r="H382" s="15">
        <v>0</v>
      </c>
    </row>
    <row r="383" ht="12.9" customHeight="1">
      <c r="A383" t="s" s="10">
        <v>2432</v>
      </c>
      <c r="B383" t="s" s="11">
        <v>1913</v>
      </c>
      <c r="C383" s="12">
        <v>45387</v>
      </c>
      <c r="D383" t="s" s="13">
        <v>63</v>
      </c>
      <c r="E383" s="16"/>
      <c r="F383" s="14">
        <v>1</v>
      </c>
      <c r="G383" s="15">
        <v>15</v>
      </c>
      <c r="H383" s="15">
        <v>15</v>
      </c>
    </row>
    <row r="384" ht="12.9" customHeight="1">
      <c r="A384" t="s" s="10">
        <v>2437</v>
      </c>
      <c r="B384" t="s" s="11">
        <v>2438</v>
      </c>
      <c r="C384" s="12">
        <v>45386.989123206018</v>
      </c>
      <c r="D384" t="s" s="13">
        <v>171</v>
      </c>
      <c r="E384" t="s" s="13">
        <v>172</v>
      </c>
      <c r="F384" s="14">
        <v>1</v>
      </c>
      <c r="G384" s="15">
        <v>549.99</v>
      </c>
      <c r="H384" s="15">
        <v>549.99</v>
      </c>
    </row>
    <row r="385" ht="12.9" customHeight="1">
      <c r="A385" t="s" s="10">
        <v>2439</v>
      </c>
      <c r="B385" t="s" s="11">
        <v>2440</v>
      </c>
      <c r="C385" s="12">
        <v>45386.880723981485</v>
      </c>
      <c r="D385" t="s" s="13">
        <v>73</v>
      </c>
      <c r="E385" t="s" s="13">
        <v>74</v>
      </c>
      <c r="F385" s="14">
        <v>1</v>
      </c>
      <c r="G385" s="15">
        <v>399.99</v>
      </c>
      <c r="H385" s="15">
        <v>399.99</v>
      </c>
    </row>
    <row r="386" ht="12.9" customHeight="1">
      <c r="A386" t="s" s="10">
        <v>2441</v>
      </c>
      <c r="B386" t="s" s="11">
        <v>2442</v>
      </c>
      <c r="C386" s="12">
        <v>45386.703228055558</v>
      </c>
      <c r="D386" t="s" s="13">
        <v>95</v>
      </c>
      <c r="E386" t="s" s="13">
        <v>12</v>
      </c>
      <c r="F386" s="14">
        <v>2</v>
      </c>
      <c r="G386" s="15">
        <v>349.99</v>
      </c>
      <c r="H386" s="15">
        <v>699.98</v>
      </c>
    </row>
    <row r="387" ht="12.9" customHeight="1">
      <c r="A387" t="s" s="10">
        <v>2443</v>
      </c>
      <c r="B387" t="s" s="11">
        <v>2444</v>
      </c>
      <c r="C387" s="12">
        <v>45386.129777569447</v>
      </c>
      <c r="D387" t="s" s="13">
        <v>23</v>
      </c>
      <c r="E387" t="s" s="13">
        <v>24</v>
      </c>
      <c r="F387" s="14">
        <v>1</v>
      </c>
      <c r="G387" s="15">
        <v>149.99</v>
      </c>
      <c r="H387" s="15">
        <v>149.99</v>
      </c>
    </row>
    <row r="388" ht="12.9" customHeight="1">
      <c r="A388" t="s" s="10">
        <v>2445</v>
      </c>
      <c r="B388" t="s" s="11">
        <v>2446</v>
      </c>
      <c r="C388" s="12">
        <v>45385.837982627316</v>
      </c>
      <c r="D388" t="s" s="13">
        <v>11</v>
      </c>
      <c r="E388" t="s" s="13">
        <v>12</v>
      </c>
      <c r="F388" s="14">
        <v>1</v>
      </c>
      <c r="G388" s="15">
        <v>399.99</v>
      </c>
      <c r="H388" s="15">
        <v>399.99</v>
      </c>
    </row>
    <row r="389" ht="12.9" customHeight="1">
      <c r="A389" t="s" s="10">
        <v>2447</v>
      </c>
      <c r="B389" t="s" s="11">
        <v>2448</v>
      </c>
      <c r="C389" s="12">
        <v>45385.830634120372</v>
      </c>
      <c r="D389" t="s" s="13">
        <v>31</v>
      </c>
      <c r="E389" t="s" s="13">
        <v>32</v>
      </c>
      <c r="F389" s="14">
        <v>1</v>
      </c>
      <c r="G389" s="15">
        <v>574.99</v>
      </c>
      <c r="H389" s="15">
        <v>574.99</v>
      </c>
    </row>
    <row r="390" ht="12.9" customHeight="1">
      <c r="A390" t="s" s="10">
        <v>2449</v>
      </c>
      <c r="B390" t="s" s="11">
        <v>2450</v>
      </c>
      <c r="C390" s="12">
        <v>45385.746122523145</v>
      </c>
      <c r="D390" t="s" s="13">
        <v>19</v>
      </c>
      <c r="E390" t="s" s="13">
        <v>20</v>
      </c>
      <c r="F390" s="14">
        <v>2</v>
      </c>
      <c r="G390" s="15">
        <v>119.99</v>
      </c>
      <c r="H390" s="15">
        <v>239.98</v>
      </c>
    </row>
    <row r="391" ht="12.9" customHeight="1">
      <c r="A391" t="s" s="10">
        <v>2451</v>
      </c>
      <c r="B391" t="s" s="11">
        <v>2452</v>
      </c>
      <c r="C391" s="12">
        <v>45384.932059224535</v>
      </c>
      <c r="D391" t="s" s="13">
        <v>81</v>
      </c>
      <c r="E391" t="s" s="13">
        <v>82</v>
      </c>
      <c r="F391" s="14">
        <v>2</v>
      </c>
      <c r="G391" s="15">
        <v>849.99</v>
      </c>
      <c r="H391" s="15">
        <v>1699.98</v>
      </c>
    </row>
    <row r="392" ht="12.9" customHeight="1">
      <c r="A392" t="s" s="10">
        <v>2451</v>
      </c>
      <c r="B392" t="s" s="11">
        <v>2452</v>
      </c>
      <c r="C392" s="12">
        <v>45384.932059224535</v>
      </c>
      <c r="D392" t="s" s="13">
        <v>23</v>
      </c>
      <c r="E392" t="s" s="13">
        <v>24</v>
      </c>
      <c r="F392" s="14">
        <v>2</v>
      </c>
      <c r="G392" s="15">
        <v>0</v>
      </c>
      <c r="H392" s="15">
        <v>0</v>
      </c>
    </row>
    <row r="393" ht="12.9" customHeight="1">
      <c r="A393" t="s" s="10">
        <v>2451</v>
      </c>
      <c r="B393" t="s" s="11">
        <v>2452</v>
      </c>
      <c r="C393" s="12">
        <v>45384.932059224535</v>
      </c>
      <c r="D393" t="s" s="13">
        <v>50</v>
      </c>
      <c r="E393" t="s" s="13">
        <v>83</v>
      </c>
      <c r="F393" s="14">
        <v>2</v>
      </c>
      <c r="G393" s="15">
        <v>0</v>
      </c>
      <c r="H393" s="15">
        <v>0</v>
      </c>
    </row>
    <row r="394" ht="12.9" customHeight="1">
      <c r="A394" t="s" s="10">
        <v>2451</v>
      </c>
      <c r="B394" t="s" s="11">
        <v>2452</v>
      </c>
      <c r="C394" s="12">
        <v>45384.932059224535</v>
      </c>
      <c r="D394" t="s" s="13">
        <v>84</v>
      </c>
      <c r="E394" t="s" s="13">
        <v>85</v>
      </c>
      <c r="F394" s="14">
        <v>2</v>
      </c>
      <c r="G394" s="15">
        <v>0</v>
      </c>
      <c r="H394" s="15">
        <v>0</v>
      </c>
    </row>
    <row r="395" ht="12.9" customHeight="1">
      <c r="A395" t="s" s="10">
        <v>2451</v>
      </c>
      <c r="B395" t="s" s="11">
        <v>2452</v>
      </c>
      <c r="C395" s="12">
        <v>45384.932059224535</v>
      </c>
      <c r="D395" t="s" s="13">
        <v>19</v>
      </c>
      <c r="E395" t="s" s="13">
        <v>20</v>
      </c>
      <c r="F395" s="14">
        <v>8</v>
      </c>
      <c r="G395" s="15">
        <v>119.99</v>
      </c>
      <c r="H395" s="15">
        <v>959.92</v>
      </c>
    </row>
    <row r="396" ht="12.9" customHeight="1">
      <c r="A396" t="s" s="10">
        <v>2451</v>
      </c>
      <c r="B396" t="s" s="11">
        <v>2452</v>
      </c>
      <c r="C396" s="12">
        <v>45384.932059224535</v>
      </c>
      <c r="D396" t="s" s="13">
        <v>15</v>
      </c>
      <c r="E396" t="s" s="13">
        <v>16</v>
      </c>
      <c r="F396" s="14">
        <v>1</v>
      </c>
      <c r="G396" s="15">
        <v>9.99</v>
      </c>
      <c r="H396" s="15">
        <v>9.99</v>
      </c>
    </row>
    <row r="397" ht="12.9" customHeight="1">
      <c r="A397" t="s" s="10">
        <v>2453</v>
      </c>
      <c r="B397" t="s" s="11">
        <v>2454</v>
      </c>
      <c r="C397" s="12">
        <v>45384.918882986109</v>
      </c>
      <c r="D397" t="s" s="13">
        <v>171</v>
      </c>
      <c r="E397" t="s" s="13">
        <v>172</v>
      </c>
      <c r="F397" s="14">
        <v>2</v>
      </c>
      <c r="G397" s="15">
        <v>549.99</v>
      </c>
      <c r="H397" s="15">
        <v>1099.98</v>
      </c>
    </row>
    <row r="398" ht="12.9" customHeight="1">
      <c r="A398" t="s" s="10">
        <v>2455</v>
      </c>
      <c r="B398" t="s" s="11">
        <v>2456</v>
      </c>
      <c r="C398" s="12">
        <v>45384.728418668979</v>
      </c>
      <c r="D398" t="s" s="13">
        <v>1695</v>
      </c>
      <c r="E398" t="s" s="13">
        <v>140</v>
      </c>
      <c r="F398" s="14">
        <v>2</v>
      </c>
      <c r="G398" s="15">
        <v>49.99</v>
      </c>
      <c r="H398" s="15">
        <v>99.98</v>
      </c>
    </row>
    <row r="399" ht="12.9" customHeight="1">
      <c r="A399" t="s" s="10">
        <v>2455</v>
      </c>
      <c r="B399" t="s" s="11">
        <v>2456</v>
      </c>
      <c r="C399" s="12">
        <v>45384.728418668979</v>
      </c>
      <c r="D399" t="s" s="13">
        <v>15</v>
      </c>
      <c r="E399" t="s" s="13">
        <v>16</v>
      </c>
      <c r="F399" s="14">
        <v>2</v>
      </c>
      <c r="G399" s="15">
        <v>0</v>
      </c>
      <c r="H399" s="15">
        <v>0</v>
      </c>
    </row>
    <row r="400" ht="12.9" customHeight="1">
      <c r="A400" t="s" s="10">
        <v>2457</v>
      </c>
      <c r="B400" t="s" s="11">
        <v>1649</v>
      </c>
      <c r="C400" s="12">
        <v>45384</v>
      </c>
      <c r="D400" t="s" s="13">
        <v>489</v>
      </c>
      <c r="E400" t="s" s="13">
        <v>490</v>
      </c>
      <c r="F400" s="14">
        <v>6</v>
      </c>
      <c r="G400" s="15">
        <v>1199.9925</v>
      </c>
      <c r="H400" s="15">
        <v>7199.955</v>
      </c>
    </row>
    <row r="401" ht="12.9" customHeight="1">
      <c r="A401" t="s" s="10">
        <v>2457</v>
      </c>
      <c r="B401" t="s" s="11">
        <v>1649</v>
      </c>
      <c r="C401" s="12">
        <v>45384</v>
      </c>
      <c r="D401" t="s" s="13">
        <v>491</v>
      </c>
      <c r="E401" t="s" s="13">
        <v>492</v>
      </c>
      <c r="F401" s="14">
        <v>12</v>
      </c>
      <c r="G401" s="15">
        <v>0</v>
      </c>
      <c r="H401" s="15">
        <v>0</v>
      </c>
    </row>
    <row r="402" ht="12.9" customHeight="1">
      <c r="A402" t="s" s="10">
        <v>2457</v>
      </c>
      <c r="B402" t="s" s="11">
        <v>1649</v>
      </c>
      <c r="C402" s="12">
        <v>45384</v>
      </c>
      <c r="D402" t="s" s="13">
        <v>1633</v>
      </c>
      <c r="E402" t="s" s="13">
        <v>1634</v>
      </c>
      <c r="F402" s="14">
        <v>6</v>
      </c>
      <c r="G402" s="15">
        <v>0</v>
      </c>
      <c r="H402" s="15">
        <v>0</v>
      </c>
    </row>
    <row r="403" ht="12.9" customHeight="1">
      <c r="A403" t="s" s="10">
        <v>2457</v>
      </c>
      <c r="B403" t="s" s="11">
        <v>1649</v>
      </c>
      <c r="C403" s="12">
        <v>45384</v>
      </c>
      <c r="D403" t="s" s="13">
        <v>493</v>
      </c>
      <c r="E403" t="s" s="13">
        <v>494</v>
      </c>
      <c r="F403" s="14">
        <v>6</v>
      </c>
      <c r="G403" s="15">
        <v>0</v>
      </c>
      <c r="H403" s="15">
        <v>0</v>
      </c>
    </row>
    <row r="404" ht="12.9" customHeight="1">
      <c r="A404" t="s" s="10">
        <v>2457</v>
      </c>
      <c r="B404" t="s" s="11">
        <v>1649</v>
      </c>
      <c r="C404" s="12">
        <v>45384</v>
      </c>
      <c r="D404" t="s" s="13">
        <v>48</v>
      </c>
      <c r="E404" t="s" s="13">
        <v>49</v>
      </c>
      <c r="F404" s="14">
        <v>4</v>
      </c>
      <c r="G404" s="15">
        <v>974.9924999999999</v>
      </c>
      <c r="H404" s="15">
        <v>3899.97</v>
      </c>
    </row>
    <row r="405" ht="12.9" customHeight="1">
      <c r="A405" t="s" s="10">
        <v>2457</v>
      </c>
      <c r="B405" t="s" s="11">
        <v>1649</v>
      </c>
      <c r="C405" s="12">
        <v>45384</v>
      </c>
      <c r="D405" t="s" s="13">
        <v>50</v>
      </c>
      <c r="E405" t="s" s="13">
        <v>51</v>
      </c>
      <c r="F405" s="14">
        <v>4</v>
      </c>
      <c r="G405" s="15">
        <v>0</v>
      </c>
      <c r="H405" s="15">
        <v>0</v>
      </c>
    </row>
    <row r="406" ht="12.9" customHeight="1">
      <c r="A406" t="s" s="10">
        <v>2457</v>
      </c>
      <c r="B406" t="s" s="11">
        <v>1649</v>
      </c>
      <c r="C406" s="12">
        <v>45384</v>
      </c>
      <c r="D406" t="s" s="13">
        <v>52</v>
      </c>
      <c r="E406" t="s" s="13">
        <v>53</v>
      </c>
      <c r="F406" s="14">
        <v>4</v>
      </c>
      <c r="G406" s="15">
        <v>0</v>
      </c>
      <c r="H406" s="15">
        <v>0</v>
      </c>
    </row>
    <row r="407" ht="12.9" customHeight="1">
      <c r="A407" t="s" s="10">
        <v>2457</v>
      </c>
      <c r="B407" t="s" s="11">
        <v>1649</v>
      </c>
      <c r="C407" s="12">
        <v>45384</v>
      </c>
      <c r="D407" t="s" s="13">
        <v>470</v>
      </c>
      <c r="E407" t="s" s="13">
        <v>2458</v>
      </c>
      <c r="F407" s="14">
        <v>4</v>
      </c>
      <c r="G407" s="15">
        <v>74.98999999999999</v>
      </c>
      <c r="H407" s="15">
        <v>299.96</v>
      </c>
    </row>
    <row r="408" ht="12.9" customHeight="1">
      <c r="A408" t="s" s="10">
        <v>2457</v>
      </c>
      <c r="B408" t="s" s="11">
        <v>1649</v>
      </c>
      <c r="C408" s="12">
        <v>45384</v>
      </c>
      <c r="D408" t="s" s="13">
        <v>54</v>
      </c>
      <c r="E408" t="s" s="13">
        <v>93</v>
      </c>
      <c r="F408" s="14">
        <v>4</v>
      </c>
      <c r="G408" s="15">
        <v>0</v>
      </c>
      <c r="H408" s="15">
        <v>0</v>
      </c>
    </row>
    <row r="409" ht="12.9" customHeight="1">
      <c r="A409" t="s" s="10">
        <v>2457</v>
      </c>
      <c r="B409" t="s" s="11">
        <v>1649</v>
      </c>
      <c r="C409" s="12">
        <v>45384</v>
      </c>
      <c r="D409" t="s" s="13">
        <v>19</v>
      </c>
      <c r="E409" t="s" s="13">
        <v>20</v>
      </c>
      <c r="F409" s="14">
        <v>12</v>
      </c>
      <c r="G409" s="15">
        <v>89.99250000000001</v>
      </c>
      <c r="H409" s="15">
        <v>1079.91</v>
      </c>
    </row>
    <row r="410" ht="12.9" customHeight="1">
      <c r="A410" t="s" s="10">
        <v>2457</v>
      </c>
      <c r="B410" t="s" s="11">
        <v>1649</v>
      </c>
      <c r="C410" s="12">
        <v>45384</v>
      </c>
      <c r="D410" t="s" s="13">
        <v>227</v>
      </c>
      <c r="E410" t="s" s="13">
        <v>228</v>
      </c>
      <c r="F410" s="14">
        <v>20</v>
      </c>
      <c r="G410" s="15">
        <v>22.4925</v>
      </c>
      <c r="H410" s="15">
        <v>449.85</v>
      </c>
    </row>
    <row r="411" ht="12.9" customHeight="1">
      <c r="A411" t="s" s="10">
        <v>2457</v>
      </c>
      <c r="B411" t="s" s="11">
        <v>1649</v>
      </c>
      <c r="C411" s="12">
        <v>45384</v>
      </c>
      <c r="D411" t="s" s="13">
        <v>589</v>
      </c>
      <c r="E411" t="s" s="13">
        <v>2459</v>
      </c>
      <c r="F411" s="14">
        <v>4</v>
      </c>
      <c r="G411" s="15">
        <v>0</v>
      </c>
      <c r="H411" s="15">
        <v>0</v>
      </c>
    </row>
    <row r="412" ht="12.9" customHeight="1">
      <c r="A412" t="s" s="10">
        <v>2457</v>
      </c>
      <c r="B412" t="s" s="11">
        <v>1649</v>
      </c>
      <c r="C412" s="12">
        <v>45384</v>
      </c>
      <c r="D412" t="s" s="13">
        <v>369</v>
      </c>
      <c r="E412" t="s" s="13">
        <v>2460</v>
      </c>
      <c r="F412" s="14">
        <v>2</v>
      </c>
      <c r="G412" s="15">
        <v>0</v>
      </c>
      <c r="H412" s="15">
        <v>0</v>
      </c>
    </row>
    <row r="413" ht="12.9" customHeight="1">
      <c r="A413" t="s" s="10">
        <v>2457</v>
      </c>
      <c r="B413" t="s" s="11">
        <v>1649</v>
      </c>
      <c r="C413" s="12">
        <v>45384</v>
      </c>
      <c r="D413" t="s" s="13">
        <v>1186</v>
      </c>
      <c r="E413" t="s" s="13">
        <v>2461</v>
      </c>
      <c r="F413" s="14">
        <v>10</v>
      </c>
      <c r="G413" s="15">
        <v>0</v>
      </c>
      <c r="H413" s="15">
        <v>0</v>
      </c>
    </row>
    <row r="414" ht="12.9" customHeight="1">
      <c r="A414" t="s" s="10">
        <v>2462</v>
      </c>
      <c r="B414" t="s" s="11">
        <v>2463</v>
      </c>
      <c r="C414" s="12">
        <v>45384.453920138891</v>
      </c>
      <c r="D414" t="s" s="13">
        <v>89</v>
      </c>
      <c r="E414" t="s" s="13">
        <v>90</v>
      </c>
      <c r="F414" s="14">
        <v>4</v>
      </c>
      <c r="G414" s="15">
        <v>59.99</v>
      </c>
      <c r="H414" s="15">
        <v>239.96</v>
      </c>
    </row>
    <row r="415" ht="12.9" customHeight="1">
      <c r="A415" t="s" s="10">
        <v>2464</v>
      </c>
      <c r="B415" t="s" s="11">
        <v>2465</v>
      </c>
      <c r="C415" s="12">
        <v>45384.2999862037</v>
      </c>
      <c r="D415" t="s" s="13">
        <v>1695</v>
      </c>
      <c r="E415" t="s" s="13">
        <v>140</v>
      </c>
      <c r="F415" s="14">
        <v>1</v>
      </c>
      <c r="G415" s="15">
        <v>49.99</v>
      </c>
      <c r="H415" s="15">
        <v>49.99</v>
      </c>
    </row>
    <row r="416" ht="12.9" customHeight="1">
      <c r="A416" t="s" s="10">
        <v>2464</v>
      </c>
      <c r="B416" t="s" s="11">
        <v>2465</v>
      </c>
      <c r="C416" s="12">
        <v>45384.2999862037</v>
      </c>
      <c r="D416" t="s" s="13">
        <v>15</v>
      </c>
      <c r="E416" t="s" s="13">
        <v>16</v>
      </c>
      <c r="F416" s="14">
        <v>1</v>
      </c>
      <c r="G416" s="15">
        <v>0</v>
      </c>
      <c r="H416" s="15">
        <v>0</v>
      </c>
    </row>
    <row r="417" ht="12.9" customHeight="1">
      <c r="A417" t="s" s="10">
        <v>2466</v>
      </c>
      <c r="B417" t="s" s="11">
        <v>2467</v>
      </c>
      <c r="C417" s="12">
        <v>45383.987415659722</v>
      </c>
      <c r="D417" t="s" s="13">
        <v>54</v>
      </c>
      <c r="E417" t="s" s="13">
        <v>93</v>
      </c>
      <c r="F417" s="14">
        <v>1</v>
      </c>
      <c r="G417" s="15">
        <v>9.99</v>
      </c>
      <c r="H417" s="15">
        <v>9.99</v>
      </c>
    </row>
    <row r="418" ht="12.9" customHeight="1">
      <c r="A418" t="s" s="10">
        <v>2466</v>
      </c>
      <c r="B418" t="s" s="11">
        <v>2467</v>
      </c>
      <c r="C418" s="12">
        <v>45383.987415659722</v>
      </c>
      <c r="D418" t="s" s="13">
        <v>31</v>
      </c>
      <c r="E418" t="s" s="13">
        <v>32</v>
      </c>
      <c r="F418" s="14">
        <v>2</v>
      </c>
      <c r="G418" s="15">
        <v>599.99</v>
      </c>
      <c r="H418" s="15">
        <v>1199.98</v>
      </c>
    </row>
    <row r="419" ht="12.9" customHeight="1">
      <c r="A419" t="s" s="10">
        <v>2468</v>
      </c>
      <c r="B419" t="s" s="11">
        <v>2469</v>
      </c>
      <c r="C419" s="12">
        <v>45383.724385289352</v>
      </c>
      <c r="D419" t="s" s="13">
        <v>35</v>
      </c>
      <c r="E419" t="s" s="13">
        <v>36</v>
      </c>
      <c r="F419" s="14">
        <v>1</v>
      </c>
      <c r="G419" s="15">
        <v>49.99</v>
      </c>
      <c r="H419" s="15">
        <v>49.99</v>
      </c>
    </row>
    <row r="420" ht="12.9" customHeight="1">
      <c r="A420" t="s" s="10">
        <v>2470</v>
      </c>
      <c r="B420" t="s" s="11">
        <v>2471</v>
      </c>
      <c r="C420" s="12">
        <v>45383.717261365739</v>
      </c>
      <c r="D420" t="s" s="13">
        <v>77</v>
      </c>
      <c r="E420" t="s" s="13">
        <v>78</v>
      </c>
      <c r="F420" s="14">
        <v>2</v>
      </c>
      <c r="G420" s="15">
        <v>19.99</v>
      </c>
      <c r="H420" s="15">
        <v>39.98</v>
      </c>
    </row>
    <row r="421" ht="12.9" customHeight="1">
      <c r="A421" t="s" s="10">
        <v>2472</v>
      </c>
      <c r="B421" t="s" s="11">
        <v>1649</v>
      </c>
      <c r="C421" s="12">
        <v>45383</v>
      </c>
      <c r="D421" t="s" s="13">
        <v>57</v>
      </c>
      <c r="E421" t="s" s="13">
        <v>58</v>
      </c>
      <c r="F421" s="14">
        <v>1</v>
      </c>
      <c r="G421" s="15">
        <v>599.9924999999999</v>
      </c>
      <c r="H421" s="15">
        <v>599.9924999999999</v>
      </c>
    </row>
    <row r="422" ht="12.9" customHeight="1">
      <c r="A422" t="s" s="10">
        <v>2472</v>
      </c>
      <c r="B422" t="s" s="11">
        <v>1649</v>
      </c>
      <c r="C422" s="12">
        <v>45383</v>
      </c>
      <c r="D422" t="s" s="13">
        <v>63</v>
      </c>
      <c r="E422" s="16"/>
      <c r="F422" s="14">
        <v>1</v>
      </c>
      <c r="G422" s="15">
        <v>49.62</v>
      </c>
      <c r="H422" s="15">
        <v>49.62</v>
      </c>
    </row>
    <row r="423" ht="12.9" customHeight="1">
      <c r="A423" t="s" s="10">
        <v>2473</v>
      </c>
      <c r="B423" t="s" s="11">
        <v>2474</v>
      </c>
      <c r="C423" s="12">
        <v>45383.671188472224</v>
      </c>
      <c r="D423" t="s" s="13">
        <v>95</v>
      </c>
      <c r="E423" t="s" s="13">
        <v>12</v>
      </c>
      <c r="F423" s="14">
        <v>1</v>
      </c>
      <c r="G423" s="15">
        <v>349.99</v>
      </c>
      <c r="H423" s="15">
        <v>349.99</v>
      </c>
    </row>
    <row r="424" ht="12.9" customHeight="1">
      <c r="A424" t="s" s="10">
        <v>2475</v>
      </c>
      <c r="B424" t="s" s="11">
        <v>161</v>
      </c>
      <c r="C424" s="12">
        <v>45383</v>
      </c>
      <c r="D424" t="s" s="13">
        <v>27</v>
      </c>
      <c r="E424" t="s" s="13">
        <v>28</v>
      </c>
      <c r="F424" s="14">
        <v>1</v>
      </c>
      <c r="G424" s="15">
        <v>0</v>
      </c>
      <c r="H424" s="15">
        <v>0</v>
      </c>
    </row>
    <row r="425" ht="12.9" customHeight="1">
      <c r="A425" t="s" s="10">
        <v>2475</v>
      </c>
      <c r="B425" t="s" s="11">
        <v>161</v>
      </c>
      <c r="C425" s="12">
        <v>45383</v>
      </c>
      <c r="D425" t="s" s="13">
        <v>559</v>
      </c>
      <c r="E425" t="s" s="13">
        <v>560</v>
      </c>
      <c r="F425" s="14">
        <v>100</v>
      </c>
      <c r="G425" s="15">
        <v>0</v>
      </c>
      <c r="H425" s="15">
        <v>0</v>
      </c>
    </row>
    <row r="426" ht="12.9" customHeight="1">
      <c r="A426" t="s" s="10">
        <v>2476</v>
      </c>
      <c r="B426" t="s" s="11">
        <v>2477</v>
      </c>
      <c r="C426" s="12">
        <v>45383.491897789354</v>
      </c>
      <c r="D426" t="s" s="13">
        <v>1695</v>
      </c>
      <c r="E426" t="s" s="13">
        <v>140</v>
      </c>
      <c r="F426" s="14">
        <v>1</v>
      </c>
      <c r="G426" s="15">
        <v>49.99</v>
      </c>
      <c r="H426" s="15">
        <v>49.99</v>
      </c>
    </row>
    <row r="427" ht="12.9" customHeight="1">
      <c r="A427" t="s" s="10">
        <v>2476</v>
      </c>
      <c r="B427" t="s" s="11">
        <v>2477</v>
      </c>
      <c r="C427" s="12">
        <v>45383.491897789354</v>
      </c>
      <c r="D427" t="s" s="13">
        <v>15</v>
      </c>
      <c r="E427" t="s" s="13">
        <v>16</v>
      </c>
      <c r="F427" s="14">
        <v>1</v>
      </c>
      <c r="G427" s="15">
        <v>0</v>
      </c>
      <c r="H427" s="15">
        <v>0</v>
      </c>
    </row>
    <row r="429" ht="15.55" customHeight="1">
      <c r="I429" t="s" s="2">
        <v>2478</v>
      </c>
      <c r="J429" s="2"/>
      <c r="K429" s="2"/>
      <c r="L429" s="2"/>
      <c r="M429" s="2"/>
      <c r="N429" s="2"/>
      <c r="O429" s="2"/>
    </row>
    <row r="431" ht="13.1" customHeight="1">
      <c r="I431" t="s" s="20">
        <v>2</v>
      </c>
      <c r="J431" t="s" s="21">
        <v>1</v>
      </c>
      <c r="K431" t="s" s="21">
        <v>616</v>
      </c>
      <c r="L431" t="s" s="22">
        <v>4</v>
      </c>
      <c r="M431" t="s" s="23">
        <v>617</v>
      </c>
      <c r="N431" t="s" s="3">
        <v>618</v>
      </c>
      <c r="O431" t="s" s="3">
        <v>619</v>
      </c>
    </row>
    <row r="432" ht="15.4" customHeight="1">
      <c r="I432" t="s" s="24">
        <v>210</v>
      </c>
      <c r="M432" s="25">
        <v>121</v>
      </c>
      <c r="N432" s="26">
        <v>576.4400000000001</v>
      </c>
      <c r="O432" s="26">
        <v>1282.9875</v>
      </c>
    </row>
    <row r="433" ht="15.55" customHeight="1">
      <c r="I433" t="s" s="27">
        <v>1967</v>
      </c>
      <c r="M433" s="28">
        <v>6</v>
      </c>
      <c r="N433" s="29">
        <v>386.48</v>
      </c>
      <c r="O433" s="29">
        <v>786.46</v>
      </c>
    </row>
    <row r="434" ht="15.55" customHeight="1">
      <c r="I434" t="s" s="27">
        <v>2202</v>
      </c>
      <c r="M434" s="28">
        <v>2</v>
      </c>
      <c r="N434" s="29">
        <v>9.99</v>
      </c>
      <c r="O434" s="29">
        <v>19.98</v>
      </c>
    </row>
    <row r="435" ht="15.55" customHeight="1">
      <c r="I435" t="s" s="27">
        <v>1658</v>
      </c>
      <c r="M435" s="28">
        <v>3</v>
      </c>
      <c r="N435" s="29">
        <v>119.98</v>
      </c>
      <c r="O435" s="29">
        <v>219.97</v>
      </c>
    </row>
    <row r="436" ht="15.55" customHeight="1">
      <c r="I436" t="s" s="27">
        <v>161</v>
      </c>
      <c r="M436" s="28">
        <v>101</v>
      </c>
      <c r="N436" s="29">
        <v>0</v>
      </c>
      <c r="O436" s="29">
        <v>0</v>
      </c>
    </row>
    <row r="437" ht="15.55" customHeight="1">
      <c r="I437" t="s" s="27">
        <v>2354</v>
      </c>
      <c r="M437" s="28">
        <v>1</v>
      </c>
      <c r="N437" s="29">
        <v>549.99</v>
      </c>
      <c r="O437" s="29">
        <v>549.99</v>
      </c>
    </row>
    <row r="438" ht="15.55" customHeight="1">
      <c r="I438" t="s" s="27">
        <v>2178</v>
      </c>
      <c r="M438" s="28">
        <v>4</v>
      </c>
      <c r="N438" s="29">
        <v>119.99</v>
      </c>
      <c r="O438" s="29">
        <v>479.96</v>
      </c>
    </row>
    <row r="439" ht="15.55" customHeight="1">
      <c r="I439" t="s" s="27">
        <v>2158</v>
      </c>
      <c r="M439" s="28">
        <v>1</v>
      </c>
      <c r="N439" s="29">
        <v>199.99</v>
      </c>
      <c r="O439" s="29">
        <v>199.99</v>
      </c>
    </row>
    <row r="440" ht="15.55" customHeight="1">
      <c r="I440" t="s" s="27">
        <v>2196</v>
      </c>
      <c r="M440" s="28">
        <v>1</v>
      </c>
      <c r="N440" s="29">
        <v>0</v>
      </c>
      <c r="O440" s="29">
        <v>0</v>
      </c>
    </row>
    <row r="441" ht="15.55" customHeight="1">
      <c r="I441" t="s" s="27">
        <v>2403</v>
      </c>
      <c r="M441" s="28">
        <v>22</v>
      </c>
      <c r="N441" s="29">
        <v>179.5</v>
      </c>
      <c r="O441" s="29">
        <v>1894</v>
      </c>
    </row>
    <row r="442" ht="15.55" customHeight="1">
      <c r="I442" t="s" s="27">
        <v>1453</v>
      </c>
      <c r="M442" s="28">
        <v>7</v>
      </c>
      <c r="N442" s="29">
        <v>169.98</v>
      </c>
      <c r="O442" s="29">
        <v>649.9400000000001</v>
      </c>
    </row>
    <row r="443" ht="15.55" customHeight="1">
      <c r="I443" t="s" s="27">
        <v>2164</v>
      </c>
      <c r="M443" s="28">
        <v>1</v>
      </c>
      <c r="N443" s="29">
        <v>119.99</v>
      </c>
      <c r="O443" s="29">
        <v>119.99</v>
      </c>
    </row>
    <row r="444" ht="15.55" customHeight="1">
      <c r="I444" t="s" s="27">
        <v>2375</v>
      </c>
      <c r="M444" s="28">
        <v>4</v>
      </c>
      <c r="N444" s="29">
        <v>23.97</v>
      </c>
      <c r="O444" s="29">
        <v>25.96</v>
      </c>
    </row>
    <row r="445" ht="15.55" customHeight="1">
      <c r="I445" t="s" s="27">
        <v>2162</v>
      </c>
      <c r="M445" s="28">
        <v>1</v>
      </c>
      <c r="N445" s="29">
        <v>249.99</v>
      </c>
      <c r="O445" s="29">
        <v>249.99</v>
      </c>
    </row>
    <row r="446" ht="15.55" customHeight="1">
      <c r="I446" t="s" s="27">
        <v>441</v>
      </c>
      <c r="M446" s="28">
        <v>20</v>
      </c>
      <c r="N446" s="29">
        <v>-510.342609</v>
      </c>
      <c r="O446" s="29">
        <v>0.002173</v>
      </c>
    </row>
    <row r="447" ht="15.55" customHeight="1">
      <c r="I447" t="s" s="27">
        <v>2440</v>
      </c>
      <c r="M447" s="28">
        <v>1</v>
      </c>
      <c r="N447" s="29">
        <v>399.99</v>
      </c>
      <c r="O447" s="29">
        <v>399.99</v>
      </c>
    </row>
    <row r="448" ht="15.55" customHeight="1">
      <c r="I448" t="s" s="27">
        <v>2220</v>
      </c>
      <c r="M448" s="28">
        <v>2</v>
      </c>
      <c r="N448" s="29">
        <v>159.98</v>
      </c>
      <c r="O448" s="29">
        <v>159.98</v>
      </c>
    </row>
    <row r="449" ht="15.55" customHeight="1">
      <c r="I449" t="s" s="27">
        <v>2474</v>
      </c>
      <c r="M449" s="28">
        <v>1</v>
      </c>
      <c r="N449" s="29">
        <v>349.99</v>
      </c>
      <c r="O449" s="29">
        <v>349.99</v>
      </c>
    </row>
    <row r="450" ht="15.55" customHeight="1">
      <c r="I450" t="s" s="27">
        <v>2415</v>
      </c>
      <c r="M450" s="28">
        <v>1</v>
      </c>
      <c r="N450" s="29">
        <v>3199.99</v>
      </c>
      <c r="O450" s="29">
        <v>3199.99</v>
      </c>
    </row>
    <row r="451" ht="15.55" customHeight="1">
      <c r="I451" t="s" s="27">
        <v>2326</v>
      </c>
      <c r="M451" s="28">
        <v>1</v>
      </c>
      <c r="N451" s="29">
        <v>399.99</v>
      </c>
      <c r="O451" s="29">
        <v>399.99</v>
      </c>
    </row>
    <row r="452" ht="15.55" customHeight="1">
      <c r="I452" t="s" s="27">
        <v>2275</v>
      </c>
      <c r="M452" s="28">
        <v>11</v>
      </c>
      <c r="N452" s="29">
        <v>70.36206525</v>
      </c>
      <c r="O452" s="29">
        <v>291.81032625</v>
      </c>
    </row>
    <row r="453" ht="15.55" customHeight="1">
      <c r="I453" t="s" s="27">
        <v>2258</v>
      </c>
      <c r="M453" s="28">
        <v>1</v>
      </c>
      <c r="N453" s="29">
        <v>399.99</v>
      </c>
      <c r="O453" s="29">
        <v>399.99</v>
      </c>
    </row>
    <row r="454" ht="15.55" customHeight="1">
      <c r="I454" t="s" s="27">
        <v>2218</v>
      </c>
      <c r="M454" s="28">
        <v>1</v>
      </c>
      <c r="N454" s="29">
        <v>399.99</v>
      </c>
      <c r="O454" s="29">
        <v>399.99</v>
      </c>
    </row>
    <row r="455" ht="15.55" customHeight="1">
      <c r="I455" t="s" s="27">
        <v>2263</v>
      </c>
      <c r="M455" s="28">
        <v>2</v>
      </c>
      <c r="N455" s="29">
        <v>49.99</v>
      </c>
      <c r="O455" s="29">
        <v>99.98</v>
      </c>
    </row>
    <row r="456" ht="15.55" customHeight="1">
      <c r="I456" t="s" s="27">
        <v>2330</v>
      </c>
      <c r="M456" s="28">
        <v>2</v>
      </c>
      <c r="N456" s="29">
        <v>119.99</v>
      </c>
      <c r="O456" s="29">
        <v>239.98</v>
      </c>
    </row>
    <row r="457" ht="15.55" customHeight="1">
      <c r="I457" t="s" s="27">
        <v>2286</v>
      </c>
      <c r="M457" s="28">
        <v>1</v>
      </c>
      <c r="N457" s="29">
        <v>549.99</v>
      </c>
      <c r="O457" s="29">
        <v>549.99</v>
      </c>
    </row>
    <row r="458" ht="15.55" customHeight="1">
      <c r="I458" t="s" s="27">
        <v>2340</v>
      </c>
      <c r="M458" s="28">
        <v>8</v>
      </c>
      <c r="N458" s="29">
        <v>849.99</v>
      </c>
      <c r="O458" s="29">
        <v>1699.98</v>
      </c>
    </row>
    <row r="459" ht="15.55" customHeight="1">
      <c r="I459" t="s" s="27">
        <v>2380</v>
      </c>
      <c r="M459" s="28">
        <v>5</v>
      </c>
      <c r="N459" s="29">
        <v>37.0525</v>
      </c>
      <c r="O459" s="29">
        <v>104.53</v>
      </c>
    </row>
    <row r="460" ht="15.55" customHeight="1">
      <c r="I460" t="s" s="27">
        <v>2269</v>
      </c>
      <c r="M460" s="28">
        <v>8</v>
      </c>
      <c r="N460" s="29">
        <v>849.99</v>
      </c>
      <c r="O460" s="29">
        <v>1699.98</v>
      </c>
    </row>
    <row r="461" ht="15.55" customHeight="1">
      <c r="I461" t="s" s="27">
        <v>2450</v>
      </c>
      <c r="M461" s="28">
        <v>2</v>
      </c>
      <c r="N461" s="29">
        <v>119.99</v>
      </c>
      <c r="O461" s="29">
        <v>239.98</v>
      </c>
    </row>
    <row r="462" ht="15.55" customHeight="1">
      <c r="I462" t="s" s="27">
        <v>2313</v>
      </c>
      <c r="M462" s="28">
        <v>2</v>
      </c>
      <c r="N462" s="29">
        <v>59.99</v>
      </c>
      <c r="O462" s="29">
        <v>119.98</v>
      </c>
    </row>
    <row r="463" ht="15.55" customHeight="1">
      <c r="I463" t="s" s="27">
        <v>2182</v>
      </c>
      <c r="M463" s="28">
        <v>16</v>
      </c>
      <c r="N463" s="29">
        <v>4094.89</v>
      </c>
      <c r="O463" s="29">
        <v>4994.87</v>
      </c>
    </row>
    <row r="464" ht="15.55" customHeight="1">
      <c r="I464" t="s" s="27">
        <v>2288</v>
      </c>
      <c r="M464" s="28">
        <v>2</v>
      </c>
      <c r="N464" s="29">
        <v>119.99</v>
      </c>
      <c r="O464" s="29">
        <v>239.98</v>
      </c>
    </row>
    <row r="465" ht="15.55" customHeight="1">
      <c r="I465" t="s" s="27">
        <v>2254</v>
      </c>
      <c r="M465" s="28">
        <v>2</v>
      </c>
      <c r="N465" s="29">
        <v>569.98</v>
      </c>
      <c r="O465" s="29">
        <v>569.98</v>
      </c>
    </row>
    <row r="466" ht="15.55" customHeight="1">
      <c r="I466" t="s" s="27">
        <v>1570</v>
      </c>
      <c r="M466" s="28">
        <v>4</v>
      </c>
      <c r="N466" s="29">
        <v>83.99250000000001</v>
      </c>
      <c r="O466" s="29">
        <v>143.985</v>
      </c>
    </row>
    <row r="467" ht="15.55" customHeight="1">
      <c r="I467" t="s" s="27">
        <v>2386</v>
      </c>
      <c r="M467" s="28">
        <v>1</v>
      </c>
      <c r="N467" s="29">
        <v>399.99</v>
      </c>
      <c r="O467" s="29">
        <v>399.99</v>
      </c>
    </row>
    <row r="468" ht="15.55" customHeight="1">
      <c r="I468" t="s" s="27">
        <v>2356</v>
      </c>
      <c r="M468" s="28">
        <v>1</v>
      </c>
      <c r="N468" s="29">
        <v>374.99</v>
      </c>
      <c r="O468" s="29">
        <v>374.99</v>
      </c>
    </row>
    <row r="469" ht="15.55" customHeight="1">
      <c r="I469" t="s" s="27">
        <v>391</v>
      </c>
      <c r="M469" s="28">
        <v>6</v>
      </c>
      <c r="N469" s="29">
        <v>1617.105</v>
      </c>
      <c r="O469" s="29">
        <v>2217.0975</v>
      </c>
    </row>
    <row r="470" ht="15.55" customHeight="1">
      <c r="I470" t="s" s="27">
        <v>2284</v>
      </c>
      <c r="M470" s="28">
        <v>12</v>
      </c>
      <c r="N470" s="29">
        <v>2991.4</v>
      </c>
      <c r="O470" s="29">
        <v>4391.39</v>
      </c>
    </row>
    <row r="471" ht="15.55" customHeight="1">
      <c r="I471" t="s" s="27">
        <v>555</v>
      </c>
      <c r="M471" s="28">
        <v>16</v>
      </c>
      <c r="N471" s="29">
        <v>177.5525</v>
      </c>
      <c r="O471" s="29">
        <v>501.8375</v>
      </c>
    </row>
    <row r="472" ht="15.55" customHeight="1">
      <c r="I472" t="s" s="27">
        <v>69</v>
      </c>
      <c r="M472" s="28">
        <v>63</v>
      </c>
      <c r="N472" s="29">
        <v>1251.2125</v>
      </c>
      <c r="O472" s="29">
        <v>5143.3075</v>
      </c>
    </row>
    <row r="473" ht="15.55" customHeight="1">
      <c r="I473" t="s" s="27">
        <v>2378</v>
      </c>
      <c r="M473" s="28">
        <v>1</v>
      </c>
      <c r="N473" s="29">
        <v>349.99</v>
      </c>
      <c r="O473" s="29">
        <v>349.99</v>
      </c>
    </row>
    <row r="474" ht="15.55" customHeight="1">
      <c r="I474" t="s" s="27">
        <v>1426</v>
      </c>
      <c r="M474" s="28">
        <v>5</v>
      </c>
      <c r="N474" s="29">
        <v>641.1425</v>
      </c>
      <c r="O474" s="29">
        <v>2441.12</v>
      </c>
    </row>
    <row r="475" ht="15.55" customHeight="1">
      <c r="I475" t="s" s="27">
        <v>2295</v>
      </c>
      <c r="M475" s="28">
        <v>1</v>
      </c>
      <c r="N475" s="29">
        <v>109.99</v>
      </c>
      <c r="O475" s="29">
        <v>109.99</v>
      </c>
    </row>
    <row r="476" ht="15.55" customHeight="1">
      <c r="I476" t="s" s="27">
        <v>1406</v>
      </c>
      <c r="M476" s="28">
        <v>18</v>
      </c>
      <c r="N476" s="29">
        <v>2686.37</v>
      </c>
      <c r="O476" s="29">
        <v>5086.33</v>
      </c>
    </row>
    <row r="477" ht="15.55" customHeight="1">
      <c r="I477" t="s" s="27">
        <v>2477</v>
      </c>
      <c r="M477" s="28">
        <v>2</v>
      </c>
      <c r="N477" s="29">
        <v>49.99</v>
      </c>
      <c r="O477" s="29">
        <v>49.99</v>
      </c>
    </row>
    <row r="478" ht="15.55" customHeight="1">
      <c r="I478" t="s" s="27">
        <v>563</v>
      </c>
      <c r="M478" s="28">
        <v>11</v>
      </c>
      <c r="N478" s="29">
        <v>333.47</v>
      </c>
      <c r="O478" s="29">
        <v>618.4400000000001</v>
      </c>
    </row>
    <row r="479" ht="15.55" customHeight="1">
      <c r="I479" t="s" s="27">
        <v>2401</v>
      </c>
      <c r="M479" s="28">
        <v>1</v>
      </c>
      <c r="N479" s="29">
        <v>574.99</v>
      </c>
      <c r="O479" s="29">
        <v>574.99</v>
      </c>
    </row>
    <row r="480" ht="15.55" customHeight="1">
      <c r="I480" t="s" s="27">
        <v>1166</v>
      </c>
      <c r="M480" s="28">
        <v>3</v>
      </c>
      <c r="N480" s="29">
        <v>479.98</v>
      </c>
      <c r="O480" s="29">
        <v>559.97</v>
      </c>
    </row>
    <row r="481" ht="15.55" customHeight="1">
      <c r="I481" t="s" s="27">
        <v>1751</v>
      </c>
      <c r="M481" s="28">
        <v>10</v>
      </c>
      <c r="N481" s="29">
        <v>289.77</v>
      </c>
      <c r="O481" s="29">
        <v>409.76</v>
      </c>
    </row>
    <row r="482" ht="15.55" customHeight="1">
      <c r="I482" t="s" s="27">
        <v>153</v>
      </c>
      <c r="M482" s="28">
        <v>2</v>
      </c>
      <c r="N482" s="29">
        <v>309.98</v>
      </c>
      <c r="O482" s="29">
        <v>309.98</v>
      </c>
    </row>
    <row r="483" ht="15.55" customHeight="1">
      <c r="I483" t="s" s="27">
        <v>1779</v>
      </c>
      <c r="M483" s="28">
        <v>2</v>
      </c>
      <c r="N483" s="29">
        <v>699.98</v>
      </c>
      <c r="O483" s="29">
        <v>699.98</v>
      </c>
    </row>
    <row r="484" ht="15.55" customHeight="1">
      <c r="I484" t="s" s="27">
        <v>2168</v>
      </c>
      <c r="M484" s="28">
        <v>2</v>
      </c>
      <c r="N484" s="29">
        <v>49.99</v>
      </c>
      <c r="O484" s="29">
        <v>99.98</v>
      </c>
    </row>
    <row r="485" ht="15.55" customHeight="1">
      <c r="I485" t="s" s="27">
        <v>476</v>
      </c>
      <c r="M485" s="28">
        <v>5</v>
      </c>
      <c r="N485" s="29">
        <v>2916.785</v>
      </c>
      <c r="O485" s="29">
        <v>5616.77</v>
      </c>
    </row>
    <row r="486" ht="15.55" customHeight="1">
      <c r="I486" t="s" s="27">
        <v>896</v>
      </c>
      <c r="M486" s="28">
        <v>12</v>
      </c>
      <c r="N486" s="29">
        <v>973.65</v>
      </c>
      <c r="O486" s="29">
        <v>3673.65</v>
      </c>
    </row>
    <row r="487" ht="15.55" customHeight="1">
      <c r="I487" t="s" s="27">
        <v>2407</v>
      </c>
      <c r="M487" s="28">
        <v>1</v>
      </c>
      <c r="N487" s="29">
        <v>399.99</v>
      </c>
      <c r="O487" s="29">
        <v>399.99</v>
      </c>
    </row>
    <row r="488" ht="15.55" customHeight="1">
      <c r="I488" t="s" s="27">
        <v>2346</v>
      </c>
      <c r="M488" s="28">
        <v>15</v>
      </c>
      <c r="N488" s="29">
        <v>1124.92</v>
      </c>
      <c r="O488" s="29">
        <v>1674.9</v>
      </c>
    </row>
    <row r="489" ht="15.55" customHeight="1">
      <c r="I489" t="s" s="27">
        <v>2471</v>
      </c>
      <c r="M489" s="28">
        <v>2</v>
      </c>
      <c r="N489" s="29">
        <v>19.99</v>
      </c>
      <c r="O489" s="29">
        <v>39.98</v>
      </c>
    </row>
    <row r="490" ht="15.55" customHeight="1">
      <c r="I490" t="s" s="27">
        <v>2166</v>
      </c>
      <c r="M490" s="28">
        <v>5</v>
      </c>
      <c r="N490" s="29">
        <v>9.99</v>
      </c>
      <c r="O490" s="29">
        <v>49.95</v>
      </c>
    </row>
    <row r="491" ht="15.55" customHeight="1">
      <c r="I491" t="s" s="27">
        <v>2301</v>
      </c>
      <c r="M491" s="28">
        <v>1</v>
      </c>
      <c r="N491" s="29">
        <v>399.99</v>
      </c>
      <c r="O491" s="29">
        <v>399.99</v>
      </c>
    </row>
    <row r="492" ht="15.55" customHeight="1">
      <c r="I492" t="s" s="27">
        <v>2452</v>
      </c>
      <c r="M492" s="28">
        <v>17</v>
      </c>
      <c r="N492" s="29">
        <v>979.97</v>
      </c>
      <c r="O492" s="29">
        <v>2669.89</v>
      </c>
    </row>
    <row r="493" ht="15.55" customHeight="1">
      <c r="I493" t="s" s="27">
        <v>164</v>
      </c>
      <c r="M493" s="28">
        <v>14</v>
      </c>
      <c r="N493" s="29">
        <v>1389.93</v>
      </c>
      <c r="O493" s="29">
        <v>2229.88</v>
      </c>
    </row>
    <row r="494" ht="15.55" customHeight="1">
      <c r="I494" t="s" s="27">
        <v>2317</v>
      </c>
      <c r="M494" s="28">
        <v>35</v>
      </c>
      <c r="N494" s="29">
        <v>1265.8525</v>
      </c>
      <c r="O494" s="29">
        <v>2495.6875</v>
      </c>
    </row>
    <row r="495" ht="15.55" customHeight="1">
      <c r="I495" t="s" s="27">
        <v>2176</v>
      </c>
      <c r="M495" s="28">
        <v>1</v>
      </c>
      <c r="N495" s="29">
        <v>599.99</v>
      </c>
      <c r="O495" s="29">
        <v>599.99</v>
      </c>
    </row>
    <row r="496" ht="15.55" customHeight="1">
      <c r="I496" t="s" s="27">
        <v>2454</v>
      </c>
      <c r="M496" s="28">
        <v>2</v>
      </c>
      <c r="N496" s="29">
        <v>549.99</v>
      </c>
      <c r="O496" s="29">
        <v>1099.98</v>
      </c>
    </row>
    <row r="497" ht="15.55" customHeight="1">
      <c r="I497" t="s" s="27">
        <v>2216</v>
      </c>
      <c r="M497" s="28">
        <v>5</v>
      </c>
      <c r="N497" s="29">
        <v>79.98999999999999</v>
      </c>
      <c r="O497" s="29">
        <v>399.95</v>
      </c>
    </row>
    <row r="498" ht="15.55" customHeight="1">
      <c r="I498" t="s" s="27">
        <v>2438</v>
      </c>
      <c r="M498" s="28">
        <v>1</v>
      </c>
      <c r="N498" s="29">
        <v>549.99</v>
      </c>
      <c r="O498" s="29">
        <v>549.99</v>
      </c>
    </row>
    <row r="499" ht="15.55" customHeight="1">
      <c r="I499" t="s" s="27">
        <v>2204</v>
      </c>
      <c r="M499" s="28">
        <v>1</v>
      </c>
      <c r="N499" s="29">
        <v>349.99</v>
      </c>
      <c r="O499" s="29">
        <v>349.99</v>
      </c>
    </row>
    <row r="500" ht="15.55" customHeight="1">
      <c r="I500" t="s" s="27">
        <v>2304</v>
      </c>
      <c r="M500" s="28">
        <v>1</v>
      </c>
      <c r="N500" s="29">
        <v>349.99</v>
      </c>
      <c r="O500" s="29">
        <v>349.99</v>
      </c>
    </row>
    <row r="501" ht="15.55" customHeight="1">
      <c r="I501" t="s" s="27">
        <v>329</v>
      </c>
      <c r="M501" s="28">
        <v>37</v>
      </c>
      <c r="N501" s="29">
        <v>2681.8344</v>
      </c>
      <c r="O501" s="29">
        <v>2846.7519</v>
      </c>
    </row>
    <row r="502" ht="15.55" customHeight="1">
      <c r="I502" t="s" s="27">
        <v>2344</v>
      </c>
      <c r="M502" s="28">
        <v>6</v>
      </c>
      <c r="N502" s="29">
        <v>239.98</v>
      </c>
      <c r="O502" s="29">
        <v>719.9400000000001</v>
      </c>
    </row>
    <row r="503" ht="15.55" customHeight="1">
      <c r="I503" t="s" s="27">
        <v>2446</v>
      </c>
      <c r="M503" s="28">
        <v>1</v>
      </c>
      <c r="N503" s="29">
        <v>399.99</v>
      </c>
      <c r="O503" s="29">
        <v>399.99</v>
      </c>
    </row>
    <row r="504" ht="15.55" customHeight="1">
      <c r="I504" t="s" s="27">
        <v>2152</v>
      </c>
      <c r="M504" s="28">
        <v>6</v>
      </c>
      <c r="N504" s="29">
        <v>1079.97</v>
      </c>
      <c r="O504" s="29">
        <v>1079.97</v>
      </c>
    </row>
    <row r="505" ht="15.55" customHeight="1">
      <c r="I505" t="s" s="27">
        <v>2239</v>
      </c>
      <c r="M505" s="28">
        <v>1</v>
      </c>
      <c r="N505" s="29">
        <v>29.99</v>
      </c>
      <c r="O505" s="29">
        <v>29.99</v>
      </c>
    </row>
    <row r="506" ht="15.55" customHeight="1">
      <c r="I506" t="s" s="27">
        <v>2046</v>
      </c>
      <c r="M506" s="28">
        <v>2</v>
      </c>
      <c r="N506" s="29">
        <v>119.98</v>
      </c>
      <c r="O506" s="29">
        <v>119.98</v>
      </c>
    </row>
    <row r="507" ht="15.55" customHeight="1">
      <c r="I507" t="s" s="27">
        <v>2160</v>
      </c>
      <c r="M507" s="28">
        <v>18</v>
      </c>
      <c r="N507" s="29">
        <v>44.98</v>
      </c>
      <c r="O507" s="29">
        <v>419.82</v>
      </c>
    </row>
    <row r="508" ht="15.55" customHeight="1">
      <c r="I508" t="s" s="27">
        <v>1025</v>
      </c>
      <c r="M508" s="28">
        <v>2</v>
      </c>
      <c r="N508" s="29">
        <v>399.98</v>
      </c>
      <c r="O508" s="29">
        <v>399.98</v>
      </c>
    </row>
    <row r="509" ht="15.55" customHeight="1">
      <c r="I509" t="s" s="27">
        <v>2320</v>
      </c>
      <c r="M509" s="28">
        <v>1</v>
      </c>
      <c r="N509" s="29">
        <v>49.99</v>
      </c>
      <c r="O509" s="29">
        <v>49.99</v>
      </c>
    </row>
    <row r="510" ht="15.55" customHeight="1">
      <c r="I510" t="s" s="27">
        <v>2428</v>
      </c>
      <c r="M510" s="28">
        <v>2</v>
      </c>
      <c r="N510" s="29">
        <v>449.98</v>
      </c>
      <c r="O510" s="29">
        <v>449.98</v>
      </c>
    </row>
    <row r="511" ht="15.55" customHeight="1">
      <c r="I511" t="s" s="27">
        <v>2242</v>
      </c>
      <c r="M511" s="28">
        <v>1</v>
      </c>
      <c r="N511" s="29">
        <v>0</v>
      </c>
      <c r="O511" s="29">
        <v>0</v>
      </c>
    </row>
    <row r="512" ht="15.55" customHeight="1">
      <c r="I512" t="s" s="27">
        <v>2463</v>
      </c>
      <c r="M512" s="28">
        <v>4</v>
      </c>
      <c r="N512" s="29">
        <v>59.99</v>
      </c>
      <c r="O512" s="29">
        <v>239.96</v>
      </c>
    </row>
    <row r="513" ht="15.55" customHeight="1">
      <c r="I513" t="s" s="27">
        <v>2156</v>
      </c>
      <c r="M513" s="28">
        <v>2</v>
      </c>
      <c r="N513" s="29">
        <v>349.99</v>
      </c>
      <c r="O513" s="29">
        <v>699.98</v>
      </c>
    </row>
    <row r="514" ht="15.55" customHeight="1">
      <c r="I514" t="s" s="27">
        <v>2448</v>
      </c>
      <c r="M514" s="28">
        <v>1</v>
      </c>
      <c r="N514" s="29">
        <v>574.99</v>
      </c>
      <c r="O514" s="29">
        <v>574.99</v>
      </c>
    </row>
    <row r="515" ht="15.55" customHeight="1">
      <c r="I515" t="s" s="27">
        <v>1913</v>
      </c>
      <c r="M515" s="28">
        <v>4</v>
      </c>
      <c r="N515" s="29">
        <v>65</v>
      </c>
      <c r="O515" s="29">
        <v>65</v>
      </c>
    </row>
    <row r="516" ht="15.55" customHeight="1">
      <c r="I516" t="s" s="27">
        <v>2393</v>
      </c>
      <c r="M516" s="28">
        <v>4</v>
      </c>
      <c r="N516" s="29">
        <v>679.97</v>
      </c>
      <c r="O516" s="29">
        <v>679.97</v>
      </c>
    </row>
    <row r="517" ht="15.55" customHeight="1">
      <c r="I517" t="s" s="27">
        <v>2222</v>
      </c>
      <c r="M517" s="28">
        <v>21</v>
      </c>
      <c r="N517" s="29">
        <v>367.78</v>
      </c>
      <c r="O517" s="29">
        <v>497.78</v>
      </c>
    </row>
    <row r="518" ht="15.55" customHeight="1">
      <c r="I518" t="s" s="27">
        <v>1359</v>
      </c>
      <c r="M518" s="28">
        <v>1</v>
      </c>
      <c r="N518" s="29">
        <v>399.99</v>
      </c>
      <c r="O518" s="29">
        <v>399.99</v>
      </c>
    </row>
    <row r="519" ht="15.55" customHeight="1">
      <c r="I519" t="s" s="27">
        <v>2442</v>
      </c>
      <c r="M519" s="28">
        <v>2</v>
      </c>
      <c r="N519" s="29">
        <v>349.99</v>
      </c>
      <c r="O519" s="29">
        <v>699.98</v>
      </c>
    </row>
    <row r="520" ht="15.55" customHeight="1">
      <c r="I520" t="s" s="27">
        <v>2306</v>
      </c>
      <c r="M520" s="28">
        <v>9</v>
      </c>
      <c r="N520" s="29">
        <v>119.99</v>
      </c>
      <c r="O520" s="29">
        <v>1079.91</v>
      </c>
    </row>
    <row r="521" ht="15.55" customHeight="1">
      <c r="I521" t="s" s="27">
        <v>2396</v>
      </c>
      <c r="M521" s="28">
        <v>15</v>
      </c>
      <c r="N521" s="29">
        <v>1225.96</v>
      </c>
      <c r="O521" s="29">
        <v>2491.91</v>
      </c>
    </row>
    <row r="522" ht="15.55" customHeight="1">
      <c r="I522" t="s" s="27">
        <v>2154</v>
      </c>
      <c r="M522" s="28">
        <v>2</v>
      </c>
      <c r="N522" s="29">
        <v>79.98999999999999</v>
      </c>
      <c r="O522" s="29">
        <v>159.98</v>
      </c>
    </row>
    <row r="523" ht="15.55" customHeight="1">
      <c r="I523" t="s" s="27">
        <v>2336</v>
      </c>
      <c r="M523" s="28">
        <v>2</v>
      </c>
      <c r="N523" s="29">
        <v>499.99</v>
      </c>
      <c r="O523" s="29">
        <v>499.99</v>
      </c>
    </row>
    <row r="524" ht="15.55" customHeight="1">
      <c r="I524" t="s" s="27">
        <v>2292</v>
      </c>
      <c r="M524" s="28">
        <v>4</v>
      </c>
      <c r="N524" s="29">
        <v>0</v>
      </c>
      <c r="O524" s="29">
        <v>0</v>
      </c>
    </row>
    <row r="525" ht="15.55" customHeight="1">
      <c r="I525" t="s" s="27">
        <v>2444</v>
      </c>
      <c r="M525" s="28">
        <v>1</v>
      </c>
      <c r="N525" s="29">
        <v>149.99</v>
      </c>
      <c r="O525" s="29">
        <v>149.99</v>
      </c>
    </row>
    <row r="526" ht="15.55" customHeight="1">
      <c r="I526" t="s" s="27">
        <v>2267</v>
      </c>
      <c r="M526" s="28">
        <v>4</v>
      </c>
      <c r="N526" s="29">
        <v>49.99</v>
      </c>
      <c r="O526" s="29">
        <v>199.96</v>
      </c>
    </row>
    <row r="527" ht="15.55" customHeight="1">
      <c r="I527" t="s" s="27">
        <v>1929</v>
      </c>
      <c r="M527" s="28">
        <v>1</v>
      </c>
      <c r="N527" s="29">
        <v>399.99</v>
      </c>
      <c r="O527" s="29">
        <v>399.99</v>
      </c>
    </row>
    <row r="528" ht="15.55" customHeight="1">
      <c r="I528" t="s" s="27">
        <v>2456</v>
      </c>
      <c r="M528" s="28">
        <v>4</v>
      </c>
      <c r="N528" s="29">
        <v>49.99</v>
      </c>
      <c r="O528" s="29">
        <v>99.98</v>
      </c>
    </row>
    <row r="529" ht="15.55" customHeight="1">
      <c r="I529" t="s" s="27">
        <v>2362</v>
      </c>
      <c r="M529" s="28">
        <v>20</v>
      </c>
      <c r="N529" s="29">
        <v>1229.96</v>
      </c>
      <c r="O529" s="29">
        <v>2459.92</v>
      </c>
    </row>
    <row r="530" ht="15.55" customHeight="1">
      <c r="I530" t="s" s="27">
        <v>2399</v>
      </c>
      <c r="M530" s="28">
        <v>1</v>
      </c>
      <c r="N530" s="29">
        <v>399.99</v>
      </c>
      <c r="O530" s="29">
        <v>399.99</v>
      </c>
    </row>
    <row r="531" ht="15.55" customHeight="1">
      <c r="I531" t="s" s="27">
        <v>2469</v>
      </c>
      <c r="M531" s="28">
        <v>1</v>
      </c>
      <c r="N531" s="29">
        <v>49.99</v>
      </c>
      <c r="O531" s="29">
        <v>49.99</v>
      </c>
    </row>
    <row r="532" ht="15.55" customHeight="1">
      <c r="I532" t="s" s="27">
        <v>72</v>
      </c>
      <c r="M532" s="28">
        <v>1</v>
      </c>
      <c r="N532" s="29">
        <v>399.99</v>
      </c>
      <c r="O532" s="29">
        <v>399.99</v>
      </c>
    </row>
    <row r="533" ht="15.55" customHeight="1">
      <c r="I533" t="s" s="27">
        <v>2465</v>
      </c>
      <c r="M533" s="28">
        <v>2</v>
      </c>
      <c r="N533" s="29">
        <v>49.99</v>
      </c>
      <c r="O533" s="29">
        <v>49.99</v>
      </c>
    </row>
    <row r="534" ht="15.55" customHeight="1">
      <c r="I534" t="s" s="27">
        <v>2382</v>
      </c>
      <c r="M534" s="28">
        <v>22</v>
      </c>
      <c r="N534" s="29">
        <v>2170.0619</v>
      </c>
      <c r="O534" s="29">
        <v>4045.0544</v>
      </c>
    </row>
    <row r="535" ht="15.55" customHeight="1">
      <c r="I535" t="s" s="27">
        <v>2412</v>
      </c>
      <c r="M535" s="28">
        <v>16</v>
      </c>
      <c r="N535" s="29">
        <v>1254.92</v>
      </c>
      <c r="O535" s="29">
        <v>2009.88</v>
      </c>
    </row>
    <row r="536" ht="15.55" customHeight="1">
      <c r="I536" t="s" s="27">
        <v>514</v>
      </c>
      <c r="M536" s="28">
        <v>10</v>
      </c>
      <c r="N536" s="29">
        <v>59.99</v>
      </c>
      <c r="O536" s="29">
        <v>599.9</v>
      </c>
    </row>
    <row r="537" ht="15.55" customHeight="1">
      <c r="I537" t="s" s="27">
        <v>1200</v>
      </c>
      <c r="M537" s="28">
        <v>14</v>
      </c>
      <c r="N537" s="29">
        <v>0</v>
      </c>
      <c r="O537" s="29">
        <v>0</v>
      </c>
    </row>
    <row r="538" ht="15.55" customHeight="1">
      <c r="I538" t="s" s="27">
        <v>1649</v>
      </c>
      <c r="M538" s="28">
        <v>100</v>
      </c>
      <c r="N538" s="29">
        <v>3012.0725</v>
      </c>
      <c r="O538" s="29">
        <v>13579.2575</v>
      </c>
    </row>
    <row r="539" ht="15.55" customHeight="1">
      <c r="I539" t="s" s="27">
        <v>2230</v>
      </c>
      <c r="M539" s="28">
        <v>4</v>
      </c>
      <c r="N539" s="29">
        <v>29.99</v>
      </c>
      <c r="O539" s="29">
        <v>119.96</v>
      </c>
    </row>
    <row r="540" ht="15.55" customHeight="1">
      <c r="I540" t="s" s="27">
        <v>2338</v>
      </c>
      <c r="M540" s="28">
        <v>1</v>
      </c>
      <c r="N540" s="29">
        <v>49.99</v>
      </c>
      <c r="O540" s="29">
        <v>49.99</v>
      </c>
    </row>
    <row r="541" ht="15.55" customHeight="1">
      <c r="I541" t="s" s="27">
        <v>2237</v>
      </c>
      <c r="M541" s="28">
        <v>2</v>
      </c>
      <c r="N541" s="29">
        <v>119.98</v>
      </c>
      <c r="O541" s="29">
        <v>119.98</v>
      </c>
    </row>
    <row r="542" ht="15.55" customHeight="1">
      <c r="I542" t="s" s="27">
        <v>2467</v>
      </c>
      <c r="M542" s="28">
        <v>3</v>
      </c>
      <c r="N542" s="29">
        <v>609.98</v>
      </c>
      <c r="O542" s="29">
        <v>1209.97</v>
      </c>
    </row>
    <row r="543" ht="15.55" customHeight="1">
      <c r="I543" t="s" s="27">
        <v>2117</v>
      </c>
      <c r="M543" s="28">
        <v>5</v>
      </c>
      <c r="N543" s="29">
        <v>399.99</v>
      </c>
      <c r="O543" s="29">
        <v>1999.95</v>
      </c>
    </row>
    <row r="544" ht="15.55" customHeight="1">
      <c r="I544" t="s" s="27">
        <v>2256</v>
      </c>
      <c r="M544" s="28">
        <v>15</v>
      </c>
      <c r="N544" s="29">
        <v>3229.94</v>
      </c>
      <c r="O544" s="29">
        <v>4739.91</v>
      </c>
    </row>
    <row r="545" ht="15.55" customHeight="1">
      <c r="I545" t="s" s="27">
        <v>2143</v>
      </c>
      <c r="M545" s="28">
        <v>26</v>
      </c>
      <c r="N545" s="29">
        <v>2436.18</v>
      </c>
      <c r="O545" s="29">
        <v>4416.1</v>
      </c>
    </row>
    <row r="546" ht="15.55" customHeight="1">
      <c r="I546" t="s" s="27">
        <v>2042</v>
      </c>
      <c r="M546" s="28">
        <v>6</v>
      </c>
      <c r="N546" s="29">
        <v>139.97</v>
      </c>
      <c r="O546" s="29">
        <v>279.94</v>
      </c>
    </row>
    <row r="547" ht="15.55" customHeight="1">
      <c r="I547" t="s" s="27">
        <v>2418</v>
      </c>
      <c r="M547" s="28">
        <v>13</v>
      </c>
      <c r="N547" s="29">
        <v>1382.18</v>
      </c>
      <c r="O547" s="29">
        <v>2369.93</v>
      </c>
    </row>
    <row r="548" ht="15.55" customHeight="1">
      <c r="I548" t="s" s="27">
        <v>2173</v>
      </c>
      <c r="M548" s="28">
        <v>2</v>
      </c>
      <c r="N548" s="29">
        <v>49.99</v>
      </c>
      <c r="O548" s="29">
        <v>49.99</v>
      </c>
    </row>
    <row r="549" ht="15.55" customHeight="1">
      <c r="I549" t="s" s="27">
        <v>2328</v>
      </c>
      <c r="M549" s="28">
        <v>1</v>
      </c>
      <c r="N549" s="29">
        <v>349.99</v>
      </c>
      <c r="O549" s="29">
        <v>349.99</v>
      </c>
    </row>
    <row r="550" ht="15.55" customHeight="1">
      <c r="I550" t="s" s="27">
        <v>2420</v>
      </c>
      <c r="M550" s="28">
        <v>4</v>
      </c>
      <c r="N550" s="29">
        <v>119.97</v>
      </c>
      <c r="O550" s="29">
        <v>119.97</v>
      </c>
    </row>
    <row r="551" ht="15.55" customHeight="1">
      <c r="I551" t="s" s="27">
        <v>1956</v>
      </c>
      <c r="M551" s="28">
        <v>6</v>
      </c>
      <c r="N551" s="29">
        <v>919.97</v>
      </c>
      <c r="O551" s="29">
        <v>919.97</v>
      </c>
    </row>
    <row r="552" ht="15.55" customHeight="1">
      <c r="I552" t="s" s="27">
        <v>2299</v>
      </c>
      <c r="M552" s="28">
        <v>1</v>
      </c>
      <c r="N552" s="29">
        <v>119.99</v>
      </c>
      <c r="O552" s="29">
        <v>119.99</v>
      </c>
    </row>
    <row r="553" ht="15.55" customHeight="1">
      <c r="I553" t="s" s="27">
        <v>2209</v>
      </c>
      <c r="M553" s="28">
        <v>70</v>
      </c>
      <c r="N553" s="29">
        <v>803.17</v>
      </c>
      <c r="O553" s="29">
        <v>1453.06</v>
      </c>
    </row>
    <row r="554" ht="15.55" customHeight="1">
      <c r="I554" t="s" s="27">
        <v>122</v>
      </c>
      <c r="M554" s="28">
        <v>6</v>
      </c>
      <c r="N554" s="29">
        <v>75.49250000000001</v>
      </c>
      <c r="O554" s="29">
        <v>315.4625</v>
      </c>
    </row>
    <row r="555" ht="15.55" customHeight="1">
      <c r="I555" t="s" s="27">
        <v>1933</v>
      </c>
      <c r="M555" s="28">
        <v>1</v>
      </c>
      <c r="N555" s="29">
        <v>599.99</v>
      </c>
      <c r="O555" s="29">
        <v>599.99</v>
      </c>
    </row>
    <row r="556" ht="15.55" customHeight="1">
      <c r="I556" t="s" s="27">
        <v>101</v>
      </c>
      <c r="M556" s="28">
        <v>12</v>
      </c>
      <c r="N556" s="29">
        <v>1115.45</v>
      </c>
      <c r="O556" s="29">
        <v>2230.9</v>
      </c>
    </row>
    <row r="557" ht="15.55" customHeight="1">
      <c r="I557" t="s" s="27">
        <v>2342</v>
      </c>
      <c r="M557" s="28">
        <v>1</v>
      </c>
      <c r="N557" s="29">
        <v>1199.99</v>
      </c>
      <c r="O557" s="29">
        <v>1199.99</v>
      </c>
    </row>
    <row r="558" ht="15.55" customHeight="1">
      <c r="I558" t="s" s="27">
        <v>1624</v>
      </c>
      <c r="M558" s="28">
        <v>100</v>
      </c>
      <c r="N558" s="29">
        <v>0</v>
      </c>
      <c r="O558" s="29">
        <v>0</v>
      </c>
    </row>
    <row r="559" ht="15.55" customHeight="1">
      <c r="I559" t="s" s="27">
        <v>2245</v>
      </c>
      <c r="M559" s="28">
        <v>2</v>
      </c>
      <c r="N559" s="29">
        <v>49.99</v>
      </c>
      <c r="O559" s="29">
        <v>99.98</v>
      </c>
    </row>
    <row r="560" ht="15.55" customHeight="1">
      <c r="I560" t="s" s="27">
        <v>2323</v>
      </c>
      <c r="M560" s="28">
        <v>3</v>
      </c>
      <c r="N560" s="29">
        <v>74.3425</v>
      </c>
      <c r="O560" s="29">
        <v>134.335</v>
      </c>
    </row>
    <row r="561" ht="15.55" customHeight="1">
      <c r="I561" t="s" s="27">
        <v>2271</v>
      </c>
      <c r="M561" s="28">
        <v>28</v>
      </c>
      <c r="N561" s="29">
        <v>2447.11</v>
      </c>
      <c r="O561" s="29">
        <v>7932.04</v>
      </c>
    </row>
    <row r="562" ht="15.55" customHeight="1">
      <c r="I562" t="s" s="27">
        <v>2297</v>
      </c>
      <c r="M562" s="28">
        <v>8</v>
      </c>
      <c r="N562" s="29">
        <v>109.98</v>
      </c>
      <c r="O562" s="29">
        <v>459.92</v>
      </c>
    </row>
    <row r="563" ht="15.55" customHeight="1">
      <c r="I563" t="s" s="27">
        <v>2388</v>
      </c>
      <c r="M563" s="28">
        <v>1</v>
      </c>
      <c r="N563" s="29">
        <v>119.99</v>
      </c>
      <c r="O563" s="29">
        <v>119.99</v>
      </c>
    </row>
    <row r="564" ht="15.4" customHeight="1">
      <c r="I564" t="s" s="30">
        <v>2261</v>
      </c>
      <c r="M564" s="31">
        <v>6</v>
      </c>
      <c r="N564" s="32">
        <v>59.99</v>
      </c>
      <c r="O564" s="32">
        <v>359.94</v>
      </c>
    </row>
    <row r="565" ht="13.1" customHeight="1">
      <c r="I565" t="s" s="33">
        <v>620</v>
      </c>
      <c r="M565" s="34">
        <v>1315</v>
      </c>
      <c r="N565" s="35">
        <v>76591.79825625</v>
      </c>
      <c r="O565" s="35">
        <v>140544.84629925</v>
      </c>
    </row>
    <row r="567" ht="15.55" customHeight="1">
      <c r="P567" t="s" s="2">
        <v>2479</v>
      </c>
      <c r="Q567" s="2"/>
    </row>
    <row r="568" ht="13.1" customHeight="1">
      <c r="P568" t="s" s="37">
        <v>4</v>
      </c>
      <c r="Q568" t="s" s="23">
        <v>617</v>
      </c>
    </row>
    <row r="569" ht="13.1" customHeight="1">
      <c r="P569" t="s" s="38">
        <v>1204</v>
      </c>
      <c r="Q569" s="39">
        <v>1</v>
      </c>
    </row>
    <row r="570" ht="12.9" customHeight="1">
      <c r="P570" t="s" s="40">
        <v>2359</v>
      </c>
      <c r="Q570" s="41">
        <v>2</v>
      </c>
    </row>
    <row r="571" ht="12.9" customHeight="1">
      <c r="P571" t="s" s="40">
        <v>726</v>
      </c>
      <c r="Q571" s="41">
        <v>2</v>
      </c>
    </row>
    <row r="572" ht="12.9" customHeight="1">
      <c r="P572" t="s" s="40">
        <v>762</v>
      </c>
      <c r="Q572" s="41">
        <v>1</v>
      </c>
    </row>
    <row r="573" ht="12.9" customHeight="1">
      <c r="P573" t="s" s="40">
        <v>861</v>
      </c>
      <c r="Q573" s="41">
        <v>1</v>
      </c>
    </row>
    <row r="574" ht="12.9" customHeight="1">
      <c r="P574" t="s" s="40">
        <v>110</v>
      </c>
      <c r="Q574" s="41">
        <v>2</v>
      </c>
    </row>
    <row r="575" ht="12.9" customHeight="1">
      <c r="P575" t="s" s="40">
        <v>2435</v>
      </c>
      <c r="Q575" s="41">
        <v>1</v>
      </c>
    </row>
    <row r="576" ht="12.9" customHeight="1">
      <c r="P576" t="s" s="40">
        <v>47</v>
      </c>
      <c r="Q576" s="41">
        <v>6</v>
      </c>
    </row>
    <row r="577" ht="12.9" customHeight="1">
      <c r="P577" t="s" s="40">
        <v>63</v>
      </c>
      <c r="Q577" s="41">
        <v>25</v>
      </c>
    </row>
    <row r="578" ht="12.9" customHeight="1">
      <c r="P578" t="s" s="40">
        <v>254</v>
      </c>
      <c r="Q578" s="41">
        <v>6</v>
      </c>
    </row>
    <row r="579" ht="12.9" customHeight="1">
      <c r="P579" t="s" s="40">
        <v>2368</v>
      </c>
      <c r="Q579" s="41">
        <v>24</v>
      </c>
    </row>
    <row r="580" ht="12.9" customHeight="1">
      <c r="P580" t="s" s="40">
        <v>1308</v>
      </c>
      <c r="Q580" s="41">
        <v>15</v>
      </c>
    </row>
    <row r="581" ht="12.9" customHeight="1">
      <c r="P581" t="s" s="40">
        <v>2278</v>
      </c>
      <c r="Q581" s="41">
        <v>1</v>
      </c>
    </row>
    <row r="582" ht="12.9" customHeight="1">
      <c r="P582" t="s" s="40">
        <v>2351</v>
      </c>
      <c r="Q582" s="41">
        <v>1</v>
      </c>
    </row>
    <row r="583" ht="12.9" customHeight="1">
      <c r="P583" t="s" s="40">
        <v>1048</v>
      </c>
      <c r="Q583" s="41">
        <v>10</v>
      </c>
    </row>
    <row r="584" ht="12.9" customHeight="1">
      <c r="P584" t="s" s="40">
        <v>2223</v>
      </c>
      <c r="Q584" s="41">
        <v>6</v>
      </c>
    </row>
    <row r="585" ht="12.9" customHeight="1">
      <c r="P585" t="s" s="40">
        <v>409</v>
      </c>
      <c r="Q585" s="41">
        <v>9</v>
      </c>
    </row>
    <row r="586" ht="12.9" customHeight="1">
      <c r="P586" t="s" s="40">
        <v>2425</v>
      </c>
      <c r="Q586" s="41">
        <v>1</v>
      </c>
    </row>
    <row r="587" ht="12.9" customHeight="1">
      <c r="P587" t="s" s="40">
        <v>445</v>
      </c>
      <c r="Q587" s="41">
        <v>2</v>
      </c>
    </row>
    <row r="588" ht="12.9" customHeight="1">
      <c r="P588" t="s" s="40">
        <v>404</v>
      </c>
      <c r="Q588" s="41">
        <v>1</v>
      </c>
    </row>
    <row r="589" ht="12.9" customHeight="1">
      <c r="P589" t="s" s="40">
        <v>402</v>
      </c>
      <c r="Q589" s="41">
        <v>1</v>
      </c>
    </row>
    <row r="590" ht="12.9" customHeight="1">
      <c r="P590" t="s" s="40">
        <v>442</v>
      </c>
      <c r="Q590" s="41">
        <v>2</v>
      </c>
    </row>
    <row r="591" ht="12.9" customHeight="1">
      <c r="P591" t="s" s="40">
        <v>908</v>
      </c>
      <c r="Q591" s="41">
        <v>1</v>
      </c>
    </row>
    <row r="592" ht="12.9" customHeight="1">
      <c r="P592" t="s" s="40">
        <v>1428</v>
      </c>
      <c r="Q592" s="41">
        <v>1</v>
      </c>
    </row>
    <row r="593" ht="12.9" customHeight="1">
      <c r="P593" t="s" s="40">
        <v>1044</v>
      </c>
      <c r="Q593" s="41">
        <v>10</v>
      </c>
    </row>
    <row r="594" ht="12.9" customHeight="1">
      <c r="P594" t="s" s="40">
        <v>207</v>
      </c>
      <c r="Q594" s="41">
        <v>2</v>
      </c>
    </row>
    <row r="595" ht="12.9" customHeight="1">
      <c r="P595" t="s" s="40">
        <v>15</v>
      </c>
      <c r="Q595" s="41">
        <v>17</v>
      </c>
    </row>
    <row r="596" ht="12.9" customHeight="1">
      <c r="P596" t="s" s="40">
        <v>559</v>
      </c>
      <c r="Q596" s="41">
        <v>250</v>
      </c>
    </row>
    <row r="597" ht="12.9" customHeight="1">
      <c r="P597" t="s" s="40">
        <v>27</v>
      </c>
      <c r="Q597" s="41">
        <v>25</v>
      </c>
    </row>
    <row r="598" ht="12.9" customHeight="1">
      <c r="P598" t="s" s="40">
        <v>73</v>
      </c>
      <c r="Q598" s="41">
        <v>17</v>
      </c>
    </row>
    <row r="599" ht="12.9" customHeight="1">
      <c r="P599" t="s" s="40">
        <v>59</v>
      </c>
      <c r="Q599" s="41">
        <v>5</v>
      </c>
    </row>
    <row r="600" ht="12.9" customHeight="1">
      <c r="P600" t="s" s="40">
        <v>143</v>
      </c>
      <c r="Q600" s="41">
        <v>4</v>
      </c>
    </row>
    <row r="601" ht="12.9" customHeight="1">
      <c r="P601" t="s" s="40">
        <v>493</v>
      </c>
      <c r="Q601" s="41">
        <v>7</v>
      </c>
    </row>
    <row r="602" ht="12.9" customHeight="1">
      <c r="P602" t="s" s="40">
        <v>491</v>
      </c>
      <c r="Q602" s="41">
        <v>14</v>
      </c>
    </row>
    <row r="603" ht="12.9" customHeight="1">
      <c r="P603" t="s" s="40">
        <v>1633</v>
      </c>
      <c r="Q603" s="41">
        <v>7</v>
      </c>
    </row>
    <row r="604" ht="12.9" customHeight="1">
      <c r="P604" t="s" s="40">
        <v>489</v>
      </c>
      <c r="Q604" s="41">
        <v>7</v>
      </c>
    </row>
    <row r="605" ht="12.9" customHeight="1">
      <c r="P605" t="s" s="40">
        <v>468</v>
      </c>
      <c r="Q605" s="41">
        <v>2</v>
      </c>
    </row>
    <row r="606" ht="12.9" customHeight="1">
      <c r="P606" t="s" s="40">
        <v>998</v>
      </c>
      <c r="Q606" s="41">
        <v>4</v>
      </c>
    </row>
    <row r="607" ht="12.9" customHeight="1">
      <c r="P607" t="s" s="40">
        <v>48</v>
      </c>
      <c r="Q607" s="41">
        <v>12</v>
      </c>
    </row>
    <row r="608" ht="12.9" customHeight="1">
      <c r="P608" t="s" s="40">
        <v>979</v>
      </c>
      <c r="Q608" s="41">
        <v>2</v>
      </c>
    </row>
    <row r="609" ht="12.9" customHeight="1">
      <c r="P609" t="s" s="40">
        <v>1896</v>
      </c>
      <c r="Q609" s="41">
        <v>2</v>
      </c>
    </row>
    <row r="610" ht="12.9" customHeight="1">
      <c r="P610" t="s" s="40">
        <v>50</v>
      </c>
      <c r="Q610" s="41">
        <v>53</v>
      </c>
    </row>
    <row r="611" ht="12.9" customHeight="1">
      <c r="P611" t="s" s="40">
        <v>81</v>
      </c>
      <c r="Q611" s="41">
        <v>21</v>
      </c>
    </row>
    <row r="612" ht="12.9" customHeight="1">
      <c r="P612" t="s" s="40">
        <v>31</v>
      </c>
      <c r="Q612" s="41">
        <v>8</v>
      </c>
    </row>
    <row r="613" ht="12.9" customHeight="1">
      <c r="P613" t="s" s="40">
        <v>11</v>
      </c>
      <c r="Q613" s="41">
        <v>9</v>
      </c>
    </row>
    <row r="614" ht="12.9" customHeight="1">
      <c r="P614" t="s" s="40">
        <v>171</v>
      </c>
      <c r="Q614" s="41">
        <v>6</v>
      </c>
    </row>
    <row r="615" ht="12.9" customHeight="1">
      <c r="P615" t="s" s="40">
        <v>95</v>
      </c>
      <c r="Q615" s="41">
        <v>15</v>
      </c>
    </row>
    <row r="616" ht="12.9" customHeight="1">
      <c r="P616" t="s" s="40">
        <v>1407</v>
      </c>
      <c r="Q616" s="41">
        <v>2</v>
      </c>
    </row>
    <row r="617" ht="12.9" customHeight="1">
      <c r="P617" t="s" s="40">
        <v>258</v>
      </c>
      <c r="Q617" s="41">
        <v>1</v>
      </c>
    </row>
    <row r="618" ht="12.9" customHeight="1">
      <c r="P618" t="s" s="40">
        <v>2349</v>
      </c>
      <c r="Q618" s="41">
        <v>1</v>
      </c>
    </row>
    <row r="619" ht="12.9" customHeight="1">
      <c r="P619" t="s" s="40">
        <v>146</v>
      </c>
      <c r="Q619" s="41">
        <v>5</v>
      </c>
    </row>
    <row r="620" ht="12.9" customHeight="1">
      <c r="P620" t="s" s="40">
        <v>77</v>
      </c>
      <c r="Q620" s="41">
        <v>22</v>
      </c>
    </row>
    <row r="621" ht="12.9" customHeight="1">
      <c r="P621" t="s" s="40">
        <v>1731</v>
      </c>
      <c r="Q621" s="41">
        <v>12</v>
      </c>
    </row>
    <row r="622" ht="12.9" customHeight="1">
      <c r="P622" t="s" s="40">
        <v>497</v>
      </c>
      <c r="Q622" s="41">
        <v>1</v>
      </c>
    </row>
    <row r="623" ht="12.9" customHeight="1">
      <c r="P623" t="s" s="40">
        <v>2193</v>
      </c>
      <c r="Q623" s="41">
        <v>12</v>
      </c>
    </row>
    <row r="624" ht="12.9" customHeight="1">
      <c r="P624" t="s" s="40">
        <v>359</v>
      </c>
      <c r="Q624" s="41">
        <v>6</v>
      </c>
    </row>
    <row r="625" ht="12.9" customHeight="1">
      <c r="P625" t="s" s="40">
        <v>52</v>
      </c>
      <c r="Q625" s="41">
        <v>28</v>
      </c>
    </row>
    <row r="626" ht="12.9" customHeight="1">
      <c r="P626" t="s" s="40">
        <v>106</v>
      </c>
      <c r="Q626" s="41">
        <v>12</v>
      </c>
    </row>
    <row r="627" ht="12.9" customHeight="1">
      <c r="P627" t="s" s="40">
        <v>1619</v>
      </c>
      <c r="Q627" s="41">
        <v>1</v>
      </c>
    </row>
    <row r="628" ht="12.9" customHeight="1">
      <c r="P628" t="s" s="40">
        <v>89</v>
      </c>
      <c r="Q628" s="41">
        <v>49</v>
      </c>
    </row>
    <row r="629" ht="12.9" customHeight="1">
      <c r="P629" t="s" s="40">
        <v>35</v>
      </c>
      <c r="Q629" s="41">
        <v>25</v>
      </c>
    </row>
    <row r="630" ht="12.9" customHeight="1">
      <c r="P630" t="s" s="40">
        <v>1257</v>
      </c>
      <c r="Q630" s="41">
        <v>15</v>
      </c>
    </row>
    <row r="631" ht="12.9" customHeight="1">
      <c r="P631" t="s" s="40">
        <v>102</v>
      </c>
      <c r="Q631" s="41">
        <v>28</v>
      </c>
    </row>
    <row r="632" ht="12.9" customHeight="1">
      <c r="P632" t="s" s="40">
        <v>602</v>
      </c>
      <c r="Q632" s="41">
        <v>3</v>
      </c>
    </row>
    <row r="633" ht="12.9" customHeight="1">
      <c r="P633" t="s" s="40">
        <v>470</v>
      </c>
      <c r="Q633" s="41">
        <v>10</v>
      </c>
    </row>
    <row r="634" ht="12.9" customHeight="1">
      <c r="P634" t="s" s="40">
        <v>1875</v>
      </c>
      <c r="Q634" s="41">
        <v>2</v>
      </c>
    </row>
    <row r="635" ht="12.9" customHeight="1">
      <c r="P635" t="s" s="40">
        <v>133</v>
      </c>
      <c r="Q635" s="41">
        <v>16</v>
      </c>
    </row>
    <row r="636" ht="12.9" customHeight="1">
      <c r="P636" t="s" s="40">
        <v>2332</v>
      </c>
      <c r="Q636" s="41">
        <v>1</v>
      </c>
    </row>
    <row r="637" ht="12.9" customHeight="1">
      <c r="P637" t="s" s="40">
        <v>23</v>
      </c>
      <c r="Q637" s="41">
        <v>30</v>
      </c>
    </row>
    <row r="638" ht="12.9" customHeight="1">
      <c r="P638" t="s" s="40">
        <v>354</v>
      </c>
      <c r="Q638" s="41">
        <v>10</v>
      </c>
    </row>
    <row r="639" ht="12.9" customHeight="1">
      <c r="P639" t="s" s="40">
        <v>1054</v>
      </c>
      <c r="Q639" s="41">
        <v>4</v>
      </c>
    </row>
    <row r="640" ht="12.9" customHeight="1">
      <c r="P640" t="s" s="40">
        <v>39</v>
      </c>
      <c r="Q640" s="41">
        <v>8</v>
      </c>
    </row>
    <row r="641" ht="12.9" customHeight="1">
      <c r="P641" t="s" s="40">
        <v>239</v>
      </c>
      <c r="Q641" s="41">
        <v>2</v>
      </c>
    </row>
    <row r="642" ht="12.9" customHeight="1">
      <c r="P642" t="s" s="40">
        <v>882</v>
      </c>
      <c r="Q642" s="41">
        <v>1</v>
      </c>
    </row>
    <row r="643" ht="12.9" customHeight="1">
      <c r="P643" t="s" s="40">
        <v>1069</v>
      </c>
      <c r="Q643" s="41">
        <v>2</v>
      </c>
    </row>
    <row r="644" ht="12.9" customHeight="1">
      <c r="P644" t="s" s="40">
        <v>299</v>
      </c>
      <c r="Q644" s="41">
        <v>5</v>
      </c>
    </row>
    <row r="645" ht="12.9" customHeight="1">
      <c r="P645" t="s" s="40">
        <v>125</v>
      </c>
      <c r="Q645" s="41">
        <v>8</v>
      </c>
    </row>
    <row r="646" ht="12.9" customHeight="1">
      <c r="P646" t="s" s="40">
        <v>598</v>
      </c>
      <c r="Q646" s="41">
        <v>3</v>
      </c>
    </row>
    <row r="647" ht="12.9" customHeight="1">
      <c r="P647" t="s" s="40">
        <v>585</v>
      </c>
      <c r="Q647" s="41">
        <v>1</v>
      </c>
    </row>
    <row r="648" ht="12.9" customHeight="1">
      <c r="P648" t="s" s="40">
        <v>225</v>
      </c>
      <c r="Q648" s="41">
        <v>6</v>
      </c>
    </row>
    <row r="649" ht="12.9" customHeight="1">
      <c r="P649" t="s" s="40">
        <v>2347</v>
      </c>
      <c r="Q649" s="41">
        <v>2</v>
      </c>
    </row>
    <row r="650" ht="12.9" customHeight="1">
      <c r="P650" t="s" s="40">
        <v>345</v>
      </c>
      <c r="Q650" s="41">
        <v>1</v>
      </c>
    </row>
    <row r="651" ht="12.9" customHeight="1">
      <c r="P651" t="s" s="40">
        <v>589</v>
      </c>
      <c r="Q651" s="41">
        <v>16</v>
      </c>
    </row>
    <row r="652" ht="12.9" customHeight="1">
      <c r="P652" t="s" s="40">
        <v>119</v>
      </c>
      <c r="Q652" s="41">
        <v>11</v>
      </c>
    </row>
    <row r="653" ht="12.9" customHeight="1">
      <c r="P653" t="s" s="40">
        <v>412</v>
      </c>
      <c r="Q653" s="41">
        <v>22</v>
      </c>
    </row>
    <row r="654" ht="12.9" customHeight="1">
      <c r="P654" t="s" s="40">
        <v>179</v>
      </c>
      <c r="Q654" s="41">
        <v>2</v>
      </c>
    </row>
    <row r="655" ht="12.9" customHeight="1">
      <c r="P655" t="s" s="40">
        <v>660</v>
      </c>
      <c r="Q655" s="41">
        <v>2</v>
      </c>
    </row>
    <row r="656" ht="12.9" customHeight="1">
      <c r="P656" t="s" s="40">
        <v>84</v>
      </c>
      <c r="Q656" s="41">
        <v>30</v>
      </c>
    </row>
    <row r="657" ht="12.9" customHeight="1">
      <c r="P657" t="s" s="40">
        <v>369</v>
      </c>
      <c r="Q657" s="41">
        <v>4</v>
      </c>
    </row>
    <row r="658" ht="12.9" customHeight="1">
      <c r="P658" t="s" s="40">
        <v>57</v>
      </c>
      <c r="Q658" s="41">
        <v>11</v>
      </c>
    </row>
    <row r="659" ht="12.9" customHeight="1">
      <c r="P659" t="s" s="40">
        <v>1695</v>
      </c>
      <c r="Q659" s="41">
        <v>9</v>
      </c>
    </row>
    <row r="660" ht="12.9" customHeight="1">
      <c r="P660" t="s" s="40">
        <v>54</v>
      </c>
      <c r="Q660" s="41">
        <v>36</v>
      </c>
    </row>
    <row r="661" ht="12.9" customHeight="1">
      <c r="P661" t="s" s="40">
        <v>341</v>
      </c>
      <c r="Q661" s="41">
        <v>8</v>
      </c>
    </row>
    <row r="662" ht="12.9" customHeight="1">
      <c r="P662" t="s" s="40">
        <v>167</v>
      </c>
      <c r="Q662" s="41">
        <v>5</v>
      </c>
    </row>
    <row r="663" ht="12.9" customHeight="1">
      <c r="P663" t="s" s="40">
        <v>227</v>
      </c>
      <c r="Q663" s="41">
        <v>22</v>
      </c>
    </row>
    <row r="664" ht="12.9" customHeight="1">
      <c r="P664" t="s" s="40">
        <v>1306</v>
      </c>
      <c r="Q664" s="41">
        <v>5</v>
      </c>
    </row>
    <row r="665" ht="12.9" customHeight="1">
      <c r="P665" t="s" s="40">
        <v>19</v>
      </c>
      <c r="Q665" s="41">
        <v>67</v>
      </c>
    </row>
    <row r="666" ht="12.9" customHeight="1">
      <c r="P666" t="s" s="40">
        <v>165</v>
      </c>
      <c r="Q666" s="41">
        <v>6</v>
      </c>
    </row>
    <row r="667" ht="12.9" customHeight="1">
      <c r="P667" t="s" s="40">
        <v>123</v>
      </c>
      <c r="Q667" s="41">
        <v>2</v>
      </c>
    </row>
    <row r="668" ht="12.9" customHeight="1">
      <c r="P668" t="s" s="40">
        <v>2281</v>
      </c>
      <c r="Q668" s="41">
        <v>1</v>
      </c>
    </row>
    <row r="669" ht="12.9" customHeight="1">
      <c r="P669" t="s" s="40">
        <v>2211</v>
      </c>
      <c r="Q669" s="41">
        <v>1</v>
      </c>
    </row>
    <row r="670" ht="12.9" customHeight="1">
      <c r="P670" t="s" s="40">
        <v>906</v>
      </c>
      <c r="Q670" s="41">
        <v>1</v>
      </c>
    </row>
    <row r="671" ht="12.9" customHeight="1">
      <c r="P671" t="s" s="40">
        <v>2170</v>
      </c>
      <c r="Q671" s="41">
        <v>8</v>
      </c>
    </row>
    <row r="672" ht="12.9" customHeight="1">
      <c r="P672" t="s" s="40">
        <v>1917</v>
      </c>
      <c r="Q672" s="41">
        <v>1</v>
      </c>
    </row>
    <row r="673" ht="12.9" customHeight="1">
      <c r="P673" t="s" s="40">
        <v>2433</v>
      </c>
      <c r="Q673" s="41">
        <v>1</v>
      </c>
    </row>
    <row r="674" ht="12.9" customHeight="1">
      <c r="P674" t="s" s="40">
        <v>2276</v>
      </c>
      <c r="Q674" s="41">
        <v>5</v>
      </c>
    </row>
    <row r="675" ht="12.9" customHeight="1">
      <c r="P675" t="s" s="40">
        <v>2365</v>
      </c>
      <c r="Q675" s="41">
        <v>2</v>
      </c>
    </row>
    <row r="676" ht="12.9" customHeight="1">
      <c r="P676" t="s" s="40">
        <v>2050</v>
      </c>
      <c r="Q676" s="41">
        <v>3</v>
      </c>
    </row>
    <row r="677" ht="12.9" customHeight="1">
      <c r="P677" t="s" s="40">
        <v>780</v>
      </c>
      <c r="Q677" s="41">
        <v>2</v>
      </c>
    </row>
    <row r="678" ht="12.9" customHeight="1">
      <c r="P678" t="s" s="40">
        <v>2369</v>
      </c>
      <c r="Q678" s="41">
        <v>24</v>
      </c>
    </row>
    <row r="679" ht="12.9" customHeight="1">
      <c r="P679" t="s" s="40">
        <v>2363</v>
      </c>
      <c r="Q679" s="41">
        <v>2</v>
      </c>
    </row>
    <row r="680" ht="12.9" customHeight="1">
      <c r="P680" t="s" s="40">
        <v>111</v>
      </c>
      <c r="Q680" s="41">
        <v>12</v>
      </c>
    </row>
    <row r="681" ht="12.9" customHeight="1">
      <c r="P681" t="s" s="40">
        <v>2404</v>
      </c>
      <c r="Q681" s="41">
        <v>10</v>
      </c>
    </row>
    <row r="682" ht="12.9" customHeight="1">
      <c r="P682" t="s" s="40">
        <v>104</v>
      </c>
      <c r="Q682" s="41">
        <v>2</v>
      </c>
    </row>
    <row r="683" ht="12.9" customHeight="1">
      <c r="P683" t="s" s="40">
        <v>775</v>
      </c>
      <c r="Q683" s="41">
        <v>1</v>
      </c>
    </row>
    <row r="684" ht="12.9" customHeight="1">
      <c r="P684" t="s" s="40">
        <v>2373</v>
      </c>
      <c r="Q684" s="41">
        <v>1</v>
      </c>
    </row>
    <row r="685" ht="12.9" customHeight="1">
      <c r="P685" t="s" s="40">
        <v>109</v>
      </c>
      <c r="Q685" s="41">
        <v>3</v>
      </c>
    </row>
    <row r="686" ht="12.9" customHeight="1">
      <c r="P686" t="s" s="40">
        <v>1186</v>
      </c>
      <c r="Q686" s="41">
        <v>10</v>
      </c>
    </row>
    <row r="687" ht="12.9" customHeight="1">
      <c r="P687" t="s" s="40">
        <v>1046</v>
      </c>
      <c r="Q687" s="41">
        <v>10</v>
      </c>
    </row>
    <row r="688" ht="13.1" customHeight="1">
      <c r="P688" t="s" s="42">
        <v>115</v>
      </c>
      <c r="Q688" s="43">
        <v>1</v>
      </c>
    </row>
    <row r="689" ht="13.1" customHeight="1">
      <c r="P689" t="s" s="44">
        <v>620</v>
      </c>
      <c r="Q689" s="34">
        <v>1315</v>
      </c>
    </row>
    <row r="691" ht="15.55" customHeight="1">
      <c r="R691" t="s" s="2">
        <v>2480</v>
      </c>
      <c r="S691" s="2"/>
    </row>
    <row r="692" ht="13.1" customHeight="1">
      <c r="R692" t="s" s="37">
        <v>4</v>
      </c>
      <c r="S692" t="s" s="23">
        <v>619</v>
      </c>
    </row>
    <row r="693" ht="13.1" customHeight="1">
      <c r="R693" t="s" s="38">
        <v>1204</v>
      </c>
      <c r="S693" s="56">
        <v>49.99</v>
      </c>
    </row>
    <row r="694" ht="12.9" customHeight="1">
      <c r="R694" t="s" s="40">
        <v>2359</v>
      </c>
      <c r="S694" s="57">
        <v>0</v>
      </c>
    </row>
    <row r="695" ht="12.9" customHeight="1">
      <c r="R695" t="s" s="40">
        <v>726</v>
      </c>
      <c r="S695" s="57">
        <v>0</v>
      </c>
    </row>
    <row r="696" ht="12.9" customHeight="1">
      <c r="R696" t="s" s="40">
        <v>762</v>
      </c>
      <c r="S696" s="57">
        <v>0</v>
      </c>
    </row>
    <row r="697" ht="12.9" customHeight="1">
      <c r="R697" t="s" s="40">
        <v>861</v>
      </c>
      <c r="S697" s="57">
        <v>4.81</v>
      </c>
    </row>
    <row r="698" ht="12.9" customHeight="1">
      <c r="R698" t="s" s="40">
        <v>110</v>
      </c>
      <c r="S698" s="57">
        <v>0</v>
      </c>
    </row>
    <row r="699" ht="12.9" customHeight="1">
      <c r="R699" t="s" s="40">
        <v>2435</v>
      </c>
      <c r="S699" s="57">
        <v>0</v>
      </c>
    </row>
    <row r="700" ht="12.9" customHeight="1">
      <c r="R700" t="s" s="40">
        <v>47</v>
      </c>
      <c r="S700" s="57">
        <v>904.11</v>
      </c>
    </row>
    <row r="701" ht="12.9" customHeight="1">
      <c r="R701" t="s" s="40">
        <v>63</v>
      </c>
      <c r="S701" s="57">
        <v>1579.87</v>
      </c>
    </row>
    <row r="702" ht="12.9" customHeight="1">
      <c r="R702" t="s" s="40">
        <v>254</v>
      </c>
      <c r="S702" s="57">
        <v>105</v>
      </c>
    </row>
    <row r="703" ht="12.9" customHeight="1">
      <c r="R703" t="s" s="40">
        <v>2368</v>
      </c>
      <c r="S703" s="57">
        <v>120</v>
      </c>
    </row>
    <row r="704" ht="12.9" customHeight="1">
      <c r="R704" t="s" s="40">
        <v>1308</v>
      </c>
      <c r="S704" s="57">
        <v>0</v>
      </c>
    </row>
    <row r="705" ht="12.9" customHeight="1">
      <c r="R705" t="s" s="40">
        <v>2278</v>
      </c>
      <c r="S705" s="57">
        <v>143.9994</v>
      </c>
    </row>
    <row r="706" ht="12.9" customHeight="1">
      <c r="R706" t="s" s="40">
        <v>2351</v>
      </c>
      <c r="S706" s="57">
        <v>0</v>
      </c>
    </row>
    <row r="707" ht="12.9" customHeight="1">
      <c r="R707" t="s" s="40">
        <v>1048</v>
      </c>
      <c r="S707" s="57">
        <v>0</v>
      </c>
    </row>
    <row r="708" ht="12.9" customHeight="1">
      <c r="R708" t="s" s="40">
        <v>2223</v>
      </c>
      <c r="S708" s="57">
        <v>40</v>
      </c>
    </row>
    <row r="709" ht="12.9" customHeight="1">
      <c r="R709" t="s" s="40">
        <v>409</v>
      </c>
      <c r="S709" s="57">
        <v>140</v>
      </c>
    </row>
    <row r="710" ht="12.9" customHeight="1">
      <c r="R710" t="s" s="40">
        <v>2425</v>
      </c>
      <c r="S710" s="57">
        <v>120</v>
      </c>
    </row>
    <row r="711" ht="12.9" customHeight="1">
      <c r="R711" t="s" s="40">
        <v>445</v>
      </c>
      <c r="S711" s="57">
        <v>299.98</v>
      </c>
    </row>
    <row r="712" ht="12.9" customHeight="1">
      <c r="R712" t="s" s="40">
        <v>404</v>
      </c>
      <c r="S712" s="57">
        <v>0</v>
      </c>
    </row>
    <row r="713" ht="12.9" customHeight="1">
      <c r="R713" t="s" s="40">
        <v>402</v>
      </c>
      <c r="S713" s="57">
        <v>0</v>
      </c>
    </row>
    <row r="714" ht="12.9" customHeight="1">
      <c r="R714" t="s" s="40">
        <v>442</v>
      </c>
      <c r="S714" s="57">
        <v>-1240.52</v>
      </c>
    </row>
    <row r="715" ht="12.9" customHeight="1">
      <c r="R715" t="s" s="40">
        <v>908</v>
      </c>
      <c r="S715" s="57">
        <v>0</v>
      </c>
    </row>
    <row r="716" ht="12.9" customHeight="1">
      <c r="R716" t="s" s="40">
        <v>1428</v>
      </c>
      <c r="S716" s="57">
        <v>112.4994</v>
      </c>
    </row>
    <row r="717" ht="12.9" customHeight="1">
      <c r="R717" t="s" s="40">
        <v>1044</v>
      </c>
      <c r="S717" s="57">
        <v>0</v>
      </c>
    </row>
    <row r="718" ht="12.9" customHeight="1">
      <c r="R718" t="s" s="40">
        <v>207</v>
      </c>
      <c r="S718" s="57">
        <v>0</v>
      </c>
    </row>
    <row r="719" ht="12.9" customHeight="1">
      <c r="R719" t="s" s="40">
        <v>15</v>
      </c>
      <c r="S719" s="57">
        <v>49.95</v>
      </c>
    </row>
    <row r="720" ht="12.9" customHeight="1">
      <c r="R720" t="s" s="40">
        <v>559</v>
      </c>
      <c r="S720" s="57">
        <v>0</v>
      </c>
    </row>
    <row r="721" ht="12.9" customHeight="1">
      <c r="R721" t="s" s="40">
        <v>27</v>
      </c>
      <c r="S721" s="57">
        <v>1639.795</v>
      </c>
    </row>
    <row r="722" ht="12.9" customHeight="1">
      <c r="R722" t="s" s="40">
        <v>73</v>
      </c>
      <c r="S722" s="57">
        <v>6494.2775</v>
      </c>
    </row>
    <row r="723" ht="12.9" customHeight="1">
      <c r="R723" t="s" s="40">
        <v>59</v>
      </c>
      <c r="S723" s="57">
        <v>5399.955</v>
      </c>
    </row>
    <row r="724" ht="12.9" customHeight="1">
      <c r="R724" t="s" s="40">
        <v>143</v>
      </c>
      <c r="S724" s="57">
        <v>10399.9675</v>
      </c>
    </row>
    <row r="725" ht="12.9" customHeight="1">
      <c r="R725" t="s" s="40">
        <v>493</v>
      </c>
      <c r="S725" s="57">
        <v>0</v>
      </c>
    </row>
    <row r="726" ht="12.9" customHeight="1">
      <c r="R726" t="s" s="40">
        <v>491</v>
      </c>
      <c r="S726" s="57">
        <v>0</v>
      </c>
    </row>
    <row r="727" ht="12.9" customHeight="1">
      <c r="R727" t="s" s="40">
        <v>1633</v>
      </c>
      <c r="S727" s="57">
        <v>0</v>
      </c>
    </row>
    <row r="728" ht="12.9" customHeight="1">
      <c r="R728" t="s" s="40">
        <v>489</v>
      </c>
      <c r="S728" s="57">
        <v>8799.945</v>
      </c>
    </row>
    <row r="729" ht="12.9" customHeight="1">
      <c r="R729" t="s" s="40">
        <v>468</v>
      </c>
      <c r="S729" s="57">
        <v>3749.985</v>
      </c>
    </row>
    <row r="730" ht="12.9" customHeight="1">
      <c r="R730" t="s" s="40">
        <v>998</v>
      </c>
      <c r="S730" s="57">
        <v>3600</v>
      </c>
    </row>
    <row r="731" ht="12.9" customHeight="1">
      <c r="R731" t="s" s="40">
        <v>48</v>
      </c>
      <c r="S731" s="57">
        <v>13649.895</v>
      </c>
    </row>
    <row r="732" ht="12.9" customHeight="1">
      <c r="R732" t="s" s="40">
        <v>979</v>
      </c>
      <c r="S732" s="57">
        <v>199.98</v>
      </c>
    </row>
    <row r="733" ht="12.9" customHeight="1">
      <c r="R733" t="s" s="40">
        <v>1896</v>
      </c>
      <c r="S733" s="57">
        <v>149.98</v>
      </c>
    </row>
    <row r="734" ht="12.9" customHeight="1">
      <c r="R734" t="s" s="40">
        <v>50</v>
      </c>
      <c r="S734" s="57">
        <v>254.915</v>
      </c>
    </row>
    <row r="735" ht="12.9" customHeight="1">
      <c r="R735" t="s" s="40">
        <v>81</v>
      </c>
      <c r="S735" s="57">
        <v>17838.67</v>
      </c>
    </row>
    <row r="736" ht="12.9" customHeight="1">
      <c r="R736" t="s" s="40">
        <v>31</v>
      </c>
      <c r="S736" s="57">
        <v>4749.92</v>
      </c>
    </row>
    <row r="737" ht="12.9" customHeight="1">
      <c r="R737" t="s" s="40">
        <v>11</v>
      </c>
      <c r="S737" s="57">
        <v>3574.91</v>
      </c>
    </row>
    <row r="738" ht="12.9" customHeight="1">
      <c r="R738" t="s" s="40">
        <v>171</v>
      </c>
      <c r="S738" s="57">
        <v>3299.94</v>
      </c>
    </row>
    <row r="739" ht="12.9" customHeight="1">
      <c r="R739" t="s" s="40">
        <v>95</v>
      </c>
      <c r="S739" s="57">
        <v>5249.85</v>
      </c>
    </row>
    <row r="740" ht="12.9" customHeight="1">
      <c r="R740" t="s" s="40">
        <v>1407</v>
      </c>
      <c r="S740" s="57">
        <v>0</v>
      </c>
    </row>
    <row r="741" ht="12.9" customHeight="1">
      <c r="R741" t="s" s="40">
        <v>258</v>
      </c>
      <c r="S741" s="57">
        <v>0</v>
      </c>
    </row>
    <row r="742" ht="12.9" customHeight="1">
      <c r="R742" t="s" s="40">
        <v>2349</v>
      </c>
      <c r="S742" s="57">
        <v>79.98999999999999</v>
      </c>
    </row>
    <row r="743" ht="12.9" customHeight="1">
      <c r="R743" t="s" s="40">
        <v>146</v>
      </c>
      <c r="S743" s="57">
        <v>84.9575</v>
      </c>
    </row>
    <row r="744" ht="12.9" customHeight="1">
      <c r="R744" t="s" s="40">
        <v>77</v>
      </c>
      <c r="S744" s="57">
        <v>620.8099999999999</v>
      </c>
    </row>
    <row r="745" ht="12.9" customHeight="1">
      <c r="R745" t="s" s="40">
        <v>1731</v>
      </c>
      <c r="S745" s="57">
        <v>299.88</v>
      </c>
    </row>
    <row r="746" ht="12.9" customHeight="1">
      <c r="R746" t="s" s="40">
        <v>497</v>
      </c>
      <c r="S746" s="57">
        <v>19.99</v>
      </c>
    </row>
    <row r="747" ht="12.9" customHeight="1">
      <c r="R747" t="s" s="40">
        <v>2193</v>
      </c>
      <c r="S747" s="57">
        <v>719.91</v>
      </c>
    </row>
    <row r="748" ht="12.9" customHeight="1">
      <c r="R748" t="s" s="40">
        <v>359</v>
      </c>
      <c r="S748" s="57">
        <v>149.95</v>
      </c>
    </row>
    <row r="749" ht="12.9" customHeight="1">
      <c r="R749" t="s" s="40">
        <v>52</v>
      </c>
      <c r="S749" s="57">
        <v>239.88</v>
      </c>
    </row>
    <row r="750" ht="12.9" customHeight="1">
      <c r="R750" t="s" s="40">
        <v>106</v>
      </c>
      <c r="S750" s="57">
        <v>1067.405</v>
      </c>
    </row>
    <row r="751" ht="12.9" customHeight="1">
      <c r="R751" t="s" s="40">
        <v>1619</v>
      </c>
      <c r="S751" s="57">
        <v>24.99</v>
      </c>
    </row>
    <row r="752" ht="12.9" customHeight="1">
      <c r="R752" t="s" s="40">
        <v>89</v>
      </c>
      <c r="S752" s="57">
        <v>2658.435</v>
      </c>
    </row>
    <row r="753" ht="12.9" customHeight="1">
      <c r="R753" t="s" s="40">
        <v>35</v>
      </c>
      <c r="S753" s="57">
        <v>1188.66</v>
      </c>
    </row>
    <row r="754" ht="12.9" customHeight="1">
      <c r="R754" t="s" s="40">
        <v>1257</v>
      </c>
      <c r="S754" s="57">
        <v>5244.89</v>
      </c>
    </row>
    <row r="755" ht="12.9" customHeight="1">
      <c r="R755" t="s" s="40">
        <v>102</v>
      </c>
      <c r="S755" s="57">
        <v>2602.285</v>
      </c>
    </row>
    <row r="756" ht="12.9" customHeight="1">
      <c r="R756" t="s" s="40">
        <v>602</v>
      </c>
      <c r="S756" s="57">
        <v>749.975</v>
      </c>
    </row>
    <row r="757" ht="12.9" customHeight="1">
      <c r="R757" t="s" s="40">
        <v>470</v>
      </c>
      <c r="S757" s="57">
        <v>1374.925</v>
      </c>
    </row>
    <row r="758" ht="12.9" customHeight="1">
      <c r="R758" t="s" s="40">
        <v>1875</v>
      </c>
      <c r="S758" s="57">
        <v>499.98</v>
      </c>
    </row>
    <row r="759" ht="12.9" customHeight="1">
      <c r="R759" t="s" s="40">
        <v>133</v>
      </c>
      <c r="S759" s="57">
        <v>1688.84</v>
      </c>
    </row>
    <row r="760" ht="12.9" customHeight="1">
      <c r="R760" t="s" s="40">
        <v>2332</v>
      </c>
      <c r="S760" s="57">
        <v>199.99</v>
      </c>
    </row>
    <row r="761" ht="12.9" customHeight="1">
      <c r="R761" t="s" s="40">
        <v>23</v>
      </c>
      <c r="S761" s="57">
        <v>1649.89</v>
      </c>
    </row>
    <row r="762" ht="12.9" customHeight="1">
      <c r="R762" t="s" s="40">
        <v>354</v>
      </c>
      <c r="S762" s="57">
        <v>1124.925</v>
      </c>
    </row>
    <row r="763" ht="12.9" customHeight="1">
      <c r="R763" t="s" s="40">
        <v>1054</v>
      </c>
      <c r="S763" s="57">
        <v>299.98</v>
      </c>
    </row>
    <row r="764" ht="12.9" customHeight="1">
      <c r="R764" t="s" s="40">
        <v>39</v>
      </c>
      <c r="S764" s="57">
        <v>879.92</v>
      </c>
    </row>
    <row r="765" ht="12.9" customHeight="1">
      <c r="R765" t="s" s="40">
        <v>239</v>
      </c>
      <c r="S765" s="57">
        <v>199.98</v>
      </c>
    </row>
    <row r="766" ht="12.9" customHeight="1">
      <c r="R766" t="s" s="40">
        <v>882</v>
      </c>
      <c r="S766" s="57">
        <v>56.2425</v>
      </c>
    </row>
    <row r="767" ht="12.9" customHeight="1">
      <c r="R767" t="s" s="40">
        <v>1069</v>
      </c>
      <c r="S767" s="57">
        <v>199.98</v>
      </c>
    </row>
    <row r="768" ht="12.9" customHeight="1">
      <c r="R768" t="s" s="40">
        <v>299</v>
      </c>
      <c r="S768" s="57">
        <v>262.4625</v>
      </c>
    </row>
    <row r="769" ht="12.9" customHeight="1">
      <c r="R769" t="s" s="40">
        <v>125</v>
      </c>
      <c r="S769" s="57">
        <v>389.94</v>
      </c>
    </row>
    <row r="770" ht="12.9" customHeight="1">
      <c r="R770" t="s" s="40">
        <v>598</v>
      </c>
      <c r="S770" s="57">
        <v>0</v>
      </c>
    </row>
    <row r="771" ht="12.9" customHeight="1">
      <c r="R771" t="s" s="40">
        <v>585</v>
      </c>
      <c r="S771" s="57">
        <v>499.99</v>
      </c>
    </row>
    <row r="772" ht="12.9" customHeight="1">
      <c r="R772" t="s" s="40">
        <v>225</v>
      </c>
      <c r="S772" s="57">
        <v>2999.94</v>
      </c>
    </row>
    <row r="773" ht="12.9" customHeight="1">
      <c r="R773" t="s" s="40">
        <v>2347</v>
      </c>
      <c r="S773" s="57">
        <v>899.98</v>
      </c>
    </row>
    <row r="774" ht="12.9" customHeight="1">
      <c r="R774" t="s" s="40">
        <v>345</v>
      </c>
      <c r="S774" s="57">
        <v>219.99</v>
      </c>
    </row>
    <row r="775" ht="12.9" customHeight="1">
      <c r="R775" t="s" s="40">
        <v>589</v>
      </c>
      <c r="S775" s="57">
        <v>44.94</v>
      </c>
    </row>
    <row r="776" ht="12.9" customHeight="1">
      <c r="R776" t="s" s="40">
        <v>119</v>
      </c>
      <c r="S776" s="57">
        <v>16.915</v>
      </c>
    </row>
    <row r="777" ht="12.9" customHeight="1">
      <c r="R777" t="s" s="40">
        <v>412</v>
      </c>
      <c r="S777" s="57">
        <v>33.83</v>
      </c>
    </row>
    <row r="778" ht="12.9" customHeight="1">
      <c r="R778" t="s" s="40">
        <v>179</v>
      </c>
      <c r="S778" s="57">
        <v>99.98</v>
      </c>
    </row>
    <row r="779" ht="12.9" customHeight="1">
      <c r="R779" t="s" s="40">
        <v>660</v>
      </c>
      <c r="S779" s="57">
        <v>11.98</v>
      </c>
    </row>
    <row r="780" ht="12.9" customHeight="1">
      <c r="R780" t="s" s="40">
        <v>84</v>
      </c>
      <c r="S780" s="57">
        <v>59.94</v>
      </c>
    </row>
    <row r="781" ht="12.9" customHeight="1">
      <c r="R781" t="s" s="40">
        <v>369</v>
      </c>
      <c r="S781" s="57">
        <v>0</v>
      </c>
    </row>
    <row r="782" ht="12.9" customHeight="1">
      <c r="R782" t="s" s="40">
        <v>57</v>
      </c>
      <c r="S782" s="57">
        <v>7199.9075</v>
      </c>
    </row>
    <row r="783" ht="12.9" customHeight="1">
      <c r="R783" t="s" s="40">
        <v>1695</v>
      </c>
      <c r="S783" s="57">
        <v>449.91</v>
      </c>
    </row>
    <row r="784" ht="12.9" customHeight="1">
      <c r="R784" t="s" s="40">
        <v>54</v>
      </c>
      <c r="S784" s="57">
        <v>169.83</v>
      </c>
    </row>
    <row r="785" ht="12.9" customHeight="1">
      <c r="R785" t="s" s="40">
        <v>341</v>
      </c>
      <c r="S785" s="57">
        <v>239.92</v>
      </c>
    </row>
    <row r="786" ht="12.9" customHeight="1">
      <c r="R786" t="s" s="40">
        <v>167</v>
      </c>
      <c r="S786" s="57">
        <v>89.97</v>
      </c>
    </row>
    <row r="787" ht="12.9" customHeight="1">
      <c r="R787" t="s" s="40">
        <v>227</v>
      </c>
      <c r="S787" s="57">
        <v>509.83</v>
      </c>
    </row>
    <row r="788" ht="12.9" customHeight="1">
      <c r="R788" t="s" s="40">
        <v>1306</v>
      </c>
      <c r="S788" s="57">
        <v>0</v>
      </c>
    </row>
    <row r="789" ht="12.9" customHeight="1">
      <c r="R789" t="s" s="40">
        <v>19</v>
      </c>
      <c r="S789" s="57">
        <v>7679.36</v>
      </c>
    </row>
    <row r="790" ht="12.9" customHeight="1">
      <c r="R790" t="s" s="40">
        <v>165</v>
      </c>
      <c r="S790" s="57">
        <v>59.98</v>
      </c>
    </row>
    <row r="791" ht="12.9" customHeight="1">
      <c r="R791" t="s" s="40">
        <v>123</v>
      </c>
      <c r="S791" s="57">
        <v>269.985</v>
      </c>
    </row>
    <row r="792" ht="12.9" customHeight="1">
      <c r="R792" t="s" s="40">
        <v>2281</v>
      </c>
      <c r="S792" s="57">
        <v>10.5</v>
      </c>
    </row>
    <row r="793" ht="12.9" customHeight="1">
      <c r="R793" t="s" s="40">
        <v>2211</v>
      </c>
      <c r="S793" s="57">
        <v>7.5</v>
      </c>
    </row>
    <row r="794" ht="12.9" customHeight="1">
      <c r="R794" t="s" s="40">
        <v>906</v>
      </c>
      <c r="S794" s="57">
        <v>7.5</v>
      </c>
    </row>
    <row r="795" ht="12.9" customHeight="1">
      <c r="R795" t="s" s="40">
        <v>2170</v>
      </c>
      <c r="S795" s="57">
        <v>0</v>
      </c>
    </row>
    <row r="796" ht="12.9" customHeight="1">
      <c r="R796" t="s" s="40">
        <v>1917</v>
      </c>
      <c r="S796" s="57">
        <v>41.25</v>
      </c>
    </row>
    <row r="797" ht="12.9" customHeight="1">
      <c r="R797" t="s" s="40">
        <v>2433</v>
      </c>
      <c r="S797" s="57">
        <v>0</v>
      </c>
    </row>
    <row r="798" ht="12.9" customHeight="1">
      <c r="R798" t="s" s="40">
        <v>2276</v>
      </c>
      <c r="S798" s="57">
        <v>14.34782625</v>
      </c>
    </row>
    <row r="799" ht="12.9" customHeight="1">
      <c r="R799" t="s" s="40">
        <v>2365</v>
      </c>
      <c r="S799" s="57">
        <v>0</v>
      </c>
    </row>
    <row r="800" ht="12.9" customHeight="1">
      <c r="R800" t="s" s="40">
        <v>2050</v>
      </c>
      <c r="S800" s="57">
        <v>45.652173</v>
      </c>
    </row>
    <row r="801" ht="12.9" customHeight="1">
      <c r="R801" t="s" s="40">
        <v>780</v>
      </c>
      <c r="S801" s="57">
        <v>0</v>
      </c>
    </row>
    <row r="802" ht="12.9" customHeight="1">
      <c r="R802" t="s" s="40">
        <v>2369</v>
      </c>
      <c r="S802" s="57">
        <v>0</v>
      </c>
    </row>
    <row r="803" ht="12.9" customHeight="1">
      <c r="R803" t="s" s="40">
        <v>2363</v>
      </c>
      <c r="S803" s="57">
        <v>0</v>
      </c>
    </row>
    <row r="804" ht="12.9" customHeight="1">
      <c r="R804" t="s" s="40">
        <v>111</v>
      </c>
      <c r="S804" s="57">
        <v>594</v>
      </c>
    </row>
    <row r="805" ht="12.9" customHeight="1">
      <c r="R805" t="s" s="40">
        <v>2404</v>
      </c>
      <c r="S805" s="57">
        <v>1300</v>
      </c>
    </row>
    <row r="806" ht="12.9" customHeight="1">
      <c r="R806" t="s" s="40">
        <v>104</v>
      </c>
      <c r="S806" s="57">
        <v>119.98</v>
      </c>
    </row>
    <row r="807" ht="12.9" customHeight="1">
      <c r="R807" t="s" s="40">
        <v>775</v>
      </c>
      <c r="S807" s="57">
        <v>69.98999999999999</v>
      </c>
    </row>
    <row r="808" ht="12.9" customHeight="1">
      <c r="R808" t="s" s="40">
        <v>2373</v>
      </c>
      <c r="S808" s="57">
        <v>0</v>
      </c>
    </row>
    <row r="809" ht="12.9" customHeight="1">
      <c r="R809" t="s" s="40">
        <v>109</v>
      </c>
      <c r="S809" s="57">
        <v>699.97</v>
      </c>
    </row>
    <row r="810" ht="12.9" customHeight="1">
      <c r="R810" t="s" s="40">
        <v>1186</v>
      </c>
      <c r="S810" s="57">
        <v>0</v>
      </c>
    </row>
    <row r="811" ht="12.9" customHeight="1">
      <c r="R811" t="s" s="40">
        <v>1046</v>
      </c>
      <c r="S811" s="57">
        <v>0</v>
      </c>
    </row>
    <row r="812" ht="13.1" customHeight="1">
      <c r="R812" t="s" s="42">
        <v>115</v>
      </c>
      <c r="S812" s="58">
        <v>17.2425</v>
      </c>
    </row>
    <row r="813" ht="13.1" customHeight="1">
      <c r="R813" t="s" s="44">
        <v>620</v>
      </c>
      <c r="S813" s="59">
        <v>140544.84629925</v>
      </c>
    </row>
  </sheetData>
  <mergeCells count="4">
    <mergeCell ref="A1:H1"/>
    <mergeCell ref="I429:O429"/>
    <mergeCell ref="P567:Q567"/>
    <mergeCell ref="R691:S69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7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7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115" customWidth="1"/>
    <col min="9" max="9" width="49.875" style="116" customWidth="1"/>
    <col min="10" max="15" width="13.3516" style="116" customWidth="1"/>
    <col min="16" max="16" width="49.3516" style="117" customWidth="1"/>
    <col min="17" max="17" width="17.3516" style="117" customWidth="1"/>
    <col min="18" max="18" width="49.3516" style="118" customWidth="1"/>
    <col min="19" max="19" width="18.3516" style="118" customWidth="1"/>
    <col min="20" max="16384" width="16.3516" style="118" customWidth="1"/>
  </cols>
  <sheetData>
    <row r="1" ht="15.55" customHeight="1">
      <c r="A1" t="s" s="2">
        <v>2481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2482</v>
      </c>
      <c r="B3" t="s" s="5">
        <v>2483</v>
      </c>
      <c r="C3" s="6">
        <v>45382.732293854169</v>
      </c>
      <c r="D3" t="s" s="7">
        <v>54</v>
      </c>
      <c r="E3" t="s" s="7">
        <v>93</v>
      </c>
      <c r="F3" s="8">
        <v>2</v>
      </c>
      <c r="G3" s="9">
        <v>9.99</v>
      </c>
      <c r="H3" s="9">
        <v>19.98</v>
      </c>
    </row>
    <row r="4" ht="12.9" customHeight="1">
      <c r="A4" t="s" s="10">
        <v>2484</v>
      </c>
      <c r="B4" t="s" s="11">
        <v>2485</v>
      </c>
      <c r="C4" s="12">
        <v>45381.801715196758</v>
      </c>
      <c r="D4" t="s" s="13">
        <v>15</v>
      </c>
      <c r="E4" t="s" s="13">
        <v>16</v>
      </c>
      <c r="F4" s="14">
        <v>1</v>
      </c>
      <c r="G4" s="15">
        <v>9.99</v>
      </c>
      <c r="H4" s="15">
        <v>9.99</v>
      </c>
    </row>
    <row r="5" ht="12.9" customHeight="1">
      <c r="A5" t="s" s="10">
        <v>2486</v>
      </c>
      <c r="B5" t="s" s="11">
        <v>2487</v>
      </c>
      <c r="C5" s="12">
        <v>45380.909486840275</v>
      </c>
      <c r="D5" t="s" s="13">
        <v>171</v>
      </c>
      <c r="E5" t="s" s="13">
        <v>172</v>
      </c>
      <c r="F5" s="14">
        <v>1</v>
      </c>
      <c r="G5" s="15">
        <v>549.99</v>
      </c>
      <c r="H5" s="15">
        <v>549.99</v>
      </c>
    </row>
    <row r="6" ht="12.9" customHeight="1">
      <c r="A6" t="s" s="10">
        <v>2488</v>
      </c>
      <c r="B6" t="s" s="11">
        <v>2489</v>
      </c>
      <c r="C6" s="12">
        <v>45380.713484131942</v>
      </c>
      <c r="D6" t="s" s="13">
        <v>19</v>
      </c>
      <c r="E6" t="s" s="13">
        <v>20</v>
      </c>
      <c r="F6" s="14">
        <v>2</v>
      </c>
      <c r="G6" s="15">
        <v>119.99</v>
      </c>
      <c r="H6" s="15">
        <v>239.98</v>
      </c>
    </row>
    <row r="7" ht="12.9" customHeight="1">
      <c r="A7" t="s" s="10">
        <v>2490</v>
      </c>
      <c r="B7" t="s" s="11">
        <v>2491</v>
      </c>
      <c r="C7" s="12">
        <v>45380.169366238428</v>
      </c>
      <c r="D7" t="s" s="13">
        <v>73</v>
      </c>
      <c r="E7" t="s" s="13">
        <v>74</v>
      </c>
      <c r="F7" s="14">
        <v>1</v>
      </c>
      <c r="G7" s="15">
        <v>399.99</v>
      </c>
      <c r="H7" s="15">
        <v>399.99</v>
      </c>
    </row>
    <row r="8" ht="12.9" customHeight="1">
      <c r="A8" t="s" s="10">
        <v>2490</v>
      </c>
      <c r="B8" t="s" s="11">
        <v>2491</v>
      </c>
      <c r="C8" s="12">
        <v>45380.169366238428</v>
      </c>
      <c r="D8" t="s" s="13">
        <v>119</v>
      </c>
      <c r="E8" t="s" s="13">
        <v>120</v>
      </c>
      <c r="F8" s="14">
        <v>6</v>
      </c>
      <c r="G8" s="15">
        <v>1.99</v>
      </c>
      <c r="H8" s="15">
        <v>11.94</v>
      </c>
    </row>
    <row r="9" ht="12.9" customHeight="1">
      <c r="A9" t="s" s="10">
        <v>2490</v>
      </c>
      <c r="B9" t="s" s="11">
        <v>2491</v>
      </c>
      <c r="C9" s="12">
        <v>45380.169366238428</v>
      </c>
      <c r="D9" t="s" s="13">
        <v>133</v>
      </c>
      <c r="E9" t="s" s="13">
        <v>134</v>
      </c>
      <c r="F9" s="14">
        <v>2</v>
      </c>
      <c r="G9" s="15">
        <v>199.99</v>
      </c>
      <c r="H9" s="15">
        <v>399.98</v>
      </c>
    </row>
    <row r="10" ht="12.9" customHeight="1">
      <c r="A10" t="s" s="10">
        <v>2490</v>
      </c>
      <c r="B10" t="s" s="11">
        <v>2491</v>
      </c>
      <c r="C10" s="12">
        <v>45380.169366238428</v>
      </c>
      <c r="D10" t="s" s="13">
        <v>84</v>
      </c>
      <c r="E10" t="s" s="13">
        <v>85</v>
      </c>
      <c r="F10" s="14">
        <v>2</v>
      </c>
      <c r="G10" s="15">
        <v>9.99</v>
      </c>
      <c r="H10" s="15">
        <v>19.98</v>
      </c>
    </row>
    <row r="11" ht="12.9" customHeight="1">
      <c r="A11" t="s" s="10">
        <v>2490</v>
      </c>
      <c r="B11" t="s" s="11">
        <v>2491</v>
      </c>
      <c r="C11" s="12">
        <v>45380.169366238428</v>
      </c>
      <c r="D11" t="s" s="13">
        <v>171</v>
      </c>
      <c r="E11" t="s" s="13">
        <v>172</v>
      </c>
      <c r="F11" s="14">
        <v>2</v>
      </c>
      <c r="G11" s="15">
        <v>549.99</v>
      </c>
      <c r="H11" s="15">
        <v>1099.98</v>
      </c>
    </row>
    <row r="12" ht="12.9" customHeight="1">
      <c r="A12" t="s" s="10">
        <v>2492</v>
      </c>
      <c r="B12" t="s" s="11">
        <v>563</v>
      </c>
      <c r="C12" s="12">
        <v>45380</v>
      </c>
      <c r="D12" t="s" s="13">
        <v>1717</v>
      </c>
      <c r="E12" t="s" s="13">
        <v>2493</v>
      </c>
      <c r="F12" s="14">
        <v>1</v>
      </c>
      <c r="G12" s="15">
        <v>74.99250000000001</v>
      </c>
      <c r="H12" s="15">
        <v>74.99250000000001</v>
      </c>
    </row>
    <row r="13" ht="12.9" customHeight="1">
      <c r="A13" t="s" s="10">
        <v>2492</v>
      </c>
      <c r="B13" t="s" s="11">
        <v>563</v>
      </c>
      <c r="C13" s="12">
        <v>45380</v>
      </c>
      <c r="D13" t="s" s="13">
        <v>47</v>
      </c>
      <c r="E13" s="16"/>
      <c r="F13" s="14">
        <v>1</v>
      </c>
      <c r="G13" s="15">
        <v>16.4</v>
      </c>
      <c r="H13" s="15">
        <v>16.4</v>
      </c>
    </row>
    <row r="14" ht="12.9" customHeight="1">
      <c r="A14" t="s" s="10">
        <v>2494</v>
      </c>
      <c r="B14" t="s" s="11">
        <v>1757</v>
      </c>
      <c r="C14" s="12">
        <v>45380</v>
      </c>
      <c r="D14" t="s" s="13">
        <v>602</v>
      </c>
      <c r="E14" t="s" s="13">
        <v>2495</v>
      </c>
      <c r="F14" s="14">
        <v>4</v>
      </c>
      <c r="G14" s="15">
        <v>100</v>
      </c>
      <c r="H14" s="15">
        <v>400</v>
      </c>
    </row>
    <row r="15" ht="12.9" customHeight="1">
      <c r="A15" t="s" s="10">
        <v>2494</v>
      </c>
      <c r="B15" t="s" s="11">
        <v>1757</v>
      </c>
      <c r="C15" s="12">
        <v>45380</v>
      </c>
      <c r="D15" t="s" s="13">
        <v>63</v>
      </c>
      <c r="E15" s="16"/>
      <c r="F15" s="14">
        <v>1</v>
      </c>
      <c r="G15" s="15">
        <v>26.15</v>
      </c>
      <c r="H15" s="15">
        <v>26.15</v>
      </c>
    </row>
    <row r="16" ht="12.9" customHeight="1">
      <c r="A16" t="s" s="10">
        <v>2496</v>
      </c>
      <c r="B16" t="s" s="11">
        <v>2497</v>
      </c>
      <c r="C16" s="12">
        <v>45379.971406458331</v>
      </c>
      <c r="D16" t="s" s="13">
        <v>31</v>
      </c>
      <c r="E16" t="s" s="13">
        <v>32</v>
      </c>
      <c r="F16" s="14">
        <v>1</v>
      </c>
      <c r="G16" s="15">
        <v>599.99</v>
      </c>
      <c r="H16" s="15">
        <v>599.99</v>
      </c>
    </row>
    <row r="17" ht="12.9" customHeight="1">
      <c r="A17" t="s" s="10">
        <v>2498</v>
      </c>
      <c r="B17" t="s" s="11">
        <v>2499</v>
      </c>
      <c r="C17" s="12">
        <v>45379.909441886572</v>
      </c>
      <c r="D17" t="s" s="13">
        <v>31</v>
      </c>
      <c r="E17" t="s" s="13">
        <v>32</v>
      </c>
      <c r="F17" s="14">
        <v>1</v>
      </c>
      <c r="G17" s="15">
        <v>587.49</v>
      </c>
      <c r="H17" s="15">
        <v>587.49</v>
      </c>
    </row>
    <row r="18" ht="12.9" customHeight="1">
      <c r="A18" t="s" s="10">
        <v>2498</v>
      </c>
      <c r="B18" t="s" s="11">
        <v>2499</v>
      </c>
      <c r="C18" s="12">
        <v>45379.909441886572</v>
      </c>
      <c r="D18" t="s" s="13">
        <v>35</v>
      </c>
      <c r="E18" t="s" s="13">
        <v>36</v>
      </c>
      <c r="F18" s="14">
        <v>1</v>
      </c>
      <c r="G18" s="15">
        <v>37.49</v>
      </c>
      <c r="H18" s="15">
        <v>37.49</v>
      </c>
    </row>
    <row r="19" ht="12.9" customHeight="1">
      <c r="A19" t="s" s="10">
        <v>2500</v>
      </c>
      <c r="B19" t="s" s="11">
        <v>2501</v>
      </c>
      <c r="C19" s="12">
        <v>45379.875422951387</v>
      </c>
      <c r="D19" t="s" s="13">
        <v>48</v>
      </c>
      <c r="E19" t="s" s="13">
        <v>49</v>
      </c>
      <c r="F19" s="14">
        <v>4</v>
      </c>
      <c r="G19" s="15">
        <v>1299.99</v>
      </c>
      <c r="H19" s="15">
        <v>5199.96</v>
      </c>
    </row>
    <row r="20" ht="12.9" customHeight="1">
      <c r="A20" t="s" s="10">
        <v>2500</v>
      </c>
      <c r="B20" t="s" s="11">
        <v>2501</v>
      </c>
      <c r="C20" s="12">
        <v>45379.875422951387</v>
      </c>
      <c r="D20" t="s" s="13">
        <v>50</v>
      </c>
      <c r="E20" t="s" s="13">
        <v>83</v>
      </c>
      <c r="F20" s="14">
        <v>4</v>
      </c>
      <c r="G20" s="15">
        <v>0</v>
      </c>
      <c r="H20" s="15">
        <v>0</v>
      </c>
    </row>
    <row r="21" ht="12.9" customHeight="1">
      <c r="A21" t="s" s="10">
        <v>2500</v>
      </c>
      <c r="B21" t="s" s="11">
        <v>2501</v>
      </c>
      <c r="C21" s="12">
        <v>45379.875422951387</v>
      </c>
      <c r="D21" t="s" s="13">
        <v>52</v>
      </c>
      <c r="E21" t="s" s="13">
        <v>321</v>
      </c>
      <c r="F21" s="14">
        <v>4</v>
      </c>
      <c r="G21" s="15">
        <v>0</v>
      </c>
      <c r="H21" s="15">
        <v>0</v>
      </c>
    </row>
    <row r="22" ht="12.9" customHeight="1">
      <c r="A22" t="s" s="10">
        <v>2500</v>
      </c>
      <c r="B22" t="s" s="11">
        <v>2501</v>
      </c>
      <c r="C22" s="12">
        <v>45379.875422951387</v>
      </c>
      <c r="D22" t="s" s="13">
        <v>84</v>
      </c>
      <c r="E22" t="s" s="13">
        <v>85</v>
      </c>
      <c r="F22" s="14">
        <v>4</v>
      </c>
      <c r="G22" s="15">
        <v>0</v>
      </c>
      <c r="H22" s="15">
        <v>0</v>
      </c>
    </row>
    <row r="23" ht="12.9" customHeight="1">
      <c r="A23" t="s" s="10">
        <v>2500</v>
      </c>
      <c r="B23" t="s" s="11">
        <v>2501</v>
      </c>
      <c r="C23" s="12">
        <v>45379.875422951387</v>
      </c>
      <c r="D23" t="s" s="13">
        <v>23</v>
      </c>
      <c r="E23" t="s" s="13">
        <v>24</v>
      </c>
      <c r="F23" s="14">
        <v>4</v>
      </c>
      <c r="G23" s="15">
        <v>0</v>
      </c>
      <c r="H23" s="15">
        <v>0</v>
      </c>
    </row>
    <row r="24" ht="12.9" customHeight="1">
      <c r="A24" t="s" s="10">
        <v>2500</v>
      </c>
      <c r="B24" t="s" s="11">
        <v>2501</v>
      </c>
      <c r="C24" s="12">
        <v>45379.875422951387</v>
      </c>
      <c r="D24" t="s" s="13">
        <v>19</v>
      </c>
      <c r="E24" t="s" s="13">
        <v>20</v>
      </c>
      <c r="F24" s="14">
        <v>2</v>
      </c>
      <c r="G24" s="15">
        <v>119.99</v>
      </c>
      <c r="H24" s="15">
        <v>239.98</v>
      </c>
    </row>
    <row r="25" ht="12.9" customHeight="1">
      <c r="A25" t="s" s="10">
        <v>2500</v>
      </c>
      <c r="B25" t="s" s="11">
        <v>2501</v>
      </c>
      <c r="C25" s="12">
        <v>45379.875422951387</v>
      </c>
      <c r="D25" t="s" s="13">
        <v>1054</v>
      </c>
      <c r="E25" t="s" s="13">
        <v>1055</v>
      </c>
      <c r="F25" s="14">
        <v>3</v>
      </c>
      <c r="G25" s="15">
        <v>149.99</v>
      </c>
      <c r="H25" s="15">
        <v>449.97</v>
      </c>
    </row>
    <row r="26" ht="12.9" customHeight="1">
      <c r="A26" t="s" s="10">
        <v>2500</v>
      </c>
      <c r="B26" t="s" s="11">
        <v>2501</v>
      </c>
      <c r="C26" s="12">
        <v>45379.875422951387</v>
      </c>
      <c r="D26" t="s" s="13">
        <v>133</v>
      </c>
      <c r="E26" t="s" s="13">
        <v>134</v>
      </c>
      <c r="F26" s="14">
        <v>2</v>
      </c>
      <c r="G26" s="15">
        <v>199.99</v>
      </c>
      <c r="H26" s="15">
        <v>399.98</v>
      </c>
    </row>
    <row r="27" ht="12.9" customHeight="1">
      <c r="A27" t="s" s="10">
        <v>2502</v>
      </c>
      <c r="B27" t="s" s="11">
        <v>2503</v>
      </c>
      <c r="C27" s="12">
        <v>45379.730440335647</v>
      </c>
      <c r="D27" t="s" s="13">
        <v>95</v>
      </c>
      <c r="E27" t="s" s="13">
        <v>12</v>
      </c>
      <c r="F27" s="14">
        <v>1</v>
      </c>
      <c r="G27" s="15">
        <v>349.99</v>
      </c>
      <c r="H27" s="15">
        <v>349.99</v>
      </c>
    </row>
    <row r="28" ht="12.9" customHeight="1">
      <c r="A28" t="s" s="10">
        <v>2504</v>
      </c>
      <c r="B28" t="s" s="11">
        <v>2505</v>
      </c>
      <c r="C28" s="12">
        <v>45379.652800590280</v>
      </c>
      <c r="D28" t="s" s="13">
        <v>95</v>
      </c>
      <c r="E28" t="s" s="13">
        <v>12</v>
      </c>
      <c r="F28" s="14">
        <v>1</v>
      </c>
      <c r="G28" s="15">
        <v>349.99</v>
      </c>
      <c r="H28" s="15">
        <v>349.99</v>
      </c>
    </row>
    <row r="29" ht="12.9" customHeight="1">
      <c r="A29" t="s" s="10">
        <v>2506</v>
      </c>
      <c r="B29" t="s" s="11">
        <v>2507</v>
      </c>
      <c r="C29" s="12">
        <v>45379.521733333335</v>
      </c>
      <c r="D29" t="s" s="13">
        <v>89</v>
      </c>
      <c r="E29" t="s" s="13">
        <v>90</v>
      </c>
      <c r="F29" s="14">
        <v>8</v>
      </c>
      <c r="G29" s="15">
        <v>59.99</v>
      </c>
      <c r="H29" s="15">
        <v>479.92</v>
      </c>
    </row>
    <row r="30" ht="12.9" customHeight="1">
      <c r="A30" t="s" s="10">
        <v>2508</v>
      </c>
      <c r="B30" t="s" s="11">
        <v>2501</v>
      </c>
      <c r="C30" s="12">
        <v>45379</v>
      </c>
      <c r="D30" t="s" s="13">
        <v>2509</v>
      </c>
      <c r="E30" s="16"/>
      <c r="F30" s="14">
        <v>1</v>
      </c>
      <c r="G30" s="15">
        <v>531</v>
      </c>
      <c r="H30" s="15">
        <v>531</v>
      </c>
    </row>
    <row r="31" ht="12.9" customHeight="1">
      <c r="A31" t="s" s="10">
        <v>2510</v>
      </c>
      <c r="B31" t="s" s="11">
        <v>210</v>
      </c>
      <c r="C31" s="12">
        <v>45379</v>
      </c>
      <c r="D31" t="s" s="13">
        <v>254</v>
      </c>
      <c r="E31" t="s" s="13">
        <v>2511</v>
      </c>
      <c r="F31" s="14">
        <v>1</v>
      </c>
      <c r="G31" s="15">
        <v>65</v>
      </c>
      <c r="H31" s="15">
        <v>65</v>
      </c>
    </row>
    <row r="32" ht="12.9" customHeight="1">
      <c r="A32" t="s" s="10">
        <v>2510</v>
      </c>
      <c r="B32" t="s" s="11">
        <v>210</v>
      </c>
      <c r="C32" s="12">
        <v>45379</v>
      </c>
      <c r="D32" t="s" s="13">
        <v>1186</v>
      </c>
      <c r="E32" t="s" s="13">
        <v>1186</v>
      </c>
      <c r="F32" s="14">
        <v>1</v>
      </c>
      <c r="G32" s="15">
        <v>0</v>
      </c>
      <c r="H32" s="15">
        <v>0</v>
      </c>
    </row>
    <row r="33" ht="12.9" customHeight="1">
      <c r="A33" t="s" s="10">
        <v>2510</v>
      </c>
      <c r="B33" t="s" s="11">
        <v>210</v>
      </c>
      <c r="C33" s="12">
        <v>45379</v>
      </c>
      <c r="D33" t="s" s="13">
        <v>1891</v>
      </c>
      <c r="E33" t="s" s="13">
        <v>1891</v>
      </c>
      <c r="F33" s="14">
        <v>2</v>
      </c>
      <c r="G33" s="15">
        <v>0</v>
      </c>
      <c r="H33" s="15">
        <v>0</v>
      </c>
    </row>
    <row r="34" ht="12.9" customHeight="1">
      <c r="A34" t="s" s="10">
        <v>2510</v>
      </c>
      <c r="B34" t="s" s="11">
        <v>210</v>
      </c>
      <c r="C34" s="12">
        <v>45379</v>
      </c>
      <c r="D34" t="s" s="13">
        <v>2512</v>
      </c>
      <c r="E34" t="s" s="13">
        <v>2512</v>
      </c>
      <c r="F34" s="14">
        <v>4</v>
      </c>
      <c r="G34" s="15">
        <v>0</v>
      </c>
      <c r="H34" s="15">
        <v>0</v>
      </c>
    </row>
    <row r="35" ht="12.9" customHeight="1">
      <c r="A35" t="s" s="10">
        <v>2510</v>
      </c>
      <c r="B35" t="s" s="11">
        <v>210</v>
      </c>
      <c r="C35" s="12">
        <v>45379</v>
      </c>
      <c r="D35" t="s" s="13">
        <v>1892</v>
      </c>
      <c r="E35" t="s" s="13">
        <v>1892</v>
      </c>
      <c r="F35" s="14">
        <v>2</v>
      </c>
      <c r="G35" s="15">
        <v>0</v>
      </c>
      <c r="H35" s="15">
        <v>0</v>
      </c>
    </row>
    <row r="36" ht="12.9" customHeight="1">
      <c r="A36" t="s" s="10">
        <v>2513</v>
      </c>
      <c r="B36" t="s" s="11">
        <v>2261</v>
      </c>
      <c r="C36" s="12">
        <v>45378.938056087965</v>
      </c>
      <c r="D36" t="s" s="13">
        <v>73</v>
      </c>
      <c r="E36" t="s" s="13">
        <v>74</v>
      </c>
      <c r="F36" s="14">
        <v>1</v>
      </c>
      <c r="G36" s="15">
        <v>399.99</v>
      </c>
      <c r="H36" s="15">
        <v>399.99</v>
      </c>
    </row>
    <row r="37" ht="12.9" customHeight="1">
      <c r="A37" t="s" s="10">
        <v>2514</v>
      </c>
      <c r="B37" t="s" s="11">
        <v>2515</v>
      </c>
      <c r="C37" s="12">
        <v>45378.899317303243</v>
      </c>
      <c r="D37" t="s" s="13">
        <v>15</v>
      </c>
      <c r="E37" t="s" s="13">
        <v>16</v>
      </c>
      <c r="F37" s="14">
        <v>1</v>
      </c>
      <c r="G37" s="15">
        <v>9.99</v>
      </c>
      <c r="H37" s="15">
        <v>9.99</v>
      </c>
    </row>
    <row r="38" ht="12.9" customHeight="1">
      <c r="A38" t="s" s="10">
        <v>2516</v>
      </c>
      <c r="B38" t="s" s="11">
        <v>721</v>
      </c>
      <c r="C38" s="12">
        <v>45378</v>
      </c>
      <c r="D38" t="s" s="13">
        <v>225</v>
      </c>
      <c r="E38" t="s" s="13">
        <v>226</v>
      </c>
      <c r="F38" s="14">
        <v>4</v>
      </c>
      <c r="G38" s="15">
        <v>374.9925</v>
      </c>
      <c r="H38" s="15">
        <v>1499.97</v>
      </c>
    </row>
    <row r="39" ht="12.9" customHeight="1">
      <c r="A39" t="s" s="10">
        <v>2516</v>
      </c>
      <c r="B39" t="s" s="11">
        <v>721</v>
      </c>
      <c r="C39" s="12">
        <v>45378</v>
      </c>
      <c r="D39" t="s" s="13">
        <v>724</v>
      </c>
      <c r="E39" t="s" s="13">
        <v>725</v>
      </c>
      <c r="F39" s="14">
        <v>4</v>
      </c>
      <c r="G39" s="15">
        <v>187.4925</v>
      </c>
      <c r="H39" s="15">
        <v>749.97</v>
      </c>
    </row>
    <row r="40" ht="12.9" customHeight="1">
      <c r="A40" t="s" s="10">
        <v>2516</v>
      </c>
      <c r="B40" t="s" s="11">
        <v>721</v>
      </c>
      <c r="C40" s="12">
        <v>45378</v>
      </c>
      <c r="D40" t="s" s="13">
        <v>73</v>
      </c>
      <c r="E40" t="s" s="13">
        <v>74</v>
      </c>
      <c r="F40" s="14">
        <v>2</v>
      </c>
      <c r="G40" s="15">
        <v>299.9925</v>
      </c>
      <c r="H40" s="15">
        <v>599.985</v>
      </c>
    </row>
    <row r="41" ht="12.9" customHeight="1">
      <c r="A41" t="s" s="10">
        <v>2516</v>
      </c>
      <c r="B41" t="s" s="11">
        <v>721</v>
      </c>
      <c r="C41" s="12">
        <v>45378</v>
      </c>
      <c r="D41" t="s" s="13">
        <v>133</v>
      </c>
      <c r="E41" t="s" s="13">
        <v>2517</v>
      </c>
      <c r="F41" s="14">
        <v>8</v>
      </c>
      <c r="G41" s="15">
        <v>149.9925</v>
      </c>
      <c r="H41" s="15">
        <v>1199.94</v>
      </c>
    </row>
    <row r="42" ht="12.9" customHeight="1">
      <c r="A42" t="s" s="10">
        <v>2516</v>
      </c>
      <c r="B42" t="s" s="11">
        <v>721</v>
      </c>
      <c r="C42" s="12">
        <v>45378</v>
      </c>
      <c r="D42" t="s" s="13">
        <v>23</v>
      </c>
      <c r="E42" t="s" s="13">
        <v>2518</v>
      </c>
      <c r="F42" s="14">
        <v>8</v>
      </c>
      <c r="G42" s="15">
        <v>112.4925</v>
      </c>
      <c r="H42" s="15">
        <v>899.9400000000001</v>
      </c>
    </row>
    <row r="43" ht="12.9" customHeight="1">
      <c r="A43" t="s" s="10">
        <v>2516</v>
      </c>
      <c r="B43" t="s" s="11">
        <v>721</v>
      </c>
      <c r="C43" s="12">
        <v>45378</v>
      </c>
      <c r="D43" t="s" s="13">
        <v>2519</v>
      </c>
      <c r="E43" t="s" s="13">
        <v>2520</v>
      </c>
      <c r="F43" s="14">
        <v>4</v>
      </c>
      <c r="G43" s="15">
        <v>97.49250000000001</v>
      </c>
      <c r="H43" s="15">
        <v>389.97</v>
      </c>
    </row>
    <row r="44" ht="12.9" customHeight="1">
      <c r="A44" t="s" s="10">
        <v>2516</v>
      </c>
      <c r="B44" t="s" s="11">
        <v>721</v>
      </c>
      <c r="C44" s="12">
        <v>45378</v>
      </c>
      <c r="D44" t="s" s="13">
        <v>908</v>
      </c>
      <c r="E44" t="s" s="13">
        <v>909</v>
      </c>
      <c r="F44" s="14">
        <v>8</v>
      </c>
      <c r="G44" s="15">
        <v>11.25</v>
      </c>
      <c r="H44" s="15">
        <v>90</v>
      </c>
    </row>
    <row r="45" ht="12.9" customHeight="1">
      <c r="A45" t="s" s="10">
        <v>2516</v>
      </c>
      <c r="B45" t="s" s="11">
        <v>721</v>
      </c>
      <c r="C45" s="12">
        <v>45378</v>
      </c>
      <c r="D45" t="s" s="13">
        <v>299</v>
      </c>
      <c r="E45" t="s" s="13">
        <v>300</v>
      </c>
      <c r="F45" s="14">
        <v>40</v>
      </c>
      <c r="G45" s="15">
        <v>52.4925</v>
      </c>
      <c r="H45" s="15">
        <v>2099.7</v>
      </c>
    </row>
    <row r="46" ht="12.9" customHeight="1">
      <c r="A46" t="s" s="10">
        <v>2516</v>
      </c>
      <c r="B46" t="s" s="11">
        <v>721</v>
      </c>
      <c r="C46" s="12">
        <v>45378</v>
      </c>
      <c r="D46" t="s" s="13">
        <v>123</v>
      </c>
      <c r="E46" t="s" s="13">
        <v>124</v>
      </c>
      <c r="F46" s="14">
        <v>8</v>
      </c>
      <c r="G46" s="15">
        <v>134.9925</v>
      </c>
      <c r="H46" s="15">
        <v>1079.94</v>
      </c>
    </row>
    <row r="47" ht="12.9" customHeight="1">
      <c r="A47" t="s" s="10">
        <v>2516</v>
      </c>
      <c r="B47" t="s" s="11">
        <v>721</v>
      </c>
      <c r="C47" s="12">
        <v>45378</v>
      </c>
      <c r="D47" t="s" s="13">
        <v>115</v>
      </c>
      <c r="E47" t="s" s="13">
        <v>1856</v>
      </c>
      <c r="F47" s="14">
        <v>27</v>
      </c>
      <c r="G47" s="15">
        <v>17.2425</v>
      </c>
      <c r="H47" s="15">
        <v>465.5475</v>
      </c>
    </row>
    <row r="48" ht="12.9" customHeight="1">
      <c r="A48" t="s" s="10">
        <v>2516</v>
      </c>
      <c r="B48" t="s" s="11">
        <v>721</v>
      </c>
      <c r="C48" s="12">
        <v>45378</v>
      </c>
      <c r="D48" t="s" s="13">
        <v>179</v>
      </c>
      <c r="E48" t="s" s="13">
        <v>180</v>
      </c>
      <c r="F48" s="14">
        <v>8</v>
      </c>
      <c r="G48" s="15">
        <v>37.4925</v>
      </c>
      <c r="H48" s="15">
        <v>299.94</v>
      </c>
    </row>
    <row r="49" ht="12.9" customHeight="1">
      <c r="A49" t="s" s="10">
        <v>2516</v>
      </c>
      <c r="B49" t="s" s="11">
        <v>721</v>
      </c>
      <c r="C49" s="12">
        <v>45378</v>
      </c>
      <c r="D49" t="s" s="13">
        <v>27</v>
      </c>
      <c r="E49" t="s" s="13">
        <v>28</v>
      </c>
      <c r="F49" s="14">
        <v>2</v>
      </c>
      <c r="G49" s="15">
        <v>59.9925</v>
      </c>
      <c r="H49" s="15">
        <v>119.985</v>
      </c>
    </row>
    <row r="50" ht="12.9" customHeight="1">
      <c r="A50" t="s" s="10">
        <v>2516</v>
      </c>
      <c r="B50" t="s" s="11">
        <v>721</v>
      </c>
      <c r="C50" s="12">
        <v>45378</v>
      </c>
      <c r="D50" t="s" s="13">
        <v>110</v>
      </c>
      <c r="E50" t="s" s="13">
        <v>110</v>
      </c>
      <c r="F50" s="14">
        <v>4</v>
      </c>
      <c r="G50" s="15">
        <v>0</v>
      </c>
      <c r="H50" s="15">
        <v>0</v>
      </c>
    </row>
    <row r="51" ht="12.9" customHeight="1">
      <c r="A51" t="s" s="10">
        <v>2516</v>
      </c>
      <c r="B51" t="s" s="11">
        <v>721</v>
      </c>
      <c r="C51" s="12">
        <v>45378</v>
      </c>
      <c r="D51" t="s" s="13">
        <v>207</v>
      </c>
      <c r="E51" t="s" s="13">
        <v>208</v>
      </c>
      <c r="F51" s="14">
        <v>6</v>
      </c>
      <c r="G51" s="15">
        <v>0</v>
      </c>
      <c r="H51" s="15">
        <v>0</v>
      </c>
    </row>
    <row r="52" ht="12.9" customHeight="1">
      <c r="A52" t="s" s="10">
        <v>2516</v>
      </c>
      <c r="B52" t="s" s="11">
        <v>721</v>
      </c>
      <c r="C52" s="12">
        <v>45378</v>
      </c>
      <c r="D52" t="s" s="13">
        <v>412</v>
      </c>
      <c r="E52" t="s" s="13">
        <v>413</v>
      </c>
      <c r="F52" s="14">
        <v>4</v>
      </c>
      <c r="G52" s="15">
        <v>0</v>
      </c>
      <c r="H52" s="15">
        <v>0</v>
      </c>
    </row>
    <row r="53" ht="12.9" customHeight="1">
      <c r="A53" t="s" s="10">
        <v>2516</v>
      </c>
      <c r="B53" t="s" s="11">
        <v>721</v>
      </c>
      <c r="C53" s="12">
        <v>45378</v>
      </c>
      <c r="D53" t="s" s="13">
        <v>119</v>
      </c>
      <c r="E53" t="s" s="13">
        <v>120</v>
      </c>
      <c r="F53" s="14">
        <v>4</v>
      </c>
      <c r="G53" s="15">
        <v>0</v>
      </c>
      <c r="H53" s="15">
        <v>0</v>
      </c>
    </row>
    <row r="54" ht="12.9" customHeight="1">
      <c r="A54" t="s" s="10">
        <v>2516</v>
      </c>
      <c r="B54" t="s" s="11">
        <v>721</v>
      </c>
      <c r="C54" s="12">
        <v>45378</v>
      </c>
      <c r="D54" t="s" s="13">
        <v>63</v>
      </c>
      <c r="E54" s="16"/>
      <c r="F54" s="14">
        <v>1</v>
      </c>
      <c r="G54" s="15">
        <v>536.6799999999999</v>
      </c>
      <c r="H54" s="15">
        <v>536.6799999999999</v>
      </c>
    </row>
    <row r="55" ht="12.9" customHeight="1">
      <c r="A55" t="s" s="10">
        <v>2521</v>
      </c>
      <c r="B55" t="s" s="11">
        <v>2522</v>
      </c>
      <c r="C55" s="12">
        <v>45378</v>
      </c>
      <c r="D55" t="s" s="13">
        <v>2523</v>
      </c>
      <c r="E55" t="s" s="13">
        <v>2524</v>
      </c>
      <c r="F55" s="14">
        <v>1</v>
      </c>
      <c r="G55" s="15">
        <v>0</v>
      </c>
      <c r="H55" s="15">
        <v>0</v>
      </c>
    </row>
    <row r="56" ht="12.9" customHeight="1">
      <c r="A56" t="s" s="10">
        <v>2521</v>
      </c>
      <c r="B56" t="s" s="11">
        <v>2522</v>
      </c>
      <c r="C56" s="12">
        <v>45378</v>
      </c>
      <c r="D56" t="s" s="13">
        <v>1482</v>
      </c>
      <c r="E56" t="s" s="13">
        <v>2525</v>
      </c>
      <c r="F56" s="14">
        <v>1</v>
      </c>
      <c r="G56" s="15">
        <v>0</v>
      </c>
      <c r="H56" s="15">
        <v>0</v>
      </c>
    </row>
    <row r="57" ht="12.9" customHeight="1">
      <c r="A57" t="s" s="10">
        <v>2526</v>
      </c>
      <c r="B57" t="s" s="11">
        <v>2261</v>
      </c>
      <c r="C57" s="12">
        <v>45377.725215104168</v>
      </c>
      <c r="D57" t="s" s="13">
        <v>73</v>
      </c>
      <c r="E57" t="s" s="13">
        <v>74</v>
      </c>
      <c r="F57" s="14">
        <v>1</v>
      </c>
      <c r="G57" s="15">
        <v>399.99</v>
      </c>
      <c r="H57" s="15">
        <v>399.99</v>
      </c>
    </row>
    <row r="58" ht="12.9" customHeight="1">
      <c r="A58" t="s" s="10">
        <v>2527</v>
      </c>
      <c r="B58" t="s" s="11">
        <v>2528</v>
      </c>
      <c r="C58" s="12">
        <v>45377.579100810188</v>
      </c>
      <c r="D58" t="s" s="13">
        <v>354</v>
      </c>
      <c r="E58" t="s" s="13">
        <v>355</v>
      </c>
      <c r="F58" s="14">
        <v>1</v>
      </c>
      <c r="G58" s="15">
        <v>149.99</v>
      </c>
      <c r="H58" s="15">
        <v>149.99</v>
      </c>
    </row>
    <row r="59" ht="12.9" customHeight="1">
      <c r="A59" t="s" s="10">
        <v>2529</v>
      </c>
      <c r="B59" t="s" s="11">
        <v>2530</v>
      </c>
      <c r="C59" s="12">
        <v>45377.449930381947</v>
      </c>
      <c r="D59" t="s" s="13">
        <v>31</v>
      </c>
      <c r="E59" t="s" s="13">
        <v>32</v>
      </c>
      <c r="F59" s="14">
        <v>1</v>
      </c>
      <c r="G59" s="15">
        <v>599.99</v>
      </c>
      <c r="H59" s="15">
        <v>599.99</v>
      </c>
    </row>
    <row r="60" ht="12.9" customHeight="1">
      <c r="A60" t="s" s="10">
        <v>2531</v>
      </c>
      <c r="B60" t="s" s="11">
        <v>122</v>
      </c>
      <c r="C60" s="12">
        <v>45377</v>
      </c>
      <c r="D60" t="s" s="13">
        <v>254</v>
      </c>
      <c r="E60" t="s" s="13">
        <v>2532</v>
      </c>
      <c r="F60" s="14">
        <v>1</v>
      </c>
      <c r="G60" s="15">
        <v>45</v>
      </c>
      <c r="H60" s="15">
        <v>45</v>
      </c>
    </row>
    <row r="61" ht="12.9" customHeight="1">
      <c r="A61" t="s" s="10">
        <v>2531</v>
      </c>
      <c r="B61" t="s" s="11">
        <v>122</v>
      </c>
      <c r="C61" s="12">
        <v>45377</v>
      </c>
      <c r="D61" t="s" s="13">
        <v>412</v>
      </c>
      <c r="E61" t="s" s="13">
        <v>413</v>
      </c>
      <c r="F61" s="14">
        <v>5</v>
      </c>
      <c r="G61" s="15">
        <v>0</v>
      </c>
      <c r="H61" s="15">
        <v>0</v>
      </c>
    </row>
    <row r="62" ht="12.9" customHeight="1">
      <c r="A62" t="s" s="10">
        <v>2531</v>
      </c>
      <c r="B62" t="s" s="11">
        <v>122</v>
      </c>
      <c r="C62" s="12">
        <v>45377</v>
      </c>
      <c r="D62" t="s" s="13">
        <v>119</v>
      </c>
      <c r="E62" t="s" s="13">
        <v>120</v>
      </c>
      <c r="F62" s="14">
        <v>5</v>
      </c>
      <c r="G62" s="15">
        <v>0</v>
      </c>
      <c r="H62" s="15">
        <v>0</v>
      </c>
    </row>
    <row r="63" ht="12.9" customHeight="1">
      <c r="A63" t="s" s="10">
        <v>2531</v>
      </c>
      <c r="B63" t="s" s="11">
        <v>122</v>
      </c>
      <c r="C63" s="12">
        <v>45377</v>
      </c>
      <c r="D63" t="s" s="13">
        <v>63</v>
      </c>
      <c r="E63" s="16"/>
      <c r="F63" s="14">
        <v>1</v>
      </c>
      <c r="G63" s="15">
        <v>18.44</v>
      </c>
      <c r="H63" s="15">
        <v>18.44</v>
      </c>
    </row>
    <row r="64" ht="12.9" customHeight="1">
      <c r="A64" t="s" s="10">
        <v>2533</v>
      </c>
      <c r="B64" t="s" s="11">
        <v>2534</v>
      </c>
      <c r="C64" s="12">
        <v>45376.886416215275</v>
      </c>
      <c r="D64" t="s" s="13">
        <v>19</v>
      </c>
      <c r="E64" t="s" s="13">
        <v>20</v>
      </c>
      <c r="F64" s="14">
        <v>9</v>
      </c>
      <c r="G64" s="15">
        <v>119.99</v>
      </c>
      <c r="H64" s="15">
        <v>1079.91</v>
      </c>
    </row>
    <row r="65" ht="12.9" customHeight="1">
      <c r="A65" t="s" s="10">
        <v>2533</v>
      </c>
      <c r="B65" t="s" s="11">
        <v>2534</v>
      </c>
      <c r="C65" s="12">
        <v>45376.886416215275</v>
      </c>
      <c r="D65" t="s" s="13">
        <v>23</v>
      </c>
      <c r="E65" t="s" s="13">
        <v>24</v>
      </c>
      <c r="F65" s="14">
        <v>1</v>
      </c>
      <c r="G65" s="15">
        <v>149.99</v>
      </c>
      <c r="H65" s="15">
        <v>149.99</v>
      </c>
    </row>
    <row r="66" ht="12.9" customHeight="1">
      <c r="A66" t="s" s="10">
        <v>2533</v>
      </c>
      <c r="B66" t="s" s="11">
        <v>2534</v>
      </c>
      <c r="C66" s="12">
        <v>45376.886416215275</v>
      </c>
      <c r="D66" t="s" s="13">
        <v>133</v>
      </c>
      <c r="E66" t="s" s="13">
        <v>134</v>
      </c>
      <c r="F66" s="14">
        <v>1</v>
      </c>
      <c r="G66" s="15">
        <v>199.99</v>
      </c>
      <c r="H66" s="15">
        <v>199.99</v>
      </c>
    </row>
    <row r="67" ht="12.9" customHeight="1">
      <c r="A67" t="s" s="10">
        <v>2533</v>
      </c>
      <c r="B67" t="s" s="11">
        <v>2534</v>
      </c>
      <c r="C67" s="12">
        <v>45376.886416215275</v>
      </c>
      <c r="D67" t="s" s="13">
        <v>412</v>
      </c>
      <c r="E67" t="s" s="13">
        <v>413</v>
      </c>
      <c r="F67" s="14">
        <v>10</v>
      </c>
      <c r="G67" s="15">
        <v>1.99</v>
      </c>
      <c r="H67" s="15">
        <v>19.9</v>
      </c>
    </row>
    <row r="68" ht="12.9" customHeight="1">
      <c r="A68" t="s" s="10">
        <v>2535</v>
      </c>
      <c r="B68" t="s" s="11">
        <v>2536</v>
      </c>
      <c r="C68" s="12">
        <v>45376.866942384258</v>
      </c>
      <c r="D68" t="s" s="13">
        <v>59</v>
      </c>
      <c r="E68" t="s" s="13">
        <v>60</v>
      </c>
      <c r="F68" s="14">
        <v>1</v>
      </c>
      <c r="G68" s="15">
        <v>1199.99</v>
      </c>
      <c r="H68" s="15">
        <v>1199.99</v>
      </c>
    </row>
    <row r="69" ht="12.9" customHeight="1">
      <c r="A69" t="s" s="10">
        <v>2535</v>
      </c>
      <c r="B69" t="s" s="11">
        <v>2536</v>
      </c>
      <c r="C69" s="12">
        <v>45376.866942384258</v>
      </c>
      <c r="D69" t="s" s="13">
        <v>15</v>
      </c>
      <c r="E69" t="s" s="13">
        <v>16</v>
      </c>
      <c r="F69" s="14">
        <v>2</v>
      </c>
      <c r="G69" s="15">
        <v>9.99</v>
      </c>
      <c r="H69" s="15">
        <v>19.98</v>
      </c>
    </row>
    <row r="70" ht="12.9" customHeight="1">
      <c r="A70" t="s" s="10">
        <v>2535</v>
      </c>
      <c r="B70" t="s" s="11">
        <v>2536</v>
      </c>
      <c r="C70" s="12">
        <v>45376.866942384258</v>
      </c>
      <c r="D70" t="s" s="13">
        <v>19</v>
      </c>
      <c r="E70" t="s" s="13">
        <v>20</v>
      </c>
      <c r="F70" s="14">
        <v>4</v>
      </c>
      <c r="G70" s="15">
        <v>119.99</v>
      </c>
      <c r="H70" s="15">
        <v>479.96</v>
      </c>
    </row>
    <row r="71" ht="12.9" customHeight="1">
      <c r="A71" t="s" s="10">
        <v>2537</v>
      </c>
      <c r="B71" t="s" s="11">
        <v>2538</v>
      </c>
      <c r="C71" s="12">
        <v>45376.735737037037</v>
      </c>
      <c r="D71" t="s" s="13">
        <v>73</v>
      </c>
      <c r="E71" t="s" s="13">
        <v>74</v>
      </c>
      <c r="F71" s="14">
        <v>2</v>
      </c>
      <c r="G71" s="15">
        <v>399.99</v>
      </c>
      <c r="H71" s="15">
        <v>799.98</v>
      </c>
    </row>
    <row r="72" ht="12.9" customHeight="1">
      <c r="A72" t="s" s="10">
        <v>2539</v>
      </c>
      <c r="B72" t="s" s="11">
        <v>138</v>
      </c>
      <c r="C72" s="12">
        <v>45376.653356863426</v>
      </c>
      <c r="D72" t="s" s="13">
        <v>1695</v>
      </c>
      <c r="E72" t="s" s="13">
        <v>140</v>
      </c>
      <c r="F72" s="14">
        <v>1</v>
      </c>
      <c r="G72" s="15">
        <v>49.99</v>
      </c>
      <c r="H72" s="15">
        <v>49.99</v>
      </c>
    </row>
    <row r="73" ht="12.9" customHeight="1">
      <c r="A73" t="s" s="10">
        <v>2539</v>
      </c>
      <c r="B73" t="s" s="11">
        <v>138</v>
      </c>
      <c r="C73" s="12">
        <v>45376.653356863426</v>
      </c>
      <c r="D73" t="s" s="13">
        <v>15</v>
      </c>
      <c r="E73" t="s" s="13">
        <v>16</v>
      </c>
      <c r="F73" s="14">
        <v>1</v>
      </c>
      <c r="G73" s="15">
        <v>0</v>
      </c>
      <c r="H73" s="15">
        <v>0</v>
      </c>
    </row>
    <row r="74" ht="12.9" customHeight="1">
      <c r="A74" t="s" s="10">
        <v>2540</v>
      </c>
      <c r="B74" t="s" s="11">
        <v>2541</v>
      </c>
      <c r="C74" s="12">
        <v>45376.544324293980</v>
      </c>
      <c r="D74" t="s" s="13">
        <v>23</v>
      </c>
      <c r="E74" t="s" s="13">
        <v>24</v>
      </c>
      <c r="F74" s="14">
        <v>1</v>
      </c>
      <c r="G74" s="15">
        <v>149.99</v>
      </c>
      <c r="H74" s="15">
        <v>149.99</v>
      </c>
    </row>
    <row r="75" ht="12.9" customHeight="1">
      <c r="A75" t="s" s="10">
        <v>2542</v>
      </c>
      <c r="B75" t="s" s="11">
        <v>2543</v>
      </c>
      <c r="C75" s="12">
        <v>45376.009625659724</v>
      </c>
      <c r="D75" t="s" s="13">
        <v>35</v>
      </c>
      <c r="E75" t="s" s="13">
        <v>36</v>
      </c>
      <c r="F75" s="14">
        <v>1</v>
      </c>
      <c r="G75" s="15">
        <v>49.99</v>
      </c>
      <c r="H75" s="15">
        <v>49.99</v>
      </c>
    </row>
    <row r="76" ht="12.9" customHeight="1">
      <c r="A76" t="s" s="10">
        <v>2544</v>
      </c>
      <c r="B76" t="s" s="11">
        <v>210</v>
      </c>
      <c r="C76" s="12">
        <v>45376</v>
      </c>
      <c r="D76" t="s" s="13">
        <v>254</v>
      </c>
      <c r="E76" t="s" s="13">
        <v>2545</v>
      </c>
      <c r="F76" s="14">
        <v>1</v>
      </c>
      <c r="G76" s="15">
        <v>195</v>
      </c>
      <c r="H76" s="15">
        <v>195</v>
      </c>
    </row>
    <row r="77" ht="12.9" customHeight="1">
      <c r="A77" t="s" s="10">
        <v>2544</v>
      </c>
      <c r="B77" t="s" s="11">
        <v>210</v>
      </c>
      <c r="C77" s="12">
        <v>45376</v>
      </c>
      <c r="D77" t="s" s="13">
        <v>1917</v>
      </c>
      <c r="E77" t="s" s="13">
        <v>1917</v>
      </c>
      <c r="F77" s="14">
        <v>1</v>
      </c>
      <c r="G77" s="15">
        <v>40</v>
      </c>
      <c r="H77" s="15">
        <v>40</v>
      </c>
    </row>
    <row r="78" ht="12.9" customHeight="1">
      <c r="A78" t="s" s="10">
        <v>2544</v>
      </c>
      <c r="B78" t="s" s="11">
        <v>210</v>
      </c>
      <c r="C78" s="12">
        <v>45376</v>
      </c>
      <c r="D78" t="s" s="13">
        <v>2546</v>
      </c>
      <c r="E78" t="s" s="13">
        <v>2547</v>
      </c>
      <c r="F78" s="14">
        <v>1</v>
      </c>
      <c r="G78" s="15">
        <v>0</v>
      </c>
      <c r="H78" s="15">
        <v>0</v>
      </c>
    </row>
    <row r="79" ht="12.9" customHeight="1">
      <c r="A79" t="s" s="10">
        <v>2544</v>
      </c>
      <c r="B79" t="s" s="11">
        <v>210</v>
      </c>
      <c r="C79" s="12">
        <v>45376</v>
      </c>
      <c r="D79" t="s" s="13">
        <v>2548</v>
      </c>
      <c r="E79" t="s" s="13">
        <v>2548</v>
      </c>
      <c r="F79" s="14">
        <v>1</v>
      </c>
      <c r="G79" s="15">
        <v>225</v>
      </c>
      <c r="H79" s="15">
        <v>225</v>
      </c>
    </row>
    <row r="80" ht="12.9" customHeight="1">
      <c r="A80" t="s" s="10">
        <v>2544</v>
      </c>
      <c r="B80" t="s" s="11">
        <v>210</v>
      </c>
      <c r="C80" s="12">
        <v>45376</v>
      </c>
      <c r="D80" t="s" s="13">
        <v>1891</v>
      </c>
      <c r="E80" t="s" s="13">
        <v>1891</v>
      </c>
      <c r="F80" s="14">
        <v>2</v>
      </c>
      <c r="G80" s="15">
        <v>0</v>
      </c>
      <c r="H80" s="15">
        <v>0</v>
      </c>
    </row>
    <row r="81" ht="12.9" customHeight="1">
      <c r="A81" t="s" s="10">
        <v>2544</v>
      </c>
      <c r="B81" t="s" s="11">
        <v>210</v>
      </c>
      <c r="C81" s="12">
        <v>45376</v>
      </c>
      <c r="D81" t="s" s="13">
        <v>2549</v>
      </c>
      <c r="E81" t="s" s="13">
        <v>2550</v>
      </c>
      <c r="F81" s="14">
        <v>1</v>
      </c>
      <c r="G81" s="15">
        <v>0</v>
      </c>
      <c r="H81" s="15">
        <v>0</v>
      </c>
    </row>
    <row r="82" ht="12.9" customHeight="1">
      <c r="A82" t="s" s="10">
        <v>2544</v>
      </c>
      <c r="B82" t="s" s="11">
        <v>210</v>
      </c>
      <c r="C82" s="12">
        <v>45376</v>
      </c>
      <c r="D82" t="s" s="13">
        <v>1892</v>
      </c>
      <c r="E82" t="s" s="13">
        <v>1892</v>
      </c>
      <c r="F82" s="14">
        <v>2</v>
      </c>
      <c r="G82" s="15">
        <v>0</v>
      </c>
      <c r="H82" s="15">
        <v>0</v>
      </c>
    </row>
    <row r="83" ht="12.9" customHeight="1">
      <c r="A83" t="s" s="10">
        <v>2544</v>
      </c>
      <c r="B83" t="s" s="11">
        <v>210</v>
      </c>
      <c r="C83" s="12">
        <v>45376</v>
      </c>
      <c r="D83" t="s" s="13">
        <v>2512</v>
      </c>
      <c r="E83" t="s" s="13">
        <v>2512</v>
      </c>
      <c r="F83" s="14">
        <v>4</v>
      </c>
      <c r="G83" s="15">
        <v>0</v>
      </c>
      <c r="H83" s="15">
        <v>0</v>
      </c>
    </row>
    <row r="84" ht="12.9" customHeight="1">
      <c r="A84" t="s" s="10">
        <v>2551</v>
      </c>
      <c r="B84" t="s" s="11">
        <v>2552</v>
      </c>
      <c r="C84" s="12">
        <v>45376</v>
      </c>
      <c r="D84" t="s" s="13">
        <v>95</v>
      </c>
      <c r="E84" t="s" s="13">
        <v>12</v>
      </c>
      <c r="F84" s="14">
        <v>2</v>
      </c>
      <c r="G84" s="15">
        <v>349.99</v>
      </c>
      <c r="H84" s="15">
        <v>699.98</v>
      </c>
    </row>
    <row r="85" ht="12.9" customHeight="1">
      <c r="A85" t="s" s="10">
        <v>2551</v>
      </c>
      <c r="B85" t="s" s="11">
        <v>2552</v>
      </c>
      <c r="C85" s="12">
        <v>45376</v>
      </c>
      <c r="D85" t="s" s="13">
        <v>63</v>
      </c>
      <c r="E85" s="16"/>
      <c r="F85" s="14">
        <v>1</v>
      </c>
      <c r="G85" s="15">
        <v>272.55</v>
      </c>
      <c r="H85" s="15">
        <v>272.55</v>
      </c>
    </row>
    <row r="86" ht="12.9" customHeight="1">
      <c r="A86" t="s" s="10">
        <v>2553</v>
      </c>
      <c r="B86" t="s" s="11">
        <v>2275</v>
      </c>
      <c r="C86" s="12">
        <v>45376</v>
      </c>
      <c r="D86" t="s" s="13">
        <v>102</v>
      </c>
      <c r="E86" t="s" s="13">
        <v>2554</v>
      </c>
      <c r="F86" s="14">
        <v>4</v>
      </c>
      <c r="G86" s="15">
        <v>59.9925</v>
      </c>
      <c r="H86" s="15">
        <v>239.97</v>
      </c>
    </row>
    <row r="87" ht="12.9" customHeight="1">
      <c r="A87" t="s" s="10">
        <v>2553</v>
      </c>
      <c r="B87" t="s" s="11">
        <v>2275</v>
      </c>
      <c r="C87" s="12">
        <v>45376</v>
      </c>
      <c r="D87" t="s" s="13">
        <v>47</v>
      </c>
      <c r="E87" s="16"/>
      <c r="F87" s="14">
        <v>1</v>
      </c>
      <c r="G87" s="15">
        <v>22.6</v>
      </c>
      <c r="H87" s="15">
        <v>22.6</v>
      </c>
    </row>
    <row r="88" ht="12.9" customHeight="1">
      <c r="A88" t="s" s="10">
        <v>2555</v>
      </c>
      <c r="B88" t="s" s="11">
        <v>2556</v>
      </c>
      <c r="C88" s="12">
        <v>45374.991974490738</v>
      </c>
      <c r="D88" t="s" s="13">
        <v>359</v>
      </c>
      <c r="E88" t="s" s="13">
        <v>360</v>
      </c>
      <c r="F88" s="14">
        <v>1</v>
      </c>
      <c r="G88" s="15">
        <v>29.99</v>
      </c>
      <c r="H88" s="15">
        <v>29.99</v>
      </c>
    </row>
    <row r="89" ht="12.9" customHeight="1">
      <c r="A89" t="s" s="10">
        <v>2557</v>
      </c>
      <c r="B89" t="s" s="11">
        <v>2558</v>
      </c>
      <c r="C89" s="12">
        <v>45374.7535047338</v>
      </c>
      <c r="D89" t="s" s="13">
        <v>89</v>
      </c>
      <c r="E89" t="s" s="13">
        <v>90</v>
      </c>
      <c r="F89" s="14">
        <v>1</v>
      </c>
      <c r="G89" s="15">
        <v>59.99</v>
      </c>
      <c r="H89" s="15">
        <v>59.99</v>
      </c>
    </row>
    <row r="90" ht="12.9" customHeight="1">
      <c r="A90" t="s" s="10">
        <v>2559</v>
      </c>
      <c r="B90" t="s" s="11">
        <v>2560</v>
      </c>
      <c r="C90" s="12">
        <v>45373.740958020833</v>
      </c>
      <c r="D90" t="s" s="13">
        <v>171</v>
      </c>
      <c r="E90" t="s" s="13">
        <v>172</v>
      </c>
      <c r="F90" s="14">
        <v>1</v>
      </c>
      <c r="G90" s="15">
        <v>549.99</v>
      </c>
      <c r="H90" s="15">
        <v>549.99</v>
      </c>
    </row>
    <row r="91" ht="12.9" customHeight="1">
      <c r="A91" t="s" s="10">
        <v>2561</v>
      </c>
      <c r="B91" t="s" s="11">
        <v>2069</v>
      </c>
      <c r="C91" s="12">
        <v>45373</v>
      </c>
      <c r="D91" t="s" s="13">
        <v>48</v>
      </c>
      <c r="E91" t="s" s="13">
        <v>49</v>
      </c>
      <c r="F91" s="14">
        <v>4</v>
      </c>
      <c r="G91" s="15">
        <v>1299.99</v>
      </c>
      <c r="H91" s="15">
        <v>5199.96</v>
      </c>
    </row>
    <row r="92" ht="12.9" customHeight="1">
      <c r="A92" t="s" s="10">
        <v>2561</v>
      </c>
      <c r="B92" t="s" s="11">
        <v>2069</v>
      </c>
      <c r="C92" s="12">
        <v>45373</v>
      </c>
      <c r="D92" t="s" s="13">
        <v>50</v>
      </c>
      <c r="E92" t="s" s="13">
        <v>83</v>
      </c>
      <c r="F92" s="14">
        <v>4</v>
      </c>
      <c r="G92" s="15">
        <v>0</v>
      </c>
      <c r="H92" s="15">
        <v>0</v>
      </c>
    </row>
    <row r="93" ht="12.9" customHeight="1">
      <c r="A93" t="s" s="10">
        <v>2561</v>
      </c>
      <c r="B93" t="s" s="11">
        <v>2069</v>
      </c>
      <c r="C93" s="12">
        <v>45373</v>
      </c>
      <c r="D93" t="s" s="13">
        <v>52</v>
      </c>
      <c r="E93" t="s" s="13">
        <v>321</v>
      </c>
      <c r="F93" s="14">
        <v>4</v>
      </c>
      <c r="G93" s="15">
        <v>0</v>
      </c>
      <c r="H93" s="15">
        <v>0</v>
      </c>
    </row>
    <row r="94" ht="12.9" customHeight="1">
      <c r="A94" t="s" s="10">
        <v>2561</v>
      </c>
      <c r="B94" t="s" s="11">
        <v>2069</v>
      </c>
      <c r="C94" s="12">
        <v>45373</v>
      </c>
      <c r="D94" t="s" s="13">
        <v>54</v>
      </c>
      <c r="E94" t="s" s="13">
        <v>93</v>
      </c>
      <c r="F94" s="14">
        <v>4</v>
      </c>
      <c r="G94" s="15">
        <v>0</v>
      </c>
      <c r="H94" s="15">
        <v>0</v>
      </c>
    </row>
    <row r="95" ht="12.9" customHeight="1">
      <c r="A95" t="s" s="10">
        <v>2561</v>
      </c>
      <c r="B95" t="s" s="11">
        <v>2069</v>
      </c>
      <c r="C95" s="12">
        <v>45373</v>
      </c>
      <c r="D95" t="s" s="13">
        <v>23</v>
      </c>
      <c r="E95" t="s" s="13">
        <v>56</v>
      </c>
      <c r="F95" s="14">
        <v>4</v>
      </c>
      <c r="G95" s="15">
        <v>0</v>
      </c>
      <c r="H95" s="15">
        <v>0</v>
      </c>
    </row>
    <row r="96" ht="12.9" customHeight="1">
      <c r="A96" t="s" s="10">
        <v>2561</v>
      </c>
      <c r="B96" t="s" s="11">
        <v>2069</v>
      </c>
      <c r="C96" s="12">
        <v>45373</v>
      </c>
      <c r="D96" t="s" s="13">
        <v>462</v>
      </c>
      <c r="E96" t="s" s="13">
        <v>463</v>
      </c>
      <c r="F96" s="14">
        <v>2</v>
      </c>
      <c r="G96" s="15">
        <v>199.99</v>
      </c>
      <c r="H96" s="15">
        <v>399.98</v>
      </c>
    </row>
    <row r="97" ht="12.9" customHeight="1">
      <c r="A97" t="s" s="10">
        <v>2561</v>
      </c>
      <c r="B97" t="s" s="11">
        <v>2069</v>
      </c>
      <c r="C97" s="12">
        <v>45373</v>
      </c>
      <c r="D97" t="s" s="13">
        <v>57</v>
      </c>
      <c r="E97" t="s" s="13">
        <v>58</v>
      </c>
      <c r="F97" s="14">
        <v>4</v>
      </c>
      <c r="G97" s="15">
        <v>799.99</v>
      </c>
      <c r="H97" s="15">
        <v>3199.96</v>
      </c>
    </row>
    <row r="98" ht="12.9" customHeight="1">
      <c r="A98" t="s" s="10">
        <v>2561</v>
      </c>
      <c r="B98" t="s" s="11">
        <v>2069</v>
      </c>
      <c r="C98" s="12">
        <v>45373</v>
      </c>
      <c r="D98" t="s" s="13">
        <v>19</v>
      </c>
      <c r="E98" t="s" s="13">
        <v>20</v>
      </c>
      <c r="F98" s="14">
        <v>4</v>
      </c>
      <c r="G98" s="15">
        <v>119.99</v>
      </c>
      <c r="H98" s="15">
        <v>479.96</v>
      </c>
    </row>
    <row r="99" ht="12.9" customHeight="1">
      <c r="A99" t="s" s="10">
        <v>2561</v>
      </c>
      <c r="B99" t="s" s="11">
        <v>2069</v>
      </c>
      <c r="C99" s="12">
        <v>45373</v>
      </c>
      <c r="D99" t="s" s="13">
        <v>59</v>
      </c>
      <c r="E99" t="s" s="13">
        <v>60</v>
      </c>
      <c r="F99" s="14">
        <v>1</v>
      </c>
      <c r="G99" s="15">
        <v>1199.99</v>
      </c>
      <c r="H99" s="15">
        <v>1199.99</v>
      </c>
    </row>
    <row r="100" ht="12.9" customHeight="1">
      <c r="A100" t="s" s="10">
        <v>2561</v>
      </c>
      <c r="B100" t="s" s="11">
        <v>2069</v>
      </c>
      <c r="C100" s="12">
        <v>45373</v>
      </c>
      <c r="D100" t="s" s="13">
        <v>89</v>
      </c>
      <c r="E100" t="s" s="13">
        <v>90</v>
      </c>
      <c r="F100" s="14">
        <v>8</v>
      </c>
      <c r="G100" s="15">
        <v>59.99</v>
      </c>
      <c r="H100" s="15">
        <v>479.92</v>
      </c>
    </row>
    <row r="101" ht="12.9" customHeight="1">
      <c r="A101" t="s" s="10">
        <v>2562</v>
      </c>
      <c r="B101" t="s" s="11">
        <v>2563</v>
      </c>
      <c r="C101" s="12">
        <v>45373</v>
      </c>
      <c r="D101" t="s" s="13">
        <v>254</v>
      </c>
      <c r="E101" t="s" s="13">
        <v>2564</v>
      </c>
      <c r="F101" s="14">
        <v>1</v>
      </c>
      <c r="G101" s="15">
        <v>0</v>
      </c>
      <c r="H101" s="15">
        <v>0</v>
      </c>
    </row>
    <row r="102" ht="12.9" customHeight="1">
      <c r="A102" t="s" s="10">
        <v>2562</v>
      </c>
      <c r="B102" t="s" s="11">
        <v>2563</v>
      </c>
      <c r="C102" s="12">
        <v>45373</v>
      </c>
      <c r="D102" t="s" s="13">
        <v>35</v>
      </c>
      <c r="E102" t="s" s="13">
        <v>36</v>
      </c>
      <c r="F102" s="14">
        <v>1</v>
      </c>
      <c r="G102" s="15">
        <v>0</v>
      </c>
      <c r="H102" s="15">
        <v>0</v>
      </c>
    </row>
    <row r="103" ht="12.9" customHeight="1">
      <c r="A103" t="s" s="10">
        <v>2565</v>
      </c>
      <c r="B103" t="s" s="11">
        <v>2566</v>
      </c>
      <c r="C103" s="12">
        <v>45372.735388599540</v>
      </c>
      <c r="D103" t="s" s="13">
        <v>19</v>
      </c>
      <c r="E103" t="s" s="13">
        <v>20</v>
      </c>
      <c r="F103" s="14">
        <v>2</v>
      </c>
      <c r="G103" s="15">
        <v>119.99</v>
      </c>
      <c r="H103" s="15">
        <v>239.98</v>
      </c>
    </row>
    <row r="104" ht="12.9" customHeight="1">
      <c r="A104" t="s" s="10">
        <v>2567</v>
      </c>
      <c r="B104" t="s" s="11">
        <v>2568</v>
      </c>
      <c r="C104" s="12">
        <v>45372.241930613425</v>
      </c>
      <c r="D104" t="s" s="13">
        <v>73</v>
      </c>
      <c r="E104" t="s" s="13">
        <v>74</v>
      </c>
      <c r="F104" s="14">
        <v>1</v>
      </c>
      <c r="G104" s="15">
        <v>399.99</v>
      </c>
      <c r="H104" s="15">
        <v>399.99</v>
      </c>
    </row>
    <row r="105" ht="12.9" customHeight="1">
      <c r="A105" t="s" s="10">
        <v>2567</v>
      </c>
      <c r="B105" t="s" s="11">
        <v>2568</v>
      </c>
      <c r="C105" s="12">
        <v>45372.241930613425</v>
      </c>
      <c r="D105" t="s" s="13">
        <v>341</v>
      </c>
      <c r="E105" t="s" s="13">
        <v>342</v>
      </c>
      <c r="F105" s="14">
        <v>2</v>
      </c>
      <c r="G105" s="15">
        <v>29.99</v>
      </c>
      <c r="H105" s="15">
        <v>59.98</v>
      </c>
    </row>
    <row r="106" ht="12.9" customHeight="1">
      <c r="A106" t="s" s="10">
        <v>2567</v>
      </c>
      <c r="B106" t="s" s="11">
        <v>2568</v>
      </c>
      <c r="C106" s="12">
        <v>45372.241930613425</v>
      </c>
      <c r="D106" t="s" s="13">
        <v>81</v>
      </c>
      <c r="E106" t="s" s="13">
        <v>82</v>
      </c>
      <c r="F106" s="14">
        <v>1</v>
      </c>
      <c r="G106" s="15">
        <v>849.99</v>
      </c>
      <c r="H106" s="15">
        <v>849.99</v>
      </c>
    </row>
    <row r="107" ht="12.9" customHeight="1">
      <c r="A107" t="s" s="10">
        <v>2567</v>
      </c>
      <c r="B107" t="s" s="11">
        <v>2568</v>
      </c>
      <c r="C107" s="12">
        <v>45372.241930613425</v>
      </c>
      <c r="D107" t="s" s="13">
        <v>23</v>
      </c>
      <c r="E107" t="s" s="13">
        <v>24</v>
      </c>
      <c r="F107" s="14">
        <v>1</v>
      </c>
      <c r="G107" s="15">
        <v>0</v>
      </c>
      <c r="H107" s="15">
        <v>0</v>
      </c>
    </row>
    <row r="108" ht="12.9" customHeight="1">
      <c r="A108" t="s" s="10">
        <v>2567</v>
      </c>
      <c r="B108" t="s" s="11">
        <v>2568</v>
      </c>
      <c r="C108" s="12">
        <v>45372.241930613425</v>
      </c>
      <c r="D108" t="s" s="13">
        <v>660</v>
      </c>
      <c r="E108" t="s" s="13">
        <v>661</v>
      </c>
      <c r="F108" s="14">
        <v>1</v>
      </c>
      <c r="G108" s="15">
        <v>5.99</v>
      </c>
      <c r="H108" s="15">
        <v>5.99</v>
      </c>
    </row>
    <row r="109" ht="12.9" customHeight="1">
      <c r="A109" t="s" s="10">
        <v>2567</v>
      </c>
      <c r="B109" t="s" s="11">
        <v>2568</v>
      </c>
      <c r="C109" s="12">
        <v>45372.241930613425</v>
      </c>
      <c r="D109" t="s" s="13">
        <v>50</v>
      </c>
      <c r="E109" t="s" s="13">
        <v>83</v>
      </c>
      <c r="F109" s="14">
        <v>1</v>
      </c>
      <c r="G109" s="15">
        <v>0</v>
      </c>
      <c r="H109" s="15">
        <v>0</v>
      </c>
    </row>
    <row r="110" ht="12.9" customHeight="1">
      <c r="A110" t="s" s="10">
        <v>2567</v>
      </c>
      <c r="B110" t="s" s="11">
        <v>2568</v>
      </c>
      <c r="C110" s="12">
        <v>45372.241930613425</v>
      </c>
      <c r="D110" t="s" s="13">
        <v>84</v>
      </c>
      <c r="E110" t="s" s="13">
        <v>85</v>
      </c>
      <c r="F110" s="14">
        <v>1</v>
      </c>
      <c r="G110" s="15">
        <v>0</v>
      </c>
      <c r="H110" s="15">
        <v>0</v>
      </c>
    </row>
    <row r="111" ht="12.9" customHeight="1">
      <c r="A111" t="s" s="10">
        <v>2569</v>
      </c>
      <c r="B111" t="s" s="11">
        <v>2570</v>
      </c>
      <c r="C111" s="12">
        <v>45372.017939305559</v>
      </c>
      <c r="D111" t="s" s="13">
        <v>171</v>
      </c>
      <c r="E111" t="s" s="13">
        <v>172</v>
      </c>
      <c r="F111" s="14">
        <v>1</v>
      </c>
      <c r="G111" s="15">
        <v>549.99</v>
      </c>
      <c r="H111" s="15">
        <v>549.99</v>
      </c>
    </row>
    <row r="112" ht="12.9" customHeight="1">
      <c r="A112" t="s" s="10">
        <v>2571</v>
      </c>
      <c r="B112" t="s" s="11">
        <v>2572</v>
      </c>
      <c r="C112" s="12">
        <v>45372</v>
      </c>
      <c r="D112" t="s" s="13">
        <v>31</v>
      </c>
      <c r="E112" t="s" s="13">
        <v>32</v>
      </c>
      <c r="F112" s="14">
        <v>2</v>
      </c>
      <c r="G112" s="15">
        <v>599.99</v>
      </c>
      <c r="H112" s="15">
        <v>1199.98</v>
      </c>
    </row>
    <row r="113" ht="12.9" customHeight="1">
      <c r="A113" t="s" s="10">
        <v>2571</v>
      </c>
      <c r="B113" t="s" s="11">
        <v>2572</v>
      </c>
      <c r="C113" s="12">
        <v>45372</v>
      </c>
      <c r="D113" t="s" s="13">
        <v>63</v>
      </c>
      <c r="E113" s="16"/>
      <c r="F113" s="14">
        <v>1</v>
      </c>
      <c r="G113" s="15">
        <v>120</v>
      </c>
      <c r="H113" s="15">
        <v>120</v>
      </c>
    </row>
    <row r="114" ht="12.9" customHeight="1">
      <c r="A114" t="s" s="10">
        <v>2571</v>
      </c>
      <c r="B114" t="s" s="11">
        <v>2572</v>
      </c>
      <c r="C114" s="12">
        <v>45372</v>
      </c>
      <c r="D114" t="s" s="13">
        <v>2573</v>
      </c>
      <c r="E114" s="16"/>
      <c r="F114" s="14">
        <v>1</v>
      </c>
      <c r="G114" s="15">
        <v>123</v>
      </c>
      <c r="H114" s="15">
        <v>123</v>
      </c>
    </row>
    <row r="115" ht="12.9" customHeight="1">
      <c r="A115" t="s" s="10">
        <v>2574</v>
      </c>
      <c r="B115" t="s" s="11">
        <v>42</v>
      </c>
      <c r="C115" s="12">
        <v>45372</v>
      </c>
      <c r="D115" t="s" s="13">
        <v>207</v>
      </c>
      <c r="E115" t="s" s="13">
        <v>208</v>
      </c>
      <c r="F115" s="14">
        <v>10</v>
      </c>
      <c r="G115" s="15">
        <v>0</v>
      </c>
      <c r="H115" s="15">
        <v>0</v>
      </c>
    </row>
    <row r="116" ht="12.9" customHeight="1">
      <c r="A116" t="s" s="10">
        <v>2575</v>
      </c>
      <c r="B116" t="s" s="11">
        <v>2382</v>
      </c>
      <c r="C116" s="12">
        <v>45372</v>
      </c>
      <c r="D116" t="s" s="13">
        <v>409</v>
      </c>
      <c r="E116" t="s" s="13">
        <v>409</v>
      </c>
      <c r="F116" s="14">
        <v>2</v>
      </c>
      <c r="G116" s="15">
        <v>0</v>
      </c>
      <c r="H116" s="15">
        <v>0</v>
      </c>
    </row>
    <row r="117" ht="12.9" customHeight="1">
      <c r="A117" t="s" s="10">
        <v>2576</v>
      </c>
      <c r="B117" t="s" s="11">
        <v>2577</v>
      </c>
      <c r="C117" s="12">
        <v>45372</v>
      </c>
      <c r="D117" t="s" s="13">
        <v>35</v>
      </c>
      <c r="E117" t="s" s="13">
        <v>36</v>
      </c>
      <c r="F117" s="14">
        <v>2</v>
      </c>
      <c r="G117" s="15">
        <v>49.99</v>
      </c>
      <c r="H117" s="15">
        <v>99.98</v>
      </c>
    </row>
    <row r="118" ht="12.9" customHeight="1">
      <c r="A118" t="s" s="10">
        <v>2578</v>
      </c>
      <c r="B118" t="s" s="11">
        <v>2579</v>
      </c>
      <c r="C118" s="12">
        <v>45371.813293125</v>
      </c>
      <c r="D118" t="s" s="13">
        <v>31</v>
      </c>
      <c r="E118" t="s" s="13">
        <v>32</v>
      </c>
      <c r="F118" s="14">
        <v>1</v>
      </c>
      <c r="G118" s="15">
        <v>599.99</v>
      </c>
      <c r="H118" s="15">
        <v>599.99</v>
      </c>
    </row>
    <row r="119" ht="12.9" customHeight="1">
      <c r="A119" t="s" s="10">
        <v>2580</v>
      </c>
      <c r="B119" t="s" s="11">
        <v>2581</v>
      </c>
      <c r="C119" s="12">
        <v>45371</v>
      </c>
      <c r="D119" t="s" s="13">
        <v>48</v>
      </c>
      <c r="E119" t="s" s="13">
        <v>49</v>
      </c>
      <c r="F119" s="14">
        <v>8</v>
      </c>
      <c r="G119" s="15">
        <v>974.9924999999999</v>
      </c>
      <c r="H119" s="15">
        <v>7799.94</v>
      </c>
    </row>
    <row r="120" ht="12.9" customHeight="1">
      <c r="A120" t="s" s="10">
        <v>2580</v>
      </c>
      <c r="B120" t="s" s="11">
        <v>2581</v>
      </c>
      <c r="C120" s="12">
        <v>45371</v>
      </c>
      <c r="D120" t="s" s="13">
        <v>50</v>
      </c>
      <c r="E120" t="s" s="13">
        <v>83</v>
      </c>
      <c r="F120" s="14">
        <v>8</v>
      </c>
      <c r="G120" s="15">
        <v>0</v>
      </c>
      <c r="H120" s="15">
        <v>0</v>
      </c>
    </row>
    <row r="121" ht="12.9" customHeight="1">
      <c r="A121" t="s" s="10">
        <v>2580</v>
      </c>
      <c r="B121" t="s" s="11">
        <v>2581</v>
      </c>
      <c r="C121" s="12">
        <v>45371</v>
      </c>
      <c r="D121" t="s" s="13">
        <v>52</v>
      </c>
      <c r="E121" t="s" s="13">
        <v>321</v>
      </c>
      <c r="F121" s="14">
        <v>8</v>
      </c>
      <c r="G121" s="15">
        <v>0</v>
      </c>
      <c r="H121" s="15">
        <v>0</v>
      </c>
    </row>
    <row r="122" ht="12.9" customHeight="1">
      <c r="A122" t="s" s="10">
        <v>2580</v>
      </c>
      <c r="B122" t="s" s="11">
        <v>2581</v>
      </c>
      <c r="C122" s="12">
        <v>45371</v>
      </c>
      <c r="D122" t="s" s="13">
        <v>54</v>
      </c>
      <c r="E122" t="s" s="13">
        <v>93</v>
      </c>
      <c r="F122" s="14">
        <v>8</v>
      </c>
      <c r="G122" s="15">
        <v>0</v>
      </c>
      <c r="H122" s="15">
        <v>0</v>
      </c>
    </row>
    <row r="123" ht="12.9" customHeight="1">
      <c r="A123" t="s" s="10">
        <v>2580</v>
      </c>
      <c r="B123" t="s" s="11">
        <v>2581</v>
      </c>
      <c r="C123" s="12">
        <v>45371</v>
      </c>
      <c r="D123" t="s" s="13">
        <v>359</v>
      </c>
      <c r="E123" t="s" s="13">
        <v>360</v>
      </c>
      <c r="F123" s="14">
        <v>8</v>
      </c>
      <c r="G123" s="15">
        <v>22.4925</v>
      </c>
      <c r="H123" s="15">
        <v>179.94</v>
      </c>
    </row>
    <row r="124" ht="12.9" customHeight="1">
      <c r="A124" t="s" s="10">
        <v>2580</v>
      </c>
      <c r="B124" t="s" s="11">
        <v>2581</v>
      </c>
      <c r="C124" s="12">
        <v>45371</v>
      </c>
      <c r="D124" t="s" s="13">
        <v>354</v>
      </c>
      <c r="E124" t="s" s="13">
        <v>2582</v>
      </c>
      <c r="F124" s="14">
        <v>6</v>
      </c>
      <c r="G124" s="15">
        <v>0</v>
      </c>
      <c r="H124" s="15">
        <v>0</v>
      </c>
    </row>
    <row r="125" ht="12.9" customHeight="1">
      <c r="A125" t="s" s="10">
        <v>2580</v>
      </c>
      <c r="B125" t="s" s="11">
        <v>2581</v>
      </c>
      <c r="C125" s="12">
        <v>45371</v>
      </c>
      <c r="D125" t="s" s="13">
        <v>1479</v>
      </c>
      <c r="E125" t="s" s="13">
        <v>2583</v>
      </c>
      <c r="F125" s="14">
        <v>2</v>
      </c>
      <c r="G125" s="15">
        <v>131.25</v>
      </c>
      <c r="H125" s="15">
        <v>262.5</v>
      </c>
    </row>
    <row r="126" ht="12.9" customHeight="1">
      <c r="A126" t="s" s="10">
        <v>2580</v>
      </c>
      <c r="B126" t="s" s="11">
        <v>2581</v>
      </c>
      <c r="C126" s="12">
        <v>45371</v>
      </c>
      <c r="D126" t="s" s="13">
        <v>227</v>
      </c>
      <c r="E126" t="s" s="13">
        <v>228</v>
      </c>
      <c r="F126" s="14">
        <v>8</v>
      </c>
      <c r="G126" s="15">
        <v>22.4925</v>
      </c>
      <c r="H126" s="15">
        <v>179.94</v>
      </c>
    </row>
    <row r="127" ht="12.9" customHeight="1">
      <c r="A127" t="s" s="10">
        <v>2580</v>
      </c>
      <c r="B127" t="s" s="11">
        <v>2581</v>
      </c>
      <c r="C127" s="12">
        <v>45371</v>
      </c>
      <c r="D127" t="s" s="13">
        <v>982</v>
      </c>
      <c r="E127" t="s" s="13">
        <v>2101</v>
      </c>
      <c r="F127" s="14">
        <v>4</v>
      </c>
      <c r="G127" s="15">
        <v>187.4925</v>
      </c>
      <c r="H127" s="15">
        <v>749.97</v>
      </c>
    </row>
    <row r="128" ht="12.9" customHeight="1">
      <c r="A128" t="s" s="10">
        <v>2580</v>
      </c>
      <c r="B128" t="s" s="11">
        <v>2581</v>
      </c>
      <c r="C128" s="12">
        <v>45371</v>
      </c>
      <c r="D128" t="s" s="13">
        <v>882</v>
      </c>
      <c r="E128" t="s" s="13">
        <v>2584</v>
      </c>
      <c r="F128" s="14">
        <v>12</v>
      </c>
      <c r="G128" s="15">
        <v>56.2425</v>
      </c>
      <c r="H128" s="15">
        <v>674.91</v>
      </c>
    </row>
    <row r="129" ht="12.9" customHeight="1">
      <c r="A129" t="s" s="10">
        <v>2580</v>
      </c>
      <c r="B129" t="s" s="11">
        <v>2581</v>
      </c>
      <c r="C129" s="12">
        <v>45371</v>
      </c>
      <c r="D129" t="s" s="13">
        <v>106</v>
      </c>
      <c r="E129" t="s" s="13">
        <v>502</v>
      </c>
      <c r="F129" s="14">
        <v>12</v>
      </c>
      <c r="G129" s="15">
        <v>48.7425</v>
      </c>
      <c r="H129" s="15">
        <v>584.91</v>
      </c>
    </row>
    <row r="130" ht="12.9" customHeight="1">
      <c r="A130" t="s" s="10">
        <v>2580</v>
      </c>
      <c r="B130" t="s" s="11">
        <v>2581</v>
      </c>
      <c r="C130" s="12">
        <v>45371</v>
      </c>
      <c r="D130" t="s" s="13">
        <v>63</v>
      </c>
      <c r="E130" s="16"/>
      <c r="F130" s="14">
        <v>1</v>
      </c>
      <c r="G130" s="15">
        <v>211.47</v>
      </c>
      <c r="H130" s="15">
        <v>211.47</v>
      </c>
    </row>
    <row r="131" ht="12.9" customHeight="1">
      <c r="A131" t="s" s="10">
        <v>2585</v>
      </c>
      <c r="B131" t="s" s="11">
        <v>329</v>
      </c>
      <c r="C131" s="12">
        <v>45371</v>
      </c>
      <c r="D131" t="s" s="13">
        <v>81</v>
      </c>
      <c r="E131" t="s" s="13">
        <v>82</v>
      </c>
      <c r="F131" s="14">
        <v>12</v>
      </c>
      <c r="G131" s="15">
        <v>637.4924999999999</v>
      </c>
      <c r="H131" s="15">
        <v>7649.91</v>
      </c>
    </row>
    <row r="132" ht="12.9" customHeight="1">
      <c r="A132" t="s" s="10">
        <v>2585</v>
      </c>
      <c r="B132" t="s" s="11">
        <v>329</v>
      </c>
      <c r="C132" s="12">
        <v>45371</v>
      </c>
      <c r="D132" t="s" s="13">
        <v>50</v>
      </c>
      <c r="E132" t="s" s="13">
        <v>83</v>
      </c>
      <c r="F132" s="14">
        <v>12</v>
      </c>
      <c r="G132" s="15">
        <v>0</v>
      </c>
      <c r="H132" s="15">
        <v>0</v>
      </c>
    </row>
    <row r="133" ht="12.9" customHeight="1">
      <c r="A133" t="s" s="10">
        <v>2585</v>
      </c>
      <c r="B133" t="s" s="11">
        <v>329</v>
      </c>
      <c r="C133" s="12">
        <v>45371</v>
      </c>
      <c r="D133" t="s" s="13">
        <v>54</v>
      </c>
      <c r="E133" t="s" s="13">
        <v>93</v>
      </c>
      <c r="F133" s="14">
        <v>12</v>
      </c>
      <c r="G133" s="15">
        <v>0</v>
      </c>
      <c r="H133" s="15">
        <v>0</v>
      </c>
    </row>
    <row r="134" ht="12.9" customHeight="1">
      <c r="A134" t="s" s="10">
        <v>2585</v>
      </c>
      <c r="B134" t="s" s="11">
        <v>329</v>
      </c>
      <c r="C134" s="12">
        <v>45371</v>
      </c>
      <c r="D134" t="s" s="13">
        <v>23</v>
      </c>
      <c r="E134" t="s" s="13">
        <v>24</v>
      </c>
      <c r="F134" s="14">
        <v>12</v>
      </c>
      <c r="G134" s="15">
        <v>0</v>
      </c>
      <c r="H134" s="15">
        <v>0</v>
      </c>
    </row>
    <row r="135" ht="12.9" customHeight="1">
      <c r="A135" t="s" s="10">
        <v>2585</v>
      </c>
      <c r="B135" t="s" s="11">
        <v>329</v>
      </c>
      <c r="C135" s="12">
        <v>45371</v>
      </c>
      <c r="D135" t="s" s="13">
        <v>133</v>
      </c>
      <c r="E135" t="s" s="13">
        <v>134</v>
      </c>
      <c r="F135" s="14">
        <v>12</v>
      </c>
      <c r="G135" s="15">
        <v>149.9925</v>
      </c>
      <c r="H135" s="15">
        <v>1799.91</v>
      </c>
    </row>
    <row r="136" ht="12.9" customHeight="1">
      <c r="A136" t="s" s="10">
        <v>2585</v>
      </c>
      <c r="B136" t="s" s="11">
        <v>329</v>
      </c>
      <c r="C136" s="12">
        <v>45371</v>
      </c>
      <c r="D136" t="s" s="13">
        <v>77</v>
      </c>
      <c r="E136" t="s" s="13">
        <v>78</v>
      </c>
      <c r="F136" s="14">
        <v>12</v>
      </c>
      <c r="G136" s="15">
        <v>14.9925</v>
      </c>
      <c r="H136" s="15">
        <v>179.91</v>
      </c>
    </row>
    <row r="137" ht="12.9" customHeight="1">
      <c r="A137" t="s" s="10">
        <v>2585</v>
      </c>
      <c r="B137" t="s" s="11">
        <v>329</v>
      </c>
      <c r="C137" s="12">
        <v>45371</v>
      </c>
      <c r="D137" t="s" s="13">
        <v>179</v>
      </c>
      <c r="E137" t="s" s="13">
        <v>180</v>
      </c>
      <c r="F137" s="14">
        <v>12</v>
      </c>
      <c r="G137" s="15">
        <v>37.4925</v>
      </c>
      <c r="H137" s="15">
        <v>449.91</v>
      </c>
    </row>
    <row r="138" ht="12.9" customHeight="1">
      <c r="A138" t="s" s="10">
        <v>2585</v>
      </c>
      <c r="B138" t="s" s="11">
        <v>329</v>
      </c>
      <c r="C138" s="12">
        <v>45371</v>
      </c>
      <c r="D138" t="s" s="13">
        <v>27</v>
      </c>
      <c r="E138" t="s" s="13">
        <v>28</v>
      </c>
      <c r="F138" s="14">
        <v>2</v>
      </c>
      <c r="G138" s="15">
        <v>59.9925</v>
      </c>
      <c r="H138" s="15">
        <v>119.985</v>
      </c>
    </row>
    <row r="139" ht="12.9" customHeight="1">
      <c r="A139" t="s" s="10">
        <v>2585</v>
      </c>
      <c r="B139" t="s" s="11">
        <v>329</v>
      </c>
      <c r="C139" s="12">
        <v>45371</v>
      </c>
      <c r="D139" t="s" s="13">
        <v>59</v>
      </c>
      <c r="E139" t="s" s="13">
        <v>60</v>
      </c>
      <c r="F139" s="14">
        <v>1</v>
      </c>
      <c r="G139" s="15">
        <v>899.9924999999999</v>
      </c>
      <c r="H139" s="15">
        <v>899.9924999999999</v>
      </c>
    </row>
    <row r="140" ht="12.9" customHeight="1">
      <c r="A140" t="s" s="10">
        <v>2585</v>
      </c>
      <c r="B140" t="s" s="11">
        <v>329</v>
      </c>
      <c r="C140" s="12">
        <v>45371</v>
      </c>
      <c r="D140" t="s" s="13">
        <v>115</v>
      </c>
      <c r="E140" t="s" s="13">
        <v>1856</v>
      </c>
      <c r="F140" s="14">
        <v>20</v>
      </c>
      <c r="G140" s="15">
        <v>17.2425</v>
      </c>
      <c r="H140" s="15">
        <v>344.85</v>
      </c>
    </row>
    <row r="141" ht="12.9" customHeight="1">
      <c r="A141" t="s" s="10">
        <v>2585</v>
      </c>
      <c r="B141" t="s" s="11">
        <v>329</v>
      </c>
      <c r="C141" s="12">
        <v>45371</v>
      </c>
      <c r="D141" t="s" s="13">
        <v>2586</v>
      </c>
      <c r="E141" s="16"/>
      <c r="F141" s="14">
        <v>1</v>
      </c>
      <c r="G141" s="15">
        <v>343.3338</v>
      </c>
      <c r="H141" s="15">
        <v>343.3338</v>
      </c>
    </row>
    <row r="142" ht="12.9" customHeight="1">
      <c r="A142" t="s" s="10">
        <v>2585</v>
      </c>
      <c r="B142" t="s" s="11">
        <v>329</v>
      </c>
      <c r="C142" s="12">
        <v>45371</v>
      </c>
      <c r="D142" t="s" s="13">
        <v>47</v>
      </c>
      <c r="E142" s="16"/>
      <c r="F142" s="14">
        <v>1</v>
      </c>
      <c r="G142" s="15">
        <v>572.63</v>
      </c>
      <c r="H142" s="15">
        <v>572.63</v>
      </c>
    </row>
    <row r="143" ht="12.9" customHeight="1">
      <c r="A143" t="s" s="10">
        <v>2587</v>
      </c>
      <c r="B143" t="s" s="11">
        <v>42</v>
      </c>
      <c r="C143" s="12">
        <v>45371</v>
      </c>
      <c r="D143" t="s" s="13">
        <v>315</v>
      </c>
      <c r="E143" t="s" s="13">
        <v>316</v>
      </c>
      <c r="F143" s="14">
        <v>1000</v>
      </c>
      <c r="G143" s="15">
        <v>1</v>
      </c>
      <c r="H143" s="15">
        <v>1000</v>
      </c>
    </row>
    <row r="144" ht="12.9" customHeight="1">
      <c r="A144" t="s" s="10">
        <v>2587</v>
      </c>
      <c r="B144" t="s" s="11">
        <v>42</v>
      </c>
      <c r="C144" s="12">
        <v>45371</v>
      </c>
      <c r="D144" t="s" s="13">
        <v>63</v>
      </c>
      <c r="E144" s="16"/>
      <c r="F144" s="14">
        <v>1</v>
      </c>
      <c r="G144" s="15">
        <v>16.5</v>
      </c>
      <c r="H144" s="15">
        <v>16.5</v>
      </c>
    </row>
    <row r="145" ht="12.9" customHeight="1">
      <c r="A145" t="s" s="10">
        <v>2588</v>
      </c>
      <c r="B145" t="s" s="11">
        <v>865</v>
      </c>
      <c r="C145" s="12">
        <v>45370.826219537033</v>
      </c>
      <c r="D145" t="s" s="13">
        <v>35</v>
      </c>
      <c r="E145" t="s" s="13">
        <v>36</v>
      </c>
      <c r="F145" s="14">
        <v>1</v>
      </c>
      <c r="G145" s="15">
        <v>49.99</v>
      </c>
      <c r="H145" s="15">
        <v>49.99</v>
      </c>
    </row>
    <row r="146" ht="12.9" customHeight="1">
      <c r="A146" t="s" s="10">
        <v>2588</v>
      </c>
      <c r="B146" t="s" s="11">
        <v>865</v>
      </c>
      <c r="C146" s="12">
        <v>45370.826219537033</v>
      </c>
      <c r="D146" t="s" s="13">
        <v>89</v>
      </c>
      <c r="E146" t="s" s="13">
        <v>90</v>
      </c>
      <c r="F146" s="14">
        <v>2</v>
      </c>
      <c r="G146" s="15">
        <v>59.99</v>
      </c>
      <c r="H146" s="15">
        <v>119.98</v>
      </c>
    </row>
    <row r="147" ht="12.9" customHeight="1">
      <c r="A147" t="s" s="10">
        <v>2588</v>
      </c>
      <c r="B147" t="s" s="11">
        <v>865</v>
      </c>
      <c r="C147" s="12">
        <v>45370.826219537033</v>
      </c>
      <c r="D147" t="s" s="13">
        <v>19</v>
      </c>
      <c r="E147" t="s" s="13">
        <v>20</v>
      </c>
      <c r="F147" s="14">
        <v>1</v>
      </c>
      <c r="G147" s="15">
        <v>119.99</v>
      </c>
      <c r="H147" s="15">
        <v>119.99</v>
      </c>
    </row>
    <row r="148" ht="12.9" customHeight="1">
      <c r="A148" t="s" s="10">
        <v>2589</v>
      </c>
      <c r="B148" t="s" s="11">
        <v>1492</v>
      </c>
      <c r="C148" s="12">
        <v>45370.798940115739</v>
      </c>
      <c r="D148" t="s" s="13">
        <v>59</v>
      </c>
      <c r="E148" t="s" s="13">
        <v>60</v>
      </c>
      <c r="F148" s="14">
        <v>1</v>
      </c>
      <c r="G148" s="15">
        <v>1199.99</v>
      </c>
      <c r="H148" s="15">
        <v>1199.99</v>
      </c>
    </row>
    <row r="149" ht="12.9" customHeight="1">
      <c r="A149" t="s" s="10">
        <v>2590</v>
      </c>
      <c r="B149" t="s" s="11">
        <v>1517</v>
      </c>
      <c r="C149" s="12">
        <v>45370.614281597220</v>
      </c>
      <c r="D149" t="s" s="13">
        <v>15</v>
      </c>
      <c r="E149" t="s" s="13">
        <v>16</v>
      </c>
      <c r="F149" s="14">
        <v>2</v>
      </c>
      <c r="G149" s="15">
        <v>9.99</v>
      </c>
      <c r="H149" s="15">
        <v>19.98</v>
      </c>
    </row>
    <row r="150" ht="12.9" customHeight="1">
      <c r="A150" t="s" s="10">
        <v>2591</v>
      </c>
      <c r="B150" t="s" s="11">
        <v>2592</v>
      </c>
      <c r="C150" s="12">
        <v>45370.569159641207</v>
      </c>
      <c r="D150" t="s" s="13">
        <v>89</v>
      </c>
      <c r="E150" t="s" s="13">
        <v>90</v>
      </c>
      <c r="F150" s="14">
        <v>2</v>
      </c>
      <c r="G150" s="15">
        <v>59.99</v>
      </c>
      <c r="H150" s="15">
        <v>119.98</v>
      </c>
    </row>
    <row r="151" ht="12.9" customHeight="1">
      <c r="A151" t="s" s="10">
        <v>2593</v>
      </c>
      <c r="B151" t="s" s="11">
        <v>2594</v>
      </c>
      <c r="C151" s="12">
        <v>45370.156157152778</v>
      </c>
      <c r="D151" t="s" s="13">
        <v>31</v>
      </c>
      <c r="E151" t="s" s="13">
        <v>32</v>
      </c>
      <c r="F151" s="14">
        <v>1</v>
      </c>
      <c r="G151" s="15">
        <v>599.99</v>
      </c>
      <c r="H151" s="15">
        <v>599.99</v>
      </c>
    </row>
    <row r="152" ht="12.9" customHeight="1">
      <c r="A152" t="s" s="10">
        <v>2595</v>
      </c>
      <c r="B152" t="s" s="11">
        <v>2596</v>
      </c>
      <c r="C152" s="12">
        <v>45370.094316724535</v>
      </c>
      <c r="D152" t="s" s="13">
        <v>54</v>
      </c>
      <c r="E152" t="s" s="13">
        <v>93</v>
      </c>
      <c r="F152" s="14">
        <v>1</v>
      </c>
      <c r="G152" s="15">
        <v>9.99</v>
      </c>
      <c r="H152" s="15">
        <v>9.99</v>
      </c>
    </row>
    <row r="153" ht="12.9" customHeight="1">
      <c r="A153" t="s" s="10">
        <v>2597</v>
      </c>
      <c r="B153" t="s" s="11">
        <v>2598</v>
      </c>
      <c r="C153" s="12">
        <v>45370.075874930553</v>
      </c>
      <c r="D153" t="s" s="13">
        <v>239</v>
      </c>
      <c r="E153" t="s" s="13">
        <v>240</v>
      </c>
      <c r="F153" s="14">
        <v>2</v>
      </c>
      <c r="G153" s="15">
        <v>99.98999999999999</v>
      </c>
      <c r="H153" s="15">
        <v>199.98</v>
      </c>
    </row>
    <row r="154" ht="12.9" customHeight="1">
      <c r="A154" t="s" s="10">
        <v>2597</v>
      </c>
      <c r="B154" t="s" s="11">
        <v>2598</v>
      </c>
      <c r="C154" s="12">
        <v>45370.075874930553</v>
      </c>
      <c r="D154" t="s" s="13">
        <v>84</v>
      </c>
      <c r="E154" t="s" s="13">
        <v>85</v>
      </c>
      <c r="F154" s="14">
        <v>2</v>
      </c>
      <c r="G154" s="15">
        <v>9.99</v>
      </c>
      <c r="H154" s="15">
        <v>19.98</v>
      </c>
    </row>
    <row r="155" ht="12.9" customHeight="1">
      <c r="A155" t="s" s="10">
        <v>2599</v>
      </c>
      <c r="B155" t="s" s="11">
        <v>2577</v>
      </c>
      <c r="C155" s="12">
        <v>45370</v>
      </c>
      <c r="D155" t="s" s="13">
        <v>171</v>
      </c>
      <c r="E155" t="s" s="13">
        <v>172</v>
      </c>
      <c r="F155" s="14">
        <v>2</v>
      </c>
      <c r="G155" s="15">
        <v>549.99</v>
      </c>
      <c r="H155" s="15">
        <v>1099.98</v>
      </c>
    </row>
    <row r="156" ht="12.9" customHeight="1">
      <c r="A156" t="s" s="10">
        <v>2599</v>
      </c>
      <c r="B156" t="s" s="11">
        <v>2577</v>
      </c>
      <c r="C156" s="12">
        <v>45370</v>
      </c>
      <c r="D156" t="s" s="13">
        <v>442</v>
      </c>
      <c r="E156" s="16"/>
      <c r="F156" s="14">
        <v>1</v>
      </c>
      <c r="G156" s="15">
        <v>-50</v>
      </c>
      <c r="H156" s="15">
        <v>-50</v>
      </c>
    </row>
    <row r="157" ht="12.9" customHeight="1">
      <c r="A157" t="s" s="10">
        <v>2600</v>
      </c>
      <c r="B157" t="s" s="11">
        <v>592</v>
      </c>
      <c r="C157" s="12">
        <v>45370</v>
      </c>
      <c r="D157" t="s" s="13">
        <v>2512</v>
      </c>
      <c r="E157" t="s" s="13">
        <v>2512</v>
      </c>
      <c r="F157" s="14">
        <v>20</v>
      </c>
      <c r="G157" s="15">
        <v>0</v>
      </c>
      <c r="H157" s="15">
        <v>0</v>
      </c>
    </row>
    <row r="158" ht="12.9" customHeight="1">
      <c r="A158" t="s" s="10">
        <v>2601</v>
      </c>
      <c r="B158" t="s" s="11">
        <v>298</v>
      </c>
      <c r="C158" s="12">
        <v>45369.864274537038</v>
      </c>
      <c r="D158" t="s" s="13">
        <v>77</v>
      </c>
      <c r="E158" t="s" s="13">
        <v>78</v>
      </c>
      <c r="F158" s="14">
        <v>4</v>
      </c>
      <c r="G158" s="15">
        <v>19.99</v>
      </c>
      <c r="H158" s="15">
        <v>79.95999999999999</v>
      </c>
    </row>
    <row r="159" ht="12.9" customHeight="1">
      <c r="A159" t="s" s="10">
        <v>2601</v>
      </c>
      <c r="B159" t="s" s="11">
        <v>298</v>
      </c>
      <c r="C159" s="12">
        <v>45369.864274537038</v>
      </c>
      <c r="D159" t="s" s="13">
        <v>359</v>
      </c>
      <c r="E159" t="s" s="13">
        <v>360</v>
      </c>
      <c r="F159" s="14">
        <v>6</v>
      </c>
      <c r="G159" s="15">
        <v>29.99</v>
      </c>
      <c r="H159" s="15">
        <v>179.94</v>
      </c>
    </row>
    <row r="160" ht="12.9" customHeight="1">
      <c r="A160" t="s" s="10">
        <v>2601</v>
      </c>
      <c r="B160" t="s" s="11">
        <v>298</v>
      </c>
      <c r="C160" s="12">
        <v>45369.864274537038</v>
      </c>
      <c r="D160" t="s" s="13">
        <v>412</v>
      </c>
      <c r="E160" t="s" s="13">
        <v>413</v>
      </c>
      <c r="F160" s="14">
        <v>10</v>
      </c>
      <c r="G160" s="15">
        <v>1.99</v>
      </c>
      <c r="H160" s="15">
        <v>19.9</v>
      </c>
    </row>
    <row r="161" ht="12.9" customHeight="1">
      <c r="A161" t="s" s="10">
        <v>2602</v>
      </c>
      <c r="B161" t="s" s="11">
        <v>2603</v>
      </c>
      <c r="C161" s="12">
        <v>45369.2847675</v>
      </c>
      <c r="D161" t="s" s="13">
        <v>35</v>
      </c>
      <c r="E161" t="s" s="13">
        <v>36</v>
      </c>
      <c r="F161" s="14">
        <v>1</v>
      </c>
      <c r="G161" s="15">
        <v>49.99</v>
      </c>
      <c r="H161" s="15">
        <v>49.99</v>
      </c>
    </row>
    <row r="162" ht="12.9" customHeight="1">
      <c r="A162" t="s" s="10">
        <v>2604</v>
      </c>
      <c r="B162" t="s" s="11">
        <v>2605</v>
      </c>
      <c r="C162" s="12">
        <v>45369.242387037040</v>
      </c>
      <c r="D162" t="s" s="13">
        <v>15</v>
      </c>
      <c r="E162" t="s" s="13">
        <v>16</v>
      </c>
      <c r="F162" s="14">
        <v>2</v>
      </c>
      <c r="G162" s="15">
        <v>9.99</v>
      </c>
      <c r="H162" s="15">
        <v>19.98</v>
      </c>
    </row>
    <row r="163" ht="12.9" customHeight="1">
      <c r="A163" t="s" s="10">
        <v>2606</v>
      </c>
      <c r="B163" t="s" s="11">
        <v>2202</v>
      </c>
      <c r="C163" s="12">
        <v>45369.072426284722</v>
      </c>
      <c r="D163" t="s" s="13">
        <v>95</v>
      </c>
      <c r="E163" t="s" s="13">
        <v>12</v>
      </c>
      <c r="F163" s="14">
        <v>1</v>
      </c>
      <c r="G163" s="15">
        <v>349.99</v>
      </c>
      <c r="H163" s="15">
        <v>349.99</v>
      </c>
    </row>
    <row r="164" ht="12.9" customHeight="1">
      <c r="A164" t="s" s="10">
        <v>2607</v>
      </c>
      <c r="B164" t="s" s="11">
        <v>2056</v>
      </c>
      <c r="C164" s="12">
        <v>45368.114500081021</v>
      </c>
      <c r="D164" t="s" s="13">
        <v>35</v>
      </c>
      <c r="E164" t="s" s="13">
        <v>36</v>
      </c>
      <c r="F164" s="14">
        <v>2</v>
      </c>
      <c r="G164" s="15">
        <v>49.99</v>
      </c>
      <c r="H164" s="15">
        <v>99.98</v>
      </c>
    </row>
    <row r="165" ht="12.9" customHeight="1">
      <c r="A165" t="s" s="10">
        <v>2608</v>
      </c>
      <c r="B165" t="s" s="11">
        <v>1140</v>
      </c>
      <c r="C165" s="12">
        <v>45367.101809814812</v>
      </c>
      <c r="D165" t="s" s="13">
        <v>48</v>
      </c>
      <c r="E165" t="s" s="13">
        <v>49</v>
      </c>
      <c r="F165" s="14">
        <v>4</v>
      </c>
      <c r="G165" s="15">
        <v>1299.99</v>
      </c>
      <c r="H165" s="15">
        <v>5199.96</v>
      </c>
    </row>
    <row r="166" ht="12.9" customHeight="1">
      <c r="A166" t="s" s="10">
        <v>2608</v>
      </c>
      <c r="B166" t="s" s="11">
        <v>1140</v>
      </c>
      <c r="C166" s="12">
        <v>45367.101809814812</v>
      </c>
      <c r="D166" t="s" s="13">
        <v>50</v>
      </c>
      <c r="E166" t="s" s="13">
        <v>83</v>
      </c>
      <c r="F166" s="14">
        <v>4</v>
      </c>
      <c r="G166" s="15">
        <v>0</v>
      </c>
      <c r="H166" s="15">
        <v>0</v>
      </c>
    </row>
    <row r="167" ht="12.9" customHeight="1">
      <c r="A167" t="s" s="10">
        <v>2608</v>
      </c>
      <c r="B167" t="s" s="11">
        <v>1140</v>
      </c>
      <c r="C167" s="12">
        <v>45367.101809814812</v>
      </c>
      <c r="D167" t="s" s="13">
        <v>52</v>
      </c>
      <c r="E167" t="s" s="13">
        <v>321</v>
      </c>
      <c r="F167" s="14">
        <v>4</v>
      </c>
      <c r="G167" s="15">
        <v>0</v>
      </c>
      <c r="H167" s="15">
        <v>0</v>
      </c>
    </row>
    <row r="168" ht="12.9" customHeight="1">
      <c r="A168" t="s" s="10">
        <v>2608</v>
      </c>
      <c r="B168" t="s" s="11">
        <v>1140</v>
      </c>
      <c r="C168" s="12">
        <v>45367.101809814812</v>
      </c>
      <c r="D168" t="s" s="13">
        <v>84</v>
      </c>
      <c r="E168" t="s" s="13">
        <v>85</v>
      </c>
      <c r="F168" s="14">
        <v>4</v>
      </c>
      <c r="G168" s="15">
        <v>0</v>
      </c>
      <c r="H168" s="15">
        <v>0</v>
      </c>
    </row>
    <row r="169" ht="12.9" customHeight="1">
      <c r="A169" t="s" s="10">
        <v>2608</v>
      </c>
      <c r="B169" t="s" s="11">
        <v>1140</v>
      </c>
      <c r="C169" s="12">
        <v>45367.101809814812</v>
      </c>
      <c r="D169" t="s" s="13">
        <v>133</v>
      </c>
      <c r="E169" t="s" s="13">
        <v>134</v>
      </c>
      <c r="F169" s="14">
        <v>4</v>
      </c>
      <c r="G169" s="15">
        <v>50</v>
      </c>
      <c r="H169" s="15">
        <v>200</v>
      </c>
    </row>
    <row r="170" ht="12.9" customHeight="1">
      <c r="A170" t="s" s="10">
        <v>2608</v>
      </c>
      <c r="B170" t="s" s="11">
        <v>1140</v>
      </c>
      <c r="C170" s="12">
        <v>45367.101809814812</v>
      </c>
      <c r="D170" t="s" s="13">
        <v>19</v>
      </c>
      <c r="E170" t="s" s="13">
        <v>20</v>
      </c>
      <c r="F170" s="14">
        <v>6</v>
      </c>
      <c r="G170" s="15">
        <v>119.99</v>
      </c>
      <c r="H170" s="15">
        <v>719.9400000000001</v>
      </c>
    </row>
    <row r="171" ht="12.9" customHeight="1">
      <c r="A171" t="s" s="10">
        <v>2608</v>
      </c>
      <c r="B171" t="s" s="11">
        <v>1140</v>
      </c>
      <c r="C171" s="12">
        <v>45367.101809814812</v>
      </c>
      <c r="D171" t="s" s="13">
        <v>487</v>
      </c>
      <c r="E171" t="s" s="13">
        <v>488</v>
      </c>
      <c r="F171" s="14">
        <v>7</v>
      </c>
      <c r="G171" s="15">
        <v>109.99</v>
      </c>
      <c r="H171" s="15">
        <v>769.9299999999999</v>
      </c>
    </row>
    <row r="172" ht="12.9" customHeight="1">
      <c r="A172" t="s" s="10">
        <v>2609</v>
      </c>
      <c r="B172" t="s" s="11">
        <v>2610</v>
      </c>
      <c r="C172" s="12">
        <v>45366.841235717591</v>
      </c>
      <c r="D172" t="s" s="13">
        <v>35</v>
      </c>
      <c r="E172" t="s" s="13">
        <v>36</v>
      </c>
      <c r="F172" s="14">
        <v>5</v>
      </c>
      <c r="G172" s="15">
        <v>49.99</v>
      </c>
      <c r="H172" s="15">
        <v>249.95</v>
      </c>
    </row>
    <row r="173" ht="12.9" customHeight="1">
      <c r="A173" t="s" s="10">
        <v>2611</v>
      </c>
      <c r="B173" t="s" s="11">
        <v>2612</v>
      </c>
      <c r="C173" s="12">
        <v>45366.833088194442</v>
      </c>
      <c r="D173" t="s" s="13">
        <v>146</v>
      </c>
      <c r="E173" t="s" s="13">
        <v>147</v>
      </c>
      <c r="F173" s="14">
        <v>2</v>
      </c>
      <c r="G173" s="15">
        <v>19.99</v>
      </c>
      <c r="H173" s="15">
        <v>39.98</v>
      </c>
    </row>
    <row r="174" ht="12.9" customHeight="1">
      <c r="A174" t="s" s="10">
        <v>2611</v>
      </c>
      <c r="B174" t="s" s="11">
        <v>2612</v>
      </c>
      <c r="C174" s="12">
        <v>45366.833088194442</v>
      </c>
      <c r="D174" t="s" s="13">
        <v>19</v>
      </c>
      <c r="E174" t="s" s="13">
        <v>20</v>
      </c>
      <c r="F174" s="14">
        <v>2</v>
      </c>
      <c r="G174" s="15">
        <v>119.99</v>
      </c>
      <c r="H174" s="15">
        <v>239.98</v>
      </c>
    </row>
    <row r="175" ht="12.9" customHeight="1">
      <c r="A175" t="s" s="10">
        <v>2613</v>
      </c>
      <c r="B175" t="s" s="11">
        <v>2056</v>
      </c>
      <c r="C175" s="12">
        <v>45366.800374988423</v>
      </c>
      <c r="D175" t="s" s="13">
        <v>31</v>
      </c>
      <c r="E175" t="s" s="13">
        <v>32</v>
      </c>
      <c r="F175" s="14">
        <v>1</v>
      </c>
      <c r="G175" s="15">
        <v>599.99</v>
      </c>
      <c r="H175" s="15">
        <v>599.99</v>
      </c>
    </row>
    <row r="176" ht="12.9" customHeight="1">
      <c r="A176" t="s" s="10">
        <v>2614</v>
      </c>
      <c r="B176" t="s" s="11">
        <v>2084</v>
      </c>
      <c r="C176" s="12">
        <v>45366.640535694445</v>
      </c>
      <c r="D176" t="s" s="13">
        <v>1695</v>
      </c>
      <c r="E176" t="s" s="13">
        <v>140</v>
      </c>
      <c r="F176" s="14">
        <v>1</v>
      </c>
      <c r="G176" s="15">
        <v>49.99</v>
      </c>
      <c r="H176" s="15">
        <v>49.99</v>
      </c>
    </row>
    <row r="177" ht="12.9" customHeight="1">
      <c r="A177" t="s" s="10">
        <v>2614</v>
      </c>
      <c r="B177" t="s" s="11">
        <v>2084</v>
      </c>
      <c r="C177" s="12">
        <v>45366.640535694445</v>
      </c>
      <c r="D177" t="s" s="13">
        <v>15</v>
      </c>
      <c r="E177" t="s" s="13">
        <v>16</v>
      </c>
      <c r="F177" s="14">
        <v>1</v>
      </c>
      <c r="G177" s="15">
        <v>0</v>
      </c>
      <c r="H177" s="15">
        <v>0</v>
      </c>
    </row>
    <row r="178" ht="12.9" customHeight="1">
      <c r="A178" t="s" s="10">
        <v>2614</v>
      </c>
      <c r="B178" t="s" s="11">
        <v>2084</v>
      </c>
      <c r="C178" s="12">
        <v>45366.640535694445</v>
      </c>
      <c r="D178" t="s" s="13">
        <v>15</v>
      </c>
      <c r="E178" t="s" s="13">
        <v>16</v>
      </c>
      <c r="F178" s="14">
        <v>1</v>
      </c>
      <c r="G178" s="15">
        <v>9.99</v>
      </c>
      <c r="H178" s="15">
        <v>9.99</v>
      </c>
    </row>
    <row r="179" ht="12.9" customHeight="1">
      <c r="A179" t="s" s="10">
        <v>2614</v>
      </c>
      <c r="B179" t="s" s="11">
        <v>2084</v>
      </c>
      <c r="C179" s="12">
        <v>45366.640535694445</v>
      </c>
      <c r="D179" t="s" s="13">
        <v>54</v>
      </c>
      <c r="E179" t="s" s="13">
        <v>93</v>
      </c>
      <c r="F179" s="14">
        <v>1</v>
      </c>
      <c r="G179" s="15">
        <v>9.99</v>
      </c>
      <c r="H179" s="15">
        <v>9.99</v>
      </c>
    </row>
    <row r="180" ht="12.9" customHeight="1">
      <c r="A180" t="s" s="10">
        <v>2614</v>
      </c>
      <c r="B180" t="s" s="11">
        <v>2084</v>
      </c>
      <c r="C180" s="12">
        <v>45366.640535694445</v>
      </c>
      <c r="D180" t="s" s="13">
        <v>19</v>
      </c>
      <c r="E180" t="s" s="13">
        <v>20</v>
      </c>
      <c r="F180" s="14">
        <v>1</v>
      </c>
      <c r="G180" s="15">
        <v>119.99</v>
      </c>
      <c r="H180" s="15">
        <v>119.99</v>
      </c>
    </row>
    <row r="181" ht="12.9" customHeight="1">
      <c r="A181" t="s" s="10">
        <v>2614</v>
      </c>
      <c r="B181" t="s" s="11">
        <v>2084</v>
      </c>
      <c r="C181" s="12">
        <v>45366.640535694445</v>
      </c>
      <c r="D181" t="s" s="13">
        <v>31</v>
      </c>
      <c r="E181" t="s" s="13">
        <v>32</v>
      </c>
      <c r="F181" s="14">
        <v>2</v>
      </c>
      <c r="G181" s="15">
        <v>599.99</v>
      </c>
      <c r="H181" s="15">
        <v>1199.98</v>
      </c>
    </row>
    <row r="182" ht="12.9" customHeight="1">
      <c r="A182" t="s" s="10">
        <v>2615</v>
      </c>
      <c r="B182" t="s" s="11">
        <v>476</v>
      </c>
      <c r="C182" s="12">
        <v>45366</v>
      </c>
      <c r="D182" t="s" s="13">
        <v>2616</v>
      </c>
      <c r="E182" t="s" s="13">
        <v>2617</v>
      </c>
      <c r="F182" s="14">
        <v>10</v>
      </c>
      <c r="G182" s="15">
        <v>0</v>
      </c>
      <c r="H182" s="15">
        <v>0</v>
      </c>
    </row>
    <row r="183" ht="12.9" customHeight="1">
      <c r="A183" t="s" s="10">
        <v>2618</v>
      </c>
      <c r="B183" t="s" s="11">
        <v>2323</v>
      </c>
      <c r="C183" s="12">
        <v>45366</v>
      </c>
      <c r="D183" t="s" s="13">
        <v>1236</v>
      </c>
      <c r="E183" t="s" s="13">
        <v>1237</v>
      </c>
      <c r="F183" s="14">
        <v>1</v>
      </c>
      <c r="G183" s="15">
        <v>0</v>
      </c>
      <c r="H183" s="15">
        <v>0</v>
      </c>
    </row>
    <row r="184" ht="12.9" customHeight="1">
      <c r="A184" t="s" s="10">
        <v>2618</v>
      </c>
      <c r="B184" t="s" s="11">
        <v>2323</v>
      </c>
      <c r="C184" s="12">
        <v>45366</v>
      </c>
      <c r="D184" t="s" s="13">
        <v>762</v>
      </c>
      <c r="E184" t="s" s="13">
        <v>763</v>
      </c>
      <c r="F184" s="14">
        <v>2</v>
      </c>
      <c r="G184" s="15">
        <v>0</v>
      </c>
      <c r="H184" s="15">
        <v>0</v>
      </c>
    </row>
    <row r="185" ht="12.9" customHeight="1">
      <c r="A185" t="s" s="10">
        <v>2619</v>
      </c>
      <c r="B185" t="s" s="11">
        <v>1033</v>
      </c>
      <c r="C185" s="12">
        <v>45365.973830740739</v>
      </c>
      <c r="D185" t="s" s="13">
        <v>1695</v>
      </c>
      <c r="E185" t="s" s="13">
        <v>140</v>
      </c>
      <c r="F185" s="14">
        <v>1</v>
      </c>
      <c r="G185" s="15">
        <v>49.99</v>
      </c>
      <c r="H185" s="15">
        <v>49.99</v>
      </c>
    </row>
    <row r="186" ht="12.9" customHeight="1">
      <c r="A186" t="s" s="10">
        <v>2619</v>
      </c>
      <c r="B186" t="s" s="11">
        <v>1033</v>
      </c>
      <c r="C186" s="12">
        <v>45365.973830740739</v>
      </c>
      <c r="D186" t="s" s="13">
        <v>15</v>
      </c>
      <c r="E186" t="s" s="13">
        <v>16</v>
      </c>
      <c r="F186" s="14">
        <v>1</v>
      </c>
      <c r="G186" s="15">
        <v>0</v>
      </c>
      <c r="H186" s="15">
        <v>0</v>
      </c>
    </row>
    <row r="187" ht="12.9" customHeight="1">
      <c r="A187" t="s" s="10">
        <v>2620</v>
      </c>
      <c r="B187" t="s" s="11">
        <v>2621</v>
      </c>
      <c r="C187" s="12">
        <v>45365.679731030090</v>
      </c>
      <c r="D187" t="s" s="13">
        <v>11</v>
      </c>
      <c r="E187" t="s" s="13">
        <v>12</v>
      </c>
      <c r="F187" s="14">
        <v>1</v>
      </c>
      <c r="G187" s="15">
        <v>399.99</v>
      </c>
      <c r="H187" s="15">
        <v>399.99</v>
      </c>
    </row>
    <row r="188" ht="12.9" customHeight="1">
      <c r="A188" t="s" s="10">
        <v>2622</v>
      </c>
      <c r="B188" t="s" s="11">
        <v>789</v>
      </c>
      <c r="C188" s="12">
        <v>45365.677086539348</v>
      </c>
      <c r="D188" t="s" s="13">
        <v>39</v>
      </c>
      <c r="E188" t="s" s="13">
        <v>40</v>
      </c>
      <c r="F188" s="14">
        <v>2</v>
      </c>
      <c r="G188" s="15">
        <v>109.99</v>
      </c>
      <c r="H188" s="15">
        <v>219.98</v>
      </c>
    </row>
    <row r="189" ht="12.9" customHeight="1">
      <c r="A189" t="s" s="10">
        <v>2622</v>
      </c>
      <c r="B189" t="s" s="11">
        <v>789</v>
      </c>
      <c r="C189" s="12">
        <v>45365.677086539348</v>
      </c>
      <c r="D189" t="s" s="13">
        <v>77</v>
      </c>
      <c r="E189" t="s" s="13">
        <v>78</v>
      </c>
      <c r="F189" s="14">
        <v>2</v>
      </c>
      <c r="G189" s="15">
        <v>19.99</v>
      </c>
      <c r="H189" s="15">
        <v>39.98</v>
      </c>
    </row>
    <row r="190" ht="12.9" customHeight="1">
      <c r="A190" t="s" s="10">
        <v>2623</v>
      </c>
      <c r="B190" t="s" s="11">
        <v>2624</v>
      </c>
      <c r="C190" s="12">
        <v>45365.594522280095</v>
      </c>
      <c r="D190" t="s" s="13">
        <v>31</v>
      </c>
      <c r="E190" t="s" s="13">
        <v>32</v>
      </c>
      <c r="F190" s="14">
        <v>2</v>
      </c>
      <c r="G190" s="15">
        <v>599.99</v>
      </c>
      <c r="H190" s="15">
        <v>1199.98</v>
      </c>
    </row>
    <row r="191" ht="12.9" customHeight="1">
      <c r="A191" t="s" s="10">
        <v>2625</v>
      </c>
      <c r="B191" t="s" s="11">
        <v>1913</v>
      </c>
      <c r="C191" s="12">
        <v>45365</v>
      </c>
      <c r="D191" t="s" s="13">
        <v>27</v>
      </c>
      <c r="E191" t="s" s="13">
        <v>28</v>
      </c>
      <c r="F191" s="14">
        <v>6</v>
      </c>
      <c r="G191" s="15">
        <v>59.9925</v>
      </c>
      <c r="H191" s="15">
        <v>359.955</v>
      </c>
    </row>
    <row r="192" ht="12.9" customHeight="1">
      <c r="A192" t="s" s="10">
        <v>2625</v>
      </c>
      <c r="B192" t="s" s="11">
        <v>1913</v>
      </c>
      <c r="C192" s="12">
        <v>45365</v>
      </c>
      <c r="D192" t="s" s="13">
        <v>63</v>
      </c>
      <c r="E192" s="16"/>
      <c r="F192" s="14">
        <v>1</v>
      </c>
      <c r="G192" s="15">
        <v>16.4</v>
      </c>
      <c r="H192" s="15">
        <v>16.4</v>
      </c>
    </row>
    <row r="193" ht="12.9" customHeight="1">
      <c r="A193" t="s" s="10">
        <v>2626</v>
      </c>
      <c r="B193" t="s" s="11">
        <v>2627</v>
      </c>
      <c r="C193" s="12">
        <v>45364.745378067128</v>
      </c>
      <c r="D193" t="s" s="13">
        <v>73</v>
      </c>
      <c r="E193" t="s" s="13">
        <v>74</v>
      </c>
      <c r="F193" s="14">
        <v>1</v>
      </c>
      <c r="G193" s="15">
        <v>399.99</v>
      </c>
      <c r="H193" s="15">
        <v>399.99</v>
      </c>
    </row>
    <row r="194" ht="12.9" customHeight="1">
      <c r="A194" t="s" s="10">
        <v>2628</v>
      </c>
      <c r="B194" t="s" s="11">
        <v>2108</v>
      </c>
      <c r="C194" s="12">
        <v>45364.225418935188</v>
      </c>
      <c r="D194" t="s" s="13">
        <v>35</v>
      </c>
      <c r="E194" t="s" s="13">
        <v>36</v>
      </c>
      <c r="F194" s="14">
        <v>1</v>
      </c>
      <c r="G194" s="15">
        <v>49.99</v>
      </c>
      <c r="H194" s="15">
        <v>49.99</v>
      </c>
    </row>
    <row r="195" ht="12.9" customHeight="1">
      <c r="A195" t="s" s="10">
        <v>2629</v>
      </c>
      <c r="B195" t="s" s="11">
        <v>2630</v>
      </c>
      <c r="C195" s="12">
        <v>45364</v>
      </c>
      <c r="D195" t="s" s="13">
        <v>691</v>
      </c>
      <c r="E195" t="s" s="13">
        <v>692</v>
      </c>
      <c r="F195" s="14">
        <v>1</v>
      </c>
      <c r="G195" s="15">
        <v>334.99</v>
      </c>
      <c r="H195" s="15">
        <v>334.99</v>
      </c>
    </row>
    <row r="196" ht="12.9" customHeight="1">
      <c r="A196" t="s" s="10">
        <v>2629</v>
      </c>
      <c r="B196" t="s" s="11">
        <v>2630</v>
      </c>
      <c r="C196" s="12">
        <v>45364</v>
      </c>
      <c r="D196" t="s" s="13">
        <v>861</v>
      </c>
      <c r="E196" s="16"/>
      <c r="F196" s="14">
        <v>1</v>
      </c>
      <c r="G196" s="15">
        <v>29.31</v>
      </c>
      <c r="H196" s="15">
        <v>29.31</v>
      </c>
    </row>
    <row r="197" ht="12.9" customHeight="1">
      <c r="A197" t="s" s="10">
        <v>2631</v>
      </c>
      <c r="B197" t="s" s="11">
        <v>2632</v>
      </c>
      <c r="C197" s="12">
        <v>45363.8813079051</v>
      </c>
      <c r="D197" t="s" s="13">
        <v>35</v>
      </c>
      <c r="E197" t="s" s="13">
        <v>36</v>
      </c>
      <c r="F197" s="14">
        <v>2</v>
      </c>
      <c r="G197" s="15">
        <v>49.99</v>
      </c>
      <c r="H197" s="15">
        <v>99.98</v>
      </c>
    </row>
    <row r="198" ht="12.9" customHeight="1">
      <c r="A198" t="s" s="10">
        <v>2633</v>
      </c>
      <c r="B198" t="s" s="11">
        <v>789</v>
      </c>
      <c r="C198" s="12">
        <v>45363.830542870368</v>
      </c>
      <c r="D198" t="s" s="13">
        <v>39</v>
      </c>
      <c r="E198" t="s" s="13">
        <v>40</v>
      </c>
      <c r="F198" s="14">
        <v>2</v>
      </c>
      <c r="G198" s="15">
        <v>109.99</v>
      </c>
      <c r="H198" s="15">
        <v>219.98</v>
      </c>
    </row>
    <row r="199" ht="12.9" customHeight="1">
      <c r="A199" t="s" s="10">
        <v>2633</v>
      </c>
      <c r="B199" t="s" s="11">
        <v>789</v>
      </c>
      <c r="C199" s="12">
        <v>45363.830542870368</v>
      </c>
      <c r="D199" t="s" s="13">
        <v>77</v>
      </c>
      <c r="E199" t="s" s="13">
        <v>78</v>
      </c>
      <c r="F199" s="14">
        <v>3</v>
      </c>
      <c r="G199" s="15">
        <v>19.99</v>
      </c>
      <c r="H199" s="15">
        <v>59.97</v>
      </c>
    </row>
    <row r="200" ht="12.9" customHeight="1">
      <c r="A200" t="s" s="10">
        <v>2634</v>
      </c>
      <c r="B200" t="s" s="11">
        <v>2635</v>
      </c>
      <c r="C200" s="12">
        <v>45363.8115778125</v>
      </c>
      <c r="D200" t="s" s="13">
        <v>979</v>
      </c>
      <c r="E200" t="s" s="13">
        <v>980</v>
      </c>
      <c r="F200" s="14">
        <v>10</v>
      </c>
      <c r="G200" s="15">
        <v>99.98999999999999</v>
      </c>
      <c r="H200" s="15">
        <v>999.9</v>
      </c>
    </row>
    <row r="201" ht="12.9" customHeight="1">
      <c r="A201" t="s" s="10">
        <v>2636</v>
      </c>
      <c r="B201" t="s" s="11">
        <v>2637</v>
      </c>
      <c r="C201" s="12">
        <v>45363.398144884261</v>
      </c>
      <c r="D201" t="s" s="13">
        <v>19</v>
      </c>
      <c r="E201" t="s" s="13">
        <v>20</v>
      </c>
      <c r="F201" s="14">
        <v>2</v>
      </c>
      <c r="G201" s="15">
        <v>119.99</v>
      </c>
      <c r="H201" s="15">
        <v>239.98</v>
      </c>
    </row>
    <row r="202" ht="12.9" customHeight="1">
      <c r="A202" t="s" s="10">
        <v>2636</v>
      </c>
      <c r="B202" t="s" s="11">
        <v>2637</v>
      </c>
      <c r="C202" s="12">
        <v>45363.398144884261</v>
      </c>
      <c r="D202" t="s" s="13">
        <v>89</v>
      </c>
      <c r="E202" t="s" s="13">
        <v>90</v>
      </c>
      <c r="F202" s="14">
        <v>2</v>
      </c>
      <c r="G202" s="15">
        <v>59.99</v>
      </c>
      <c r="H202" s="15">
        <v>119.98</v>
      </c>
    </row>
    <row r="203" ht="12.9" customHeight="1">
      <c r="A203" t="s" s="10">
        <v>2638</v>
      </c>
      <c r="B203" t="s" s="11">
        <v>2639</v>
      </c>
      <c r="C203" s="12">
        <v>45363.140913252311</v>
      </c>
      <c r="D203" t="s" s="13">
        <v>1695</v>
      </c>
      <c r="E203" t="s" s="13">
        <v>140</v>
      </c>
      <c r="F203" s="14">
        <v>1</v>
      </c>
      <c r="G203" s="15">
        <v>49.99</v>
      </c>
      <c r="H203" s="15">
        <v>49.99</v>
      </c>
    </row>
    <row r="204" ht="12.9" customHeight="1">
      <c r="A204" t="s" s="10">
        <v>2638</v>
      </c>
      <c r="B204" t="s" s="11">
        <v>2639</v>
      </c>
      <c r="C204" s="12">
        <v>45363.140913252311</v>
      </c>
      <c r="D204" t="s" s="13">
        <v>15</v>
      </c>
      <c r="E204" t="s" s="13">
        <v>16</v>
      </c>
      <c r="F204" s="14">
        <v>1</v>
      </c>
      <c r="G204" s="15">
        <v>0</v>
      </c>
      <c r="H204" s="15">
        <v>0</v>
      </c>
    </row>
    <row r="205" ht="12.9" customHeight="1">
      <c r="A205" t="s" s="10">
        <v>2640</v>
      </c>
      <c r="B205" t="s" s="11">
        <v>865</v>
      </c>
      <c r="C205" s="12">
        <v>45363.134519282408</v>
      </c>
      <c r="D205" t="s" s="13">
        <v>1961</v>
      </c>
      <c r="E205" t="s" s="13">
        <v>1962</v>
      </c>
      <c r="F205" s="14">
        <v>1</v>
      </c>
      <c r="G205" s="15">
        <v>109.99</v>
      </c>
      <c r="H205" s="15">
        <v>109.99</v>
      </c>
    </row>
    <row r="206" ht="12.9" customHeight="1">
      <c r="A206" t="s" s="10">
        <v>2641</v>
      </c>
      <c r="B206" t="s" s="11">
        <v>1951</v>
      </c>
      <c r="C206" s="12">
        <v>45363.089414895832</v>
      </c>
      <c r="D206" t="s" s="13">
        <v>35</v>
      </c>
      <c r="E206" t="s" s="13">
        <v>36</v>
      </c>
      <c r="F206" s="14">
        <v>3</v>
      </c>
      <c r="G206" s="15">
        <v>49.99</v>
      </c>
      <c r="H206" s="15">
        <v>149.97</v>
      </c>
    </row>
    <row r="207" ht="12.9" customHeight="1">
      <c r="A207" t="s" s="10">
        <v>2642</v>
      </c>
      <c r="B207" t="s" s="11">
        <v>2643</v>
      </c>
      <c r="C207" s="12">
        <v>45363</v>
      </c>
      <c r="D207" t="s" s="13">
        <v>1202</v>
      </c>
      <c r="E207" t="s" s="13">
        <v>1203</v>
      </c>
      <c r="F207" s="14">
        <v>7</v>
      </c>
      <c r="G207" s="15">
        <v>99.98999999999999</v>
      </c>
      <c r="H207" s="15">
        <v>699.9299999999999</v>
      </c>
    </row>
    <row r="208" ht="12.9" customHeight="1">
      <c r="A208" t="s" s="10">
        <v>2644</v>
      </c>
      <c r="B208" t="s" s="11">
        <v>2645</v>
      </c>
      <c r="C208" s="12">
        <v>45362.887986817128</v>
      </c>
      <c r="D208" t="s" s="13">
        <v>31</v>
      </c>
      <c r="E208" t="s" s="13">
        <v>32</v>
      </c>
      <c r="F208" s="14">
        <v>1</v>
      </c>
      <c r="G208" s="15">
        <v>574.99</v>
      </c>
      <c r="H208" s="15">
        <v>574.99</v>
      </c>
    </row>
    <row r="209" ht="12.9" customHeight="1">
      <c r="A209" t="s" s="10">
        <v>2646</v>
      </c>
      <c r="B209" t="s" s="11">
        <v>2087</v>
      </c>
      <c r="C209" s="12">
        <v>45362.879302118054</v>
      </c>
      <c r="D209" t="s" s="13">
        <v>19</v>
      </c>
      <c r="E209" t="s" s="13">
        <v>20</v>
      </c>
      <c r="F209" s="14">
        <v>2</v>
      </c>
      <c r="G209" s="15">
        <v>119.99</v>
      </c>
      <c r="H209" s="15">
        <v>239.98</v>
      </c>
    </row>
    <row r="210" ht="12.9" customHeight="1">
      <c r="A210" t="s" s="10">
        <v>2646</v>
      </c>
      <c r="B210" t="s" s="11">
        <v>2087</v>
      </c>
      <c r="C210" s="12">
        <v>45362.879302118054</v>
      </c>
      <c r="D210" t="s" s="13">
        <v>15</v>
      </c>
      <c r="E210" t="s" s="13">
        <v>16</v>
      </c>
      <c r="F210" s="14">
        <v>2</v>
      </c>
      <c r="G210" s="15">
        <v>0</v>
      </c>
      <c r="H210" s="15">
        <v>0</v>
      </c>
    </row>
    <row r="211" ht="12.9" customHeight="1">
      <c r="A211" t="s" s="10">
        <v>2647</v>
      </c>
      <c r="B211" t="s" s="11">
        <v>2648</v>
      </c>
      <c r="C211" s="12">
        <v>45362.638784224539</v>
      </c>
      <c r="D211" t="s" s="13">
        <v>15</v>
      </c>
      <c r="E211" t="s" s="13">
        <v>16</v>
      </c>
      <c r="F211" s="14">
        <v>1</v>
      </c>
      <c r="G211" s="15">
        <v>9.99</v>
      </c>
      <c r="H211" s="15">
        <v>9.99</v>
      </c>
    </row>
    <row r="212" ht="12.9" customHeight="1">
      <c r="A212" t="s" s="10">
        <v>2649</v>
      </c>
      <c r="B212" t="s" s="11">
        <v>2650</v>
      </c>
      <c r="C212" s="12">
        <v>45362.110293032405</v>
      </c>
      <c r="D212" t="s" s="13">
        <v>11</v>
      </c>
      <c r="E212" t="s" s="13">
        <v>12</v>
      </c>
      <c r="F212" s="14">
        <v>1</v>
      </c>
      <c r="G212" s="15">
        <v>399.99</v>
      </c>
      <c r="H212" s="15">
        <v>399.99</v>
      </c>
    </row>
    <row r="213" ht="12.9" customHeight="1">
      <c r="A213" t="s" s="10">
        <v>2651</v>
      </c>
      <c r="B213" t="s" s="11">
        <v>2652</v>
      </c>
      <c r="C213" s="12">
        <v>45362.002640856481</v>
      </c>
      <c r="D213" t="s" s="13">
        <v>11</v>
      </c>
      <c r="E213" t="s" s="13">
        <v>12</v>
      </c>
      <c r="F213" s="14">
        <v>1</v>
      </c>
      <c r="G213" s="15">
        <v>399.99</v>
      </c>
      <c r="H213" s="15">
        <v>399.99</v>
      </c>
    </row>
    <row r="214" ht="12.9" customHeight="1">
      <c r="A214" t="s" s="10">
        <v>2653</v>
      </c>
      <c r="B214" t="s" s="11">
        <v>2654</v>
      </c>
      <c r="C214" s="12">
        <v>45361.632817129626</v>
      </c>
      <c r="D214" t="s" s="13">
        <v>35</v>
      </c>
      <c r="E214" t="s" s="13">
        <v>36</v>
      </c>
      <c r="F214" s="14">
        <v>3</v>
      </c>
      <c r="G214" s="15">
        <v>49.99</v>
      </c>
      <c r="H214" s="15">
        <v>149.97</v>
      </c>
    </row>
    <row r="215" ht="12.9" customHeight="1">
      <c r="A215" t="s" s="10">
        <v>2655</v>
      </c>
      <c r="B215" t="s" s="11">
        <v>2471</v>
      </c>
      <c r="C215" s="12">
        <v>45361.075306875</v>
      </c>
      <c r="D215" t="s" s="13">
        <v>39</v>
      </c>
      <c r="E215" t="s" s="13">
        <v>40</v>
      </c>
      <c r="F215" s="14">
        <v>2</v>
      </c>
      <c r="G215" s="15">
        <v>109.99</v>
      </c>
      <c r="H215" s="15">
        <v>219.98</v>
      </c>
    </row>
    <row r="216" ht="12.9" customHeight="1">
      <c r="A216" t="s" s="10">
        <v>2656</v>
      </c>
      <c r="B216" t="s" s="11">
        <v>2306</v>
      </c>
      <c r="C216" s="12">
        <v>45361.007726400465</v>
      </c>
      <c r="D216" t="s" s="13">
        <v>143</v>
      </c>
      <c r="E216" t="s" s="13">
        <v>144</v>
      </c>
      <c r="F216" s="14">
        <v>1</v>
      </c>
      <c r="G216" s="15">
        <v>3199.99</v>
      </c>
      <c r="H216" s="15">
        <v>3199.99</v>
      </c>
    </row>
    <row r="217" ht="12.9" customHeight="1">
      <c r="A217" t="s" s="10">
        <v>2657</v>
      </c>
      <c r="B217" t="s" s="11">
        <v>2522</v>
      </c>
      <c r="C217" s="12">
        <v>45360.784740173614</v>
      </c>
      <c r="D217" t="s" s="13">
        <v>225</v>
      </c>
      <c r="E217" t="s" s="13">
        <v>226</v>
      </c>
      <c r="F217" s="14">
        <v>1</v>
      </c>
      <c r="G217" s="15">
        <v>499.99</v>
      </c>
      <c r="H217" s="15">
        <v>499.99</v>
      </c>
    </row>
    <row r="218" ht="12.9" customHeight="1">
      <c r="A218" t="s" s="10">
        <v>2657</v>
      </c>
      <c r="B218" t="s" s="11">
        <v>2522</v>
      </c>
      <c r="C218" s="12">
        <v>45360.784740173614</v>
      </c>
      <c r="D218" t="s" s="13">
        <v>165</v>
      </c>
      <c r="E218" t="s" s="13">
        <v>392</v>
      </c>
      <c r="F218" s="14">
        <v>1</v>
      </c>
      <c r="G218" s="15">
        <v>0</v>
      </c>
      <c r="H218" s="15">
        <v>0</v>
      </c>
    </row>
    <row r="219" ht="12.9" customHeight="1">
      <c r="A219" t="s" s="10">
        <v>2658</v>
      </c>
      <c r="B219" t="s" s="11">
        <v>2659</v>
      </c>
      <c r="C219" s="12">
        <v>45360.279556724534</v>
      </c>
      <c r="D219" t="s" s="13">
        <v>15</v>
      </c>
      <c r="E219" t="s" s="13">
        <v>16</v>
      </c>
      <c r="F219" s="14">
        <v>2</v>
      </c>
      <c r="G219" s="15">
        <v>9.99</v>
      </c>
      <c r="H219" s="15">
        <v>19.98</v>
      </c>
    </row>
    <row r="220" ht="12.9" customHeight="1">
      <c r="A220" t="s" s="10">
        <v>2658</v>
      </c>
      <c r="B220" t="s" s="11">
        <v>2659</v>
      </c>
      <c r="C220" s="12">
        <v>45360.279556724534</v>
      </c>
      <c r="D220" t="s" s="13">
        <v>119</v>
      </c>
      <c r="E220" t="s" s="13">
        <v>120</v>
      </c>
      <c r="F220" s="14">
        <v>8</v>
      </c>
      <c r="G220" s="15">
        <v>1.99</v>
      </c>
      <c r="H220" s="15">
        <v>15.92</v>
      </c>
    </row>
    <row r="221" ht="12.9" customHeight="1">
      <c r="A221" t="s" s="10">
        <v>2660</v>
      </c>
      <c r="B221" t="s" s="11">
        <v>2661</v>
      </c>
      <c r="C221" s="12">
        <v>45359.972835173612</v>
      </c>
      <c r="D221" t="s" s="13">
        <v>35</v>
      </c>
      <c r="E221" t="s" s="13">
        <v>36</v>
      </c>
      <c r="F221" s="14">
        <v>2</v>
      </c>
      <c r="G221" s="15">
        <v>49.99</v>
      </c>
      <c r="H221" s="15">
        <v>99.98</v>
      </c>
    </row>
    <row r="222" ht="12.9" customHeight="1">
      <c r="A222" t="s" s="10">
        <v>2662</v>
      </c>
      <c r="B222" t="s" s="11">
        <v>2663</v>
      </c>
      <c r="C222" s="12">
        <v>45359.890742650467</v>
      </c>
      <c r="D222" t="s" s="13">
        <v>73</v>
      </c>
      <c r="E222" t="s" s="13">
        <v>74</v>
      </c>
      <c r="F222" s="14">
        <v>1</v>
      </c>
      <c r="G222" s="15">
        <v>399.99</v>
      </c>
      <c r="H222" s="15">
        <v>399.99</v>
      </c>
    </row>
    <row r="223" ht="12.9" customHeight="1">
      <c r="A223" t="s" s="10">
        <v>2664</v>
      </c>
      <c r="B223" t="s" s="11">
        <v>2665</v>
      </c>
      <c r="C223" s="12">
        <v>45359.524097928239</v>
      </c>
      <c r="D223" t="s" s="13">
        <v>89</v>
      </c>
      <c r="E223" t="s" s="13">
        <v>90</v>
      </c>
      <c r="F223" s="14">
        <v>1</v>
      </c>
      <c r="G223" s="15">
        <v>59.99</v>
      </c>
      <c r="H223" s="15">
        <v>59.99</v>
      </c>
    </row>
    <row r="224" ht="12.9" customHeight="1">
      <c r="A224" t="s" s="10">
        <v>2666</v>
      </c>
      <c r="B224" t="s" s="11">
        <v>2667</v>
      </c>
      <c r="C224" s="12">
        <v>45359.0159555787</v>
      </c>
      <c r="D224" t="s" s="13">
        <v>54</v>
      </c>
      <c r="E224" t="s" s="13">
        <v>93</v>
      </c>
      <c r="F224" s="14">
        <v>1</v>
      </c>
      <c r="G224" s="15">
        <v>9.99</v>
      </c>
      <c r="H224" s="15">
        <v>9.99</v>
      </c>
    </row>
    <row r="225" ht="12.9" customHeight="1">
      <c r="A225" t="s" s="10">
        <v>2668</v>
      </c>
      <c r="B225" t="s" s="11">
        <v>2667</v>
      </c>
      <c r="C225" s="12">
        <v>45359.011106840277</v>
      </c>
      <c r="D225" t="s" s="13">
        <v>35</v>
      </c>
      <c r="E225" t="s" s="13">
        <v>36</v>
      </c>
      <c r="F225" s="14">
        <v>1</v>
      </c>
      <c r="G225" s="15">
        <v>49.99</v>
      </c>
      <c r="H225" s="15">
        <v>49.99</v>
      </c>
    </row>
    <row r="226" ht="12.9" customHeight="1">
      <c r="A226" t="s" s="10">
        <v>2669</v>
      </c>
      <c r="B226" t="s" s="11">
        <v>1053</v>
      </c>
      <c r="C226" s="12">
        <v>45359</v>
      </c>
      <c r="D226" t="s" s="13">
        <v>979</v>
      </c>
      <c r="E226" t="s" s="13">
        <v>980</v>
      </c>
      <c r="F226" s="14">
        <v>4</v>
      </c>
      <c r="G226" s="15">
        <v>74.99250000000001</v>
      </c>
      <c r="H226" s="15">
        <v>299.97</v>
      </c>
    </row>
    <row r="227" ht="12.9" customHeight="1">
      <c r="A227" t="s" s="10">
        <v>2669</v>
      </c>
      <c r="B227" t="s" s="11">
        <v>1053</v>
      </c>
      <c r="C227" s="12">
        <v>45359</v>
      </c>
      <c r="D227" t="s" s="13">
        <v>1896</v>
      </c>
      <c r="E227" t="s" s="13">
        <v>1897</v>
      </c>
      <c r="F227" s="14">
        <v>8</v>
      </c>
      <c r="G227" s="15">
        <v>56.2425</v>
      </c>
      <c r="H227" s="15">
        <v>449.94</v>
      </c>
    </row>
    <row r="228" ht="12.9" customHeight="1">
      <c r="A228" t="s" s="10">
        <v>2669</v>
      </c>
      <c r="B228" t="s" s="11">
        <v>1053</v>
      </c>
      <c r="C228" s="12">
        <v>45359</v>
      </c>
      <c r="D228" t="s" s="13">
        <v>50</v>
      </c>
      <c r="E228" t="s" s="13">
        <v>83</v>
      </c>
      <c r="F228" s="14">
        <v>12</v>
      </c>
      <c r="G228" s="15">
        <v>22.4925</v>
      </c>
      <c r="H228" s="15">
        <v>269.91</v>
      </c>
    </row>
    <row r="229" ht="12.9" customHeight="1">
      <c r="A229" t="s" s="10">
        <v>2669</v>
      </c>
      <c r="B229" t="s" s="11">
        <v>1053</v>
      </c>
      <c r="C229" s="12">
        <v>45359</v>
      </c>
      <c r="D229" t="s" s="13">
        <v>63</v>
      </c>
      <c r="E229" s="16"/>
      <c r="F229" s="14">
        <v>1</v>
      </c>
      <c r="G229" s="15">
        <v>89.42</v>
      </c>
      <c r="H229" s="15">
        <v>89.42</v>
      </c>
    </row>
    <row r="230" ht="12.9" customHeight="1">
      <c r="A230" t="s" s="10">
        <v>2670</v>
      </c>
      <c r="B230" t="s" s="11">
        <v>2671</v>
      </c>
      <c r="C230" s="12">
        <v>45359</v>
      </c>
      <c r="D230" t="s" s="13">
        <v>81</v>
      </c>
      <c r="E230" t="s" s="13">
        <v>82</v>
      </c>
      <c r="F230" s="14">
        <v>10</v>
      </c>
      <c r="G230" s="15">
        <v>637.4924999999999</v>
      </c>
      <c r="H230" s="15">
        <v>6374.925</v>
      </c>
    </row>
    <row r="231" ht="12.9" customHeight="1">
      <c r="A231" t="s" s="10">
        <v>2670</v>
      </c>
      <c r="B231" t="s" s="11">
        <v>2671</v>
      </c>
      <c r="C231" s="12">
        <v>45359</v>
      </c>
      <c r="D231" t="s" s="13">
        <v>48</v>
      </c>
      <c r="E231" t="s" s="13">
        <v>49</v>
      </c>
      <c r="F231" s="14">
        <v>10</v>
      </c>
      <c r="G231" s="15">
        <v>974.9924999999999</v>
      </c>
      <c r="H231" s="15">
        <v>9749.924999999999</v>
      </c>
    </row>
    <row r="232" ht="12.9" customHeight="1">
      <c r="A232" t="s" s="10">
        <v>2670</v>
      </c>
      <c r="B232" t="s" s="11">
        <v>2671</v>
      </c>
      <c r="C232" s="12">
        <v>45359</v>
      </c>
      <c r="D232" t="s" s="13">
        <v>50</v>
      </c>
      <c r="E232" t="s" s="13">
        <v>83</v>
      </c>
      <c r="F232" s="14">
        <v>20</v>
      </c>
      <c r="G232" s="15">
        <v>0</v>
      </c>
      <c r="H232" s="15">
        <v>0</v>
      </c>
    </row>
    <row r="233" ht="12.9" customHeight="1">
      <c r="A233" t="s" s="10">
        <v>2670</v>
      </c>
      <c r="B233" t="s" s="11">
        <v>2671</v>
      </c>
      <c r="C233" s="12">
        <v>45359</v>
      </c>
      <c r="D233" t="s" s="13">
        <v>23</v>
      </c>
      <c r="E233" t="s" s="13">
        <v>56</v>
      </c>
      <c r="F233" s="14">
        <v>20</v>
      </c>
      <c r="G233" s="15">
        <v>0</v>
      </c>
      <c r="H233" s="15">
        <v>0</v>
      </c>
    </row>
    <row r="234" ht="12.9" customHeight="1">
      <c r="A234" t="s" s="10">
        <v>2670</v>
      </c>
      <c r="B234" t="s" s="11">
        <v>2671</v>
      </c>
      <c r="C234" s="12">
        <v>45359</v>
      </c>
      <c r="D234" t="s" s="13">
        <v>54</v>
      </c>
      <c r="E234" t="s" s="13">
        <v>93</v>
      </c>
      <c r="F234" s="14">
        <v>20</v>
      </c>
      <c r="G234" s="15">
        <v>0</v>
      </c>
      <c r="H234" s="15">
        <v>0</v>
      </c>
    </row>
    <row r="235" ht="12.9" customHeight="1">
      <c r="A235" t="s" s="10">
        <v>2670</v>
      </c>
      <c r="B235" t="s" s="11">
        <v>2671</v>
      </c>
      <c r="C235" s="12">
        <v>45359</v>
      </c>
      <c r="D235" t="s" s="13">
        <v>341</v>
      </c>
      <c r="E235" t="s" s="13">
        <v>342</v>
      </c>
      <c r="F235" s="14">
        <v>20</v>
      </c>
      <c r="G235" s="15">
        <v>22.4925</v>
      </c>
      <c r="H235" s="15">
        <v>449.85</v>
      </c>
    </row>
    <row r="236" ht="12.9" customHeight="1">
      <c r="A236" t="s" s="10">
        <v>2670</v>
      </c>
      <c r="B236" t="s" s="11">
        <v>2671</v>
      </c>
      <c r="C236" s="12">
        <v>45359</v>
      </c>
      <c r="D236" t="s" s="13">
        <v>77</v>
      </c>
      <c r="E236" t="s" s="13">
        <v>78</v>
      </c>
      <c r="F236" s="14">
        <v>20</v>
      </c>
      <c r="G236" s="15">
        <v>14.9925</v>
      </c>
      <c r="H236" s="15">
        <v>299.85</v>
      </c>
    </row>
    <row r="237" ht="12.9" customHeight="1">
      <c r="A237" t="s" s="10">
        <v>2670</v>
      </c>
      <c r="B237" t="s" s="11">
        <v>2671</v>
      </c>
      <c r="C237" s="12">
        <v>45359</v>
      </c>
      <c r="D237" t="s" s="13">
        <v>359</v>
      </c>
      <c r="E237" t="s" s="13">
        <v>360</v>
      </c>
      <c r="F237" s="14">
        <v>20</v>
      </c>
      <c r="G237" s="15">
        <v>22.4925</v>
      </c>
      <c r="H237" s="15">
        <v>449.85</v>
      </c>
    </row>
    <row r="238" ht="12.9" customHeight="1">
      <c r="A238" t="s" s="10">
        <v>2670</v>
      </c>
      <c r="B238" t="s" s="11">
        <v>2671</v>
      </c>
      <c r="C238" s="12">
        <v>45359</v>
      </c>
      <c r="D238" t="s" s="13">
        <v>57</v>
      </c>
      <c r="E238" t="s" s="13">
        <v>58</v>
      </c>
      <c r="F238" s="14">
        <v>2</v>
      </c>
      <c r="G238" s="15">
        <v>599.9924999999999</v>
      </c>
      <c r="H238" s="15">
        <v>1199.985</v>
      </c>
    </row>
    <row r="239" ht="12.9" customHeight="1">
      <c r="A239" t="s" s="10">
        <v>2670</v>
      </c>
      <c r="B239" t="s" s="11">
        <v>2671</v>
      </c>
      <c r="C239" s="12">
        <v>45359</v>
      </c>
      <c r="D239" t="s" s="13">
        <v>660</v>
      </c>
      <c r="E239" t="s" s="13">
        <v>661</v>
      </c>
      <c r="F239" s="14">
        <v>10</v>
      </c>
      <c r="G239" s="15">
        <v>4.4925</v>
      </c>
      <c r="H239" s="15">
        <v>44.925</v>
      </c>
    </row>
    <row r="240" ht="12.9" customHeight="1">
      <c r="A240" t="s" s="10">
        <v>2670</v>
      </c>
      <c r="B240" t="s" s="11">
        <v>2671</v>
      </c>
      <c r="C240" s="12">
        <v>45359</v>
      </c>
      <c r="D240" t="s" s="13">
        <v>59</v>
      </c>
      <c r="E240" t="s" s="13">
        <v>60</v>
      </c>
      <c r="F240" s="14">
        <v>5</v>
      </c>
      <c r="G240" s="15">
        <v>899.9924999999999</v>
      </c>
      <c r="H240" s="15">
        <v>4499.9625</v>
      </c>
    </row>
    <row r="241" ht="12.9" customHeight="1">
      <c r="A241" t="s" s="10">
        <v>2670</v>
      </c>
      <c r="B241" t="s" s="11">
        <v>2671</v>
      </c>
      <c r="C241" s="12">
        <v>45359</v>
      </c>
      <c r="D241" t="s" s="13">
        <v>23</v>
      </c>
      <c r="E241" t="s" s="13">
        <v>24</v>
      </c>
      <c r="F241" s="14">
        <v>15</v>
      </c>
      <c r="G241" s="15">
        <v>112.4925</v>
      </c>
      <c r="H241" s="15">
        <v>1687.3875</v>
      </c>
    </row>
    <row r="242" ht="12.9" customHeight="1">
      <c r="A242" t="s" s="10">
        <v>2670</v>
      </c>
      <c r="B242" t="s" s="11">
        <v>2671</v>
      </c>
      <c r="C242" s="12">
        <v>45359</v>
      </c>
      <c r="D242" t="s" s="13">
        <v>602</v>
      </c>
      <c r="E242" t="s" s="13">
        <v>686</v>
      </c>
      <c r="F242" s="14">
        <v>10</v>
      </c>
      <c r="G242" s="15">
        <v>224.9925</v>
      </c>
      <c r="H242" s="15">
        <v>2249.925</v>
      </c>
    </row>
    <row r="243" ht="12.9" customHeight="1">
      <c r="A243" t="s" s="10">
        <v>2670</v>
      </c>
      <c r="B243" t="s" s="11">
        <v>2671</v>
      </c>
      <c r="C243" s="12">
        <v>45359</v>
      </c>
      <c r="D243" t="s" s="13">
        <v>762</v>
      </c>
      <c r="E243" t="s" s="13">
        <v>763</v>
      </c>
      <c r="F243" s="14">
        <v>2</v>
      </c>
      <c r="G243" s="15">
        <v>0</v>
      </c>
      <c r="H243" s="15">
        <v>0</v>
      </c>
    </row>
    <row r="244" ht="12.9" customHeight="1">
      <c r="A244" t="s" s="10">
        <v>2670</v>
      </c>
      <c r="B244" t="s" s="11">
        <v>2671</v>
      </c>
      <c r="C244" s="12">
        <v>45359</v>
      </c>
      <c r="D244" t="s" s="13">
        <v>1236</v>
      </c>
      <c r="E244" t="s" s="13">
        <v>1237</v>
      </c>
      <c r="F244" s="14">
        <v>1</v>
      </c>
      <c r="G244" s="15">
        <v>0</v>
      </c>
      <c r="H244" s="15">
        <v>0</v>
      </c>
    </row>
    <row r="245" ht="12.9" customHeight="1">
      <c r="A245" t="s" s="10">
        <v>2670</v>
      </c>
      <c r="B245" t="s" s="11">
        <v>2671</v>
      </c>
      <c r="C245" s="12">
        <v>45359</v>
      </c>
      <c r="D245" t="s" s="13">
        <v>225</v>
      </c>
      <c r="E245" t="s" s="13">
        <v>226</v>
      </c>
      <c r="F245" s="14">
        <v>1</v>
      </c>
      <c r="G245" s="15">
        <v>0</v>
      </c>
      <c r="H245" s="15">
        <v>0</v>
      </c>
    </row>
    <row r="246" ht="12.9" customHeight="1">
      <c r="A246" t="s" s="10">
        <v>2670</v>
      </c>
      <c r="B246" t="s" s="11">
        <v>2671</v>
      </c>
      <c r="C246" s="12">
        <v>45359</v>
      </c>
      <c r="D246" t="s" s="13">
        <v>27</v>
      </c>
      <c r="E246" t="s" s="13">
        <v>28</v>
      </c>
      <c r="F246" s="14">
        <v>1</v>
      </c>
      <c r="G246" s="15">
        <v>0</v>
      </c>
      <c r="H246" s="15">
        <v>0</v>
      </c>
    </row>
    <row r="247" ht="12.9" customHeight="1">
      <c r="A247" t="s" s="10">
        <v>2670</v>
      </c>
      <c r="B247" t="s" s="11">
        <v>2671</v>
      </c>
      <c r="C247" s="12">
        <v>45359</v>
      </c>
      <c r="D247" t="s" s="13">
        <v>165</v>
      </c>
      <c r="E247" t="s" s="13">
        <v>392</v>
      </c>
      <c r="F247" s="14">
        <v>1</v>
      </c>
      <c r="G247" s="15">
        <v>0</v>
      </c>
      <c r="H247" s="15">
        <v>0</v>
      </c>
    </row>
    <row r="248" ht="12.9" customHeight="1">
      <c r="A248" t="s" s="10">
        <v>2670</v>
      </c>
      <c r="B248" t="s" s="11">
        <v>2671</v>
      </c>
      <c r="C248" s="12">
        <v>45359</v>
      </c>
      <c r="D248" t="s" s="13">
        <v>52</v>
      </c>
      <c r="E248" t="s" s="13">
        <v>321</v>
      </c>
      <c r="F248" s="14">
        <v>10</v>
      </c>
      <c r="G248" s="15">
        <v>0</v>
      </c>
      <c r="H248" s="15">
        <v>0</v>
      </c>
    </row>
    <row r="249" ht="12.9" customHeight="1">
      <c r="A249" t="s" s="10">
        <v>2670</v>
      </c>
      <c r="B249" t="s" s="11">
        <v>2671</v>
      </c>
      <c r="C249" s="12">
        <v>45359</v>
      </c>
      <c r="D249" t="s" s="13">
        <v>2672</v>
      </c>
      <c r="E249" t="s" s="13">
        <v>2673</v>
      </c>
      <c r="F249" s="14">
        <v>1</v>
      </c>
      <c r="G249" s="15">
        <v>0</v>
      </c>
      <c r="H249" s="15">
        <v>0</v>
      </c>
    </row>
    <row r="250" ht="12.9" customHeight="1">
      <c r="A250" t="s" s="10">
        <v>2670</v>
      </c>
      <c r="B250" t="s" s="11">
        <v>2671</v>
      </c>
      <c r="C250" s="12">
        <v>45359</v>
      </c>
      <c r="D250" t="s" s="13">
        <v>2125</v>
      </c>
      <c r="E250" t="s" s="13">
        <v>2126</v>
      </c>
      <c r="F250" s="14">
        <v>1</v>
      </c>
      <c r="G250" s="15">
        <v>0</v>
      </c>
      <c r="H250" s="15">
        <v>0</v>
      </c>
    </row>
    <row r="251" ht="12.9" customHeight="1">
      <c r="A251" t="s" s="10">
        <v>2670</v>
      </c>
      <c r="B251" t="s" s="11">
        <v>2671</v>
      </c>
      <c r="C251" s="12">
        <v>45359</v>
      </c>
      <c r="D251" t="s" s="13">
        <v>63</v>
      </c>
      <c r="E251" s="16"/>
      <c r="F251" s="14">
        <v>1</v>
      </c>
      <c r="G251" s="15">
        <v>1955.68</v>
      </c>
      <c r="H251" s="15">
        <v>1955.68</v>
      </c>
    </row>
    <row r="252" ht="12.9" customHeight="1">
      <c r="A252" t="s" s="10">
        <v>2674</v>
      </c>
      <c r="B252" t="s" s="11">
        <v>1053</v>
      </c>
      <c r="C252" s="12">
        <v>45359</v>
      </c>
      <c r="D252" t="s" s="13">
        <v>468</v>
      </c>
      <c r="E252" t="s" s="13">
        <v>469</v>
      </c>
      <c r="F252" s="14">
        <v>1</v>
      </c>
      <c r="G252" s="15">
        <v>0</v>
      </c>
      <c r="H252" s="15">
        <v>0</v>
      </c>
    </row>
    <row r="253" ht="12.9" customHeight="1">
      <c r="A253" t="s" s="10">
        <v>2674</v>
      </c>
      <c r="B253" t="s" s="11">
        <v>1053</v>
      </c>
      <c r="C253" s="12">
        <v>45359</v>
      </c>
      <c r="D253" t="s" s="13">
        <v>50</v>
      </c>
      <c r="E253" t="s" s="13">
        <v>83</v>
      </c>
      <c r="F253" s="14">
        <v>1</v>
      </c>
      <c r="G253" s="15">
        <v>0</v>
      </c>
      <c r="H253" s="15">
        <v>0</v>
      </c>
    </row>
    <row r="254" ht="12.9" customHeight="1">
      <c r="A254" t="s" s="10">
        <v>2674</v>
      </c>
      <c r="B254" t="s" s="11">
        <v>1053</v>
      </c>
      <c r="C254" s="12">
        <v>45359</v>
      </c>
      <c r="D254" t="s" s="13">
        <v>23</v>
      </c>
      <c r="E254" t="s" s="13">
        <v>24</v>
      </c>
      <c r="F254" s="14">
        <v>4</v>
      </c>
      <c r="G254" s="15">
        <v>0</v>
      </c>
      <c r="H254" s="15">
        <v>0</v>
      </c>
    </row>
    <row r="255" ht="12.9" customHeight="1">
      <c r="A255" t="s" s="10">
        <v>2674</v>
      </c>
      <c r="B255" t="s" s="11">
        <v>1053</v>
      </c>
      <c r="C255" s="12">
        <v>45359</v>
      </c>
      <c r="D255" t="s" s="13">
        <v>54</v>
      </c>
      <c r="E255" t="s" s="13">
        <v>93</v>
      </c>
      <c r="F255" s="14">
        <v>4</v>
      </c>
      <c r="G255" s="15">
        <v>0</v>
      </c>
      <c r="H255" s="15">
        <v>0</v>
      </c>
    </row>
    <row r="256" ht="12.9" customHeight="1">
      <c r="A256" t="s" s="10">
        <v>2674</v>
      </c>
      <c r="B256" t="s" s="11">
        <v>1053</v>
      </c>
      <c r="C256" s="12">
        <v>45359</v>
      </c>
      <c r="D256" t="s" s="13">
        <v>15</v>
      </c>
      <c r="E256" t="s" s="13">
        <v>16</v>
      </c>
      <c r="F256" s="14">
        <v>1</v>
      </c>
      <c r="G256" s="15">
        <v>0</v>
      </c>
      <c r="H256" s="15">
        <v>0</v>
      </c>
    </row>
    <row r="257" ht="12.9" customHeight="1">
      <c r="A257" t="s" s="10">
        <v>2674</v>
      </c>
      <c r="B257" t="s" s="11">
        <v>1053</v>
      </c>
      <c r="C257" s="12">
        <v>45359</v>
      </c>
      <c r="D257" t="s" s="13">
        <v>57</v>
      </c>
      <c r="E257" t="s" s="13">
        <v>58</v>
      </c>
      <c r="F257" s="14">
        <v>2</v>
      </c>
      <c r="G257" s="15">
        <v>0</v>
      </c>
      <c r="H257" s="15">
        <v>0</v>
      </c>
    </row>
    <row r="258" ht="12.9" customHeight="1">
      <c r="A258" t="s" s="10">
        <v>2675</v>
      </c>
      <c r="B258" t="s" s="11">
        <v>2676</v>
      </c>
      <c r="C258" s="12">
        <v>45358.5706221412</v>
      </c>
      <c r="D258" t="s" s="13">
        <v>171</v>
      </c>
      <c r="E258" t="s" s="13">
        <v>172</v>
      </c>
      <c r="F258" s="14">
        <v>1</v>
      </c>
      <c r="G258" s="15">
        <v>549.99</v>
      </c>
      <c r="H258" s="15">
        <v>549.99</v>
      </c>
    </row>
    <row r="259" ht="12.9" customHeight="1">
      <c r="A259" t="s" s="10">
        <v>2677</v>
      </c>
      <c r="B259" t="s" s="11">
        <v>1874</v>
      </c>
      <c r="C259" s="12">
        <v>45358</v>
      </c>
      <c r="D259" t="s" s="13">
        <v>821</v>
      </c>
      <c r="E259" t="s" s="13">
        <v>822</v>
      </c>
      <c r="F259" s="14">
        <v>55</v>
      </c>
      <c r="G259" s="15">
        <v>1874.9925</v>
      </c>
      <c r="H259" s="15">
        <v>103124.5875</v>
      </c>
    </row>
    <row r="260" ht="12.9" customHeight="1">
      <c r="A260" t="s" s="10">
        <v>2677</v>
      </c>
      <c r="B260" t="s" s="11">
        <v>1874</v>
      </c>
      <c r="C260" s="12">
        <v>45358</v>
      </c>
      <c r="D260" t="s" s="13">
        <v>50</v>
      </c>
      <c r="E260" t="s" s="13">
        <v>51</v>
      </c>
      <c r="F260" s="14">
        <v>55</v>
      </c>
      <c r="G260" s="15">
        <v>0</v>
      </c>
      <c r="H260" s="15">
        <v>0</v>
      </c>
    </row>
    <row r="261" ht="12.9" customHeight="1">
      <c r="A261" t="s" s="10">
        <v>2677</v>
      </c>
      <c r="B261" t="s" s="11">
        <v>1874</v>
      </c>
      <c r="C261" s="12">
        <v>45358</v>
      </c>
      <c r="D261" t="s" s="13">
        <v>354</v>
      </c>
      <c r="E261" t="s" s="13">
        <v>2678</v>
      </c>
      <c r="F261" s="14">
        <v>220</v>
      </c>
      <c r="G261" s="15">
        <v>0</v>
      </c>
      <c r="H261" s="15">
        <v>0</v>
      </c>
    </row>
    <row r="262" ht="12.9" customHeight="1">
      <c r="A262" t="s" s="10">
        <v>2679</v>
      </c>
      <c r="B262" t="s" s="11">
        <v>161</v>
      </c>
      <c r="C262" s="12">
        <v>45358</v>
      </c>
      <c r="D262" t="s" s="13">
        <v>489</v>
      </c>
      <c r="E262" t="s" s="13">
        <v>490</v>
      </c>
      <c r="F262" s="14">
        <v>2</v>
      </c>
      <c r="G262" s="15">
        <v>1199.9925</v>
      </c>
      <c r="H262" s="15">
        <v>2399.985</v>
      </c>
    </row>
    <row r="263" ht="12.9" customHeight="1">
      <c r="A263" t="s" s="10">
        <v>2679</v>
      </c>
      <c r="B263" t="s" s="11">
        <v>161</v>
      </c>
      <c r="C263" s="12">
        <v>45358</v>
      </c>
      <c r="D263" t="s" s="13">
        <v>489</v>
      </c>
      <c r="E263" t="s" s="13">
        <v>490</v>
      </c>
      <c r="F263" s="14">
        <v>2</v>
      </c>
      <c r="G263" s="15">
        <v>924.99</v>
      </c>
      <c r="H263" s="15">
        <v>1849.98</v>
      </c>
    </row>
    <row r="264" ht="12.9" customHeight="1">
      <c r="A264" t="s" s="10">
        <v>2679</v>
      </c>
      <c r="B264" t="s" s="11">
        <v>161</v>
      </c>
      <c r="C264" s="12">
        <v>45358</v>
      </c>
      <c r="D264" t="s" s="13">
        <v>491</v>
      </c>
      <c r="E264" t="s" s="13">
        <v>2680</v>
      </c>
      <c r="F264" s="14">
        <v>6</v>
      </c>
      <c r="G264" s="15">
        <v>0</v>
      </c>
      <c r="H264" s="15">
        <v>0</v>
      </c>
    </row>
    <row r="265" ht="12.9" customHeight="1">
      <c r="A265" t="s" s="10">
        <v>2679</v>
      </c>
      <c r="B265" t="s" s="11">
        <v>161</v>
      </c>
      <c r="C265" s="12">
        <v>45358</v>
      </c>
      <c r="D265" t="s" s="13">
        <v>493</v>
      </c>
      <c r="E265" t="s" s="13">
        <v>2681</v>
      </c>
      <c r="F265" s="14">
        <v>4</v>
      </c>
      <c r="G265" s="15">
        <v>0</v>
      </c>
      <c r="H265" s="15">
        <v>0</v>
      </c>
    </row>
    <row r="266" ht="12.9" customHeight="1">
      <c r="A266" t="s" s="10">
        <v>2679</v>
      </c>
      <c r="B266" t="s" s="11">
        <v>161</v>
      </c>
      <c r="C266" s="12">
        <v>45358</v>
      </c>
      <c r="D266" t="s" s="13">
        <v>27</v>
      </c>
      <c r="E266" t="s" s="13">
        <v>28</v>
      </c>
      <c r="F266" s="14">
        <v>1</v>
      </c>
      <c r="G266" s="15">
        <v>0</v>
      </c>
      <c r="H266" s="15">
        <v>0</v>
      </c>
    </row>
    <row r="267" ht="12.9" customHeight="1">
      <c r="A267" t="s" s="10">
        <v>2679</v>
      </c>
      <c r="B267" t="s" s="11">
        <v>161</v>
      </c>
      <c r="C267" s="12">
        <v>45358</v>
      </c>
      <c r="D267" t="s" s="13">
        <v>63</v>
      </c>
      <c r="E267" s="16"/>
      <c r="F267" s="14">
        <v>1</v>
      </c>
      <c r="G267" s="15">
        <v>611.2</v>
      </c>
      <c r="H267" s="15">
        <v>611.2</v>
      </c>
    </row>
    <row r="268" ht="12.9" customHeight="1">
      <c r="A268" t="s" s="10">
        <v>2682</v>
      </c>
      <c r="B268" t="s" s="11">
        <v>2683</v>
      </c>
      <c r="C268" s="12">
        <v>45357.959983761575</v>
      </c>
      <c r="D268" t="s" s="13">
        <v>73</v>
      </c>
      <c r="E268" t="s" s="13">
        <v>74</v>
      </c>
      <c r="F268" s="14">
        <v>1</v>
      </c>
      <c r="G268" s="15">
        <v>399.99</v>
      </c>
      <c r="H268" s="15">
        <v>399.99</v>
      </c>
    </row>
    <row r="269" ht="12.9" customHeight="1">
      <c r="A269" t="s" s="10">
        <v>2684</v>
      </c>
      <c r="B269" t="s" s="11">
        <v>1757</v>
      </c>
      <c r="C269" s="12">
        <v>45357.925380706016</v>
      </c>
      <c r="D269" t="s" s="13">
        <v>81</v>
      </c>
      <c r="E269" t="s" s="13">
        <v>82</v>
      </c>
      <c r="F269" s="14">
        <v>8</v>
      </c>
      <c r="G269" s="15">
        <v>849.99</v>
      </c>
      <c r="H269" s="15">
        <v>6799.92</v>
      </c>
    </row>
    <row r="270" ht="12.9" customHeight="1">
      <c r="A270" t="s" s="10">
        <v>2684</v>
      </c>
      <c r="B270" t="s" s="11">
        <v>1757</v>
      </c>
      <c r="C270" s="12">
        <v>45357.925380706016</v>
      </c>
      <c r="D270" t="s" s="13">
        <v>133</v>
      </c>
      <c r="E270" t="s" s="13">
        <v>134</v>
      </c>
      <c r="F270" s="14">
        <v>8</v>
      </c>
      <c r="G270" s="15">
        <v>50</v>
      </c>
      <c r="H270" s="15">
        <v>400</v>
      </c>
    </row>
    <row r="271" ht="12.9" customHeight="1">
      <c r="A271" t="s" s="10">
        <v>2684</v>
      </c>
      <c r="B271" t="s" s="11">
        <v>1757</v>
      </c>
      <c r="C271" s="12">
        <v>45357.925380706016</v>
      </c>
      <c r="D271" t="s" s="13">
        <v>50</v>
      </c>
      <c r="E271" t="s" s="13">
        <v>83</v>
      </c>
      <c r="F271" s="14">
        <v>8</v>
      </c>
      <c r="G271" s="15">
        <v>0</v>
      </c>
      <c r="H271" s="15">
        <v>0</v>
      </c>
    </row>
    <row r="272" ht="12.9" customHeight="1">
      <c r="A272" t="s" s="10">
        <v>2684</v>
      </c>
      <c r="B272" t="s" s="11">
        <v>1757</v>
      </c>
      <c r="C272" s="12">
        <v>45357.925380706016</v>
      </c>
      <c r="D272" t="s" s="13">
        <v>84</v>
      </c>
      <c r="E272" t="s" s="13">
        <v>2685</v>
      </c>
      <c r="F272" s="14">
        <v>8</v>
      </c>
      <c r="G272" s="15">
        <v>0</v>
      </c>
      <c r="H272" s="15">
        <v>0</v>
      </c>
    </row>
    <row r="273" ht="12.9" customHeight="1">
      <c r="A273" t="s" s="10">
        <v>2686</v>
      </c>
      <c r="B273" t="s" s="11">
        <v>275</v>
      </c>
      <c r="C273" s="12">
        <v>45357.896122928243</v>
      </c>
      <c r="D273" t="s" s="13">
        <v>31</v>
      </c>
      <c r="E273" t="s" s="13">
        <v>32</v>
      </c>
      <c r="F273" s="14">
        <v>1</v>
      </c>
      <c r="G273" s="15">
        <v>599.99</v>
      </c>
      <c r="H273" s="15">
        <v>599.99</v>
      </c>
    </row>
    <row r="274" ht="12.9" customHeight="1">
      <c r="A274" t="s" s="10">
        <v>2686</v>
      </c>
      <c r="B274" t="s" s="11">
        <v>275</v>
      </c>
      <c r="C274" s="12">
        <v>45357.896122928243</v>
      </c>
      <c r="D274" t="s" s="13">
        <v>35</v>
      </c>
      <c r="E274" t="s" s="13">
        <v>36</v>
      </c>
      <c r="F274" s="14">
        <v>1</v>
      </c>
      <c r="G274" s="15">
        <v>49.99</v>
      </c>
      <c r="H274" s="15">
        <v>49.99</v>
      </c>
    </row>
    <row r="275" ht="12.9" customHeight="1">
      <c r="A275" t="s" s="10">
        <v>2687</v>
      </c>
      <c r="B275" t="s" s="11">
        <v>2688</v>
      </c>
      <c r="C275" s="12">
        <v>45357.851199918980</v>
      </c>
      <c r="D275" t="s" s="13">
        <v>15</v>
      </c>
      <c r="E275" t="s" s="13">
        <v>16</v>
      </c>
      <c r="F275" s="14">
        <v>2</v>
      </c>
      <c r="G275" s="15">
        <v>9.99</v>
      </c>
      <c r="H275" s="15">
        <v>19.98</v>
      </c>
    </row>
    <row r="276" ht="12.9" customHeight="1">
      <c r="A276" t="s" s="10">
        <v>2689</v>
      </c>
      <c r="B276" t="s" s="11">
        <v>1221</v>
      </c>
      <c r="C276" s="12">
        <v>45357.750458888891</v>
      </c>
      <c r="D276" t="s" s="13">
        <v>77</v>
      </c>
      <c r="E276" t="s" s="13">
        <v>78</v>
      </c>
      <c r="F276" s="14">
        <v>1</v>
      </c>
      <c r="G276" s="15">
        <v>19.99</v>
      </c>
      <c r="H276" s="15">
        <v>19.99</v>
      </c>
    </row>
    <row r="277" ht="12.9" customHeight="1">
      <c r="A277" t="s" s="10">
        <v>2689</v>
      </c>
      <c r="B277" t="s" s="11">
        <v>1221</v>
      </c>
      <c r="C277" s="12">
        <v>45357.750458888891</v>
      </c>
      <c r="D277" t="s" s="13">
        <v>52</v>
      </c>
      <c r="E277" t="s" s="13">
        <v>321</v>
      </c>
      <c r="F277" s="14">
        <v>1</v>
      </c>
      <c r="G277" s="15">
        <v>19.99</v>
      </c>
      <c r="H277" s="15">
        <v>19.99</v>
      </c>
    </row>
    <row r="278" ht="12.9" customHeight="1">
      <c r="A278" t="s" s="10">
        <v>2689</v>
      </c>
      <c r="B278" t="s" s="11">
        <v>1221</v>
      </c>
      <c r="C278" s="12">
        <v>45357.750458888891</v>
      </c>
      <c r="D278" t="s" s="13">
        <v>359</v>
      </c>
      <c r="E278" t="s" s="13">
        <v>360</v>
      </c>
      <c r="F278" s="14">
        <v>1</v>
      </c>
      <c r="G278" s="15">
        <v>29.99</v>
      </c>
      <c r="H278" s="15">
        <v>29.99</v>
      </c>
    </row>
    <row r="279" ht="12.9" customHeight="1">
      <c r="A279" t="s" s="10">
        <v>2690</v>
      </c>
      <c r="B279" t="s" s="11">
        <v>202</v>
      </c>
      <c r="C279" s="12">
        <v>45357.708878101854</v>
      </c>
      <c r="D279" t="s" s="13">
        <v>73</v>
      </c>
      <c r="E279" t="s" s="13">
        <v>74</v>
      </c>
      <c r="F279" s="14">
        <v>1</v>
      </c>
      <c r="G279" s="15">
        <v>399.99</v>
      </c>
      <c r="H279" s="15">
        <v>399.99</v>
      </c>
    </row>
    <row r="280" ht="12.9" customHeight="1">
      <c r="A280" t="s" s="10">
        <v>2690</v>
      </c>
      <c r="B280" t="s" s="11">
        <v>202</v>
      </c>
      <c r="C280" s="12">
        <v>45357.708878101854</v>
      </c>
      <c r="D280" t="s" s="13">
        <v>89</v>
      </c>
      <c r="E280" t="s" s="13">
        <v>90</v>
      </c>
      <c r="F280" s="14">
        <v>1</v>
      </c>
      <c r="G280" s="15">
        <v>59.99</v>
      </c>
      <c r="H280" s="15">
        <v>59.99</v>
      </c>
    </row>
    <row r="281" ht="12.9" customHeight="1">
      <c r="A281" t="s" s="10">
        <v>2690</v>
      </c>
      <c r="B281" t="s" s="11">
        <v>202</v>
      </c>
      <c r="C281" s="12">
        <v>45357.708878101854</v>
      </c>
      <c r="D281" t="s" s="13">
        <v>1695</v>
      </c>
      <c r="E281" t="s" s="13">
        <v>140</v>
      </c>
      <c r="F281" s="14">
        <v>2</v>
      </c>
      <c r="G281" s="15">
        <v>49.99</v>
      </c>
      <c r="H281" s="15">
        <v>99.98</v>
      </c>
    </row>
    <row r="282" ht="12.9" customHeight="1">
      <c r="A282" t="s" s="10">
        <v>2690</v>
      </c>
      <c r="B282" t="s" s="11">
        <v>202</v>
      </c>
      <c r="C282" s="12">
        <v>45357.708878101854</v>
      </c>
      <c r="D282" t="s" s="13">
        <v>15</v>
      </c>
      <c r="E282" t="s" s="13">
        <v>16</v>
      </c>
      <c r="F282" s="14">
        <v>2</v>
      </c>
      <c r="G282" s="15">
        <v>0</v>
      </c>
      <c r="H282" s="15">
        <v>0</v>
      </c>
    </row>
    <row r="283" ht="12.9" customHeight="1">
      <c r="A283" t="s" s="10">
        <v>2691</v>
      </c>
      <c r="B283" t="s" s="11">
        <v>2692</v>
      </c>
      <c r="C283" s="12">
        <v>45357.19868625</v>
      </c>
      <c r="D283" t="s" s="13">
        <v>89</v>
      </c>
      <c r="E283" t="s" s="13">
        <v>90</v>
      </c>
      <c r="F283" s="14">
        <v>2</v>
      </c>
      <c r="G283" s="15">
        <v>59.99</v>
      </c>
      <c r="H283" s="15">
        <v>119.98</v>
      </c>
    </row>
    <row r="284" ht="12.9" customHeight="1">
      <c r="A284" t="s" s="10">
        <v>2693</v>
      </c>
      <c r="B284" t="s" s="11">
        <v>2694</v>
      </c>
      <c r="C284" s="12">
        <v>45357.1067393287</v>
      </c>
      <c r="D284" t="s" s="13">
        <v>27</v>
      </c>
      <c r="E284" t="s" s="13">
        <v>28</v>
      </c>
      <c r="F284" s="14">
        <v>2</v>
      </c>
      <c r="G284" s="15">
        <v>79.98999999999999</v>
      </c>
      <c r="H284" s="15">
        <v>159.98</v>
      </c>
    </row>
    <row r="285" ht="12.9" customHeight="1">
      <c r="A285" t="s" s="10">
        <v>2693</v>
      </c>
      <c r="B285" t="s" s="11">
        <v>2694</v>
      </c>
      <c r="C285" s="12">
        <v>45357.1067393287</v>
      </c>
      <c r="D285" t="s" s="13">
        <v>59</v>
      </c>
      <c r="E285" t="s" s="13">
        <v>60</v>
      </c>
      <c r="F285" s="14">
        <v>1</v>
      </c>
      <c r="G285" s="15">
        <v>1199.99</v>
      </c>
      <c r="H285" s="15">
        <v>1199.99</v>
      </c>
    </row>
    <row r="286" ht="12.9" customHeight="1">
      <c r="A286" t="s" s="10">
        <v>2695</v>
      </c>
      <c r="B286" t="s" s="11">
        <v>2058</v>
      </c>
      <c r="C286" s="12">
        <v>45357</v>
      </c>
      <c r="D286" t="s" s="13">
        <v>1097</v>
      </c>
      <c r="E286" t="s" s="13">
        <v>2696</v>
      </c>
      <c r="F286" s="14">
        <v>1</v>
      </c>
      <c r="G286" s="15">
        <v>0</v>
      </c>
      <c r="H286" s="15">
        <v>0</v>
      </c>
    </row>
    <row r="287" ht="12.9" customHeight="1">
      <c r="A287" t="s" s="10">
        <v>2697</v>
      </c>
      <c r="B287" t="s" s="11">
        <v>735</v>
      </c>
      <c r="C287" s="12">
        <v>45357</v>
      </c>
      <c r="D287" t="s" s="13">
        <v>254</v>
      </c>
      <c r="E287" t="s" s="13">
        <v>2698</v>
      </c>
      <c r="F287" s="14">
        <v>1</v>
      </c>
      <c r="G287" s="15">
        <v>40</v>
      </c>
      <c r="H287" s="15">
        <v>40</v>
      </c>
    </row>
    <row r="288" ht="12.9" customHeight="1">
      <c r="A288" t="s" s="10">
        <v>2697</v>
      </c>
      <c r="B288" t="s" s="11">
        <v>735</v>
      </c>
      <c r="C288" s="12">
        <v>45357</v>
      </c>
      <c r="D288" t="s" s="13">
        <v>2672</v>
      </c>
      <c r="E288" t="s" s="13">
        <v>2673</v>
      </c>
      <c r="F288" s="14">
        <v>1</v>
      </c>
      <c r="G288" s="15">
        <v>0</v>
      </c>
      <c r="H288" s="15">
        <v>0</v>
      </c>
    </row>
    <row r="289" ht="12.9" customHeight="1">
      <c r="A289" t="s" s="10">
        <v>2697</v>
      </c>
      <c r="B289" t="s" s="11">
        <v>735</v>
      </c>
      <c r="C289" s="12">
        <v>45357</v>
      </c>
      <c r="D289" t="s" s="13">
        <v>63</v>
      </c>
      <c r="E289" s="16"/>
      <c r="F289" s="14">
        <v>1</v>
      </c>
      <c r="G289" s="15">
        <v>14.55</v>
      </c>
      <c r="H289" s="15">
        <v>14.55</v>
      </c>
    </row>
    <row r="290" ht="12.9" customHeight="1">
      <c r="A290" t="s" s="10">
        <v>2699</v>
      </c>
      <c r="B290" t="s" s="11">
        <v>964</v>
      </c>
      <c r="C290" s="12">
        <v>45357</v>
      </c>
      <c r="D290" t="s" s="13">
        <v>50</v>
      </c>
      <c r="E290" t="s" s="13">
        <v>83</v>
      </c>
      <c r="F290" s="14">
        <v>40</v>
      </c>
      <c r="G290" s="15">
        <v>29.99</v>
      </c>
      <c r="H290" s="15">
        <v>1199.6</v>
      </c>
    </row>
    <row r="291" ht="12.9" customHeight="1">
      <c r="A291" t="s" s="10">
        <v>2699</v>
      </c>
      <c r="B291" t="s" s="11">
        <v>964</v>
      </c>
      <c r="C291" s="12">
        <v>45357</v>
      </c>
      <c r="D291" t="s" s="13">
        <v>2700</v>
      </c>
      <c r="E291" t="s" s="13">
        <v>2701</v>
      </c>
      <c r="F291" s="14">
        <v>1</v>
      </c>
      <c r="G291" s="15">
        <v>-119.96</v>
      </c>
      <c r="H291" s="15">
        <v>-119.96</v>
      </c>
    </row>
    <row r="292" ht="12.9" customHeight="1">
      <c r="A292" t="s" s="10">
        <v>2702</v>
      </c>
      <c r="B292" t="s" s="11">
        <v>2703</v>
      </c>
      <c r="C292" s="12">
        <v>45357</v>
      </c>
      <c r="D292" t="s" s="13">
        <v>207</v>
      </c>
      <c r="E292" t="s" s="13">
        <v>208</v>
      </c>
      <c r="F292" s="14">
        <v>1</v>
      </c>
      <c r="G292" s="15">
        <v>0</v>
      </c>
      <c r="H292" s="15">
        <v>0</v>
      </c>
    </row>
    <row r="293" ht="12.9" customHeight="1">
      <c r="A293" t="s" s="10">
        <v>2704</v>
      </c>
      <c r="B293" t="s" s="11">
        <v>2522</v>
      </c>
      <c r="C293" s="12">
        <v>45356.195223009257</v>
      </c>
      <c r="D293" t="s" s="13">
        <v>602</v>
      </c>
      <c r="E293" t="s" s="13">
        <v>686</v>
      </c>
      <c r="F293" s="14">
        <v>3</v>
      </c>
      <c r="G293" s="15">
        <v>299.99</v>
      </c>
      <c r="H293" s="15">
        <v>899.97</v>
      </c>
    </row>
    <row r="294" ht="12.9" customHeight="1">
      <c r="A294" t="s" s="10">
        <v>2704</v>
      </c>
      <c r="B294" t="s" s="11">
        <v>2522</v>
      </c>
      <c r="C294" s="12">
        <v>45356.195223009257</v>
      </c>
      <c r="D294" t="s" s="13">
        <v>19</v>
      </c>
      <c r="E294" t="s" s="13">
        <v>20</v>
      </c>
      <c r="F294" s="14">
        <v>8</v>
      </c>
      <c r="G294" s="15">
        <v>119.99</v>
      </c>
      <c r="H294" s="15">
        <v>959.92</v>
      </c>
    </row>
    <row r="295" ht="12.9" customHeight="1">
      <c r="A295" t="s" s="10">
        <v>2704</v>
      </c>
      <c r="B295" t="s" s="11">
        <v>2522</v>
      </c>
      <c r="C295" s="12">
        <v>45356.195223009257</v>
      </c>
      <c r="D295" t="s" s="13">
        <v>15</v>
      </c>
      <c r="E295" t="s" s="13">
        <v>16</v>
      </c>
      <c r="F295" s="14">
        <v>8</v>
      </c>
      <c r="G295" s="15">
        <v>0</v>
      </c>
      <c r="H295" s="15">
        <v>0</v>
      </c>
    </row>
    <row r="296" ht="12.9" customHeight="1">
      <c r="A296" t="s" s="10">
        <v>2704</v>
      </c>
      <c r="B296" t="s" s="11">
        <v>2522</v>
      </c>
      <c r="C296" s="12">
        <v>45356.195223009257</v>
      </c>
      <c r="D296" t="s" s="13">
        <v>133</v>
      </c>
      <c r="E296" t="s" s="13">
        <v>134</v>
      </c>
      <c r="F296" s="14">
        <v>12</v>
      </c>
      <c r="G296" s="15">
        <v>199.99</v>
      </c>
      <c r="H296" s="15">
        <v>2399.88</v>
      </c>
    </row>
    <row r="297" ht="12.9" customHeight="1">
      <c r="A297" t="s" s="10">
        <v>2704</v>
      </c>
      <c r="B297" t="s" s="11">
        <v>2522</v>
      </c>
      <c r="C297" s="12">
        <v>45356.195223009257</v>
      </c>
      <c r="D297" t="s" s="13">
        <v>77</v>
      </c>
      <c r="E297" t="s" s="13">
        <v>78</v>
      </c>
      <c r="F297" s="14">
        <v>3</v>
      </c>
      <c r="G297" s="15">
        <v>19.99</v>
      </c>
      <c r="H297" s="15">
        <v>59.97</v>
      </c>
    </row>
    <row r="298" ht="12.9" customHeight="1">
      <c r="A298" t="s" s="10">
        <v>2704</v>
      </c>
      <c r="B298" t="s" s="11">
        <v>2522</v>
      </c>
      <c r="C298" s="12">
        <v>45356.195223009257</v>
      </c>
      <c r="D298" t="s" s="13">
        <v>123</v>
      </c>
      <c r="E298" t="s" s="13">
        <v>124</v>
      </c>
      <c r="F298" s="14">
        <v>1</v>
      </c>
      <c r="G298" s="15">
        <v>179.99</v>
      </c>
      <c r="H298" s="15">
        <v>179.99</v>
      </c>
    </row>
    <row r="299" ht="12.9" customHeight="1">
      <c r="A299" t="s" s="10">
        <v>2704</v>
      </c>
      <c r="B299" t="s" s="11">
        <v>2522</v>
      </c>
      <c r="C299" s="12">
        <v>45356.195223009257</v>
      </c>
      <c r="D299" t="s" s="13">
        <v>146</v>
      </c>
      <c r="E299" t="s" s="13">
        <v>147</v>
      </c>
      <c r="F299" s="14">
        <v>4</v>
      </c>
      <c r="G299" s="15">
        <v>19.99</v>
      </c>
      <c r="H299" s="15">
        <v>79.95999999999999</v>
      </c>
    </row>
    <row r="300" ht="12.9" customHeight="1">
      <c r="A300" t="s" s="10">
        <v>2705</v>
      </c>
      <c r="B300" t="s" s="11">
        <v>2706</v>
      </c>
      <c r="C300" s="12">
        <v>45356.039203182867</v>
      </c>
      <c r="D300" t="s" s="13">
        <v>11</v>
      </c>
      <c r="E300" t="s" s="13">
        <v>12</v>
      </c>
      <c r="F300" s="14">
        <v>1</v>
      </c>
      <c r="G300" s="15">
        <v>399.99</v>
      </c>
      <c r="H300" s="15">
        <v>399.99</v>
      </c>
    </row>
    <row r="301" ht="12.9" customHeight="1">
      <c r="A301" t="s" s="10">
        <v>2707</v>
      </c>
      <c r="B301" t="s" s="11">
        <v>2708</v>
      </c>
      <c r="C301" s="12">
        <v>45356</v>
      </c>
      <c r="D301" t="s" s="13">
        <v>1695</v>
      </c>
      <c r="E301" t="s" s="13">
        <v>140</v>
      </c>
      <c r="F301" s="14">
        <v>1</v>
      </c>
      <c r="G301" s="15">
        <v>0</v>
      </c>
      <c r="H301" s="15">
        <v>0</v>
      </c>
    </row>
    <row r="302" ht="12.9" customHeight="1">
      <c r="A302" t="s" s="10">
        <v>2709</v>
      </c>
      <c r="B302" t="s" s="11">
        <v>2710</v>
      </c>
      <c r="C302" s="12">
        <v>45356</v>
      </c>
      <c r="D302" t="s" s="13">
        <v>2711</v>
      </c>
      <c r="E302" t="s" s="13">
        <v>2712</v>
      </c>
      <c r="F302" s="14">
        <v>1</v>
      </c>
      <c r="G302" s="15">
        <v>0</v>
      </c>
      <c r="H302" s="15">
        <v>0</v>
      </c>
    </row>
    <row r="303" ht="12.9" customHeight="1">
      <c r="A303" t="s" s="10">
        <v>2713</v>
      </c>
      <c r="B303" t="s" s="11">
        <v>2714</v>
      </c>
      <c r="C303" s="12">
        <v>45356</v>
      </c>
      <c r="D303" t="s" s="13">
        <v>27</v>
      </c>
      <c r="E303" t="s" s="13">
        <v>28</v>
      </c>
      <c r="F303" s="14">
        <v>1</v>
      </c>
      <c r="G303" s="15">
        <v>0</v>
      </c>
      <c r="H303" s="15">
        <v>0</v>
      </c>
    </row>
    <row r="304" ht="12.9" customHeight="1">
      <c r="A304" t="s" s="10">
        <v>2715</v>
      </c>
      <c r="B304" t="s" s="11">
        <v>1471</v>
      </c>
      <c r="C304" s="12">
        <v>45355.983489791666</v>
      </c>
      <c r="D304" t="s" s="13">
        <v>73</v>
      </c>
      <c r="E304" t="s" s="13">
        <v>74</v>
      </c>
      <c r="F304" s="14">
        <v>1</v>
      </c>
      <c r="G304" s="15">
        <v>399.99</v>
      </c>
      <c r="H304" s="15">
        <v>399.99</v>
      </c>
    </row>
    <row r="305" ht="12.9" customHeight="1">
      <c r="A305" t="s" s="10">
        <v>2715</v>
      </c>
      <c r="B305" t="s" s="11">
        <v>1471</v>
      </c>
      <c r="C305" s="12">
        <v>45355.983489791666</v>
      </c>
      <c r="D305" t="s" s="13">
        <v>19</v>
      </c>
      <c r="E305" t="s" s="13">
        <v>20</v>
      </c>
      <c r="F305" s="14">
        <v>2</v>
      </c>
      <c r="G305" s="15">
        <v>119.99</v>
      </c>
      <c r="H305" s="15">
        <v>239.98</v>
      </c>
    </row>
    <row r="306" ht="12.9" customHeight="1">
      <c r="A306" t="s" s="10">
        <v>2715</v>
      </c>
      <c r="B306" t="s" s="11">
        <v>1471</v>
      </c>
      <c r="C306" s="12">
        <v>45355.983489791666</v>
      </c>
      <c r="D306" t="s" s="13">
        <v>15</v>
      </c>
      <c r="E306" t="s" s="13">
        <v>16</v>
      </c>
      <c r="F306" s="14">
        <v>2</v>
      </c>
      <c r="G306" s="15">
        <v>0</v>
      </c>
      <c r="H306" s="15">
        <v>0</v>
      </c>
    </row>
    <row r="307" ht="12.9" customHeight="1">
      <c r="A307" t="s" s="10">
        <v>2715</v>
      </c>
      <c r="B307" t="s" s="11">
        <v>1471</v>
      </c>
      <c r="C307" s="12">
        <v>45355.983489791666</v>
      </c>
      <c r="D307" t="s" s="13">
        <v>54</v>
      </c>
      <c r="E307" t="s" s="13">
        <v>93</v>
      </c>
      <c r="F307" s="14">
        <v>2</v>
      </c>
      <c r="G307" s="15">
        <v>9.99</v>
      </c>
      <c r="H307" s="15">
        <v>19.98</v>
      </c>
    </row>
    <row r="308" ht="12.9" customHeight="1">
      <c r="A308" t="s" s="10">
        <v>2716</v>
      </c>
      <c r="B308" t="s" s="11">
        <v>2717</v>
      </c>
      <c r="C308" s="12">
        <v>45355.633046145835</v>
      </c>
      <c r="D308" t="s" s="13">
        <v>73</v>
      </c>
      <c r="E308" t="s" s="13">
        <v>74</v>
      </c>
      <c r="F308" s="14">
        <v>2</v>
      </c>
      <c r="G308" s="15">
        <v>399.99</v>
      </c>
      <c r="H308" s="15">
        <v>799.98</v>
      </c>
    </row>
    <row r="309" ht="12.9" customHeight="1">
      <c r="A309" t="s" s="10">
        <v>2718</v>
      </c>
      <c r="B309" t="s" s="11">
        <v>2719</v>
      </c>
      <c r="C309" s="12">
        <v>45355.0697034375</v>
      </c>
      <c r="D309" t="s" s="13">
        <v>239</v>
      </c>
      <c r="E309" t="s" s="13">
        <v>240</v>
      </c>
      <c r="F309" s="14">
        <v>1</v>
      </c>
      <c r="G309" s="15">
        <v>99.98999999999999</v>
      </c>
      <c r="H309" s="15">
        <v>99.98999999999999</v>
      </c>
    </row>
    <row r="310" ht="12.9" customHeight="1">
      <c r="A310" t="s" s="10">
        <v>2718</v>
      </c>
      <c r="B310" t="s" s="11">
        <v>2719</v>
      </c>
      <c r="C310" s="12">
        <v>45355.0697034375</v>
      </c>
      <c r="D310" t="s" s="13">
        <v>84</v>
      </c>
      <c r="E310" t="s" s="13">
        <v>2685</v>
      </c>
      <c r="F310" s="14">
        <v>1</v>
      </c>
      <c r="G310" s="15">
        <v>15</v>
      </c>
      <c r="H310" s="15">
        <v>15</v>
      </c>
    </row>
    <row r="311" ht="12.9" customHeight="1">
      <c r="A311" t="s" s="10">
        <v>2720</v>
      </c>
      <c r="B311" t="s" s="11">
        <v>2721</v>
      </c>
      <c r="C311" s="12">
        <v>45355</v>
      </c>
      <c r="D311" t="s" s="13">
        <v>2722</v>
      </c>
      <c r="E311" t="s" s="13">
        <v>2723</v>
      </c>
      <c r="F311" s="14">
        <v>1</v>
      </c>
      <c r="G311" s="15">
        <v>0</v>
      </c>
      <c r="H311" s="15">
        <v>0</v>
      </c>
    </row>
    <row r="312" ht="12.9" customHeight="1">
      <c r="A312" t="s" s="10">
        <v>2720</v>
      </c>
      <c r="B312" t="s" s="11">
        <v>2721</v>
      </c>
      <c r="C312" s="12">
        <v>45355</v>
      </c>
      <c r="D312" t="s" s="13">
        <v>2724</v>
      </c>
      <c r="E312" t="s" s="13">
        <v>2725</v>
      </c>
      <c r="F312" s="14">
        <v>1</v>
      </c>
      <c r="G312" s="15">
        <v>0</v>
      </c>
      <c r="H312" s="15">
        <v>0</v>
      </c>
    </row>
    <row r="313" ht="12.9" customHeight="1">
      <c r="A313" t="s" s="10">
        <v>2726</v>
      </c>
      <c r="B313" t="s" s="11">
        <v>2727</v>
      </c>
      <c r="C313" s="12">
        <v>45353.971861597223</v>
      </c>
      <c r="D313" t="s" s="13">
        <v>48</v>
      </c>
      <c r="E313" t="s" s="13">
        <v>49</v>
      </c>
      <c r="F313" s="14">
        <v>1</v>
      </c>
      <c r="G313" s="15">
        <v>1299.99</v>
      </c>
      <c r="H313" s="15">
        <v>1299.99</v>
      </c>
    </row>
    <row r="314" ht="12.9" customHeight="1">
      <c r="A314" t="s" s="10">
        <v>2726</v>
      </c>
      <c r="B314" t="s" s="11">
        <v>2727</v>
      </c>
      <c r="C314" s="12">
        <v>45353.971861597223</v>
      </c>
      <c r="D314" t="s" s="13">
        <v>50</v>
      </c>
      <c r="E314" t="s" s="13">
        <v>83</v>
      </c>
      <c r="F314" s="14">
        <v>1</v>
      </c>
      <c r="G314" s="15">
        <v>29.99</v>
      </c>
      <c r="H314" s="15">
        <v>29.99</v>
      </c>
    </row>
    <row r="315" ht="12.9" customHeight="1">
      <c r="A315" t="s" s="10">
        <v>2726</v>
      </c>
      <c r="B315" t="s" s="11">
        <v>2727</v>
      </c>
      <c r="C315" s="12">
        <v>45353.971861597223</v>
      </c>
      <c r="D315" t="s" s="13">
        <v>52</v>
      </c>
      <c r="E315" t="s" s="13">
        <v>321</v>
      </c>
      <c r="F315" s="14">
        <v>1</v>
      </c>
      <c r="G315" s="15">
        <v>19.99</v>
      </c>
      <c r="H315" s="15">
        <v>19.99</v>
      </c>
    </row>
    <row r="316" ht="12.9" customHeight="1">
      <c r="A316" t="s" s="10">
        <v>2726</v>
      </c>
      <c r="B316" t="s" s="11">
        <v>2727</v>
      </c>
      <c r="C316" s="12">
        <v>45353.971861597223</v>
      </c>
      <c r="D316" t="s" s="13">
        <v>84</v>
      </c>
      <c r="E316" t="s" s="13">
        <v>2685</v>
      </c>
      <c r="F316" s="14">
        <v>1</v>
      </c>
      <c r="G316" s="15">
        <v>15</v>
      </c>
      <c r="H316" s="15">
        <v>15</v>
      </c>
    </row>
    <row r="317" ht="12.9" customHeight="1">
      <c r="A317" t="s" s="10">
        <v>2726</v>
      </c>
      <c r="B317" t="s" s="11">
        <v>2727</v>
      </c>
      <c r="C317" s="12">
        <v>45353.971861597223</v>
      </c>
      <c r="D317" t="s" s="13">
        <v>23</v>
      </c>
      <c r="E317" t="s" s="13">
        <v>24</v>
      </c>
      <c r="F317" s="14">
        <v>1</v>
      </c>
      <c r="G317" s="15">
        <v>0</v>
      </c>
      <c r="H317" s="15">
        <v>0</v>
      </c>
    </row>
    <row r="318" ht="12.9" customHeight="1">
      <c r="A318" t="s" s="10">
        <v>2726</v>
      </c>
      <c r="B318" t="s" s="11">
        <v>2727</v>
      </c>
      <c r="C318" s="12">
        <v>45353.971861597223</v>
      </c>
      <c r="D318" t="s" s="13">
        <v>462</v>
      </c>
      <c r="E318" t="s" s="13">
        <v>463</v>
      </c>
      <c r="F318" s="14">
        <v>1</v>
      </c>
      <c r="G318" s="15">
        <v>199.99</v>
      </c>
      <c r="H318" s="15">
        <v>199.99</v>
      </c>
    </row>
    <row r="319" ht="12.9" customHeight="1">
      <c r="A319" t="s" s="10">
        <v>2726</v>
      </c>
      <c r="B319" t="s" s="11">
        <v>2727</v>
      </c>
      <c r="C319" s="12">
        <v>45353.971861597223</v>
      </c>
      <c r="D319" t="s" s="13">
        <v>1875</v>
      </c>
      <c r="E319" t="s" s="13">
        <v>2272</v>
      </c>
      <c r="F319" s="14">
        <v>1</v>
      </c>
      <c r="G319" s="15">
        <v>249.99</v>
      </c>
      <c r="H319" s="15">
        <v>249.99</v>
      </c>
    </row>
    <row r="320" ht="12.9" customHeight="1">
      <c r="A320" t="s" s="10">
        <v>2726</v>
      </c>
      <c r="B320" t="s" s="11">
        <v>2727</v>
      </c>
      <c r="C320" s="12">
        <v>45353.971861597223</v>
      </c>
      <c r="D320" t="s" s="13">
        <v>359</v>
      </c>
      <c r="E320" t="s" s="13">
        <v>360</v>
      </c>
      <c r="F320" s="14">
        <v>3</v>
      </c>
      <c r="G320" s="15">
        <v>29.99</v>
      </c>
      <c r="H320" s="15">
        <v>89.97</v>
      </c>
    </row>
    <row r="321" ht="12.9" customHeight="1">
      <c r="A321" t="s" s="10">
        <v>2728</v>
      </c>
      <c r="B321" t="s" s="11">
        <v>2729</v>
      </c>
      <c r="C321" s="12">
        <v>45353.826266724536</v>
      </c>
      <c r="D321" t="s" s="13">
        <v>11</v>
      </c>
      <c r="E321" t="s" s="13">
        <v>12</v>
      </c>
      <c r="F321" s="14">
        <v>1</v>
      </c>
      <c r="G321" s="15">
        <v>399.99</v>
      </c>
      <c r="H321" s="15">
        <v>399.99</v>
      </c>
    </row>
    <row r="322" ht="12.9" customHeight="1">
      <c r="A322" t="s" s="10">
        <v>2730</v>
      </c>
      <c r="B322" t="s" s="11">
        <v>2731</v>
      </c>
      <c r="C322" s="12">
        <v>45353.783790810186</v>
      </c>
      <c r="D322" t="s" s="13">
        <v>81</v>
      </c>
      <c r="E322" t="s" s="13">
        <v>82</v>
      </c>
      <c r="F322" s="14">
        <v>2</v>
      </c>
      <c r="G322" s="15">
        <v>849.99</v>
      </c>
      <c r="H322" s="15">
        <v>1699.98</v>
      </c>
    </row>
    <row r="323" ht="12.9" customHeight="1">
      <c r="A323" t="s" s="10">
        <v>2730</v>
      </c>
      <c r="B323" t="s" s="11">
        <v>2731</v>
      </c>
      <c r="C323" s="12">
        <v>45353.783790810186</v>
      </c>
      <c r="D323" t="s" s="13">
        <v>23</v>
      </c>
      <c r="E323" t="s" s="13">
        <v>24</v>
      </c>
      <c r="F323" s="14">
        <v>2</v>
      </c>
      <c r="G323" s="15">
        <v>0</v>
      </c>
      <c r="H323" s="15">
        <v>0</v>
      </c>
    </row>
    <row r="324" ht="12.9" customHeight="1">
      <c r="A324" t="s" s="10">
        <v>2730</v>
      </c>
      <c r="B324" t="s" s="11">
        <v>2731</v>
      </c>
      <c r="C324" s="12">
        <v>45353.783790810186</v>
      </c>
      <c r="D324" t="s" s="13">
        <v>660</v>
      </c>
      <c r="E324" t="s" s="13">
        <v>661</v>
      </c>
      <c r="F324" s="14">
        <v>2</v>
      </c>
      <c r="G324" s="15">
        <v>5.99</v>
      </c>
      <c r="H324" s="15">
        <v>11.98</v>
      </c>
    </row>
    <row r="325" ht="12.9" customHeight="1">
      <c r="A325" t="s" s="10">
        <v>2730</v>
      </c>
      <c r="B325" t="s" s="11">
        <v>2731</v>
      </c>
      <c r="C325" s="12">
        <v>45353.783790810186</v>
      </c>
      <c r="D325" t="s" s="13">
        <v>50</v>
      </c>
      <c r="E325" t="s" s="13">
        <v>83</v>
      </c>
      <c r="F325" s="14">
        <v>2</v>
      </c>
      <c r="G325" s="15">
        <v>0</v>
      </c>
      <c r="H325" s="15">
        <v>0</v>
      </c>
    </row>
    <row r="326" ht="12.9" customHeight="1">
      <c r="A326" t="s" s="10">
        <v>2730</v>
      </c>
      <c r="B326" t="s" s="11">
        <v>2731</v>
      </c>
      <c r="C326" s="12">
        <v>45353.783790810186</v>
      </c>
      <c r="D326" t="s" s="13">
        <v>84</v>
      </c>
      <c r="E326" t="s" s="13">
        <v>2685</v>
      </c>
      <c r="F326" s="14">
        <v>2</v>
      </c>
      <c r="G326" s="15">
        <v>0</v>
      </c>
      <c r="H326" s="15">
        <v>0</v>
      </c>
    </row>
    <row r="327" ht="12.9" customHeight="1">
      <c r="A327" t="s" s="10">
        <v>2732</v>
      </c>
      <c r="B327" t="s" s="11">
        <v>76</v>
      </c>
      <c r="C327" s="12">
        <v>45353.735088113426</v>
      </c>
      <c r="D327" t="s" s="13">
        <v>95</v>
      </c>
      <c r="E327" t="s" s="13">
        <v>12</v>
      </c>
      <c r="F327" s="14">
        <v>1</v>
      </c>
      <c r="G327" s="15">
        <v>349.99</v>
      </c>
      <c r="H327" s="15">
        <v>349.99</v>
      </c>
    </row>
    <row r="328" ht="12.9" customHeight="1">
      <c r="A328" t="s" s="10">
        <v>2733</v>
      </c>
      <c r="B328" t="s" s="11">
        <v>2734</v>
      </c>
      <c r="C328" s="12">
        <v>45352.8118984375</v>
      </c>
      <c r="D328" t="s" s="13">
        <v>59</v>
      </c>
      <c r="E328" t="s" s="13">
        <v>60</v>
      </c>
      <c r="F328" s="14">
        <v>1</v>
      </c>
      <c r="G328" s="15">
        <v>1199.99</v>
      </c>
      <c r="H328" s="15">
        <v>1199.99</v>
      </c>
    </row>
    <row r="329" ht="12.9" customHeight="1">
      <c r="A329" t="s" s="10">
        <v>2735</v>
      </c>
      <c r="B329" t="s" s="11">
        <v>2736</v>
      </c>
      <c r="C329" s="12">
        <v>45352.789485428242</v>
      </c>
      <c r="D329" t="s" s="13">
        <v>95</v>
      </c>
      <c r="E329" t="s" s="13">
        <v>12</v>
      </c>
      <c r="F329" s="14">
        <v>1</v>
      </c>
      <c r="G329" s="15">
        <v>349.99</v>
      </c>
      <c r="H329" s="15">
        <v>349.99</v>
      </c>
    </row>
    <row r="330" ht="12.9" customHeight="1">
      <c r="A330" t="s" s="10">
        <v>2735</v>
      </c>
      <c r="B330" t="s" s="11">
        <v>2736</v>
      </c>
      <c r="C330" s="12">
        <v>45352.789485428242</v>
      </c>
      <c r="D330" t="s" s="13">
        <v>89</v>
      </c>
      <c r="E330" t="s" s="13">
        <v>90</v>
      </c>
      <c r="F330" s="14">
        <v>1</v>
      </c>
      <c r="G330" s="15">
        <v>59.99</v>
      </c>
      <c r="H330" s="15">
        <v>59.99</v>
      </c>
    </row>
    <row r="331" ht="12.9" customHeight="1">
      <c r="A331" t="s" s="10">
        <v>2737</v>
      </c>
      <c r="B331" t="s" s="11">
        <v>2738</v>
      </c>
      <c r="C331" s="12">
        <v>45352.719680405091</v>
      </c>
      <c r="D331" t="s" s="13">
        <v>52</v>
      </c>
      <c r="E331" t="s" s="13">
        <v>321</v>
      </c>
      <c r="F331" s="14">
        <v>1</v>
      </c>
      <c r="G331" s="15">
        <v>19.99</v>
      </c>
      <c r="H331" s="15">
        <v>19.99</v>
      </c>
    </row>
    <row r="332" ht="12.9" customHeight="1">
      <c r="A332" t="s" s="10">
        <v>2739</v>
      </c>
      <c r="B332" t="s" s="11">
        <v>2740</v>
      </c>
      <c r="C332" s="12">
        <v>45352.6564200463</v>
      </c>
      <c r="D332" t="s" s="13">
        <v>89</v>
      </c>
      <c r="E332" t="s" s="13">
        <v>90</v>
      </c>
      <c r="F332" s="14">
        <v>1</v>
      </c>
      <c r="G332" s="15">
        <v>59.99</v>
      </c>
      <c r="H332" s="15">
        <v>59.99</v>
      </c>
    </row>
    <row r="333" ht="12.9" customHeight="1">
      <c r="A333" t="s" s="10">
        <v>2741</v>
      </c>
      <c r="B333" t="s" s="11">
        <v>2742</v>
      </c>
      <c r="C333" s="12">
        <v>45352.648055439815</v>
      </c>
      <c r="D333" t="s" s="13">
        <v>31</v>
      </c>
      <c r="E333" t="s" s="13">
        <v>32</v>
      </c>
      <c r="F333" s="14">
        <v>1</v>
      </c>
      <c r="G333" s="15">
        <v>599.99</v>
      </c>
      <c r="H333" s="15">
        <v>599.99</v>
      </c>
    </row>
    <row r="334" ht="12.9" customHeight="1">
      <c r="A334" s="17"/>
      <c r="B334" s="18"/>
      <c r="C334" s="12"/>
      <c r="D334" s="16"/>
      <c r="E334" s="16"/>
      <c r="F334" s="16"/>
      <c r="G334" s="15"/>
      <c r="H334" s="15"/>
    </row>
    <row r="335" ht="12.9" customHeight="1">
      <c r="A335" s="17"/>
      <c r="B335" s="18"/>
      <c r="C335" s="12"/>
      <c r="D335" s="16"/>
      <c r="E335" s="16"/>
      <c r="F335" s="16"/>
      <c r="G335" s="15"/>
      <c r="H335" s="15"/>
    </row>
    <row r="336" ht="12.9" customHeight="1">
      <c r="A336" s="17"/>
      <c r="B336" s="18"/>
      <c r="C336" s="12"/>
      <c r="D336" s="16"/>
      <c r="E336" s="16"/>
      <c r="F336" s="16"/>
      <c r="G336" s="15"/>
      <c r="H336" s="15"/>
    </row>
    <row r="337" ht="12.9" customHeight="1">
      <c r="A337" s="17"/>
      <c r="B337" s="18"/>
      <c r="C337" s="12"/>
      <c r="D337" s="16"/>
      <c r="E337" s="16"/>
      <c r="F337" s="16"/>
      <c r="G337" s="15"/>
      <c r="H337" s="15"/>
    </row>
    <row r="338" ht="12.9" customHeight="1">
      <c r="A338" s="17"/>
      <c r="B338" s="18"/>
      <c r="C338" s="12"/>
      <c r="D338" s="16"/>
      <c r="E338" s="16"/>
      <c r="F338" s="16"/>
      <c r="G338" s="15"/>
      <c r="H338" s="15"/>
    </row>
    <row r="339" ht="12.9" customHeight="1">
      <c r="A339" s="17"/>
      <c r="B339" s="18"/>
      <c r="C339" s="12"/>
      <c r="D339" s="16"/>
      <c r="E339" s="16"/>
      <c r="F339" s="16"/>
      <c r="G339" s="15"/>
      <c r="H339" s="15"/>
    </row>
    <row r="340" ht="12.9" customHeight="1">
      <c r="A340" s="17"/>
      <c r="B340" s="18"/>
      <c r="C340" s="12"/>
      <c r="D340" s="16"/>
      <c r="E340" s="16"/>
      <c r="F340" s="16"/>
      <c r="G340" s="15"/>
      <c r="H340" s="15"/>
    </row>
    <row r="341" ht="12.9" customHeight="1">
      <c r="A341" s="17"/>
      <c r="B341" s="18"/>
      <c r="C341" s="12"/>
      <c r="D341" s="16"/>
      <c r="E341" s="16"/>
      <c r="F341" s="16"/>
      <c r="G341" s="15"/>
      <c r="H341" s="15"/>
    </row>
    <row r="342" ht="12.9" customHeight="1">
      <c r="A342" s="17"/>
      <c r="B342" s="18"/>
      <c r="C342" s="12"/>
      <c r="D342" s="16"/>
      <c r="E342" s="16"/>
      <c r="F342" s="16"/>
      <c r="G342" s="15"/>
      <c r="H342" s="15"/>
    </row>
    <row r="343" ht="12.9" customHeight="1">
      <c r="A343" s="17"/>
      <c r="B343" s="18"/>
      <c r="C343" s="12"/>
      <c r="D343" s="16"/>
      <c r="E343" s="16"/>
      <c r="F343" s="16"/>
      <c r="G343" s="15"/>
      <c r="H343" s="15"/>
    </row>
    <row r="345" ht="15.55" customHeight="1">
      <c r="I345" t="s" s="2">
        <v>2743</v>
      </c>
      <c r="J345" s="2"/>
      <c r="K345" s="2"/>
      <c r="L345" s="2"/>
      <c r="M345" s="2"/>
      <c r="N345" s="2"/>
      <c r="O345" s="2"/>
    </row>
    <row r="347" ht="13.1" customHeight="1">
      <c r="I347" t="s" s="20">
        <v>2</v>
      </c>
      <c r="J347" t="s" s="21">
        <v>1</v>
      </c>
      <c r="K347" t="s" s="21">
        <v>616</v>
      </c>
      <c r="L347" t="s" s="22">
        <v>4</v>
      </c>
      <c r="M347" t="s" s="23">
        <v>617</v>
      </c>
      <c r="N347" t="s" s="3">
        <v>618</v>
      </c>
      <c r="O347" t="s" s="3">
        <v>619</v>
      </c>
    </row>
    <row r="348" ht="15.4" customHeight="1">
      <c r="I348" t="s" s="24">
        <v>2572</v>
      </c>
      <c r="M348" s="25">
        <v>4</v>
      </c>
      <c r="N348" s="26">
        <v>842.99</v>
      </c>
      <c r="O348" s="26">
        <v>1442.98</v>
      </c>
    </row>
    <row r="349" ht="15.55" customHeight="1">
      <c r="I349" t="s" s="27">
        <v>210</v>
      </c>
      <c r="M349" s="28">
        <v>23</v>
      </c>
      <c r="N349" s="29">
        <v>525</v>
      </c>
      <c r="O349" s="29">
        <v>525</v>
      </c>
    </row>
    <row r="350" ht="15.55" customHeight="1">
      <c r="I350" t="s" s="27">
        <v>2087</v>
      </c>
      <c r="M350" s="28">
        <v>4</v>
      </c>
      <c r="N350" s="29">
        <v>119.99</v>
      </c>
      <c r="O350" s="29">
        <v>239.98</v>
      </c>
    </row>
    <row r="351" ht="15.55" customHeight="1">
      <c r="I351" t="s" s="27">
        <v>2202</v>
      </c>
      <c r="M351" s="28">
        <v>1</v>
      </c>
      <c r="N351" s="29">
        <v>349.99</v>
      </c>
      <c r="O351" s="29">
        <v>349.99</v>
      </c>
    </row>
    <row r="352" ht="15.55" customHeight="1">
      <c r="I352" t="s" s="27">
        <v>2740</v>
      </c>
      <c r="M352" s="28">
        <v>1</v>
      </c>
      <c r="N352" s="29">
        <v>59.99</v>
      </c>
      <c r="O352" s="29">
        <v>59.99</v>
      </c>
    </row>
    <row r="353" ht="15.55" customHeight="1">
      <c r="I353" t="s" s="27">
        <v>161</v>
      </c>
      <c r="M353" s="28">
        <v>16</v>
      </c>
      <c r="N353" s="29">
        <v>2736.1825</v>
      </c>
      <c r="O353" s="29">
        <v>4861.165</v>
      </c>
    </row>
    <row r="354" ht="15.55" customHeight="1">
      <c r="I354" t="s" s="27">
        <v>2570</v>
      </c>
      <c r="M354" s="28">
        <v>1</v>
      </c>
      <c r="N354" s="29">
        <v>549.99</v>
      </c>
      <c r="O354" s="29">
        <v>549.99</v>
      </c>
    </row>
    <row r="355" ht="15.55" customHeight="1">
      <c r="I355" t="s" s="27">
        <v>2556</v>
      </c>
      <c r="M355" s="28">
        <v>1</v>
      </c>
      <c r="N355" s="29">
        <v>29.99</v>
      </c>
      <c r="O355" s="29">
        <v>29.99</v>
      </c>
    </row>
    <row r="356" ht="15.55" customHeight="1">
      <c r="I356" t="s" s="27">
        <v>2643</v>
      </c>
      <c r="M356" s="28">
        <v>7</v>
      </c>
      <c r="N356" s="29">
        <v>99.98999999999999</v>
      </c>
      <c r="O356" s="29">
        <v>699.9299999999999</v>
      </c>
    </row>
    <row r="357" ht="15.55" customHeight="1">
      <c r="I357" t="s" s="27">
        <v>2731</v>
      </c>
      <c r="M357" s="28">
        <v>10</v>
      </c>
      <c r="N357" s="29">
        <v>855.98</v>
      </c>
      <c r="O357" s="29">
        <v>1711.96</v>
      </c>
    </row>
    <row r="358" ht="15.55" customHeight="1">
      <c r="I358" t="s" s="27">
        <v>2654</v>
      </c>
      <c r="M358" s="28">
        <v>3</v>
      </c>
      <c r="N358" s="29">
        <v>49.99</v>
      </c>
      <c r="O358" s="29">
        <v>149.97</v>
      </c>
    </row>
    <row r="359" ht="15.55" customHeight="1">
      <c r="I359" t="s" s="27">
        <v>2558</v>
      </c>
      <c r="M359" s="28">
        <v>1</v>
      </c>
      <c r="N359" s="29">
        <v>59.99</v>
      </c>
      <c r="O359" s="29">
        <v>59.99</v>
      </c>
    </row>
    <row r="360" ht="15.55" customHeight="1">
      <c r="I360" t="s" s="27">
        <v>2507</v>
      </c>
      <c r="M360" s="28">
        <v>8</v>
      </c>
      <c r="N360" s="29">
        <v>59.99</v>
      </c>
      <c r="O360" s="29">
        <v>479.92</v>
      </c>
    </row>
    <row r="361" ht="15.55" customHeight="1">
      <c r="I361" t="s" s="27">
        <v>202</v>
      </c>
      <c r="M361" s="28">
        <v>6</v>
      </c>
      <c r="N361" s="29">
        <v>509.97</v>
      </c>
      <c r="O361" s="29">
        <v>559.96</v>
      </c>
    </row>
    <row r="362" ht="15.55" customHeight="1">
      <c r="I362" t="s" s="27">
        <v>2648</v>
      </c>
      <c r="M362" s="28">
        <v>1</v>
      </c>
      <c r="N362" s="29">
        <v>9.99</v>
      </c>
      <c r="O362" s="29">
        <v>9.99</v>
      </c>
    </row>
    <row r="363" ht="15.55" customHeight="1">
      <c r="I363" t="s" s="27">
        <v>2489</v>
      </c>
      <c r="M363" s="28">
        <v>2</v>
      </c>
      <c r="N363" s="29">
        <v>119.99</v>
      </c>
      <c r="O363" s="29">
        <v>239.98</v>
      </c>
    </row>
    <row r="364" ht="15.55" customHeight="1">
      <c r="I364" t="s" s="27">
        <v>2637</v>
      </c>
      <c r="M364" s="28">
        <v>4</v>
      </c>
      <c r="N364" s="29">
        <v>179.98</v>
      </c>
      <c r="O364" s="29">
        <v>359.96</v>
      </c>
    </row>
    <row r="365" ht="15.55" customHeight="1">
      <c r="I365" t="s" s="27">
        <v>2530</v>
      </c>
      <c r="M365" s="28">
        <v>1</v>
      </c>
      <c r="N365" s="29">
        <v>599.99</v>
      </c>
      <c r="O365" s="29">
        <v>599.99</v>
      </c>
    </row>
    <row r="366" ht="15.55" customHeight="1">
      <c r="I366" t="s" s="27">
        <v>2275</v>
      </c>
      <c r="M366" s="28">
        <v>5</v>
      </c>
      <c r="N366" s="29">
        <v>82.5925</v>
      </c>
      <c r="O366" s="29">
        <v>262.57</v>
      </c>
    </row>
    <row r="367" ht="15.55" customHeight="1">
      <c r="I367" t="s" s="27">
        <v>2659</v>
      </c>
      <c r="M367" s="28">
        <v>10</v>
      </c>
      <c r="N367" s="29">
        <v>11.98</v>
      </c>
      <c r="O367" s="29">
        <v>35.9</v>
      </c>
    </row>
    <row r="368" ht="15.55" customHeight="1">
      <c r="I368" t="s" s="27">
        <v>2594</v>
      </c>
      <c r="M368" s="28">
        <v>1</v>
      </c>
      <c r="N368" s="29">
        <v>599.99</v>
      </c>
      <c r="O368" s="29">
        <v>599.99</v>
      </c>
    </row>
    <row r="369" ht="15.55" customHeight="1">
      <c r="I369" t="s" s="27">
        <v>2499</v>
      </c>
      <c r="M369" s="28">
        <v>2</v>
      </c>
      <c r="N369" s="29">
        <v>624.98</v>
      </c>
      <c r="O369" s="29">
        <v>624.98</v>
      </c>
    </row>
    <row r="370" ht="15.55" customHeight="1">
      <c r="I370" t="s" s="27">
        <v>2505</v>
      </c>
      <c r="M370" s="28">
        <v>1</v>
      </c>
      <c r="N370" s="29">
        <v>349.99</v>
      </c>
      <c r="O370" s="29">
        <v>349.99</v>
      </c>
    </row>
    <row r="371" ht="15.55" customHeight="1">
      <c r="I371" t="s" s="27">
        <v>2688</v>
      </c>
      <c r="M371" s="28">
        <v>2</v>
      </c>
      <c r="N371" s="29">
        <v>9.99</v>
      </c>
      <c r="O371" s="29">
        <v>19.98</v>
      </c>
    </row>
    <row r="372" ht="15.55" customHeight="1">
      <c r="I372" t="s" s="27">
        <v>1140</v>
      </c>
      <c r="M372" s="28">
        <v>33</v>
      </c>
      <c r="N372" s="29">
        <v>1579.97</v>
      </c>
      <c r="O372" s="29">
        <v>6889.83</v>
      </c>
    </row>
    <row r="373" ht="15.55" customHeight="1">
      <c r="I373" t="s" s="27">
        <v>2543</v>
      </c>
      <c r="M373" s="28">
        <v>1</v>
      </c>
      <c r="N373" s="29">
        <v>49.99</v>
      </c>
      <c r="O373" s="29">
        <v>49.99</v>
      </c>
    </row>
    <row r="374" ht="15.55" customHeight="1">
      <c r="I374" t="s" s="27">
        <v>2598</v>
      </c>
      <c r="M374" s="28">
        <v>4</v>
      </c>
      <c r="N374" s="29">
        <v>109.98</v>
      </c>
      <c r="O374" s="29">
        <v>219.96</v>
      </c>
    </row>
    <row r="375" ht="15.55" customHeight="1">
      <c r="I375" t="s" s="27">
        <v>2650</v>
      </c>
      <c r="M375" s="28">
        <v>1</v>
      </c>
      <c r="N375" s="29">
        <v>399.99</v>
      </c>
      <c r="O375" s="29">
        <v>399.99</v>
      </c>
    </row>
    <row r="376" ht="15.55" customHeight="1">
      <c r="I376" t="s" s="27">
        <v>275</v>
      </c>
      <c r="M376" s="28">
        <v>2</v>
      </c>
      <c r="N376" s="29">
        <v>649.98</v>
      </c>
      <c r="O376" s="29">
        <v>649.98</v>
      </c>
    </row>
    <row r="377" ht="15.55" customHeight="1">
      <c r="I377" t="s" s="27">
        <v>2563</v>
      </c>
      <c r="M377" s="28">
        <v>2</v>
      </c>
      <c r="N377" s="29">
        <v>0</v>
      </c>
      <c r="O377" s="29">
        <v>0</v>
      </c>
    </row>
    <row r="378" ht="15.55" customHeight="1">
      <c r="I378" t="s" s="27">
        <v>2069</v>
      </c>
      <c r="M378" s="28">
        <v>39</v>
      </c>
      <c r="N378" s="29">
        <v>3679.94</v>
      </c>
      <c r="O378" s="29">
        <v>10959.77</v>
      </c>
    </row>
    <row r="379" ht="15.55" customHeight="1">
      <c r="I379" t="s" s="27">
        <v>2056</v>
      </c>
      <c r="M379" s="28">
        <v>3</v>
      </c>
      <c r="N379" s="29">
        <v>649.98</v>
      </c>
      <c r="O379" s="29">
        <v>699.97</v>
      </c>
    </row>
    <row r="380" ht="15.55" customHeight="1">
      <c r="I380" t="s" s="27">
        <v>2632</v>
      </c>
      <c r="M380" s="28">
        <v>2</v>
      </c>
      <c r="N380" s="29">
        <v>49.99</v>
      </c>
      <c r="O380" s="29">
        <v>99.98</v>
      </c>
    </row>
    <row r="381" ht="15.55" customHeight="1">
      <c r="I381" t="s" s="27">
        <v>2541</v>
      </c>
      <c r="M381" s="28">
        <v>1</v>
      </c>
      <c r="N381" s="29">
        <v>149.99</v>
      </c>
      <c r="O381" s="29">
        <v>149.99</v>
      </c>
    </row>
    <row r="382" ht="15.55" customHeight="1">
      <c r="I382" t="s" s="27">
        <v>2483</v>
      </c>
      <c r="M382" s="28">
        <v>2</v>
      </c>
      <c r="N382" s="29">
        <v>9.99</v>
      </c>
      <c r="O382" s="29">
        <v>19.98</v>
      </c>
    </row>
    <row r="383" ht="15.55" customHeight="1">
      <c r="I383" t="s" s="27">
        <v>2610</v>
      </c>
      <c r="M383" s="28">
        <v>5</v>
      </c>
      <c r="N383" s="29">
        <v>49.99</v>
      </c>
      <c r="O383" s="29">
        <v>249.95</v>
      </c>
    </row>
    <row r="384" ht="15.55" customHeight="1">
      <c r="I384" t="s" s="27">
        <v>2742</v>
      </c>
      <c r="M384" s="28">
        <v>1</v>
      </c>
      <c r="N384" s="29">
        <v>599.99</v>
      </c>
      <c r="O384" s="29">
        <v>599.99</v>
      </c>
    </row>
    <row r="385" ht="15.55" customHeight="1">
      <c r="I385" t="s" s="27">
        <v>2536</v>
      </c>
      <c r="M385" s="28">
        <v>7</v>
      </c>
      <c r="N385" s="29">
        <v>1329.97</v>
      </c>
      <c r="O385" s="29">
        <v>1699.93</v>
      </c>
    </row>
    <row r="386" ht="15.55" customHeight="1">
      <c r="I386" t="s" s="27">
        <v>2721</v>
      </c>
      <c r="M386" s="28">
        <v>2</v>
      </c>
      <c r="N386" s="29">
        <v>0</v>
      </c>
      <c r="O386" s="29">
        <v>0</v>
      </c>
    </row>
    <row r="387" ht="15.55" customHeight="1">
      <c r="I387" t="s" s="27">
        <v>138</v>
      </c>
      <c r="M387" s="28">
        <v>2</v>
      </c>
      <c r="N387" s="29">
        <v>49.99</v>
      </c>
      <c r="O387" s="29">
        <v>49.99</v>
      </c>
    </row>
    <row r="388" ht="15.55" customHeight="1">
      <c r="I388" t="s" s="27">
        <v>2714</v>
      </c>
      <c r="M388" s="28">
        <v>1</v>
      </c>
      <c r="N388" s="29">
        <v>0</v>
      </c>
      <c r="O388" s="29">
        <v>0</v>
      </c>
    </row>
    <row r="389" ht="15.55" customHeight="1">
      <c r="I389" t="s" s="27">
        <v>2683</v>
      </c>
      <c r="M389" s="28">
        <v>1</v>
      </c>
      <c r="N389" s="29">
        <v>399.99</v>
      </c>
      <c r="O389" s="29">
        <v>399.99</v>
      </c>
    </row>
    <row r="390" ht="15.55" customHeight="1">
      <c r="I390" t="s" s="27">
        <v>2667</v>
      </c>
      <c r="M390" s="28">
        <v>2</v>
      </c>
      <c r="N390" s="29">
        <v>59.98</v>
      </c>
      <c r="O390" s="29">
        <v>59.98</v>
      </c>
    </row>
    <row r="391" ht="15.55" customHeight="1">
      <c r="I391" t="s" s="27">
        <v>1874</v>
      </c>
      <c r="M391" s="28">
        <v>330</v>
      </c>
      <c r="N391" s="29">
        <v>1874.9925</v>
      </c>
      <c r="O391" s="29">
        <v>103124.5875</v>
      </c>
    </row>
    <row r="392" ht="15.55" customHeight="1">
      <c r="I392" t="s" s="27">
        <v>592</v>
      </c>
      <c r="M392" s="28">
        <v>20</v>
      </c>
      <c r="N392" s="29">
        <v>0</v>
      </c>
      <c r="O392" s="29">
        <v>0</v>
      </c>
    </row>
    <row r="393" ht="15.55" customHeight="1">
      <c r="I393" t="s" s="27">
        <v>1033</v>
      </c>
      <c r="M393" s="28">
        <v>2</v>
      </c>
      <c r="N393" s="29">
        <v>49.99</v>
      </c>
      <c r="O393" s="29">
        <v>49.99</v>
      </c>
    </row>
    <row r="394" ht="15.55" customHeight="1">
      <c r="I394" t="s" s="27">
        <v>563</v>
      </c>
      <c r="M394" s="28">
        <v>2</v>
      </c>
      <c r="N394" s="29">
        <v>91.3925</v>
      </c>
      <c r="O394" s="29">
        <v>91.3925</v>
      </c>
    </row>
    <row r="395" ht="15.55" customHeight="1">
      <c r="I395" t="s" s="27">
        <v>2736</v>
      </c>
      <c r="M395" s="28">
        <v>2</v>
      </c>
      <c r="N395" s="29">
        <v>409.98</v>
      </c>
      <c r="O395" s="29">
        <v>409.98</v>
      </c>
    </row>
    <row r="396" ht="15.55" customHeight="1">
      <c r="I396" t="s" s="27">
        <v>2579</v>
      </c>
      <c r="M396" s="28">
        <v>1</v>
      </c>
      <c r="N396" s="29">
        <v>599.99</v>
      </c>
      <c r="O396" s="29">
        <v>599.99</v>
      </c>
    </row>
    <row r="397" ht="15.55" customHeight="1">
      <c r="I397" t="s" s="27">
        <v>2084</v>
      </c>
      <c r="M397" s="28">
        <v>7</v>
      </c>
      <c r="N397" s="29">
        <v>789.95</v>
      </c>
      <c r="O397" s="29">
        <v>1389.94</v>
      </c>
    </row>
    <row r="398" ht="15.55" customHeight="1">
      <c r="I398" t="s" s="27">
        <v>789</v>
      </c>
      <c r="M398" s="28">
        <v>9</v>
      </c>
      <c r="N398" s="29">
        <v>259.96</v>
      </c>
      <c r="O398" s="29">
        <v>539.91</v>
      </c>
    </row>
    <row r="399" ht="15.55" customHeight="1">
      <c r="I399" t="s" s="27">
        <v>735</v>
      </c>
      <c r="M399" s="28">
        <v>3</v>
      </c>
      <c r="N399" s="29">
        <v>54.55</v>
      </c>
      <c r="O399" s="29">
        <v>54.55</v>
      </c>
    </row>
    <row r="400" ht="15.55" customHeight="1">
      <c r="I400" t="s" s="27">
        <v>865</v>
      </c>
      <c r="M400" s="28">
        <v>5</v>
      </c>
      <c r="N400" s="29">
        <v>339.96</v>
      </c>
      <c r="O400" s="29">
        <v>399.95</v>
      </c>
    </row>
    <row r="401" ht="15.55" customHeight="1">
      <c r="I401" t="s" s="27">
        <v>476</v>
      </c>
      <c r="M401" s="28">
        <v>10</v>
      </c>
      <c r="N401" s="29">
        <v>0</v>
      </c>
      <c r="O401" s="29">
        <v>0</v>
      </c>
    </row>
    <row r="402" ht="15.55" customHeight="1">
      <c r="I402" t="s" s="27">
        <v>2538</v>
      </c>
      <c r="M402" s="28">
        <v>2</v>
      </c>
      <c r="N402" s="29">
        <v>399.99</v>
      </c>
      <c r="O402" s="29">
        <v>799.98</v>
      </c>
    </row>
    <row r="403" ht="15.55" customHeight="1">
      <c r="I403" t="s" s="27">
        <v>2471</v>
      </c>
      <c r="M403" s="28">
        <v>2</v>
      </c>
      <c r="N403" s="29">
        <v>109.99</v>
      </c>
      <c r="O403" s="29">
        <v>219.98</v>
      </c>
    </row>
    <row r="404" ht="15.55" customHeight="1">
      <c r="I404" t="s" s="27">
        <v>2568</v>
      </c>
      <c r="M404" s="28">
        <v>8</v>
      </c>
      <c r="N404" s="29">
        <v>1285.96</v>
      </c>
      <c r="O404" s="29">
        <v>1315.95</v>
      </c>
    </row>
    <row r="405" ht="15.55" customHeight="1">
      <c r="I405" t="s" s="27">
        <v>1492</v>
      </c>
      <c r="M405" s="28">
        <v>1</v>
      </c>
      <c r="N405" s="29">
        <v>1199.99</v>
      </c>
      <c r="O405" s="29">
        <v>1199.99</v>
      </c>
    </row>
    <row r="406" ht="15.55" customHeight="1">
      <c r="I406" t="s" s="27">
        <v>2485</v>
      </c>
      <c r="M406" s="28">
        <v>1</v>
      </c>
      <c r="N406" s="29">
        <v>9.99</v>
      </c>
      <c r="O406" s="29">
        <v>9.99</v>
      </c>
    </row>
    <row r="407" ht="15.55" customHeight="1">
      <c r="I407" t="s" s="27">
        <v>2692</v>
      </c>
      <c r="M407" s="28">
        <v>2</v>
      </c>
      <c r="N407" s="29">
        <v>59.99</v>
      </c>
      <c r="O407" s="29">
        <v>119.98</v>
      </c>
    </row>
    <row r="408" ht="15.55" customHeight="1">
      <c r="I408" t="s" s="27">
        <v>2621</v>
      </c>
      <c r="M408" s="28">
        <v>1</v>
      </c>
      <c r="N408" s="29">
        <v>399.99</v>
      </c>
      <c r="O408" s="29">
        <v>399.99</v>
      </c>
    </row>
    <row r="409" ht="15.55" customHeight="1">
      <c r="I409" t="s" s="27">
        <v>2661</v>
      </c>
      <c r="M409" s="28">
        <v>2</v>
      </c>
      <c r="N409" s="29">
        <v>49.99</v>
      </c>
      <c r="O409" s="29">
        <v>99.98</v>
      </c>
    </row>
    <row r="410" ht="15.55" customHeight="1">
      <c r="I410" t="s" s="27">
        <v>2058</v>
      </c>
      <c r="M410" s="28">
        <v>1</v>
      </c>
      <c r="N410" s="29">
        <v>0</v>
      </c>
      <c r="O410" s="29">
        <v>0</v>
      </c>
    </row>
    <row r="411" ht="15.55" customHeight="1">
      <c r="I411" t="s" s="27">
        <v>2560</v>
      </c>
      <c r="M411" s="28">
        <v>1</v>
      </c>
      <c r="N411" s="29">
        <v>549.99</v>
      </c>
      <c r="O411" s="29">
        <v>549.99</v>
      </c>
    </row>
    <row r="412" ht="15.55" customHeight="1">
      <c r="I412" t="s" s="27">
        <v>2663</v>
      </c>
      <c r="M412" s="28">
        <v>1</v>
      </c>
      <c r="N412" s="29">
        <v>399.99</v>
      </c>
      <c r="O412" s="29">
        <v>399.99</v>
      </c>
    </row>
    <row r="413" ht="15.55" customHeight="1">
      <c r="I413" t="s" s="27">
        <v>2665</v>
      </c>
      <c r="M413" s="28">
        <v>1</v>
      </c>
      <c r="N413" s="29">
        <v>59.99</v>
      </c>
      <c r="O413" s="29">
        <v>59.99</v>
      </c>
    </row>
    <row r="414" ht="15.55" customHeight="1">
      <c r="I414" t="s" s="27">
        <v>2577</v>
      </c>
      <c r="M414" s="28">
        <v>5</v>
      </c>
      <c r="N414" s="29">
        <v>549.98</v>
      </c>
      <c r="O414" s="29">
        <v>1149.96</v>
      </c>
    </row>
    <row r="415" ht="15.55" customHeight="1">
      <c r="I415" t="s" s="27">
        <v>1221</v>
      </c>
      <c r="M415" s="28">
        <v>3</v>
      </c>
      <c r="N415" s="29">
        <v>69.97</v>
      </c>
      <c r="O415" s="29">
        <v>69.97</v>
      </c>
    </row>
    <row r="416" ht="15.55" customHeight="1">
      <c r="I416" t="s" s="27">
        <v>2612</v>
      </c>
      <c r="M416" s="28">
        <v>4</v>
      </c>
      <c r="N416" s="29">
        <v>139.98</v>
      </c>
      <c r="O416" s="29">
        <v>279.96</v>
      </c>
    </row>
    <row r="417" ht="15.55" customHeight="1">
      <c r="I417" t="s" s="27">
        <v>329</v>
      </c>
      <c r="M417" s="28">
        <v>109</v>
      </c>
      <c r="N417" s="29">
        <v>2733.1613</v>
      </c>
      <c r="O417" s="29">
        <v>12360.4313</v>
      </c>
    </row>
    <row r="418" ht="15.55" customHeight="1">
      <c r="I418" t="s" s="27">
        <v>1471</v>
      </c>
      <c r="M418" s="28">
        <v>7</v>
      </c>
      <c r="N418" s="29">
        <v>529.97</v>
      </c>
      <c r="O418" s="29">
        <v>659.95</v>
      </c>
    </row>
    <row r="419" ht="15.55" customHeight="1">
      <c r="I419" t="s" s="27">
        <v>2694</v>
      </c>
      <c r="M419" s="28">
        <v>3</v>
      </c>
      <c r="N419" s="29">
        <v>1279.98</v>
      </c>
      <c r="O419" s="29">
        <v>1359.97</v>
      </c>
    </row>
    <row r="420" ht="15.55" customHeight="1">
      <c r="I420" t="s" s="27">
        <v>2515</v>
      </c>
      <c r="M420" s="28">
        <v>1</v>
      </c>
      <c r="N420" s="29">
        <v>9.99</v>
      </c>
      <c r="O420" s="29">
        <v>9.99</v>
      </c>
    </row>
    <row r="421" ht="15.55" customHeight="1">
      <c r="I421" t="s" s="27">
        <v>2652</v>
      </c>
      <c r="M421" s="28">
        <v>1</v>
      </c>
      <c r="N421" s="29">
        <v>399.99</v>
      </c>
      <c r="O421" s="29">
        <v>399.99</v>
      </c>
    </row>
    <row r="422" ht="15.55" customHeight="1">
      <c r="I422" t="s" s="27">
        <v>2630</v>
      </c>
      <c r="M422" s="28">
        <v>2</v>
      </c>
      <c r="N422" s="29">
        <v>364.3</v>
      </c>
      <c r="O422" s="29">
        <v>364.3</v>
      </c>
    </row>
    <row r="423" ht="15.55" customHeight="1">
      <c r="I423" t="s" s="27">
        <v>2676</v>
      </c>
      <c r="M423" s="28">
        <v>1</v>
      </c>
      <c r="N423" s="29">
        <v>549.99</v>
      </c>
      <c r="O423" s="29">
        <v>549.99</v>
      </c>
    </row>
    <row r="424" ht="15.55" customHeight="1">
      <c r="I424" t="s" s="27">
        <v>2592</v>
      </c>
      <c r="M424" s="28">
        <v>2</v>
      </c>
      <c r="N424" s="29">
        <v>59.99</v>
      </c>
      <c r="O424" s="29">
        <v>119.98</v>
      </c>
    </row>
    <row r="425" ht="15.55" customHeight="1">
      <c r="I425" t="s" s="27">
        <v>2566</v>
      </c>
      <c r="M425" s="28">
        <v>2</v>
      </c>
      <c r="N425" s="29">
        <v>119.99</v>
      </c>
      <c r="O425" s="29">
        <v>239.98</v>
      </c>
    </row>
    <row r="426" ht="15.55" customHeight="1">
      <c r="I426" t="s" s="27">
        <v>2624</v>
      </c>
      <c r="M426" s="28">
        <v>2</v>
      </c>
      <c r="N426" s="29">
        <v>599.99</v>
      </c>
      <c r="O426" s="29">
        <v>1199.98</v>
      </c>
    </row>
    <row r="427" ht="15.55" customHeight="1">
      <c r="I427" t="s" s="27">
        <v>2108</v>
      </c>
      <c r="M427" s="28">
        <v>1</v>
      </c>
      <c r="N427" s="29">
        <v>49.99</v>
      </c>
      <c r="O427" s="29">
        <v>49.99</v>
      </c>
    </row>
    <row r="428" ht="15.55" customHeight="1">
      <c r="I428" t="s" s="27">
        <v>2522</v>
      </c>
      <c r="M428" s="28">
        <v>43</v>
      </c>
      <c r="N428" s="29">
        <v>1339.93</v>
      </c>
      <c r="O428" s="29">
        <v>5079.68</v>
      </c>
    </row>
    <row r="429" ht="15.55" customHeight="1">
      <c r="I429" t="s" s="27">
        <v>2528</v>
      </c>
      <c r="M429" s="28">
        <v>1</v>
      </c>
      <c r="N429" s="29">
        <v>149.99</v>
      </c>
      <c r="O429" s="29">
        <v>149.99</v>
      </c>
    </row>
    <row r="430" ht="15.55" customHeight="1">
      <c r="I430" t="s" s="27">
        <v>2534</v>
      </c>
      <c r="M430" s="28">
        <v>21</v>
      </c>
      <c r="N430" s="29">
        <v>471.96</v>
      </c>
      <c r="O430" s="29">
        <v>1449.79</v>
      </c>
    </row>
    <row r="431" ht="15.55" customHeight="1">
      <c r="I431" t="s" s="27">
        <v>1913</v>
      </c>
      <c r="M431" s="28">
        <v>7</v>
      </c>
      <c r="N431" s="29">
        <v>76.3925</v>
      </c>
      <c r="O431" s="29">
        <v>376.355</v>
      </c>
    </row>
    <row r="432" ht="15.55" customHeight="1">
      <c r="I432" t="s" s="27">
        <v>76</v>
      </c>
      <c r="M432" s="28">
        <v>1</v>
      </c>
      <c r="N432" s="29">
        <v>349.99</v>
      </c>
      <c r="O432" s="29">
        <v>349.99</v>
      </c>
    </row>
    <row r="433" ht="15.55" customHeight="1">
      <c r="I433" t="s" s="27">
        <v>2581</v>
      </c>
      <c r="M433" s="28">
        <v>85</v>
      </c>
      <c r="N433" s="29">
        <v>1655.175</v>
      </c>
      <c r="O433" s="29">
        <v>10643.58</v>
      </c>
    </row>
    <row r="434" ht="15.55" customHeight="1">
      <c r="I434" t="s" s="27">
        <v>298</v>
      </c>
      <c r="M434" s="28">
        <v>20</v>
      </c>
      <c r="N434" s="29">
        <v>51.97</v>
      </c>
      <c r="O434" s="29">
        <v>279.8</v>
      </c>
    </row>
    <row r="435" ht="15.55" customHeight="1">
      <c r="I435" t="s" s="27">
        <v>2497</v>
      </c>
      <c r="M435" s="28">
        <v>1</v>
      </c>
      <c r="N435" s="29">
        <v>599.99</v>
      </c>
      <c r="O435" s="29">
        <v>599.99</v>
      </c>
    </row>
    <row r="436" ht="15.55" customHeight="1">
      <c r="I436" t="s" s="27">
        <v>2487</v>
      </c>
      <c r="M436" s="28">
        <v>1</v>
      </c>
      <c r="N436" s="29">
        <v>549.99</v>
      </c>
      <c r="O436" s="29">
        <v>549.99</v>
      </c>
    </row>
    <row r="437" ht="15.55" customHeight="1">
      <c r="I437" t="s" s="27">
        <v>2627</v>
      </c>
      <c r="M437" s="28">
        <v>1</v>
      </c>
      <c r="N437" s="29">
        <v>399.99</v>
      </c>
      <c r="O437" s="29">
        <v>399.99</v>
      </c>
    </row>
    <row r="438" ht="15.55" customHeight="1">
      <c r="I438" t="s" s="27">
        <v>2306</v>
      </c>
      <c r="M438" s="28">
        <v>1</v>
      </c>
      <c r="N438" s="29">
        <v>3199.99</v>
      </c>
      <c r="O438" s="29">
        <v>3199.99</v>
      </c>
    </row>
    <row r="439" ht="15.55" customHeight="1">
      <c r="I439" t="s" s="27">
        <v>2552</v>
      </c>
      <c r="M439" s="28">
        <v>3</v>
      </c>
      <c r="N439" s="29">
        <v>622.54</v>
      </c>
      <c r="O439" s="29">
        <v>972.53</v>
      </c>
    </row>
    <row r="440" ht="15.55" customHeight="1">
      <c r="I440" t="s" s="27">
        <v>2708</v>
      </c>
      <c r="M440" s="28">
        <v>1</v>
      </c>
      <c r="N440" s="29">
        <v>0</v>
      </c>
      <c r="O440" s="29">
        <v>0</v>
      </c>
    </row>
    <row r="441" ht="15.55" customHeight="1">
      <c r="I441" t="s" s="27">
        <v>2491</v>
      </c>
      <c r="M441" s="28">
        <v>13</v>
      </c>
      <c r="N441" s="29">
        <v>1161.95</v>
      </c>
      <c r="O441" s="29">
        <v>1931.87</v>
      </c>
    </row>
    <row r="442" ht="15.55" customHeight="1">
      <c r="I442" t="s" s="27">
        <v>2603</v>
      </c>
      <c r="M442" s="28">
        <v>1</v>
      </c>
      <c r="N442" s="29">
        <v>49.99</v>
      </c>
      <c r="O442" s="29">
        <v>49.99</v>
      </c>
    </row>
    <row r="443" ht="15.55" customHeight="1">
      <c r="I443" t="s" s="27">
        <v>2706</v>
      </c>
      <c r="M443" s="28">
        <v>1</v>
      </c>
      <c r="N443" s="29">
        <v>399.99</v>
      </c>
      <c r="O443" s="29">
        <v>399.99</v>
      </c>
    </row>
    <row r="444" ht="15.55" customHeight="1">
      <c r="I444" t="s" s="27">
        <v>2734</v>
      </c>
      <c r="M444" s="28">
        <v>1</v>
      </c>
      <c r="N444" s="29">
        <v>1199.99</v>
      </c>
      <c r="O444" s="29">
        <v>1199.99</v>
      </c>
    </row>
    <row r="445" ht="15.55" customHeight="1">
      <c r="I445" t="s" s="27">
        <v>2727</v>
      </c>
      <c r="M445" s="28">
        <v>10</v>
      </c>
      <c r="N445" s="29">
        <v>1844.94</v>
      </c>
      <c r="O445" s="29">
        <v>1904.92</v>
      </c>
    </row>
    <row r="446" ht="15.55" customHeight="1">
      <c r="I446" t="s" s="27">
        <v>2382</v>
      </c>
      <c r="M446" s="28">
        <v>2</v>
      </c>
      <c r="N446" s="29">
        <v>0</v>
      </c>
      <c r="O446" s="29">
        <v>0</v>
      </c>
    </row>
    <row r="447" ht="15.55" customHeight="1">
      <c r="I447" t="s" s="27">
        <v>2671</v>
      </c>
      <c r="M447" s="28">
        <v>201</v>
      </c>
      <c r="N447" s="29">
        <v>5470.105</v>
      </c>
      <c r="O447" s="29">
        <v>28962.265</v>
      </c>
    </row>
    <row r="448" ht="15.55" customHeight="1">
      <c r="I448" t="s" s="27">
        <v>42</v>
      </c>
      <c r="M448" s="28">
        <v>1011</v>
      </c>
      <c r="N448" s="29">
        <v>17.5</v>
      </c>
      <c r="O448" s="29">
        <v>1016.5</v>
      </c>
    </row>
    <row r="449" ht="15.55" customHeight="1">
      <c r="I449" t="s" s="27">
        <v>2645</v>
      </c>
      <c r="M449" s="28">
        <v>1</v>
      </c>
      <c r="N449" s="29">
        <v>574.99</v>
      </c>
      <c r="O449" s="29">
        <v>574.99</v>
      </c>
    </row>
    <row r="450" ht="15.55" customHeight="1">
      <c r="I450" t="s" s="27">
        <v>2503</v>
      </c>
      <c r="M450" s="28">
        <v>1</v>
      </c>
      <c r="N450" s="29">
        <v>349.99</v>
      </c>
      <c r="O450" s="29">
        <v>349.99</v>
      </c>
    </row>
    <row r="451" ht="15.55" customHeight="1">
      <c r="I451" t="s" s="27">
        <v>2710</v>
      </c>
      <c r="M451" s="28">
        <v>1</v>
      </c>
      <c r="N451" s="29">
        <v>0</v>
      </c>
      <c r="O451" s="29">
        <v>0</v>
      </c>
    </row>
    <row r="452" ht="15.55" customHeight="1">
      <c r="I452" t="s" s="27">
        <v>1951</v>
      </c>
      <c r="M452" s="28">
        <v>3</v>
      </c>
      <c r="N452" s="29">
        <v>49.99</v>
      </c>
      <c r="O452" s="29">
        <v>149.97</v>
      </c>
    </row>
    <row r="453" ht="15.55" customHeight="1">
      <c r="I453" t="s" s="27">
        <v>2596</v>
      </c>
      <c r="M453" s="28">
        <v>1</v>
      </c>
      <c r="N453" s="29">
        <v>9.99</v>
      </c>
      <c r="O453" s="29">
        <v>9.99</v>
      </c>
    </row>
    <row r="454" ht="15.55" customHeight="1">
      <c r="I454" t="s" s="27">
        <v>1757</v>
      </c>
      <c r="M454" s="28">
        <v>37</v>
      </c>
      <c r="N454" s="29">
        <v>1026.14</v>
      </c>
      <c r="O454" s="29">
        <v>7626.07</v>
      </c>
    </row>
    <row r="455" ht="15.55" customHeight="1">
      <c r="I455" t="s" s="27">
        <v>2639</v>
      </c>
      <c r="M455" s="28">
        <v>2</v>
      </c>
      <c r="N455" s="29">
        <v>49.99</v>
      </c>
      <c r="O455" s="29">
        <v>49.99</v>
      </c>
    </row>
    <row r="456" ht="15.55" customHeight="1">
      <c r="I456" t="s" s="27">
        <v>2717</v>
      </c>
      <c r="M456" s="28">
        <v>2</v>
      </c>
      <c r="N456" s="29">
        <v>399.99</v>
      </c>
      <c r="O456" s="29">
        <v>799.98</v>
      </c>
    </row>
    <row r="457" ht="15.55" customHeight="1">
      <c r="I457" t="s" s="27">
        <v>721</v>
      </c>
      <c r="M457" s="28">
        <v>142</v>
      </c>
      <c r="N457" s="29">
        <v>2072.5975</v>
      </c>
      <c r="O457" s="29">
        <v>10031.5675</v>
      </c>
    </row>
    <row r="458" ht="15.55" customHeight="1">
      <c r="I458" t="s" s="27">
        <v>1053</v>
      </c>
      <c r="M458" s="28">
        <v>38</v>
      </c>
      <c r="N458" s="29">
        <v>243.1475</v>
      </c>
      <c r="O458" s="29">
        <v>1109.24</v>
      </c>
    </row>
    <row r="459" ht="15.55" customHeight="1">
      <c r="I459" t="s" s="27">
        <v>1517</v>
      </c>
      <c r="M459" s="28">
        <v>2</v>
      </c>
      <c r="N459" s="29">
        <v>9.99</v>
      </c>
      <c r="O459" s="29">
        <v>19.98</v>
      </c>
    </row>
    <row r="460" ht="15.55" customHeight="1">
      <c r="I460" t="s" s="27">
        <v>122</v>
      </c>
      <c r="M460" s="28">
        <v>12</v>
      </c>
      <c r="N460" s="29">
        <v>63.44</v>
      </c>
      <c r="O460" s="29">
        <v>63.44</v>
      </c>
    </row>
    <row r="461" ht="15.55" customHeight="1">
      <c r="I461" t="s" s="27">
        <v>964</v>
      </c>
      <c r="M461" s="28">
        <v>41</v>
      </c>
      <c r="N461" s="29">
        <v>-89.97</v>
      </c>
      <c r="O461" s="29">
        <v>1079.64</v>
      </c>
    </row>
    <row r="462" ht="15.55" customHeight="1">
      <c r="I462" t="s" s="27">
        <v>2738</v>
      </c>
      <c r="M462" s="28">
        <v>1</v>
      </c>
      <c r="N462" s="29">
        <v>19.99</v>
      </c>
      <c r="O462" s="29">
        <v>19.99</v>
      </c>
    </row>
    <row r="463" ht="15.55" customHeight="1">
      <c r="I463" t="s" s="27">
        <v>2635</v>
      </c>
      <c r="M463" s="28">
        <v>10</v>
      </c>
      <c r="N463" s="29">
        <v>99.98999999999999</v>
      </c>
      <c r="O463" s="29">
        <v>999.9</v>
      </c>
    </row>
    <row r="464" ht="15.55" customHeight="1">
      <c r="I464" t="s" s="27">
        <v>2501</v>
      </c>
      <c r="M464" s="28">
        <v>28</v>
      </c>
      <c r="N464" s="29">
        <v>2300.96</v>
      </c>
      <c r="O464" s="29">
        <v>6820.89</v>
      </c>
    </row>
    <row r="465" ht="15.55" customHeight="1">
      <c r="I465" t="s" s="27">
        <v>2703</v>
      </c>
      <c r="M465" s="28">
        <v>1</v>
      </c>
      <c r="N465" s="29">
        <v>0</v>
      </c>
      <c r="O465" s="29">
        <v>0</v>
      </c>
    </row>
    <row r="466" ht="15.55" customHeight="1">
      <c r="I466" t="s" s="27">
        <v>2323</v>
      </c>
      <c r="M466" s="28">
        <v>3</v>
      </c>
      <c r="N466" s="29">
        <v>0</v>
      </c>
      <c r="O466" s="29">
        <v>0</v>
      </c>
    </row>
    <row r="467" ht="15.55" customHeight="1">
      <c r="I467" t="s" s="27">
        <v>2605</v>
      </c>
      <c r="M467" s="28">
        <v>2</v>
      </c>
      <c r="N467" s="29">
        <v>9.99</v>
      </c>
      <c r="O467" s="29">
        <v>19.98</v>
      </c>
    </row>
    <row r="468" ht="15.55" customHeight="1">
      <c r="I468" t="s" s="27">
        <v>2719</v>
      </c>
      <c r="M468" s="28">
        <v>2</v>
      </c>
      <c r="N468" s="29">
        <v>114.99</v>
      </c>
      <c r="O468" s="29">
        <v>114.99</v>
      </c>
    </row>
    <row r="469" ht="15.55" customHeight="1">
      <c r="I469" t="s" s="27">
        <v>2729</v>
      </c>
      <c r="M469" s="28">
        <v>1</v>
      </c>
      <c r="N469" s="29">
        <v>399.99</v>
      </c>
      <c r="O469" s="29">
        <v>399.99</v>
      </c>
    </row>
    <row r="470" ht="15.4" customHeight="1">
      <c r="I470" t="s" s="30">
        <v>2261</v>
      </c>
      <c r="M470" s="31">
        <v>2</v>
      </c>
      <c r="N470" s="32">
        <v>799.98</v>
      </c>
      <c r="O470" s="32">
        <v>799.98</v>
      </c>
    </row>
    <row r="471" ht="13.1" customHeight="1">
      <c r="I471" t="s" s="33">
        <v>620</v>
      </c>
      <c r="M471" s="34">
        <v>2542</v>
      </c>
      <c r="N471" s="35">
        <v>63831.6588</v>
      </c>
      <c r="O471" s="35">
        <v>259231.7238</v>
      </c>
    </row>
    <row r="473" ht="15.55" customHeight="1">
      <c r="P473" t="s" s="2">
        <v>2744</v>
      </c>
      <c r="Q473" s="2"/>
    </row>
    <row r="474" ht="13.1" customHeight="1">
      <c r="P474" t="s" s="37">
        <v>4</v>
      </c>
      <c r="Q474" t="s" s="23">
        <v>617</v>
      </c>
    </row>
    <row r="475" ht="13.1" customHeight="1">
      <c r="P475" t="s" s="38">
        <v>115</v>
      </c>
      <c r="Q475" s="39">
        <v>47</v>
      </c>
    </row>
    <row r="476" ht="12.9" customHeight="1">
      <c r="P476" t="s" s="40">
        <v>1186</v>
      </c>
      <c r="Q476" s="41">
        <v>1</v>
      </c>
    </row>
    <row r="477" ht="12.9" customHeight="1">
      <c r="P477" t="s" s="40">
        <v>1891</v>
      </c>
      <c r="Q477" s="41">
        <v>4</v>
      </c>
    </row>
    <row r="478" ht="12.9" customHeight="1">
      <c r="P478" t="s" s="40">
        <v>1892</v>
      </c>
      <c r="Q478" s="41">
        <v>4</v>
      </c>
    </row>
    <row r="479" ht="12.9" customHeight="1">
      <c r="P479" t="s" s="40">
        <v>1917</v>
      </c>
      <c r="Q479" s="41">
        <v>1</v>
      </c>
    </row>
    <row r="480" ht="12.9" customHeight="1">
      <c r="P480" t="s" s="40">
        <v>1202</v>
      </c>
      <c r="Q480" s="41">
        <v>7</v>
      </c>
    </row>
    <row r="481" ht="12.9" customHeight="1">
      <c r="P481" t="s" s="40">
        <v>2549</v>
      </c>
      <c r="Q481" s="41">
        <v>1</v>
      </c>
    </row>
    <row r="482" ht="12.9" customHeight="1">
      <c r="P482" t="s" s="40">
        <v>2700</v>
      </c>
      <c r="Q482" s="41">
        <v>1</v>
      </c>
    </row>
    <row r="483" ht="12.9" customHeight="1">
      <c r="P483" t="s" s="40">
        <v>123</v>
      </c>
      <c r="Q483" s="41">
        <v>9</v>
      </c>
    </row>
    <row r="484" ht="12.9" customHeight="1">
      <c r="P484" t="s" s="40">
        <v>982</v>
      </c>
      <c r="Q484" s="41">
        <v>4</v>
      </c>
    </row>
    <row r="485" ht="12.9" customHeight="1">
      <c r="P485" t="s" s="40">
        <v>165</v>
      </c>
      <c r="Q485" s="41">
        <v>2</v>
      </c>
    </row>
    <row r="486" ht="12.9" customHeight="1">
      <c r="P486" t="s" s="40">
        <v>19</v>
      </c>
      <c r="Q486" s="41">
        <v>47</v>
      </c>
    </row>
    <row r="487" ht="12.9" customHeight="1">
      <c r="P487" t="s" s="40">
        <v>227</v>
      </c>
      <c r="Q487" s="41">
        <v>8</v>
      </c>
    </row>
    <row r="488" ht="12.9" customHeight="1">
      <c r="P488" t="s" s="40">
        <v>341</v>
      </c>
      <c r="Q488" s="41">
        <v>22</v>
      </c>
    </row>
    <row r="489" ht="12.9" customHeight="1">
      <c r="P489" t="s" s="40">
        <v>54</v>
      </c>
      <c r="Q489" s="41">
        <v>55</v>
      </c>
    </row>
    <row r="490" ht="12.9" customHeight="1">
      <c r="P490" t="s" s="40">
        <v>1695</v>
      </c>
      <c r="Q490" s="41">
        <v>7</v>
      </c>
    </row>
    <row r="491" ht="12.9" customHeight="1">
      <c r="P491" t="s" s="40">
        <v>57</v>
      </c>
      <c r="Q491" s="41">
        <v>8</v>
      </c>
    </row>
    <row r="492" ht="12.9" customHeight="1">
      <c r="P492" t="s" s="40">
        <v>84</v>
      </c>
      <c r="Q492" s="41">
        <v>25</v>
      </c>
    </row>
    <row r="493" ht="12.9" customHeight="1">
      <c r="P493" t="s" s="40">
        <v>660</v>
      </c>
      <c r="Q493" s="41">
        <v>13</v>
      </c>
    </row>
    <row r="494" ht="12.9" customHeight="1">
      <c r="P494" t="s" s="40">
        <v>179</v>
      </c>
      <c r="Q494" s="41">
        <v>20</v>
      </c>
    </row>
    <row r="495" ht="12.9" customHeight="1">
      <c r="P495" t="s" s="40">
        <v>412</v>
      </c>
      <c r="Q495" s="41">
        <v>29</v>
      </c>
    </row>
    <row r="496" ht="12.9" customHeight="1">
      <c r="P496" t="s" s="40">
        <v>119</v>
      </c>
      <c r="Q496" s="41">
        <v>23</v>
      </c>
    </row>
    <row r="497" ht="12.9" customHeight="1">
      <c r="P497" t="s" s="40">
        <v>225</v>
      </c>
      <c r="Q497" s="41">
        <v>6</v>
      </c>
    </row>
    <row r="498" ht="12.9" customHeight="1">
      <c r="P498" t="s" s="40">
        <v>299</v>
      </c>
      <c r="Q498" s="41">
        <v>40</v>
      </c>
    </row>
    <row r="499" ht="12.9" customHeight="1">
      <c r="P499" t="s" s="40">
        <v>1717</v>
      </c>
      <c r="Q499" s="41">
        <v>1</v>
      </c>
    </row>
    <row r="500" ht="12.9" customHeight="1">
      <c r="P500" t="s" s="40">
        <v>882</v>
      </c>
      <c r="Q500" s="41">
        <v>12</v>
      </c>
    </row>
    <row r="501" ht="12.9" customHeight="1">
      <c r="P501" t="s" s="40">
        <v>239</v>
      </c>
      <c r="Q501" s="41">
        <v>3</v>
      </c>
    </row>
    <row r="502" ht="12.9" customHeight="1">
      <c r="P502" t="s" s="40">
        <v>487</v>
      </c>
      <c r="Q502" s="41">
        <v>7</v>
      </c>
    </row>
    <row r="503" ht="12.9" customHeight="1">
      <c r="P503" t="s" s="40">
        <v>1961</v>
      </c>
      <c r="Q503" s="41">
        <v>1</v>
      </c>
    </row>
    <row r="504" ht="12.9" customHeight="1">
      <c r="P504" t="s" s="40">
        <v>39</v>
      </c>
      <c r="Q504" s="41">
        <v>6</v>
      </c>
    </row>
    <row r="505" ht="12.9" customHeight="1">
      <c r="P505" t="s" s="40">
        <v>2519</v>
      </c>
      <c r="Q505" s="41">
        <v>4</v>
      </c>
    </row>
    <row r="506" ht="12.9" customHeight="1">
      <c r="P506" t="s" s="40">
        <v>1054</v>
      </c>
      <c r="Q506" s="41">
        <v>3</v>
      </c>
    </row>
    <row r="507" ht="12.9" customHeight="1">
      <c r="P507" t="s" s="40">
        <v>354</v>
      </c>
      <c r="Q507" s="41">
        <v>227</v>
      </c>
    </row>
    <row r="508" ht="12.9" customHeight="1">
      <c r="P508" t="s" s="40">
        <v>23</v>
      </c>
      <c r="Q508" s="41">
        <v>73</v>
      </c>
    </row>
    <row r="509" ht="12.9" customHeight="1">
      <c r="P509" t="s" s="40">
        <v>462</v>
      </c>
      <c r="Q509" s="41">
        <v>3</v>
      </c>
    </row>
    <row r="510" ht="12.9" customHeight="1">
      <c r="P510" t="s" s="40">
        <v>133</v>
      </c>
      <c r="Q510" s="41">
        <v>49</v>
      </c>
    </row>
    <row r="511" ht="12.9" customHeight="1">
      <c r="P511" t="s" s="40">
        <v>1875</v>
      </c>
      <c r="Q511" s="41">
        <v>1</v>
      </c>
    </row>
    <row r="512" ht="12.9" customHeight="1">
      <c r="P512" t="s" s="40">
        <v>1479</v>
      </c>
      <c r="Q512" s="41">
        <v>2</v>
      </c>
    </row>
    <row r="513" ht="12.9" customHeight="1">
      <c r="P513" t="s" s="40">
        <v>602</v>
      </c>
      <c r="Q513" s="41">
        <v>17</v>
      </c>
    </row>
    <row r="514" ht="12.9" customHeight="1">
      <c r="P514" t="s" s="40">
        <v>102</v>
      </c>
      <c r="Q514" s="41">
        <v>4</v>
      </c>
    </row>
    <row r="515" ht="12.9" customHeight="1">
      <c r="P515" t="s" s="40">
        <v>35</v>
      </c>
      <c r="Q515" s="41">
        <v>27</v>
      </c>
    </row>
    <row r="516" ht="12.9" customHeight="1">
      <c r="P516" t="s" s="40">
        <v>89</v>
      </c>
      <c r="Q516" s="41">
        <v>29</v>
      </c>
    </row>
    <row r="517" ht="12.9" customHeight="1">
      <c r="P517" t="s" s="40">
        <v>106</v>
      </c>
      <c r="Q517" s="41">
        <v>12</v>
      </c>
    </row>
    <row r="518" ht="12.9" customHeight="1">
      <c r="P518" t="s" s="40">
        <v>52</v>
      </c>
      <c r="Q518" s="41">
        <v>33</v>
      </c>
    </row>
    <row r="519" ht="12.9" customHeight="1">
      <c r="P519" t="s" s="40">
        <v>359</v>
      </c>
      <c r="Q519" s="41">
        <v>39</v>
      </c>
    </row>
    <row r="520" ht="12.9" customHeight="1">
      <c r="P520" t="s" s="40">
        <v>77</v>
      </c>
      <c r="Q520" s="41">
        <v>45</v>
      </c>
    </row>
    <row r="521" ht="12.9" customHeight="1">
      <c r="P521" t="s" s="40">
        <v>146</v>
      </c>
      <c r="Q521" s="41">
        <v>6</v>
      </c>
    </row>
    <row r="522" ht="12.9" customHeight="1">
      <c r="P522" t="s" s="40">
        <v>95</v>
      </c>
      <c r="Q522" s="41">
        <v>7</v>
      </c>
    </row>
    <row r="523" ht="12.9" customHeight="1">
      <c r="P523" t="s" s="40">
        <v>171</v>
      </c>
      <c r="Q523" s="41">
        <v>8</v>
      </c>
    </row>
    <row r="524" ht="12.9" customHeight="1">
      <c r="P524" t="s" s="40">
        <v>11</v>
      </c>
      <c r="Q524" s="41">
        <v>5</v>
      </c>
    </row>
    <row r="525" ht="12.9" customHeight="1">
      <c r="P525" t="s" s="40">
        <v>31</v>
      </c>
      <c r="Q525" s="41">
        <v>15</v>
      </c>
    </row>
    <row r="526" ht="12.9" customHeight="1">
      <c r="P526" t="s" s="40">
        <v>81</v>
      </c>
      <c r="Q526" s="41">
        <v>33</v>
      </c>
    </row>
    <row r="527" ht="12.9" customHeight="1">
      <c r="P527" t="s" s="40">
        <v>50</v>
      </c>
      <c r="Q527" s="41">
        <v>172</v>
      </c>
    </row>
    <row r="528" ht="12.9" customHeight="1">
      <c r="P528" t="s" s="40">
        <v>1896</v>
      </c>
      <c r="Q528" s="41">
        <v>8</v>
      </c>
    </row>
    <row r="529" ht="12.9" customHeight="1">
      <c r="P529" t="s" s="40">
        <v>979</v>
      </c>
      <c r="Q529" s="41">
        <v>14</v>
      </c>
    </row>
    <row r="530" ht="12.9" customHeight="1">
      <c r="P530" t="s" s="40">
        <v>48</v>
      </c>
      <c r="Q530" s="41">
        <v>31</v>
      </c>
    </row>
    <row r="531" ht="12.9" customHeight="1">
      <c r="P531" t="s" s="40">
        <v>468</v>
      </c>
      <c r="Q531" s="41">
        <v>1</v>
      </c>
    </row>
    <row r="532" ht="12.9" customHeight="1">
      <c r="P532" t="s" s="40">
        <v>821</v>
      </c>
      <c r="Q532" s="41">
        <v>55</v>
      </c>
    </row>
    <row r="533" ht="12.9" customHeight="1">
      <c r="P533" t="s" s="40">
        <v>489</v>
      </c>
      <c r="Q533" s="41">
        <v>4</v>
      </c>
    </row>
    <row r="534" ht="12.9" customHeight="1">
      <c r="P534" t="s" s="40">
        <v>491</v>
      </c>
      <c r="Q534" s="41">
        <v>6</v>
      </c>
    </row>
    <row r="535" ht="12.9" customHeight="1">
      <c r="P535" t="s" s="40">
        <v>493</v>
      </c>
      <c r="Q535" s="41">
        <v>4</v>
      </c>
    </row>
    <row r="536" ht="12.9" customHeight="1">
      <c r="P536" t="s" s="40">
        <v>143</v>
      </c>
      <c r="Q536" s="41">
        <v>1</v>
      </c>
    </row>
    <row r="537" ht="12.9" customHeight="1">
      <c r="P537" t="s" s="40">
        <v>59</v>
      </c>
      <c r="Q537" s="41">
        <v>11</v>
      </c>
    </row>
    <row r="538" ht="12.9" customHeight="1">
      <c r="P538" t="s" s="40">
        <v>73</v>
      </c>
      <c r="Q538" s="41">
        <v>15</v>
      </c>
    </row>
    <row r="539" ht="12.9" customHeight="1">
      <c r="P539" t="s" s="40">
        <v>27</v>
      </c>
      <c r="Q539" s="41">
        <v>15</v>
      </c>
    </row>
    <row r="540" ht="12.9" customHeight="1">
      <c r="P540" t="s" s="40">
        <v>15</v>
      </c>
      <c r="Q540" s="41">
        <v>33</v>
      </c>
    </row>
    <row r="541" ht="12.9" customHeight="1">
      <c r="P541" t="s" s="40">
        <v>315</v>
      </c>
      <c r="Q541" s="41">
        <v>1000</v>
      </c>
    </row>
    <row r="542" ht="12.9" customHeight="1">
      <c r="P542" t="s" s="40">
        <v>207</v>
      </c>
      <c r="Q542" s="41">
        <v>17</v>
      </c>
    </row>
    <row r="543" ht="12.9" customHeight="1">
      <c r="P543" t="s" s="40">
        <v>724</v>
      </c>
      <c r="Q543" s="41">
        <v>4</v>
      </c>
    </row>
    <row r="544" ht="12.9" customHeight="1">
      <c r="P544" t="s" s="40">
        <v>908</v>
      </c>
      <c r="Q544" s="41">
        <v>8</v>
      </c>
    </row>
    <row r="545" ht="12.9" customHeight="1">
      <c r="P545" t="s" s="40">
        <v>442</v>
      </c>
      <c r="Q545" s="41">
        <v>1</v>
      </c>
    </row>
    <row r="546" ht="12.9" customHeight="1">
      <c r="P546" t="s" s="40">
        <v>2523</v>
      </c>
      <c r="Q546" s="41">
        <v>1</v>
      </c>
    </row>
    <row r="547" ht="12.9" customHeight="1">
      <c r="P547" t="s" s="40">
        <v>1482</v>
      </c>
      <c r="Q547" s="41">
        <v>1</v>
      </c>
    </row>
    <row r="548" ht="12.9" customHeight="1">
      <c r="P548" t="s" s="40">
        <v>1097</v>
      </c>
      <c r="Q548" s="41">
        <v>1</v>
      </c>
    </row>
    <row r="549" ht="12.9" customHeight="1">
      <c r="P549" t="s" s="40">
        <v>2509</v>
      </c>
      <c r="Q549" s="41">
        <v>1</v>
      </c>
    </row>
    <row r="550" ht="12.9" customHeight="1">
      <c r="P550" t="s" s="40">
        <v>2616</v>
      </c>
      <c r="Q550" s="41">
        <v>10</v>
      </c>
    </row>
    <row r="551" ht="12.9" customHeight="1">
      <c r="P551" t="s" s="40">
        <v>409</v>
      </c>
      <c r="Q551" s="41">
        <v>2</v>
      </c>
    </row>
    <row r="552" ht="12.9" customHeight="1">
      <c r="P552" t="s" s="40">
        <v>2546</v>
      </c>
      <c r="Q552" s="41">
        <v>1</v>
      </c>
    </row>
    <row r="553" ht="12.9" customHeight="1">
      <c r="P553" t="s" s="40">
        <v>691</v>
      </c>
      <c r="Q553" s="41">
        <v>1</v>
      </c>
    </row>
    <row r="554" ht="12.9" customHeight="1">
      <c r="P554" t="s" s="40">
        <v>2586</v>
      </c>
      <c r="Q554" s="41">
        <v>1</v>
      </c>
    </row>
    <row r="555" ht="12.9" customHeight="1">
      <c r="P555" t="s" s="40">
        <v>2548</v>
      </c>
      <c r="Q555" s="41">
        <v>1</v>
      </c>
    </row>
    <row r="556" ht="12.9" customHeight="1">
      <c r="P556" t="s" s="40">
        <v>254</v>
      </c>
      <c r="Q556" s="41">
        <v>5</v>
      </c>
    </row>
    <row r="557" ht="12.9" customHeight="1">
      <c r="P557" t="s" s="40">
        <v>63</v>
      </c>
      <c r="Q557" s="41">
        <v>12</v>
      </c>
    </row>
    <row r="558" ht="12.9" customHeight="1">
      <c r="P558" t="s" s="40">
        <v>47</v>
      </c>
      <c r="Q558" s="41">
        <v>3</v>
      </c>
    </row>
    <row r="559" ht="12.9" customHeight="1">
      <c r="P559" t="s" s="40">
        <v>2512</v>
      </c>
      <c r="Q559" s="41">
        <v>28</v>
      </c>
    </row>
    <row r="560" ht="12.9" customHeight="1">
      <c r="P560" t="s" s="40">
        <v>1236</v>
      </c>
      <c r="Q560" s="41">
        <v>2</v>
      </c>
    </row>
    <row r="561" ht="12.9" customHeight="1">
      <c r="P561" t="s" s="40">
        <v>110</v>
      </c>
      <c r="Q561" s="41">
        <v>4</v>
      </c>
    </row>
    <row r="562" ht="12.9" customHeight="1">
      <c r="P562" t="s" s="40">
        <v>2573</v>
      </c>
      <c r="Q562" s="41">
        <v>1</v>
      </c>
    </row>
    <row r="563" ht="12.9" customHeight="1">
      <c r="P563" t="s" s="40">
        <v>861</v>
      </c>
      <c r="Q563" s="41">
        <v>1</v>
      </c>
    </row>
    <row r="564" ht="12.9" customHeight="1">
      <c r="P564" t="s" s="40">
        <v>2672</v>
      </c>
      <c r="Q564" s="41">
        <v>2</v>
      </c>
    </row>
    <row r="565" ht="12.9" customHeight="1">
      <c r="P565" t="s" s="40">
        <v>2125</v>
      </c>
      <c r="Q565" s="41">
        <v>1</v>
      </c>
    </row>
    <row r="566" ht="12.9" customHeight="1">
      <c r="P566" t="s" s="40">
        <v>762</v>
      </c>
      <c r="Q566" s="41">
        <v>4</v>
      </c>
    </row>
    <row r="567" ht="12.9" customHeight="1">
      <c r="P567" t="s" s="40">
        <v>2711</v>
      </c>
      <c r="Q567" s="41">
        <v>1</v>
      </c>
    </row>
    <row r="568" ht="12.9" customHeight="1">
      <c r="P568" t="s" s="40">
        <v>2722</v>
      </c>
      <c r="Q568" s="41">
        <v>1</v>
      </c>
    </row>
    <row r="569" ht="13.1" customHeight="1">
      <c r="P569" t="s" s="42">
        <v>2724</v>
      </c>
      <c r="Q569" s="43">
        <v>1</v>
      </c>
    </row>
    <row r="570" ht="13.1" customHeight="1">
      <c r="P570" t="s" s="44">
        <v>620</v>
      </c>
      <c r="Q570" s="34">
        <v>2542</v>
      </c>
    </row>
    <row r="572" ht="15.55" customHeight="1">
      <c r="R572" t="s" s="2">
        <v>2745</v>
      </c>
      <c r="S572" s="2"/>
    </row>
    <row r="573" ht="13.1" customHeight="1">
      <c r="R573" t="s" s="37">
        <v>4</v>
      </c>
      <c r="S573" t="s" s="23">
        <v>619</v>
      </c>
    </row>
    <row r="574" ht="13.1" customHeight="1">
      <c r="R574" t="s" s="38">
        <v>115</v>
      </c>
      <c r="S574" s="46">
        <v>810.3975</v>
      </c>
    </row>
    <row r="575" ht="12.9" customHeight="1">
      <c r="R575" t="s" s="40">
        <v>1186</v>
      </c>
      <c r="S575" s="47">
        <v>0</v>
      </c>
    </row>
    <row r="576" ht="12.9" customHeight="1">
      <c r="R576" t="s" s="40">
        <v>1891</v>
      </c>
      <c r="S576" s="47">
        <v>0</v>
      </c>
    </row>
    <row r="577" ht="12.9" customHeight="1">
      <c r="R577" t="s" s="40">
        <v>1892</v>
      </c>
      <c r="S577" s="47">
        <v>0</v>
      </c>
    </row>
    <row r="578" ht="12.9" customHeight="1">
      <c r="R578" t="s" s="40">
        <v>1917</v>
      </c>
      <c r="S578" s="48">
        <v>40</v>
      </c>
    </row>
    <row r="579" ht="12.9" customHeight="1">
      <c r="R579" t="s" s="40">
        <v>1202</v>
      </c>
      <c r="S579" s="48">
        <v>699.9299999999999</v>
      </c>
    </row>
    <row r="580" ht="12.9" customHeight="1">
      <c r="R580" t="s" s="40">
        <v>2549</v>
      </c>
      <c r="S580" s="47">
        <v>0</v>
      </c>
    </row>
    <row r="581" ht="12.9" customHeight="1">
      <c r="R581" t="s" s="40">
        <v>2700</v>
      </c>
      <c r="S581" s="48">
        <v>-119.96</v>
      </c>
    </row>
    <row r="582" ht="12.9" customHeight="1">
      <c r="R582" t="s" s="40">
        <v>123</v>
      </c>
      <c r="S582" s="48">
        <v>1259.93</v>
      </c>
    </row>
    <row r="583" ht="12.9" customHeight="1">
      <c r="R583" t="s" s="40">
        <v>982</v>
      </c>
      <c r="S583" s="48">
        <v>749.97</v>
      </c>
    </row>
    <row r="584" ht="12.9" customHeight="1">
      <c r="R584" t="s" s="40">
        <v>165</v>
      </c>
      <c r="S584" s="47">
        <v>0</v>
      </c>
    </row>
    <row r="585" ht="12.9" customHeight="1">
      <c r="R585" t="s" s="40">
        <v>19</v>
      </c>
      <c r="S585" s="48">
        <v>5639.53</v>
      </c>
    </row>
    <row r="586" ht="12.9" customHeight="1">
      <c r="R586" t="s" s="40">
        <v>227</v>
      </c>
      <c r="S586" s="48">
        <v>179.94</v>
      </c>
    </row>
    <row r="587" ht="12.9" customHeight="1">
      <c r="R587" t="s" s="40">
        <v>341</v>
      </c>
      <c r="S587" s="48">
        <v>509.83</v>
      </c>
    </row>
    <row r="588" ht="12.9" customHeight="1">
      <c r="R588" t="s" s="40">
        <v>54</v>
      </c>
      <c r="S588" s="48">
        <v>69.93000000000001</v>
      </c>
    </row>
    <row r="589" ht="12.9" customHeight="1">
      <c r="R589" t="s" s="40">
        <v>1695</v>
      </c>
      <c r="S589" s="48">
        <v>299.94</v>
      </c>
    </row>
    <row r="590" ht="12.9" customHeight="1">
      <c r="R590" t="s" s="40">
        <v>57</v>
      </c>
      <c r="S590" s="48">
        <v>4399.945</v>
      </c>
    </row>
    <row r="591" ht="12.9" customHeight="1">
      <c r="R591" t="s" s="40">
        <v>84</v>
      </c>
      <c r="S591" s="48">
        <v>69.95999999999999</v>
      </c>
    </row>
    <row r="592" ht="12.9" customHeight="1">
      <c r="R592" t="s" s="40">
        <v>660</v>
      </c>
      <c r="S592" s="48">
        <v>62.895</v>
      </c>
    </row>
    <row r="593" ht="12.9" customHeight="1">
      <c r="R593" t="s" s="40">
        <v>179</v>
      </c>
      <c r="S593" s="48">
        <v>749.85</v>
      </c>
    </row>
    <row r="594" ht="12.9" customHeight="1">
      <c r="R594" t="s" s="40">
        <v>412</v>
      </c>
      <c r="S594" s="48">
        <v>39.8</v>
      </c>
    </row>
    <row r="595" ht="12.9" customHeight="1">
      <c r="R595" t="s" s="40">
        <v>119</v>
      </c>
      <c r="S595" s="48">
        <v>27.86</v>
      </c>
    </row>
    <row r="596" ht="12.9" customHeight="1">
      <c r="R596" t="s" s="40">
        <v>225</v>
      </c>
      <c r="S596" s="48">
        <v>1999.96</v>
      </c>
    </row>
    <row r="597" ht="12.9" customHeight="1">
      <c r="R597" t="s" s="40">
        <v>299</v>
      </c>
      <c r="S597" s="48">
        <v>2099.7</v>
      </c>
    </row>
    <row r="598" ht="12.9" customHeight="1">
      <c r="R598" t="s" s="40">
        <v>1717</v>
      </c>
      <c r="S598" s="48">
        <v>74.99250000000001</v>
      </c>
    </row>
    <row r="599" ht="12.9" customHeight="1">
      <c r="R599" t="s" s="40">
        <v>882</v>
      </c>
      <c r="S599" s="48">
        <v>674.91</v>
      </c>
    </row>
    <row r="600" ht="12.9" customHeight="1">
      <c r="R600" t="s" s="40">
        <v>239</v>
      </c>
      <c r="S600" s="48">
        <v>299.97</v>
      </c>
    </row>
    <row r="601" ht="12.9" customHeight="1">
      <c r="R601" t="s" s="40">
        <v>487</v>
      </c>
      <c r="S601" s="48">
        <v>769.9299999999999</v>
      </c>
    </row>
    <row r="602" ht="12.9" customHeight="1">
      <c r="R602" t="s" s="40">
        <v>1961</v>
      </c>
      <c r="S602" s="48">
        <v>109.99</v>
      </c>
    </row>
    <row r="603" ht="12.9" customHeight="1">
      <c r="R603" t="s" s="40">
        <v>39</v>
      </c>
      <c r="S603" s="48">
        <v>659.9400000000001</v>
      </c>
    </row>
    <row r="604" ht="12.9" customHeight="1">
      <c r="R604" t="s" s="40">
        <v>2519</v>
      </c>
      <c r="S604" s="48">
        <v>389.97</v>
      </c>
    </row>
    <row r="605" ht="12.9" customHeight="1">
      <c r="R605" t="s" s="40">
        <v>1054</v>
      </c>
      <c r="S605" s="48">
        <v>449.97</v>
      </c>
    </row>
    <row r="606" ht="12.9" customHeight="1">
      <c r="R606" t="s" s="40">
        <v>354</v>
      </c>
      <c r="S606" s="48">
        <v>149.99</v>
      </c>
    </row>
    <row r="607" ht="12.9" customHeight="1">
      <c r="R607" t="s" s="40">
        <v>23</v>
      </c>
      <c r="S607" s="48">
        <v>2887.3075</v>
      </c>
    </row>
    <row r="608" ht="12.9" customHeight="1">
      <c r="R608" t="s" s="40">
        <v>462</v>
      </c>
      <c r="S608" s="48">
        <v>599.97</v>
      </c>
    </row>
    <row r="609" ht="12.9" customHeight="1">
      <c r="R609" t="s" s="40">
        <v>133</v>
      </c>
      <c r="S609" s="48">
        <v>6999.68</v>
      </c>
    </row>
    <row r="610" ht="12.9" customHeight="1">
      <c r="R610" t="s" s="40">
        <v>1875</v>
      </c>
      <c r="S610" s="48">
        <v>249.99</v>
      </c>
    </row>
    <row r="611" ht="12.9" customHeight="1">
      <c r="R611" t="s" s="40">
        <v>1479</v>
      </c>
      <c r="S611" s="48">
        <v>262.5</v>
      </c>
    </row>
    <row r="612" ht="12.9" customHeight="1">
      <c r="R612" t="s" s="40">
        <v>602</v>
      </c>
      <c r="S612" s="48">
        <v>3549.895</v>
      </c>
    </row>
    <row r="613" ht="12.9" customHeight="1">
      <c r="R613" t="s" s="40">
        <v>102</v>
      </c>
      <c r="S613" s="48">
        <v>239.97</v>
      </c>
    </row>
    <row r="614" ht="12.9" customHeight="1">
      <c r="R614" t="s" s="40">
        <v>35</v>
      </c>
      <c r="S614" s="48">
        <v>1287.24</v>
      </c>
    </row>
    <row r="615" ht="12.9" customHeight="1">
      <c r="R615" t="s" s="40">
        <v>89</v>
      </c>
      <c r="S615" s="48">
        <v>1739.71</v>
      </c>
    </row>
    <row r="616" ht="12.9" customHeight="1">
      <c r="R616" t="s" s="40">
        <v>106</v>
      </c>
      <c r="S616" s="48">
        <v>584.91</v>
      </c>
    </row>
    <row r="617" ht="12.9" customHeight="1">
      <c r="R617" t="s" s="40">
        <v>52</v>
      </c>
      <c r="S617" s="48">
        <v>59.97</v>
      </c>
    </row>
    <row r="618" ht="12.9" customHeight="1">
      <c r="R618" t="s" s="40">
        <v>359</v>
      </c>
      <c r="S618" s="48">
        <v>959.6799999999999</v>
      </c>
    </row>
    <row r="619" ht="12.9" customHeight="1">
      <c r="R619" t="s" s="40">
        <v>77</v>
      </c>
      <c r="S619" s="48">
        <v>739.63</v>
      </c>
    </row>
    <row r="620" ht="12.9" customHeight="1">
      <c r="R620" t="s" s="40">
        <v>146</v>
      </c>
      <c r="S620" s="48">
        <v>119.94</v>
      </c>
    </row>
    <row r="621" ht="12.9" customHeight="1">
      <c r="R621" t="s" s="40">
        <v>95</v>
      </c>
      <c r="S621" s="48">
        <v>2449.93</v>
      </c>
    </row>
    <row r="622" ht="12.9" customHeight="1">
      <c r="R622" t="s" s="40">
        <v>171</v>
      </c>
      <c r="S622" s="48">
        <v>4399.92</v>
      </c>
    </row>
    <row r="623" ht="12.9" customHeight="1">
      <c r="R623" t="s" s="40">
        <v>11</v>
      </c>
      <c r="S623" s="48">
        <v>1999.95</v>
      </c>
    </row>
    <row r="624" ht="12.9" customHeight="1">
      <c r="R624" t="s" s="40">
        <v>31</v>
      </c>
      <c r="S624" s="48">
        <v>8962.35</v>
      </c>
    </row>
    <row r="625" ht="12.9" customHeight="1">
      <c r="R625" t="s" s="40">
        <v>81</v>
      </c>
      <c r="S625" s="48">
        <v>23374.725</v>
      </c>
    </row>
    <row r="626" ht="12.9" customHeight="1">
      <c r="R626" t="s" s="40">
        <v>50</v>
      </c>
      <c r="S626" s="48">
        <v>1499.5</v>
      </c>
    </row>
    <row r="627" ht="12.9" customHeight="1">
      <c r="R627" t="s" s="40">
        <v>1896</v>
      </c>
      <c r="S627" s="48">
        <v>449.94</v>
      </c>
    </row>
    <row r="628" ht="12.9" customHeight="1">
      <c r="R628" t="s" s="40">
        <v>979</v>
      </c>
      <c r="S628" s="48">
        <v>1299.87</v>
      </c>
    </row>
    <row r="629" ht="12.9" customHeight="1">
      <c r="R629" t="s" s="40">
        <v>48</v>
      </c>
      <c r="S629" s="48">
        <v>34449.735</v>
      </c>
    </row>
    <row r="630" ht="12.9" customHeight="1">
      <c r="R630" t="s" s="40">
        <v>468</v>
      </c>
      <c r="S630" s="47">
        <v>0</v>
      </c>
    </row>
    <row r="631" ht="12.9" customHeight="1">
      <c r="R631" t="s" s="40">
        <v>821</v>
      </c>
      <c r="S631" s="48">
        <v>103124.5875</v>
      </c>
    </row>
    <row r="632" ht="12.9" customHeight="1">
      <c r="R632" t="s" s="40">
        <v>489</v>
      </c>
      <c r="S632" s="48">
        <v>4249.965</v>
      </c>
    </row>
    <row r="633" ht="12.9" customHeight="1">
      <c r="R633" t="s" s="40">
        <v>491</v>
      </c>
      <c r="S633" s="47">
        <v>0</v>
      </c>
    </row>
    <row r="634" ht="12.9" customHeight="1">
      <c r="R634" t="s" s="40">
        <v>493</v>
      </c>
      <c r="S634" s="47">
        <v>0</v>
      </c>
    </row>
    <row r="635" ht="12.9" customHeight="1">
      <c r="R635" t="s" s="40">
        <v>143</v>
      </c>
      <c r="S635" s="48">
        <v>3199.99</v>
      </c>
    </row>
    <row r="636" ht="12.9" customHeight="1">
      <c r="R636" t="s" s="40">
        <v>59</v>
      </c>
      <c r="S636" s="48">
        <v>11399.905</v>
      </c>
    </row>
    <row r="637" ht="12.9" customHeight="1">
      <c r="R637" t="s" s="40">
        <v>73</v>
      </c>
      <c r="S637" s="48">
        <v>5799.855</v>
      </c>
    </row>
    <row r="638" ht="12.9" customHeight="1">
      <c r="R638" t="s" s="40">
        <v>27</v>
      </c>
      <c r="S638" s="48">
        <v>759.905</v>
      </c>
    </row>
    <row r="639" ht="12.9" customHeight="1">
      <c r="R639" t="s" s="40">
        <v>15</v>
      </c>
      <c r="S639" s="48">
        <v>139.86</v>
      </c>
    </row>
    <row r="640" ht="12.9" customHeight="1">
      <c r="R640" t="s" s="40">
        <v>315</v>
      </c>
      <c r="S640" s="48">
        <v>1000</v>
      </c>
    </row>
    <row r="641" ht="12.9" customHeight="1">
      <c r="R641" t="s" s="40">
        <v>207</v>
      </c>
      <c r="S641" s="47">
        <v>0</v>
      </c>
    </row>
    <row r="642" ht="12.9" customHeight="1">
      <c r="R642" t="s" s="40">
        <v>724</v>
      </c>
      <c r="S642" s="48">
        <v>749.97</v>
      </c>
    </row>
    <row r="643" ht="12.9" customHeight="1">
      <c r="R643" t="s" s="40">
        <v>908</v>
      </c>
      <c r="S643" s="48">
        <v>90</v>
      </c>
    </row>
    <row r="644" ht="12.9" customHeight="1">
      <c r="R644" t="s" s="40">
        <v>442</v>
      </c>
      <c r="S644" s="48">
        <v>-50</v>
      </c>
    </row>
    <row r="645" ht="12.9" customHeight="1">
      <c r="R645" t="s" s="40">
        <v>2523</v>
      </c>
      <c r="S645" s="47">
        <v>0</v>
      </c>
    </row>
    <row r="646" ht="12.9" customHeight="1">
      <c r="R646" t="s" s="40">
        <v>1482</v>
      </c>
      <c r="S646" s="47">
        <v>0</v>
      </c>
    </row>
    <row r="647" ht="12.9" customHeight="1">
      <c r="R647" t="s" s="40">
        <v>1097</v>
      </c>
      <c r="S647" s="47">
        <v>0</v>
      </c>
    </row>
    <row r="648" ht="12.9" customHeight="1">
      <c r="R648" t="s" s="40">
        <v>2509</v>
      </c>
      <c r="S648" s="48">
        <v>531</v>
      </c>
    </row>
    <row r="649" ht="12.9" customHeight="1">
      <c r="R649" t="s" s="40">
        <v>2616</v>
      </c>
      <c r="S649" s="47">
        <v>0</v>
      </c>
    </row>
    <row r="650" ht="12.9" customHeight="1">
      <c r="R650" t="s" s="40">
        <v>409</v>
      </c>
      <c r="S650" s="47">
        <v>0</v>
      </c>
    </row>
    <row r="651" ht="12.9" customHeight="1">
      <c r="R651" t="s" s="40">
        <v>2546</v>
      </c>
      <c r="S651" s="47">
        <v>0</v>
      </c>
    </row>
    <row r="652" ht="12.9" customHeight="1">
      <c r="R652" t="s" s="40">
        <v>691</v>
      </c>
      <c r="S652" s="48">
        <v>334.99</v>
      </c>
    </row>
    <row r="653" ht="12.9" customHeight="1">
      <c r="R653" t="s" s="40">
        <v>2586</v>
      </c>
      <c r="S653" s="48">
        <v>343.3338</v>
      </c>
    </row>
    <row r="654" ht="12.9" customHeight="1">
      <c r="R654" t="s" s="40">
        <v>2548</v>
      </c>
      <c r="S654" s="48">
        <v>225</v>
      </c>
    </row>
    <row r="655" ht="12.9" customHeight="1">
      <c r="R655" t="s" s="40">
        <v>254</v>
      </c>
      <c r="S655" s="48">
        <v>345</v>
      </c>
    </row>
    <row r="656" ht="12.9" customHeight="1">
      <c r="R656" t="s" s="40">
        <v>63</v>
      </c>
      <c r="S656" s="48">
        <v>3889.04</v>
      </c>
    </row>
    <row r="657" ht="12.9" customHeight="1">
      <c r="R657" t="s" s="40">
        <v>47</v>
      </c>
      <c r="S657" s="48">
        <v>611.63</v>
      </c>
    </row>
    <row r="658" ht="12.9" customHeight="1">
      <c r="R658" t="s" s="40">
        <v>2512</v>
      </c>
      <c r="S658" s="47">
        <v>0</v>
      </c>
    </row>
    <row r="659" ht="12.9" customHeight="1">
      <c r="R659" t="s" s="40">
        <v>1236</v>
      </c>
      <c r="S659" s="47">
        <v>0</v>
      </c>
    </row>
    <row r="660" ht="12.9" customHeight="1">
      <c r="R660" t="s" s="40">
        <v>110</v>
      </c>
      <c r="S660" s="47">
        <v>0</v>
      </c>
    </row>
    <row r="661" ht="12.9" customHeight="1">
      <c r="R661" t="s" s="40">
        <v>2573</v>
      </c>
      <c r="S661" s="48">
        <v>123</v>
      </c>
    </row>
    <row r="662" ht="12.9" customHeight="1">
      <c r="R662" t="s" s="40">
        <v>861</v>
      </c>
      <c r="S662" s="48">
        <v>29.31</v>
      </c>
    </row>
    <row r="663" ht="12.9" customHeight="1">
      <c r="R663" t="s" s="40">
        <v>2672</v>
      </c>
      <c r="S663" s="47">
        <v>0</v>
      </c>
    </row>
    <row r="664" ht="12.9" customHeight="1">
      <c r="R664" t="s" s="40">
        <v>2125</v>
      </c>
      <c r="S664" s="47">
        <v>0</v>
      </c>
    </row>
    <row r="665" ht="12.9" customHeight="1">
      <c r="R665" t="s" s="40">
        <v>762</v>
      </c>
      <c r="S665" s="47">
        <v>0</v>
      </c>
    </row>
    <row r="666" ht="12.9" customHeight="1">
      <c r="R666" t="s" s="40">
        <v>2711</v>
      </c>
      <c r="S666" s="47">
        <v>0</v>
      </c>
    </row>
    <row r="667" ht="12.9" customHeight="1">
      <c r="R667" t="s" s="40">
        <v>2722</v>
      </c>
      <c r="S667" s="47">
        <v>0</v>
      </c>
    </row>
    <row r="668" ht="13.1" customHeight="1">
      <c r="R668" t="s" s="42">
        <v>2724</v>
      </c>
      <c r="S668" s="49">
        <v>0</v>
      </c>
    </row>
    <row r="669" ht="13.1" customHeight="1">
      <c r="R669" t="s" s="44">
        <v>620</v>
      </c>
      <c r="S669" s="50">
        <v>259231.7238</v>
      </c>
    </row>
  </sheetData>
  <mergeCells count="4">
    <mergeCell ref="A1:H1"/>
    <mergeCell ref="I345:O345"/>
    <mergeCell ref="P473:Q473"/>
    <mergeCell ref="R572:S57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7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119" customWidth="1"/>
    <col min="9" max="9" width="32.6562" style="120" customWidth="1"/>
    <col min="10" max="15" width="13.3516" style="120" customWidth="1"/>
    <col min="16" max="16" width="64.8047" style="137" customWidth="1"/>
    <col min="17" max="17" width="17.4531" style="137" customWidth="1"/>
    <col min="18" max="18" width="64.8047" style="138" customWidth="1"/>
    <col min="19" max="19" width="13.3516" style="138" customWidth="1"/>
    <col min="20" max="16384" width="16.3516" style="138" customWidth="1"/>
  </cols>
  <sheetData>
    <row r="1" ht="15.55" customHeight="1">
      <c r="A1" t="s" s="2">
        <v>2746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2747</v>
      </c>
      <c r="B3" t="s" s="5">
        <v>2748</v>
      </c>
      <c r="C3" s="6">
        <v>45351.212659699071</v>
      </c>
      <c r="D3" t="s" s="7">
        <v>77</v>
      </c>
      <c r="E3" t="s" s="7">
        <v>78</v>
      </c>
      <c r="F3" s="8">
        <v>1</v>
      </c>
      <c r="G3" s="9">
        <v>19.99</v>
      </c>
      <c r="H3" s="9">
        <v>19.99</v>
      </c>
    </row>
    <row r="4" ht="12.9" customHeight="1">
      <c r="A4" t="s" s="10">
        <v>2749</v>
      </c>
      <c r="B4" t="s" s="11">
        <v>122</v>
      </c>
      <c r="C4" s="12">
        <v>45351</v>
      </c>
      <c r="D4" t="s" s="13">
        <v>892</v>
      </c>
      <c r="E4" t="s" s="13">
        <v>893</v>
      </c>
      <c r="F4" s="14">
        <v>1</v>
      </c>
      <c r="G4" s="15">
        <v>29.99</v>
      </c>
      <c r="H4" s="15">
        <v>29.99</v>
      </c>
    </row>
    <row r="5" ht="12.9" customHeight="1">
      <c r="A5" t="s" s="10">
        <v>2749</v>
      </c>
      <c r="B5" t="s" s="11">
        <v>122</v>
      </c>
      <c r="C5" s="12">
        <v>45351</v>
      </c>
      <c r="D5" t="s" s="13">
        <v>27</v>
      </c>
      <c r="E5" t="s" s="13">
        <v>28</v>
      </c>
      <c r="F5" s="14">
        <v>4</v>
      </c>
      <c r="G5" s="15">
        <v>59.9925</v>
      </c>
      <c r="H5" s="15">
        <v>239.97</v>
      </c>
    </row>
    <row r="6" ht="12.9" customHeight="1">
      <c r="A6" t="s" s="10">
        <v>2749</v>
      </c>
      <c r="B6" t="s" s="11">
        <v>122</v>
      </c>
      <c r="C6" s="12">
        <v>45351</v>
      </c>
      <c r="D6" t="s" s="13">
        <v>63</v>
      </c>
      <c r="E6" s="16"/>
      <c r="F6" s="14">
        <v>1</v>
      </c>
      <c r="G6" s="15">
        <v>19.6</v>
      </c>
      <c r="H6" s="15">
        <v>19.6</v>
      </c>
    </row>
    <row r="7" ht="12.9" customHeight="1">
      <c r="A7" t="s" s="10">
        <v>2750</v>
      </c>
      <c r="B7" t="s" s="11">
        <v>2751</v>
      </c>
      <c r="C7" s="12">
        <v>45351</v>
      </c>
      <c r="D7" t="s" s="13">
        <v>468</v>
      </c>
      <c r="E7" t="s" s="13">
        <v>469</v>
      </c>
      <c r="F7" s="14">
        <v>2</v>
      </c>
      <c r="G7" s="15">
        <v>2499.99</v>
      </c>
      <c r="H7" s="15">
        <v>4999.98</v>
      </c>
    </row>
    <row r="8" ht="12.9" customHeight="1">
      <c r="A8" t="s" s="10">
        <v>2750</v>
      </c>
      <c r="B8" t="s" s="11">
        <v>2751</v>
      </c>
      <c r="C8" s="12">
        <v>45351</v>
      </c>
      <c r="D8" t="s" s="13">
        <v>50</v>
      </c>
      <c r="E8" t="s" s="13">
        <v>83</v>
      </c>
      <c r="F8" s="14">
        <v>2</v>
      </c>
      <c r="G8" s="15">
        <v>0</v>
      </c>
      <c r="H8" s="15">
        <v>0</v>
      </c>
    </row>
    <row r="9" ht="12.9" customHeight="1">
      <c r="A9" t="s" s="10">
        <v>2750</v>
      </c>
      <c r="B9" t="s" s="11">
        <v>2751</v>
      </c>
      <c r="C9" s="12">
        <v>45351</v>
      </c>
      <c r="D9" t="s" s="13">
        <v>15</v>
      </c>
      <c r="E9" t="s" s="13">
        <v>16</v>
      </c>
      <c r="F9" s="14">
        <v>8</v>
      </c>
      <c r="G9" s="15">
        <v>0</v>
      </c>
      <c r="H9" s="15">
        <v>0</v>
      </c>
    </row>
    <row r="10" ht="12.9" customHeight="1">
      <c r="A10" t="s" s="10">
        <v>2750</v>
      </c>
      <c r="B10" t="s" s="11">
        <v>2751</v>
      </c>
      <c r="C10" s="12">
        <v>45351</v>
      </c>
      <c r="D10" t="s" s="13">
        <v>54</v>
      </c>
      <c r="E10" t="s" s="13">
        <v>93</v>
      </c>
      <c r="F10" s="14">
        <v>8</v>
      </c>
      <c r="G10" s="15">
        <v>0</v>
      </c>
      <c r="H10" s="15">
        <v>0</v>
      </c>
    </row>
    <row r="11" ht="12.9" customHeight="1">
      <c r="A11" t="s" s="10">
        <v>2750</v>
      </c>
      <c r="B11" t="s" s="11">
        <v>2751</v>
      </c>
      <c r="C11" s="12">
        <v>45351</v>
      </c>
      <c r="D11" t="s" s="13">
        <v>23</v>
      </c>
      <c r="E11" t="s" s="13">
        <v>24</v>
      </c>
      <c r="F11" s="14">
        <v>8</v>
      </c>
      <c r="G11" s="15">
        <v>0</v>
      </c>
      <c r="H11" s="15">
        <v>0</v>
      </c>
    </row>
    <row r="12" ht="12.9" customHeight="1">
      <c r="A12" t="s" s="10">
        <v>2752</v>
      </c>
      <c r="B12" t="s" s="11">
        <v>2753</v>
      </c>
      <c r="C12" s="12">
        <v>45351</v>
      </c>
      <c r="D12" t="s" s="13">
        <v>48</v>
      </c>
      <c r="E12" t="s" s="13">
        <v>49</v>
      </c>
      <c r="F12" s="14">
        <v>4</v>
      </c>
      <c r="G12" s="15">
        <v>1299.99</v>
      </c>
      <c r="H12" s="15">
        <v>5199.96</v>
      </c>
    </row>
    <row r="13" ht="12.9" customHeight="1">
      <c r="A13" t="s" s="10">
        <v>2752</v>
      </c>
      <c r="B13" t="s" s="11">
        <v>2753</v>
      </c>
      <c r="C13" s="12">
        <v>45351</v>
      </c>
      <c r="D13" t="s" s="13">
        <v>50</v>
      </c>
      <c r="E13" t="s" s="13">
        <v>83</v>
      </c>
      <c r="F13" s="14">
        <v>4</v>
      </c>
      <c r="G13" s="15">
        <v>0</v>
      </c>
      <c r="H13" s="15">
        <v>0</v>
      </c>
    </row>
    <row r="14" ht="12.9" customHeight="1">
      <c r="A14" t="s" s="10">
        <v>2752</v>
      </c>
      <c r="B14" t="s" s="11">
        <v>2753</v>
      </c>
      <c r="C14" s="12">
        <v>45351</v>
      </c>
      <c r="D14" t="s" s="13">
        <v>227</v>
      </c>
      <c r="E14" t="s" s="13">
        <v>228</v>
      </c>
      <c r="F14" s="14">
        <v>4</v>
      </c>
      <c r="G14" s="15">
        <v>29.99</v>
      </c>
      <c r="H14" s="15">
        <v>119.96</v>
      </c>
    </row>
    <row r="15" ht="12.9" customHeight="1">
      <c r="A15" t="s" s="10">
        <v>2752</v>
      </c>
      <c r="B15" t="s" s="11">
        <v>2753</v>
      </c>
      <c r="C15" s="12">
        <v>45351</v>
      </c>
      <c r="D15" t="s" s="13">
        <v>84</v>
      </c>
      <c r="E15" t="s" s="13">
        <v>2685</v>
      </c>
      <c r="F15" s="14">
        <v>4</v>
      </c>
      <c r="G15" s="15">
        <v>0</v>
      </c>
      <c r="H15" s="15">
        <v>0</v>
      </c>
    </row>
    <row r="16" ht="12.9" customHeight="1">
      <c r="A16" t="s" s="10">
        <v>2752</v>
      </c>
      <c r="B16" t="s" s="11">
        <v>2753</v>
      </c>
      <c r="C16" s="12">
        <v>45351</v>
      </c>
      <c r="D16" t="s" s="13">
        <v>1054</v>
      </c>
      <c r="E16" t="s" s="13">
        <v>1055</v>
      </c>
      <c r="F16" s="14">
        <v>3</v>
      </c>
      <c r="G16" s="15">
        <v>0</v>
      </c>
      <c r="H16" s="15">
        <v>0</v>
      </c>
    </row>
    <row r="17" ht="12.9" customHeight="1">
      <c r="A17" t="s" s="10">
        <v>2752</v>
      </c>
      <c r="B17" t="s" s="11">
        <v>2753</v>
      </c>
      <c r="C17" s="12">
        <v>45351</v>
      </c>
      <c r="D17" t="s" s="13">
        <v>354</v>
      </c>
      <c r="E17" t="s" s="13">
        <v>355</v>
      </c>
      <c r="F17" s="14">
        <v>1</v>
      </c>
      <c r="G17" s="15">
        <v>0</v>
      </c>
      <c r="H17" s="15">
        <v>0</v>
      </c>
    </row>
    <row r="18" ht="12.9" customHeight="1">
      <c r="A18" t="s" s="10">
        <v>2752</v>
      </c>
      <c r="B18" t="s" s="11">
        <v>2753</v>
      </c>
      <c r="C18" s="12">
        <v>45351</v>
      </c>
      <c r="D18" t="s" s="13">
        <v>213</v>
      </c>
      <c r="E18" t="s" s="13">
        <v>214</v>
      </c>
      <c r="F18" s="14">
        <v>1</v>
      </c>
      <c r="G18" s="15">
        <v>549.99</v>
      </c>
      <c r="H18" s="15">
        <v>549.99</v>
      </c>
    </row>
    <row r="19" ht="12.9" customHeight="1">
      <c r="A19" t="s" s="10">
        <v>2752</v>
      </c>
      <c r="B19" t="s" s="11">
        <v>2753</v>
      </c>
      <c r="C19" s="12">
        <v>45351</v>
      </c>
      <c r="D19" t="s" s="13">
        <v>213</v>
      </c>
      <c r="E19" t="s" s="13">
        <v>214</v>
      </c>
      <c r="F19" s="14">
        <v>1</v>
      </c>
      <c r="G19" s="15">
        <v>549.99</v>
      </c>
      <c r="H19" s="15">
        <v>549.99</v>
      </c>
    </row>
    <row r="20" ht="12.9" customHeight="1">
      <c r="A20" t="s" s="10">
        <v>2752</v>
      </c>
      <c r="B20" t="s" s="11">
        <v>2753</v>
      </c>
      <c r="C20" s="12">
        <v>45351</v>
      </c>
      <c r="D20" t="s" s="13">
        <v>19</v>
      </c>
      <c r="E20" t="s" s="13">
        <v>20</v>
      </c>
      <c r="F20" s="14">
        <v>2</v>
      </c>
      <c r="G20" s="15">
        <v>119.99</v>
      </c>
      <c r="H20" s="15">
        <v>239.98</v>
      </c>
    </row>
    <row r="21" ht="12.9" customHeight="1">
      <c r="A21" t="s" s="10">
        <v>2752</v>
      </c>
      <c r="B21" t="s" s="11">
        <v>2753</v>
      </c>
      <c r="C21" s="12">
        <v>45351</v>
      </c>
      <c r="D21" t="s" s="13">
        <v>47</v>
      </c>
      <c r="E21" s="16"/>
      <c r="F21" s="14">
        <v>1</v>
      </c>
      <c r="G21" s="15">
        <v>211.64</v>
      </c>
      <c r="H21" s="15">
        <v>211.64</v>
      </c>
    </row>
    <row r="22" ht="12.9" customHeight="1">
      <c r="A22" t="s" s="10">
        <v>2754</v>
      </c>
      <c r="B22" t="s" s="11">
        <v>2753</v>
      </c>
      <c r="C22" s="12">
        <v>45351</v>
      </c>
      <c r="D22" t="s" s="13">
        <v>354</v>
      </c>
      <c r="E22" t="s" s="13">
        <v>355</v>
      </c>
      <c r="F22" s="14">
        <v>1</v>
      </c>
      <c r="G22" s="15">
        <v>149.99</v>
      </c>
      <c r="H22" s="15">
        <v>149.99</v>
      </c>
    </row>
    <row r="23" ht="12.9" customHeight="1">
      <c r="A23" t="s" s="10">
        <v>2754</v>
      </c>
      <c r="B23" t="s" s="11">
        <v>2753</v>
      </c>
      <c r="C23" s="12">
        <v>45351</v>
      </c>
      <c r="D23" t="s" s="13">
        <v>462</v>
      </c>
      <c r="E23" t="s" s="13">
        <v>463</v>
      </c>
      <c r="F23" s="14">
        <v>2</v>
      </c>
      <c r="G23" s="15">
        <v>199.99</v>
      </c>
      <c r="H23" s="15">
        <v>399.98</v>
      </c>
    </row>
    <row r="24" ht="12.9" customHeight="1">
      <c r="A24" t="s" s="10">
        <v>2754</v>
      </c>
      <c r="B24" t="s" s="11">
        <v>2753</v>
      </c>
      <c r="C24" s="12">
        <v>45351</v>
      </c>
      <c r="D24" t="s" s="13">
        <v>63</v>
      </c>
      <c r="E24" s="16"/>
      <c r="F24" s="14">
        <v>1</v>
      </c>
      <c r="G24" s="15">
        <v>39.64</v>
      </c>
      <c r="H24" s="15">
        <v>39.64</v>
      </c>
    </row>
    <row r="25" ht="12.9" customHeight="1">
      <c r="A25" t="s" s="10">
        <v>2755</v>
      </c>
      <c r="B25" t="s" s="11">
        <v>2756</v>
      </c>
      <c r="C25" s="12">
        <v>45351</v>
      </c>
      <c r="D25" t="s" s="13">
        <v>207</v>
      </c>
      <c r="E25" t="s" s="13">
        <v>208</v>
      </c>
      <c r="F25" s="14">
        <v>2</v>
      </c>
      <c r="G25" s="15">
        <v>0</v>
      </c>
      <c r="H25" s="15">
        <v>0</v>
      </c>
    </row>
    <row r="26" ht="12.9" customHeight="1">
      <c r="A26" t="s" s="10">
        <v>2757</v>
      </c>
      <c r="B26" t="s" s="11">
        <v>2758</v>
      </c>
      <c r="C26" s="12">
        <v>45351</v>
      </c>
      <c r="D26" t="s" s="13">
        <v>254</v>
      </c>
      <c r="E26" t="s" s="13">
        <v>2759</v>
      </c>
      <c r="F26" s="14">
        <v>1</v>
      </c>
      <c r="G26" s="15">
        <v>0</v>
      </c>
      <c r="H26" s="15">
        <v>0</v>
      </c>
    </row>
    <row r="27" ht="12.9" customHeight="1">
      <c r="A27" t="s" s="10">
        <v>2760</v>
      </c>
      <c r="B27" t="s" s="11">
        <v>2761</v>
      </c>
      <c r="C27" s="12">
        <v>45350.943641412036</v>
      </c>
      <c r="D27" t="s" s="13">
        <v>1695</v>
      </c>
      <c r="E27" t="s" s="13">
        <v>140</v>
      </c>
      <c r="F27" s="14">
        <v>1</v>
      </c>
      <c r="G27" s="15">
        <v>49.99</v>
      </c>
      <c r="H27" s="15">
        <v>49.99</v>
      </c>
    </row>
    <row r="28" ht="12.9" customHeight="1">
      <c r="A28" t="s" s="10">
        <v>2760</v>
      </c>
      <c r="B28" t="s" s="11">
        <v>2761</v>
      </c>
      <c r="C28" s="12">
        <v>45350.943641412036</v>
      </c>
      <c r="D28" t="s" s="13">
        <v>15</v>
      </c>
      <c r="E28" t="s" s="13">
        <v>16</v>
      </c>
      <c r="F28" s="14">
        <v>1</v>
      </c>
      <c r="G28" s="15">
        <v>0</v>
      </c>
      <c r="H28" s="15">
        <v>0</v>
      </c>
    </row>
    <row r="29" ht="12.9" customHeight="1">
      <c r="A29" t="s" s="10">
        <v>2760</v>
      </c>
      <c r="B29" t="s" s="11">
        <v>2761</v>
      </c>
      <c r="C29" s="12">
        <v>45350.943641412036</v>
      </c>
      <c r="D29" t="s" s="13">
        <v>35</v>
      </c>
      <c r="E29" t="s" s="13">
        <v>36</v>
      </c>
      <c r="F29" s="14">
        <v>2</v>
      </c>
      <c r="G29" s="15">
        <v>49.99</v>
      </c>
      <c r="H29" s="15">
        <v>99.98</v>
      </c>
    </row>
    <row r="30" ht="12.9" customHeight="1">
      <c r="A30" t="s" s="10">
        <v>2762</v>
      </c>
      <c r="B30" t="s" s="11">
        <v>1209</v>
      </c>
      <c r="C30" s="12">
        <v>45350.797331504633</v>
      </c>
      <c r="D30" t="s" s="13">
        <v>95</v>
      </c>
      <c r="E30" t="s" s="13">
        <v>12</v>
      </c>
      <c r="F30" s="14">
        <v>1</v>
      </c>
      <c r="G30" s="15">
        <v>349.99</v>
      </c>
      <c r="H30" s="15">
        <v>349.99</v>
      </c>
    </row>
    <row r="31" ht="12.9" customHeight="1">
      <c r="A31" t="s" s="10">
        <v>2763</v>
      </c>
      <c r="B31" t="s" s="11">
        <v>2764</v>
      </c>
      <c r="C31" s="12">
        <v>45350.302759120372</v>
      </c>
      <c r="D31" t="s" s="13">
        <v>412</v>
      </c>
      <c r="E31" t="s" s="13">
        <v>413</v>
      </c>
      <c r="F31" s="14">
        <v>1</v>
      </c>
      <c r="G31" s="15">
        <v>1.99</v>
      </c>
      <c r="H31" s="15">
        <v>1.99</v>
      </c>
    </row>
    <row r="32" ht="12.9" customHeight="1">
      <c r="A32" t="s" s="10">
        <v>2765</v>
      </c>
      <c r="B32" t="s" s="11">
        <v>2766</v>
      </c>
      <c r="C32" s="12">
        <v>45350</v>
      </c>
      <c r="D32" t="s" s="13">
        <v>59</v>
      </c>
      <c r="E32" t="s" s="13">
        <v>60</v>
      </c>
      <c r="F32" s="14">
        <v>1</v>
      </c>
      <c r="G32" s="15">
        <v>1199.99</v>
      </c>
      <c r="H32" s="15">
        <v>1199.99</v>
      </c>
    </row>
    <row r="33" ht="12.9" customHeight="1">
      <c r="A33" t="s" s="10">
        <v>2765</v>
      </c>
      <c r="B33" t="s" s="11">
        <v>2766</v>
      </c>
      <c r="C33" s="12">
        <v>45350</v>
      </c>
      <c r="D33" t="s" s="13">
        <v>63</v>
      </c>
      <c r="E33" s="16"/>
      <c r="F33" s="14">
        <v>1</v>
      </c>
      <c r="G33" s="15">
        <v>34.16</v>
      </c>
      <c r="H33" s="15">
        <v>34.16</v>
      </c>
    </row>
    <row r="34" ht="12.9" customHeight="1">
      <c r="A34" t="s" s="10">
        <v>2767</v>
      </c>
      <c r="B34" t="s" s="11">
        <v>2768</v>
      </c>
      <c r="C34" s="12">
        <v>45349.925643923612</v>
      </c>
      <c r="D34" t="s" s="13">
        <v>35</v>
      </c>
      <c r="E34" t="s" s="13">
        <v>36</v>
      </c>
      <c r="F34" s="14">
        <v>4</v>
      </c>
      <c r="G34" s="15">
        <v>49.99</v>
      </c>
      <c r="H34" s="15">
        <v>199.96</v>
      </c>
    </row>
    <row r="35" ht="12.9" customHeight="1">
      <c r="A35" t="s" s="10">
        <v>2769</v>
      </c>
      <c r="B35" t="s" s="11">
        <v>2770</v>
      </c>
      <c r="C35" s="12">
        <v>45349.86933625</v>
      </c>
      <c r="D35" t="s" s="13">
        <v>1479</v>
      </c>
      <c r="E35" t="s" s="13">
        <v>1480</v>
      </c>
      <c r="F35" s="14">
        <v>2</v>
      </c>
      <c r="G35" s="15">
        <v>299.99</v>
      </c>
      <c r="H35" s="15">
        <v>599.98</v>
      </c>
    </row>
    <row r="36" ht="12.9" customHeight="1">
      <c r="A36" t="s" s="10">
        <v>2771</v>
      </c>
      <c r="B36" t="s" s="11">
        <v>2768</v>
      </c>
      <c r="C36" s="12">
        <v>45349.863218819446</v>
      </c>
      <c r="D36" t="s" s="13">
        <v>73</v>
      </c>
      <c r="E36" t="s" s="13">
        <v>74</v>
      </c>
      <c r="F36" s="14">
        <v>1</v>
      </c>
      <c r="G36" s="15">
        <v>399.99</v>
      </c>
      <c r="H36" s="15">
        <v>399.99</v>
      </c>
    </row>
    <row r="37" ht="12.9" customHeight="1">
      <c r="A37" t="s" s="10">
        <v>2772</v>
      </c>
      <c r="B37" t="s" s="11">
        <v>2773</v>
      </c>
      <c r="C37" s="12">
        <v>45349.636176030093</v>
      </c>
      <c r="D37" t="s" s="13">
        <v>54</v>
      </c>
      <c r="E37" t="s" s="13">
        <v>93</v>
      </c>
      <c r="F37" s="14">
        <v>2</v>
      </c>
      <c r="G37" s="15">
        <v>9.99</v>
      </c>
      <c r="H37" s="15">
        <v>19.98</v>
      </c>
    </row>
    <row r="38" ht="12.9" customHeight="1">
      <c r="A38" t="s" s="10">
        <v>2774</v>
      </c>
      <c r="B38" t="s" s="11">
        <v>2775</v>
      </c>
      <c r="C38" s="12">
        <v>45349.084983668981</v>
      </c>
      <c r="D38" t="s" s="13">
        <v>59</v>
      </c>
      <c r="E38" t="s" s="13">
        <v>60</v>
      </c>
      <c r="F38" s="14">
        <v>1</v>
      </c>
      <c r="G38" s="15">
        <v>1199.99</v>
      </c>
      <c r="H38" s="15">
        <v>1199.99</v>
      </c>
    </row>
    <row r="39" ht="12.9" customHeight="1">
      <c r="A39" t="s" s="10">
        <v>2774</v>
      </c>
      <c r="B39" t="s" s="11">
        <v>2775</v>
      </c>
      <c r="C39" s="12">
        <v>45349.084983668981</v>
      </c>
      <c r="D39" t="s" s="13">
        <v>73</v>
      </c>
      <c r="E39" t="s" s="13">
        <v>74</v>
      </c>
      <c r="F39" s="14">
        <v>1</v>
      </c>
      <c r="G39" s="15">
        <v>399.99</v>
      </c>
      <c r="H39" s="15">
        <v>399.99</v>
      </c>
    </row>
    <row r="40" ht="12.9" customHeight="1">
      <c r="A40" t="s" s="10">
        <v>2774</v>
      </c>
      <c r="B40" t="s" s="11">
        <v>2775</v>
      </c>
      <c r="C40" s="12">
        <v>45349.084983668981</v>
      </c>
      <c r="D40" t="s" s="13">
        <v>27</v>
      </c>
      <c r="E40" t="s" s="13">
        <v>28</v>
      </c>
      <c r="F40" s="14">
        <v>1</v>
      </c>
      <c r="G40" s="15">
        <v>79.98999999999999</v>
      </c>
      <c r="H40" s="15">
        <v>79.98999999999999</v>
      </c>
    </row>
    <row r="41" ht="12.9" customHeight="1">
      <c r="A41" t="s" s="10">
        <v>2776</v>
      </c>
      <c r="B41" t="s" s="11">
        <v>563</v>
      </c>
      <c r="C41" s="12">
        <v>45349</v>
      </c>
      <c r="D41" t="s" s="13">
        <v>35</v>
      </c>
      <c r="E41" t="s" s="13">
        <v>36</v>
      </c>
      <c r="F41" s="14">
        <v>2</v>
      </c>
      <c r="G41" s="15">
        <v>37.4925</v>
      </c>
      <c r="H41" s="15">
        <v>74.985</v>
      </c>
    </row>
    <row r="42" ht="12.9" customHeight="1">
      <c r="A42" t="s" s="10">
        <v>2776</v>
      </c>
      <c r="B42" t="s" s="11">
        <v>563</v>
      </c>
      <c r="C42" s="12">
        <v>45349</v>
      </c>
      <c r="D42" t="s" s="13">
        <v>63</v>
      </c>
      <c r="E42" s="16"/>
      <c r="F42" s="14">
        <v>1</v>
      </c>
      <c r="G42" s="15">
        <v>15.66</v>
      </c>
      <c r="H42" s="15">
        <v>15.66</v>
      </c>
    </row>
    <row r="43" ht="12.9" customHeight="1">
      <c r="A43" t="s" s="10">
        <v>2777</v>
      </c>
      <c r="B43" t="s" s="11">
        <v>2778</v>
      </c>
      <c r="C43" s="12">
        <v>45349</v>
      </c>
      <c r="D43" t="s" s="13">
        <v>254</v>
      </c>
      <c r="E43" t="s" s="13">
        <v>2779</v>
      </c>
      <c r="F43" s="14">
        <v>1</v>
      </c>
      <c r="G43" s="15">
        <v>0</v>
      </c>
      <c r="H43" s="15">
        <v>0</v>
      </c>
    </row>
    <row r="44" ht="12.9" customHeight="1">
      <c r="A44" t="s" s="10">
        <v>2777</v>
      </c>
      <c r="B44" t="s" s="11">
        <v>2778</v>
      </c>
      <c r="C44" s="12">
        <v>45349</v>
      </c>
      <c r="D44" t="s" s="13">
        <v>63</v>
      </c>
      <c r="E44" s="16"/>
      <c r="F44" s="14">
        <v>1</v>
      </c>
      <c r="G44" s="15">
        <v>189.46</v>
      </c>
      <c r="H44" s="15">
        <v>189.46</v>
      </c>
    </row>
    <row r="45" ht="12.9" customHeight="1">
      <c r="A45" t="s" s="10">
        <v>2780</v>
      </c>
      <c r="B45" t="s" s="11">
        <v>2721</v>
      </c>
      <c r="C45" s="12">
        <v>45348.959160451392</v>
      </c>
      <c r="D45" t="s" s="13">
        <v>73</v>
      </c>
      <c r="E45" t="s" s="13">
        <v>74</v>
      </c>
      <c r="F45" s="14">
        <v>1</v>
      </c>
      <c r="G45" s="15">
        <v>399.99</v>
      </c>
      <c r="H45" s="15">
        <v>399.99</v>
      </c>
    </row>
    <row r="46" ht="12.9" customHeight="1">
      <c r="A46" t="s" s="10">
        <v>2781</v>
      </c>
      <c r="B46" t="s" s="11">
        <v>2782</v>
      </c>
      <c r="C46" s="12">
        <v>45348.951296284722</v>
      </c>
      <c r="D46" t="s" s="13">
        <v>11</v>
      </c>
      <c r="E46" t="s" s="13">
        <v>12</v>
      </c>
      <c r="F46" s="14">
        <v>1</v>
      </c>
      <c r="G46" s="15">
        <v>399.99</v>
      </c>
      <c r="H46" s="15">
        <v>399.99</v>
      </c>
    </row>
    <row r="47" ht="12.9" customHeight="1">
      <c r="A47" t="s" s="10">
        <v>2783</v>
      </c>
      <c r="B47" t="s" s="11">
        <v>2338</v>
      </c>
      <c r="C47" s="12">
        <v>45348.797757337961</v>
      </c>
      <c r="D47" t="s" s="13">
        <v>89</v>
      </c>
      <c r="E47" t="s" s="13">
        <v>90</v>
      </c>
      <c r="F47" s="14">
        <v>1</v>
      </c>
      <c r="G47" s="15">
        <v>59.99</v>
      </c>
      <c r="H47" s="15">
        <v>59.99</v>
      </c>
    </row>
    <row r="48" ht="12.9" customHeight="1">
      <c r="A48" t="s" s="10">
        <v>2784</v>
      </c>
      <c r="B48" t="s" s="11">
        <v>2714</v>
      </c>
      <c r="C48" s="12">
        <v>45348.724279444446</v>
      </c>
      <c r="D48" t="s" s="13">
        <v>1717</v>
      </c>
      <c r="E48" t="s" s="13">
        <v>1718</v>
      </c>
      <c r="F48" s="14">
        <v>4</v>
      </c>
      <c r="G48" s="15">
        <v>99.98999999999999</v>
      </c>
      <c r="H48" s="15">
        <v>399.96</v>
      </c>
    </row>
    <row r="49" ht="12.9" customHeight="1">
      <c r="A49" t="s" s="10">
        <v>2785</v>
      </c>
      <c r="B49" t="s" s="11">
        <v>2786</v>
      </c>
      <c r="C49" s="12">
        <v>45348.604967060186</v>
      </c>
      <c r="D49" t="s" s="13">
        <v>2787</v>
      </c>
      <c r="E49" t="s" s="13">
        <v>2788</v>
      </c>
      <c r="F49" s="14">
        <v>1</v>
      </c>
      <c r="G49" s="15">
        <v>22.99</v>
      </c>
      <c r="H49" s="15">
        <v>22.99</v>
      </c>
    </row>
    <row r="50" ht="12.9" customHeight="1">
      <c r="A50" t="s" s="10">
        <v>2789</v>
      </c>
      <c r="B50" t="s" s="11">
        <v>789</v>
      </c>
      <c r="C50" s="12">
        <v>45348.1103696875</v>
      </c>
      <c r="D50" t="s" s="13">
        <v>77</v>
      </c>
      <c r="E50" t="s" s="13">
        <v>78</v>
      </c>
      <c r="F50" s="14">
        <v>1</v>
      </c>
      <c r="G50" s="15">
        <v>19.99</v>
      </c>
      <c r="H50" s="15">
        <v>19.99</v>
      </c>
    </row>
    <row r="51" ht="12.9" customHeight="1">
      <c r="A51" t="s" s="10">
        <v>2789</v>
      </c>
      <c r="B51" t="s" s="11">
        <v>789</v>
      </c>
      <c r="C51" s="12">
        <v>45348.1103696875</v>
      </c>
      <c r="D51" t="s" s="13">
        <v>359</v>
      </c>
      <c r="E51" t="s" s="13">
        <v>360</v>
      </c>
      <c r="F51" s="14">
        <v>1</v>
      </c>
      <c r="G51" s="15">
        <v>29.99</v>
      </c>
      <c r="H51" s="15">
        <v>29.99</v>
      </c>
    </row>
    <row r="52" ht="12.9" customHeight="1">
      <c r="A52" t="s" s="10">
        <v>2790</v>
      </c>
      <c r="B52" t="s" s="11">
        <v>789</v>
      </c>
      <c r="C52" s="12">
        <v>45348.103526932871</v>
      </c>
      <c r="D52" t="s" s="13">
        <v>39</v>
      </c>
      <c r="E52" t="s" s="13">
        <v>40</v>
      </c>
      <c r="F52" s="14">
        <v>1</v>
      </c>
      <c r="G52" s="15">
        <v>109.99</v>
      </c>
      <c r="H52" s="15">
        <v>109.99</v>
      </c>
    </row>
    <row r="53" ht="12.9" customHeight="1">
      <c r="A53" t="s" s="10">
        <v>2791</v>
      </c>
      <c r="B53" t="s" s="11">
        <v>2792</v>
      </c>
      <c r="C53" s="12">
        <v>45348</v>
      </c>
      <c r="D53" t="s" s="13">
        <v>254</v>
      </c>
      <c r="E53" t="s" s="13">
        <v>2793</v>
      </c>
      <c r="F53" s="14">
        <v>1</v>
      </c>
      <c r="G53" s="15">
        <v>0</v>
      </c>
      <c r="H53" s="15">
        <v>0</v>
      </c>
    </row>
    <row r="54" ht="12.9" customHeight="1">
      <c r="A54" t="s" s="10">
        <v>2794</v>
      </c>
      <c r="B54" t="s" s="11">
        <v>2795</v>
      </c>
      <c r="C54" s="12">
        <v>45348</v>
      </c>
      <c r="D54" t="s" s="13">
        <v>254</v>
      </c>
      <c r="E54" t="s" s="13">
        <v>2796</v>
      </c>
      <c r="F54" s="14">
        <v>1</v>
      </c>
      <c r="G54" s="15">
        <v>0</v>
      </c>
      <c r="H54" s="15">
        <v>0</v>
      </c>
    </row>
    <row r="55" ht="12.9" customHeight="1">
      <c r="A55" t="s" s="10">
        <v>2797</v>
      </c>
      <c r="B55" t="s" s="11">
        <v>2798</v>
      </c>
      <c r="C55" s="12">
        <v>45347.126428981479</v>
      </c>
      <c r="D55" t="s" s="13">
        <v>73</v>
      </c>
      <c r="E55" t="s" s="13">
        <v>74</v>
      </c>
      <c r="F55" s="14">
        <v>1</v>
      </c>
      <c r="G55" s="15">
        <v>399.99</v>
      </c>
      <c r="H55" s="15">
        <v>399.99</v>
      </c>
    </row>
    <row r="56" ht="12.9" customHeight="1">
      <c r="A56" t="s" s="10">
        <v>2799</v>
      </c>
      <c r="B56" t="s" s="11">
        <v>2800</v>
      </c>
      <c r="C56" s="12">
        <v>45347.043688113423</v>
      </c>
      <c r="D56" t="s" s="13">
        <v>35</v>
      </c>
      <c r="E56" t="s" s="13">
        <v>36</v>
      </c>
      <c r="F56" s="14">
        <v>2</v>
      </c>
      <c r="G56" s="15">
        <v>49.99</v>
      </c>
      <c r="H56" s="15">
        <v>99.98</v>
      </c>
    </row>
    <row r="57" ht="12.9" customHeight="1">
      <c r="A57" t="s" s="10">
        <v>2801</v>
      </c>
      <c r="B57" t="s" s="11">
        <v>2802</v>
      </c>
      <c r="C57" s="12">
        <v>45347.041923726851</v>
      </c>
      <c r="D57" t="s" s="13">
        <v>54</v>
      </c>
      <c r="E57" t="s" s="13">
        <v>93</v>
      </c>
      <c r="F57" s="14">
        <v>1</v>
      </c>
      <c r="G57" s="15">
        <v>9.99</v>
      </c>
      <c r="H57" s="15">
        <v>9.99</v>
      </c>
    </row>
    <row r="58" ht="12.9" customHeight="1">
      <c r="A58" t="s" s="10">
        <v>2801</v>
      </c>
      <c r="B58" t="s" s="11">
        <v>2802</v>
      </c>
      <c r="C58" s="12">
        <v>45347.041923726851</v>
      </c>
      <c r="D58" t="s" s="13">
        <v>1695</v>
      </c>
      <c r="E58" t="s" s="13">
        <v>140</v>
      </c>
      <c r="F58" s="14">
        <v>1</v>
      </c>
      <c r="G58" s="15">
        <v>49.99</v>
      </c>
      <c r="H58" s="15">
        <v>49.99</v>
      </c>
    </row>
    <row r="59" ht="12.9" customHeight="1">
      <c r="A59" t="s" s="10">
        <v>2801</v>
      </c>
      <c r="B59" t="s" s="11">
        <v>2802</v>
      </c>
      <c r="C59" s="12">
        <v>45347.041923726851</v>
      </c>
      <c r="D59" t="s" s="13">
        <v>15</v>
      </c>
      <c r="E59" t="s" s="13">
        <v>16</v>
      </c>
      <c r="F59" s="14">
        <v>1</v>
      </c>
      <c r="G59" s="15">
        <v>0</v>
      </c>
      <c r="H59" s="15">
        <v>0</v>
      </c>
    </row>
    <row r="60" ht="12.9" customHeight="1">
      <c r="A60" t="s" s="10">
        <v>2803</v>
      </c>
      <c r="B60" t="s" s="11">
        <v>2804</v>
      </c>
      <c r="C60" s="12">
        <v>45347.030309560185</v>
      </c>
      <c r="D60" t="s" s="13">
        <v>11</v>
      </c>
      <c r="E60" t="s" s="13">
        <v>12</v>
      </c>
      <c r="F60" s="14">
        <v>1</v>
      </c>
      <c r="G60" s="15">
        <v>399.99</v>
      </c>
      <c r="H60" s="15">
        <v>399.99</v>
      </c>
    </row>
    <row r="61" ht="12.9" customHeight="1">
      <c r="A61" t="s" s="10">
        <v>2805</v>
      </c>
      <c r="B61" t="s" s="11">
        <v>2806</v>
      </c>
      <c r="C61" s="12">
        <v>45346.206927789353</v>
      </c>
      <c r="D61" t="s" s="13">
        <v>31</v>
      </c>
      <c r="E61" t="s" s="13">
        <v>32</v>
      </c>
      <c r="F61" s="14">
        <v>1</v>
      </c>
      <c r="G61" s="15">
        <v>599.99</v>
      </c>
      <c r="H61" s="15">
        <v>599.99</v>
      </c>
    </row>
    <row r="62" ht="12.9" customHeight="1">
      <c r="A62" t="s" s="10">
        <v>2807</v>
      </c>
      <c r="B62" t="s" s="11">
        <v>2808</v>
      </c>
      <c r="C62" s="12">
        <v>45346.136521388886</v>
      </c>
      <c r="D62" t="s" s="13">
        <v>39</v>
      </c>
      <c r="E62" t="s" s="13">
        <v>40</v>
      </c>
      <c r="F62" s="14">
        <v>1</v>
      </c>
      <c r="G62" s="15">
        <v>109.99</v>
      </c>
      <c r="H62" s="15">
        <v>109.99</v>
      </c>
    </row>
    <row r="63" ht="12.9" customHeight="1">
      <c r="A63" t="s" s="10">
        <v>2809</v>
      </c>
      <c r="B63" t="s" s="11">
        <v>2810</v>
      </c>
      <c r="C63" s="12">
        <v>45345.895353483793</v>
      </c>
      <c r="D63" t="s" s="13">
        <v>171</v>
      </c>
      <c r="E63" t="s" s="13">
        <v>172</v>
      </c>
      <c r="F63" s="14">
        <v>1</v>
      </c>
      <c r="G63" s="15">
        <v>549.99</v>
      </c>
      <c r="H63" s="15">
        <v>549.99</v>
      </c>
    </row>
    <row r="64" ht="12.9" customHeight="1">
      <c r="A64" t="s" s="10">
        <v>2811</v>
      </c>
      <c r="B64" t="s" s="11">
        <v>2812</v>
      </c>
      <c r="C64" s="12">
        <v>45345.6403997801</v>
      </c>
      <c r="D64" t="s" s="13">
        <v>89</v>
      </c>
      <c r="E64" t="s" s="13">
        <v>90</v>
      </c>
      <c r="F64" s="14">
        <v>2</v>
      </c>
      <c r="G64" s="15">
        <v>59.99</v>
      </c>
      <c r="H64" s="15">
        <v>119.98</v>
      </c>
    </row>
    <row r="65" ht="12.9" customHeight="1">
      <c r="A65" t="s" s="10">
        <v>2813</v>
      </c>
      <c r="B65" t="s" s="11">
        <v>210</v>
      </c>
      <c r="C65" s="12">
        <v>45345</v>
      </c>
      <c r="D65" t="s" s="13">
        <v>73</v>
      </c>
      <c r="E65" t="s" s="13">
        <v>74</v>
      </c>
      <c r="F65" s="14">
        <v>1</v>
      </c>
      <c r="G65" s="15">
        <v>330</v>
      </c>
      <c r="H65" s="15">
        <v>330</v>
      </c>
    </row>
    <row r="66" ht="12.9" customHeight="1">
      <c r="A66" t="s" s="10">
        <v>2813</v>
      </c>
      <c r="B66" t="s" s="11">
        <v>210</v>
      </c>
      <c r="C66" s="12">
        <v>45345</v>
      </c>
      <c r="D66" t="s" s="13">
        <v>2814</v>
      </c>
      <c r="E66" t="s" s="13">
        <v>2815</v>
      </c>
      <c r="F66" s="14">
        <v>1</v>
      </c>
      <c r="G66" s="15">
        <v>9.9</v>
      </c>
      <c r="H66" s="15">
        <v>9.9</v>
      </c>
    </row>
    <row r="67" ht="12.9" customHeight="1">
      <c r="A67" t="s" s="10">
        <v>2816</v>
      </c>
      <c r="B67" t="s" s="11">
        <v>2817</v>
      </c>
      <c r="C67" s="12">
        <v>45344.917326956020</v>
      </c>
      <c r="D67" t="s" s="13">
        <v>95</v>
      </c>
      <c r="E67" t="s" s="13">
        <v>12</v>
      </c>
      <c r="F67" s="14">
        <v>1</v>
      </c>
      <c r="G67" s="15">
        <v>349.99</v>
      </c>
      <c r="H67" s="15">
        <v>349.99</v>
      </c>
    </row>
    <row r="68" ht="12.9" customHeight="1">
      <c r="A68" t="s" s="10">
        <v>2818</v>
      </c>
      <c r="B68" t="s" s="11">
        <v>2786</v>
      </c>
      <c r="C68" s="12">
        <v>45344.901256076388</v>
      </c>
      <c r="D68" t="s" s="13">
        <v>2787</v>
      </c>
      <c r="E68" t="s" s="13">
        <v>2788</v>
      </c>
      <c r="F68" s="14">
        <v>1</v>
      </c>
      <c r="G68" s="15">
        <v>22.99</v>
      </c>
      <c r="H68" s="15">
        <v>22.99</v>
      </c>
    </row>
    <row r="69" ht="12.9" customHeight="1">
      <c r="A69" t="s" s="10">
        <v>2819</v>
      </c>
      <c r="B69" t="s" s="11">
        <v>2820</v>
      </c>
      <c r="C69" s="12">
        <v>45344.8608921875</v>
      </c>
      <c r="D69" t="s" s="13">
        <v>54</v>
      </c>
      <c r="E69" t="s" s="13">
        <v>93</v>
      </c>
      <c r="F69" s="14">
        <v>6</v>
      </c>
      <c r="G69" s="15">
        <v>9.99</v>
      </c>
      <c r="H69" s="15">
        <v>59.94</v>
      </c>
    </row>
    <row r="70" ht="12.9" customHeight="1">
      <c r="A70" t="s" s="10">
        <v>2821</v>
      </c>
      <c r="B70" t="s" s="11">
        <v>2822</v>
      </c>
      <c r="C70" s="12">
        <v>45344.614490625</v>
      </c>
      <c r="D70" t="s" s="13">
        <v>11</v>
      </c>
      <c r="E70" t="s" s="13">
        <v>12</v>
      </c>
      <c r="F70" s="14">
        <v>1</v>
      </c>
      <c r="G70" s="15">
        <v>399.99</v>
      </c>
      <c r="H70" s="15">
        <v>399.99</v>
      </c>
    </row>
    <row r="71" ht="12.9" customHeight="1">
      <c r="A71" t="s" s="10">
        <v>2823</v>
      </c>
      <c r="B71" t="s" s="11">
        <v>2824</v>
      </c>
      <c r="C71" s="12">
        <v>45344.392363506944</v>
      </c>
      <c r="D71" t="s" s="13">
        <v>95</v>
      </c>
      <c r="E71" t="s" s="13">
        <v>12</v>
      </c>
      <c r="F71" s="14">
        <v>1</v>
      </c>
      <c r="G71" s="15">
        <v>324.99</v>
      </c>
      <c r="H71" s="15">
        <v>324.99</v>
      </c>
    </row>
    <row r="72" ht="12.9" customHeight="1">
      <c r="A72" t="s" s="10">
        <v>2825</v>
      </c>
      <c r="B72" t="s" s="11">
        <v>2826</v>
      </c>
      <c r="C72" s="12">
        <v>45344.277422592590</v>
      </c>
      <c r="D72" t="s" s="13">
        <v>31</v>
      </c>
      <c r="E72" t="s" s="13">
        <v>32</v>
      </c>
      <c r="F72" s="14">
        <v>1</v>
      </c>
      <c r="G72" s="15">
        <v>599.99</v>
      </c>
      <c r="H72" s="15">
        <v>599.99</v>
      </c>
    </row>
    <row r="73" ht="12.9" customHeight="1">
      <c r="A73" t="s" s="10">
        <v>2827</v>
      </c>
      <c r="B73" t="s" s="11">
        <v>467</v>
      </c>
      <c r="C73" s="12">
        <v>45344</v>
      </c>
      <c r="D73" t="s" s="13">
        <v>468</v>
      </c>
      <c r="E73" t="s" s="13">
        <v>469</v>
      </c>
      <c r="F73" s="14">
        <v>1</v>
      </c>
      <c r="G73" s="15">
        <v>2350</v>
      </c>
      <c r="H73" s="15">
        <v>2350</v>
      </c>
    </row>
    <row r="74" ht="12.9" customHeight="1">
      <c r="A74" t="s" s="10">
        <v>2827</v>
      </c>
      <c r="B74" t="s" s="11">
        <v>467</v>
      </c>
      <c r="C74" s="12">
        <v>45344</v>
      </c>
      <c r="D74" t="s" s="13">
        <v>50</v>
      </c>
      <c r="E74" t="s" s="13">
        <v>83</v>
      </c>
      <c r="F74" s="14">
        <v>1</v>
      </c>
      <c r="G74" s="15">
        <v>0</v>
      </c>
      <c r="H74" s="15">
        <v>0</v>
      </c>
    </row>
    <row r="75" ht="12.9" customHeight="1">
      <c r="A75" t="s" s="10">
        <v>2827</v>
      </c>
      <c r="B75" t="s" s="11">
        <v>467</v>
      </c>
      <c r="C75" s="12">
        <v>45344</v>
      </c>
      <c r="D75" t="s" s="13">
        <v>54</v>
      </c>
      <c r="E75" t="s" s="13">
        <v>93</v>
      </c>
      <c r="F75" s="14">
        <v>4</v>
      </c>
      <c r="G75" s="15">
        <v>0</v>
      </c>
      <c r="H75" s="15">
        <v>0</v>
      </c>
    </row>
    <row r="76" ht="12.9" customHeight="1">
      <c r="A76" t="s" s="10">
        <v>2827</v>
      </c>
      <c r="B76" t="s" s="11">
        <v>467</v>
      </c>
      <c r="C76" s="12">
        <v>45344</v>
      </c>
      <c r="D76" t="s" s="13">
        <v>15</v>
      </c>
      <c r="E76" t="s" s="13">
        <v>16</v>
      </c>
      <c r="F76" s="14">
        <v>2</v>
      </c>
      <c r="G76" s="15">
        <v>0</v>
      </c>
      <c r="H76" s="15">
        <v>0</v>
      </c>
    </row>
    <row r="77" ht="12.9" customHeight="1">
      <c r="A77" t="s" s="10">
        <v>2827</v>
      </c>
      <c r="B77" t="s" s="11">
        <v>467</v>
      </c>
      <c r="C77" s="12">
        <v>45344</v>
      </c>
      <c r="D77" t="s" s="13">
        <v>23</v>
      </c>
      <c r="E77" t="s" s="13">
        <v>24</v>
      </c>
      <c r="F77" s="14">
        <v>3</v>
      </c>
      <c r="G77" s="15">
        <v>0</v>
      </c>
      <c r="H77" s="15">
        <v>0</v>
      </c>
    </row>
    <row r="78" ht="12.9" customHeight="1">
      <c r="A78" t="s" s="10">
        <v>2827</v>
      </c>
      <c r="B78" t="s" s="11">
        <v>467</v>
      </c>
      <c r="C78" s="12">
        <v>45344</v>
      </c>
      <c r="D78" t="s" s="13">
        <v>1695</v>
      </c>
      <c r="E78" t="s" s="13">
        <v>140</v>
      </c>
      <c r="F78" s="14">
        <v>2</v>
      </c>
      <c r="G78" s="15">
        <v>49.99</v>
      </c>
      <c r="H78" s="15">
        <v>99.98</v>
      </c>
    </row>
    <row r="79" ht="12.9" customHeight="1">
      <c r="A79" t="s" s="10">
        <v>2827</v>
      </c>
      <c r="B79" t="s" s="11">
        <v>467</v>
      </c>
      <c r="C79" s="12">
        <v>45344</v>
      </c>
      <c r="D79" t="s" s="13">
        <v>47</v>
      </c>
      <c r="E79" s="16"/>
      <c r="F79" s="14">
        <v>1</v>
      </c>
      <c r="G79" s="15">
        <v>43.5</v>
      </c>
      <c r="H79" s="15">
        <v>43.5</v>
      </c>
    </row>
    <row r="80" ht="12.9" customHeight="1">
      <c r="A80" t="s" s="10">
        <v>2828</v>
      </c>
      <c r="B80" t="s" s="11">
        <v>2829</v>
      </c>
      <c r="C80" s="12">
        <v>45344</v>
      </c>
      <c r="D80" t="s" s="13">
        <v>225</v>
      </c>
      <c r="E80" t="s" s="13">
        <v>226</v>
      </c>
      <c r="F80" s="14">
        <v>1</v>
      </c>
      <c r="G80" s="15">
        <v>374.9925</v>
      </c>
      <c r="H80" s="15">
        <v>374.9925</v>
      </c>
    </row>
    <row r="81" ht="12.9" customHeight="1">
      <c r="A81" t="s" s="10">
        <v>2828</v>
      </c>
      <c r="B81" t="s" s="11">
        <v>2829</v>
      </c>
      <c r="C81" s="12">
        <v>45344</v>
      </c>
      <c r="D81" t="s" s="13">
        <v>602</v>
      </c>
      <c r="E81" t="s" s="13">
        <v>686</v>
      </c>
      <c r="F81" s="14">
        <v>1</v>
      </c>
      <c r="G81" s="15">
        <v>224.9925</v>
      </c>
      <c r="H81" s="15">
        <v>224.9925</v>
      </c>
    </row>
    <row r="82" ht="12.9" customHeight="1">
      <c r="A82" t="s" s="10">
        <v>2828</v>
      </c>
      <c r="B82" t="s" s="11">
        <v>2829</v>
      </c>
      <c r="C82" s="12">
        <v>45344</v>
      </c>
      <c r="D82" t="s" s="13">
        <v>1479</v>
      </c>
      <c r="E82" t="s" s="13">
        <v>1480</v>
      </c>
      <c r="F82" s="14">
        <v>1</v>
      </c>
      <c r="G82" s="15">
        <v>224.9925</v>
      </c>
      <c r="H82" s="15">
        <v>224.9925</v>
      </c>
    </row>
    <row r="83" ht="12.9" customHeight="1">
      <c r="A83" t="s" s="10">
        <v>2828</v>
      </c>
      <c r="B83" t="s" s="11">
        <v>2829</v>
      </c>
      <c r="C83" s="12">
        <v>45344</v>
      </c>
      <c r="D83" t="s" s="13">
        <v>1961</v>
      </c>
      <c r="E83" t="s" s="13">
        <v>1962</v>
      </c>
      <c r="F83" s="14">
        <v>1</v>
      </c>
      <c r="G83" s="15">
        <v>82.49250000000001</v>
      </c>
      <c r="H83" s="15">
        <v>82.49250000000001</v>
      </c>
    </row>
    <row r="84" ht="12.9" customHeight="1">
      <c r="A84" t="s" s="10">
        <v>2828</v>
      </c>
      <c r="B84" t="s" s="11">
        <v>2829</v>
      </c>
      <c r="C84" s="12">
        <v>45344</v>
      </c>
      <c r="D84" t="s" s="13">
        <v>587</v>
      </c>
      <c r="E84" t="s" s="13">
        <v>588</v>
      </c>
      <c r="F84" s="14">
        <v>1</v>
      </c>
      <c r="G84" s="15">
        <v>0</v>
      </c>
      <c r="H84" s="15">
        <v>0</v>
      </c>
    </row>
    <row r="85" ht="12.9" customHeight="1">
      <c r="A85" t="s" s="10">
        <v>2828</v>
      </c>
      <c r="B85" t="s" s="11">
        <v>2829</v>
      </c>
      <c r="C85" s="12">
        <v>45344</v>
      </c>
      <c r="D85" t="s" s="13">
        <v>2830</v>
      </c>
      <c r="E85" t="s" s="13">
        <v>2831</v>
      </c>
      <c r="F85" s="14">
        <v>1</v>
      </c>
      <c r="G85" s="15">
        <v>59.9925</v>
      </c>
      <c r="H85" s="15">
        <v>59.9925</v>
      </c>
    </row>
    <row r="86" ht="12.9" customHeight="1">
      <c r="A86" t="s" s="10">
        <v>2828</v>
      </c>
      <c r="B86" t="s" s="11">
        <v>2829</v>
      </c>
      <c r="C86" s="12">
        <v>45344</v>
      </c>
      <c r="D86" t="s" s="13">
        <v>63</v>
      </c>
      <c r="E86" s="16"/>
      <c r="F86" s="14">
        <v>1</v>
      </c>
      <c r="G86" s="15">
        <v>135.35</v>
      </c>
      <c r="H86" s="15">
        <v>135.35</v>
      </c>
    </row>
    <row r="87" ht="12.9" customHeight="1">
      <c r="A87" t="s" s="10">
        <v>2832</v>
      </c>
      <c r="B87" t="s" s="11">
        <v>1921</v>
      </c>
      <c r="C87" s="12">
        <v>45344</v>
      </c>
      <c r="D87" t="s" s="13">
        <v>95</v>
      </c>
      <c r="E87" t="s" s="13">
        <v>12</v>
      </c>
      <c r="F87" s="14">
        <v>1</v>
      </c>
      <c r="G87" s="15">
        <v>0</v>
      </c>
      <c r="H87" s="15">
        <v>0</v>
      </c>
    </row>
    <row r="88" ht="12.9" customHeight="1">
      <c r="A88" t="s" s="10">
        <v>2833</v>
      </c>
      <c r="B88" t="s" s="11">
        <v>2834</v>
      </c>
      <c r="C88" s="12">
        <v>45343.921635162034</v>
      </c>
      <c r="D88" t="s" s="13">
        <v>31</v>
      </c>
      <c r="E88" t="s" s="13">
        <v>32</v>
      </c>
      <c r="F88" s="14">
        <v>2</v>
      </c>
      <c r="G88" s="15">
        <v>599.99</v>
      </c>
      <c r="H88" s="15">
        <v>1199.98</v>
      </c>
    </row>
    <row r="89" ht="12.9" customHeight="1">
      <c r="A89" t="s" s="10">
        <v>2833</v>
      </c>
      <c r="B89" t="s" s="11">
        <v>2834</v>
      </c>
      <c r="C89" s="12">
        <v>45343.921635162034</v>
      </c>
      <c r="D89" t="s" s="13">
        <v>35</v>
      </c>
      <c r="E89" t="s" s="13">
        <v>36</v>
      </c>
      <c r="F89" s="14">
        <v>2</v>
      </c>
      <c r="G89" s="15">
        <v>49.99</v>
      </c>
      <c r="H89" s="15">
        <v>99.98</v>
      </c>
    </row>
    <row r="90" ht="12.9" customHeight="1">
      <c r="A90" t="s" s="10">
        <v>2833</v>
      </c>
      <c r="B90" t="s" s="11">
        <v>2834</v>
      </c>
      <c r="C90" s="12">
        <v>45343.921635162034</v>
      </c>
      <c r="D90" t="s" s="13">
        <v>1695</v>
      </c>
      <c r="E90" t="s" s="13">
        <v>140</v>
      </c>
      <c r="F90" s="14">
        <v>1</v>
      </c>
      <c r="G90" s="15">
        <v>49.99</v>
      </c>
      <c r="H90" s="15">
        <v>49.99</v>
      </c>
    </row>
    <row r="91" ht="12.9" customHeight="1">
      <c r="A91" t="s" s="10">
        <v>2833</v>
      </c>
      <c r="B91" t="s" s="11">
        <v>2834</v>
      </c>
      <c r="C91" s="12">
        <v>45343.921635162034</v>
      </c>
      <c r="D91" t="s" s="13">
        <v>15</v>
      </c>
      <c r="E91" t="s" s="13">
        <v>16</v>
      </c>
      <c r="F91" s="14">
        <v>1</v>
      </c>
      <c r="G91" s="15">
        <v>0</v>
      </c>
      <c r="H91" s="15">
        <v>0</v>
      </c>
    </row>
    <row r="92" ht="12.9" customHeight="1">
      <c r="A92" t="s" s="10">
        <v>2833</v>
      </c>
      <c r="B92" t="s" s="11">
        <v>2834</v>
      </c>
      <c r="C92" s="12">
        <v>45343.921635162034</v>
      </c>
      <c r="D92" t="s" s="13">
        <v>54</v>
      </c>
      <c r="E92" t="s" s="13">
        <v>93</v>
      </c>
      <c r="F92" s="14">
        <v>2</v>
      </c>
      <c r="G92" s="15">
        <v>9.99</v>
      </c>
      <c r="H92" s="15">
        <v>19.98</v>
      </c>
    </row>
    <row r="93" ht="12.9" customHeight="1">
      <c r="A93" t="s" s="10">
        <v>2833</v>
      </c>
      <c r="B93" t="s" s="11">
        <v>2834</v>
      </c>
      <c r="C93" s="12">
        <v>45343.921635162034</v>
      </c>
      <c r="D93" t="s" s="13">
        <v>15</v>
      </c>
      <c r="E93" t="s" s="13">
        <v>16</v>
      </c>
      <c r="F93" s="14">
        <v>2</v>
      </c>
      <c r="G93" s="15">
        <v>9.99</v>
      </c>
      <c r="H93" s="15">
        <v>19.98</v>
      </c>
    </row>
    <row r="94" ht="12.9" customHeight="1">
      <c r="A94" t="s" s="10">
        <v>2835</v>
      </c>
      <c r="B94" t="s" s="11">
        <v>2836</v>
      </c>
      <c r="C94" s="12">
        <v>45342.79108375</v>
      </c>
      <c r="D94" t="s" s="13">
        <v>31</v>
      </c>
      <c r="E94" t="s" s="13">
        <v>32</v>
      </c>
      <c r="F94" s="14">
        <v>2</v>
      </c>
      <c r="G94" s="15">
        <v>599.99</v>
      </c>
      <c r="H94" s="15">
        <v>1199.98</v>
      </c>
    </row>
    <row r="95" ht="12.9" customHeight="1">
      <c r="A95" t="s" s="10">
        <v>2837</v>
      </c>
      <c r="B95" t="s" s="11">
        <v>2838</v>
      </c>
      <c r="C95" s="12">
        <v>45342.052261481484</v>
      </c>
      <c r="D95" t="s" s="13">
        <v>35</v>
      </c>
      <c r="E95" t="s" s="13">
        <v>36</v>
      </c>
      <c r="F95" s="14">
        <v>4</v>
      </c>
      <c r="G95" s="15">
        <v>49.99</v>
      </c>
      <c r="H95" s="15">
        <v>199.96</v>
      </c>
    </row>
    <row r="96" ht="12.9" customHeight="1">
      <c r="A96" t="s" s="10">
        <v>2839</v>
      </c>
      <c r="B96" t="s" s="11">
        <v>2840</v>
      </c>
      <c r="C96" s="12">
        <v>45342</v>
      </c>
      <c r="D96" t="s" s="13">
        <v>225</v>
      </c>
      <c r="E96" t="s" s="13">
        <v>226</v>
      </c>
      <c r="F96" s="14">
        <v>4</v>
      </c>
      <c r="G96" s="15">
        <v>499.99</v>
      </c>
      <c r="H96" s="15">
        <v>1999.96</v>
      </c>
    </row>
    <row r="97" ht="12.9" customHeight="1">
      <c r="A97" t="s" s="10">
        <v>2839</v>
      </c>
      <c r="B97" t="s" s="11">
        <v>2840</v>
      </c>
      <c r="C97" s="12">
        <v>45342</v>
      </c>
      <c r="D97" t="s" s="13">
        <v>165</v>
      </c>
      <c r="E97" t="s" s="13">
        <v>392</v>
      </c>
      <c r="F97" s="14">
        <v>4</v>
      </c>
      <c r="G97" s="15">
        <v>0</v>
      </c>
      <c r="H97" s="15">
        <v>0</v>
      </c>
    </row>
    <row r="98" ht="12.9" customHeight="1">
      <c r="A98" t="s" s="10">
        <v>2839</v>
      </c>
      <c r="B98" t="s" s="11">
        <v>2840</v>
      </c>
      <c r="C98" s="12">
        <v>45342</v>
      </c>
      <c r="D98" t="s" s="13">
        <v>587</v>
      </c>
      <c r="E98" t="s" s="13">
        <v>588</v>
      </c>
      <c r="F98" s="14">
        <v>4</v>
      </c>
      <c r="G98" s="15">
        <v>19.99</v>
      </c>
      <c r="H98" s="15">
        <v>79.95999999999999</v>
      </c>
    </row>
    <row r="99" ht="12.9" customHeight="1">
      <c r="A99" t="s" s="10">
        <v>2839</v>
      </c>
      <c r="B99" t="s" s="11">
        <v>2840</v>
      </c>
      <c r="C99" s="12">
        <v>45342</v>
      </c>
      <c r="D99" t="s" s="13">
        <v>602</v>
      </c>
      <c r="E99" t="s" s="13">
        <v>686</v>
      </c>
      <c r="F99" s="14">
        <v>4</v>
      </c>
      <c r="G99" s="15">
        <v>299.99</v>
      </c>
      <c r="H99" s="15">
        <v>1199.96</v>
      </c>
    </row>
    <row r="100" ht="12.9" customHeight="1">
      <c r="A100" t="s" s="10">
        <v>2839</v>
      </c>
      <c r="B100" t="s" s="11">
        <v>2840</v>
      </c>
      <c r="C100" s="12">
        <v>45342</v>
      </c>
      <c r="D100" t="s" s="13">
        <v>47</v>
      </c>
      <c r="E100" s="16"/>
      <c r="F100" s="14">
        <v>1</v>
      </c>
      <c r="G100" s="15">
        <v>126.89</v>
      </c>
      <c r="H100" s="15">
        <v>126.89</v>
      </c>
    </row>
    <row r="101" ht="12.9" customHeight="1">
      <c r="A101" t="s" s="10">
        <v>2841</v>
      </c>
      <c r="B101" t="s" s="11">
        <v>911</v>
      </c>
      <c r="C101" s="12">
        <v>45342</v>
      </c>
      <c r="D101" t="s" s="13">
        <v>15</v>
      </c>
      <c r="E101" t="s" s="13">
        <v>16</v>
      </c>
      <c r="F101" s="14">
        <v>1</v>
      </c>
      <c r="G101" s="15">
        <v>0</v>
      </c>
      <c r="H101" s="15">
        <v>0</v>
      </c>
    </row>
    <row r="102" ht="12.9" customHeight="1">
      <c r="A102" t="s" s="10">
        <v>2842</v>
      </c>
      <c r="B102" t="s" s="11">
        <v>2843</v>
      </c>
      <c r="C102" s="12">
        <v>45342</v>
      </c>
      <c r="D102" t="s" s="13">
        <v>254</v>
      </c>
      <c r="E102" t="s" s="13">
        <v>2844</v>
      </c>
      <c r="F102" s="14">
        <v>1</v>
      </c>
      <c r="G102" s="15">
        <v>0</v>
      </c>
      <c r="H102" s="15">
        <v>0</v>
      </c>
    </row>
    <row r="103" ht="12.9" customHeight="1">
      <c r="A103" t="s" s="10">
        <v>2845</v>
      </c>
      <c r="B103" t="s" s="11">
        <v>69</v>
      </c>
      <c r="C103" s="12">
        <v>45342</v>
      </c>
      <c r="D103" t="s" s="13">
        <v>1875</v>
      </c>
      <c r="E103" t="s" s="13">
        <v>2272</v>
      </c>
      <c r="F103" s="14">
        <v>8</v>
      </c>
      <c r="G103" s="15">
        <v>187.4925</v>
      </c>
      <c r="H103" s="15">
        <v>1499.94</v>
      </c>
    </row>
    <row r="104" ht="12.9" customHeight="1">
      <c r="A104" t="s" s="10">
        <v>2845</v>
      </c>
      <c r="B104" t="s" s="11">
        <v>69</v>
      </c>
      <c r="C104" s="12">
        <v>45342</v>
      </c>
      <c r="D104" t="s" s="13">
        <v>47</v>
      </c>
      <c r="E104" s="16"/>
      <c r="F104" s="14">
        <v>1</v>
      </c>
      <c r="G104" s="15">
        <v>35.42</v>
      </c>
      <c r="H104" s="15">
        <v>35.42</v>
      </c>
    </row>
    <row r="105" ht="12.9" customHeight="1">
      <c r="A105" t="s" s="10">
        <v>2846</v>
      </c>
      <c r="B105" t="s" s="11">
        <v>2847</v>
      </c>
      <c r="C105" s="12">
        <v>45341.891743136577</v>
      </c>
      <c r="D105" t="s" s="13">
        <v>73</v>
      </c>
      <c r="E105" t="s" s="13">
        <v>74</v>
      </c>
      <c r="F105" s="14">
        <v>1</v>
      </c>
      <c r="G105" s="15">
        <v>399.99</v>
      </c>
      <c r="H105" s="15">
        <v>399.99</v>
      </c>
    </row>
    <row r="106" ht="12.9" customHeight="1">
      <c r="A106" t="s" s="10">
        <v>2846</v>
      </c>
      <c r="B106" t="s" s="11">
        <v>2847</v>
      </c>
      <c r="C106" s="12">
        <v>45341.891743136577</v>
      </c>
      <c r="D106" t="s" s="13">
        <v>81</v>
      </c>
      <c r="E106" t="s" s="13">
        <v>82</v>
      </c>
      <c r="F106" s="14">
        <v>1</v>
      </c>
      <c r="G106" s="15">
        <v>849.99</v>
      </c>
      <c r="H106" s="15">
        <v>849.99</v>
      </c>
    </row>
    <row r="107" ht="12.9" customHeight="1">
      <c r="A107" t="s" s="10">
        <v>2846</v>
      </c>
      <c r="B107" t="s" s="11">
        <v>2847</v>
      </c>
      <c r="C107" s="12">
        <v>45341.891743136577</v>
      </c>
      <c r="D107" t="s" s="13">
        <v>133</v>
      </c>
      <c r="E107" t="s" s="13">
        <v>134</v>
      </c>
      <c r="F107" s="14">
        <v>1</v>
      </c>
      <c r="G107" s="15">
        <v>50</v>
      </c>
      <c r="H107" s="15">
        <v>50</v>
      </c>
    </row>
    <row r="108" ht="12.9" customHeight="1">
      <c r="A108" t="s" s="10">
        <v>2846</v>
      </c>
      <c r="B108" t="s" s="11">
        <v>2847</v>
      </c>
      <c r="C108" s="12">
        <v>45341.891743136577</v>
      </c>
      <c r="D108" t="s" s="13">
        <v>50</v>
      </c>
      <c r="E108" t="s" s="13">
        <v>83</v>
      </c>
      <c r="F108" s="14">
        <v>1</v>
      </c>
      <c r="G108" s="15">
        <v>0</v>
      </c>
      <c r="H108" s="15">
        <v>0</v>
      </c>
    </row>
    <row r="109" ht="12.9" customHeight="1">
      <c r="A109" t="s" s="10">
        <v>2846</v>
      </c>
      <c r="B109" t="s" s="11">
        <v>2847</v>
      </c>
      <c r="C109" s="12">
        <v>45341.891743136577</v>
      </c>
      <c r="D109" t="s" s="13">
        <v>84</v>
      </c>
      <c r="E109" t="s" s="13">
        <v>2685</v>
      </c>
      <c r="F109" s="14">
        <v>1</v>
      </c>
      <c r="G109" s="15">
        <v>0</v>
      </c>
      <c r="H109" s="15">
        <v>0</v>
      </c>
    </row>
    <row r="110" ht="12.9" customHeight="1">
      <c r="A110" t="s" s="10">
        <v>2848</v>
      </c>
      <c r="B110" t="s" s="11">
        <v>2714</v>
      </c>
      <c r="C110" s="12">
        <v>45341.757400416667</v>
      </c>
      <c r="D110" t="s" s="13">
        <v>39</v>
      </c>
      <c r="E110" t="s" s="13">
        <v>40</v>
      </c>
      <c r="F110" s="14">
        <v>2</v>
      </c>
      <c r="G110" s="15">
        <v>109.99</v>
      </c>
      <c r="H110" s="15">
        <v>219.98</v>
      </c>
    </row>
    <row r="111" ht="12.9" customHeight="1">
      <c r="A111" t="s" s="10">
        <v>2848</v>
      </c>
      <c r="B111" t="s" s="11">
        <v>2714</v>
      </c>
      <c r="C111" s="12">
        <v>45341.757400416667</v>
      </c>
      <c r="D111" t="s" s="13">
        <v>1479</v>
      </c>
      <c r="E111" t="s" s="13">
        <v>1480</v>
      </c>
      <c r="F111" s="14">
        <v>2</v>
      </c>
      <c r="G111" s="15">
        <v>299.99</v>
      </c>
      <c r="H111" s="15">
        <v>599.98</v>
      </c>
    </row>
    <row r="112" ht="12.9" customHeight="1">
      <c r="A112" t="s" s="10">
        <v>2849</v>
      </c>
      <c r="B112" t="s" s="11">
        <v>2850</v>
      </c>
      <c r="C112" s="12">
        <v>45341.647766307869</v>
      </c>
      <c r="D112" t="s" s="13">
        <v>602</v>
      </c>
      <c r="E112" t="s" s="13">
        <v>686</v>
      </c>
      <c r="F112" s="14">
        <v>2</v>
      </c>
      <c r="G112" s="15">
        <v>299.99</v>
      </c>
      <c r="H112" s="15">
        <v>599.98</v>
      </c>
    </row>
    <row r="113" ht="12.9" customHeight="1">
      <c r="A113" t="s" s="10">
        <v>2849</v>
      </c>
      <c r="B113" t="s" s="11">
        <v>2850</v>
      </c>
      <c r="C113" s="12">
        <v>45341.647766307869</v>
      </c>
      <c r="D113" t="s" s="13">
        <v>462</v>
      </c>
      <c r="E113" t="s" s="13">
        <v>463</v>
      </c>
      <c r="F113" s="14">
        <v>1</v>
      </c>
      <c r="G113" s="15">
        <v>199.99</v>
      </c>
      <c r="H113" s="15">
        <v>199.99</v>
      </c>
    </row>
    <row r="114" ht="12.9" customHeight="1">
      <c r="A114" t="s" s="10">
        <v>2849</v>
      </c>
      <c r="B114" t="s" s="11">
        <v>2850</v>
      </c>
      <c r="C114" s="12">
        <v>45341.647766307869</v>
      </c>
      <c r="D114" t="s" s="13">
        <v>354</v>
      </c>
      <c r="E114" t="s" s="13">
        <v>355</v>
      </c>
      <c r="F114" s="14">
        <v>1</v>
      </c>
      <c r="G114" s="15">
        <v>149.99</v>
      </c>
      <c r="H114" s="15">
        <v>149.99</v>
      </c>
    </row>
    <row r="115" ht="12.9" customHeight="1">
      <c r="A115" t="s" s="10">
        <v>2851</v>
      </c>
      <c r="B115" t="s" s="11">
        <v>2852</v>
      </c>
      <c r="C115" s="12">
        <v>45341.617930509259</v>
      </c>
      <c r="D115" t="s" s="13">
        <v>54</v>
      </c>
      <c r="E115" t="s" s="13">
        <v>93</v>
      </c>
      <c r="F115" s="14">
        <v>1</v>
      </c>
      <c r="G115" s="15">
        <v>9.99</v>
      </c>
      <c r="H115" s="15">
        <v>9.99</v>
      </c>
    </row>
    <row r="116" ht="12.9" customHeight="1">
      <c r="A116" t="s" s="10">
        <v>2853</v>
      </c>
      <c r="B116" t="s" s="11">
        <v>2854</v>
      </c>
      <c r="C116" s="12">
        <v>45341</v>
      </c>
      <c r="D116" t="s" s="13">
        <v>19</v>
      </c>
      <c r="E116" t="s" s="13">
        <v>20</v>
      </c>
      <c r="F116" s="14">
        <v>8</v>
      </c>
      <c r="G116" s="15">
        <v>89.99250000000001</v>
      </c>
      <c r="H116" s="15">
        <v>719.9400000000001</v>
      </c>
    </row>
    <row r="117" ht="12.9" customHeight="1">
      <c r="A117" t="s" s="10">
        <v>2853</v>
      </c>
      <c r="B117" t="s" s="11">
        <v>2854</v>
      </c>
      <c r="C117" s="12">
        <v>45341</v>
      </c>
      <c r="D117" t="s" s="13">
        <v>63</v>
      </c>
      <c r="E117" s="16"/>
      <c r="F117" s="14">
        <v>1</v>
      </c>
      <c r="G117" s="15">
        <v>29.45</v>
      </c>
      <c r="H117" s="15">
        <v>29.45</v>
      </c>
    </row>
    <row r="118" ht="12.9" customHeight="1">
      <c r="A118" t="s" s="10">
        <v>2855</v>
      </c>
      <c r="B118" t="s" s="11">
        <v>2856</v>
      </c>
      <c r="C118" s="12">
        <v>45341</v>
      </c>
      <c r="D118" t="s" s="13">
        <v>27</v>
      </c>
      <c r="E118" t="s" s="13">
        <v>28</v>
      </c>
      <c r="F118" s="14">
        <v>3</v>
      </c>
      <c r="G118" s="15">
        <v>59.9925</v>
      </c>
      <c r="H118" s="15">
        <v>179.9775</v>
      </c>
    </row>
    <row r="119" ht="12.9" customHeight="1">
      <c r="A119" t="s" s="10">
        <v>2855</v>
      </c>
      <c r="B119" t="s" s="11">
        <v>2856</v>
      </c>
      <c r="C119" s="12">
        <v>45341</v>
      </c>
      <c r="D119" t="s" s="13">
        <v>63</v>
      </c>
      <c r="E119" s="16"/>
      <c r="F119" s="14">
        <v>1</v>
      </c>
      <c r="G119" s="15">
        <v>14.5</v>
      </c>
      <c r="H119" s="15">
        <v>14.5</v>
      </c>
    </row>
    <row r="120" ht="12.9" customHeight="1">
      <c r="A120" t="s" s="10">
        <v>2857</v>
      </c>
      <c r="B120" t="s" s="11">
        <v>1631</v>
      </c>
      <c r="C120" s="12">
        <v>45339.823054444445</v>
      </c>
      <c r="D120" t="s" s="13">
        <v>167</v>
      </c>
      <c r="E120" t="s" s="13">
        <v>168</v>
      </c>
      <c r="F120" s="14">
        <v>2</v>
      </c>
      <c r="G120" s="15">
        <v>29.99</v>
      </c>
      <c r="H120" s="15">
        <v>59.98</v>
      </c>
    </row>
    <row r="121" ht="12.9" customHeight="1">
      <c r="A121" t="s" s="10">
        <v>2857</v>
      </c>
      <c r="B121" t="s" s="11">
        <v>1631</v>
      </c>
      <c r="C121" s="12">
        <v>45339.823054444445</v>
      </c>
      <c r="D121" t="s" s="13">
        <v>48</v>
      </c>
      <c r="E121" t="s" s="13">
        <v>49</v>
      </c>
      <c r="F121" s="14">
        <v>2</v>
      </c>
      <c r="G121" s="15">
        <v>1299.99</v>
      </c>
      <c r="H121" s="15">
        <v>2599.98</v>
      </c>
    </row>
    <row r="122" ht="12.9" customHeight="1">
      <c r="A122" t="s" s="10">
        <v>2857</v>
      </c>
      <c r="B122" t="s" s="11">
        <v>1631</v>
      </c>
      <c r="C122" s="12">
        <v>45339.823054444445</v>
      </c>
      <c r="D122" t="s" s="13">
        <v>50</v>
      </c>
      <c r="E122" t="s" s="13">
        <v>83</v>
      </c>
      <c r="F122" s="14">
        <v>2</v>
      </c>
      <c r="G122" s="15">
        <v>0</v>
      </c>
      <c r="H122" s="15">
        <v>0</v>
      </c>
    </row>
    <row r="123" ht="12.9" customHeight="1">
      <c r="A123" t="s" s="10">
        <v>2857</v>
      </c>
      <c r="B123" t="s" s="11">
        <v>1631</v>
      </c>
      <c r="C123" s="12">
        <v>45339.823054444445</v>
      </c>
      <c r="D123" t="s" s="13">
        <v>52</v>
      </c>
      <c r="E123" t="s" s="13">
        <v>321</v>
      </c>
      <c r="F123" s="14">
        <v>2</v>
      </c>
      <c r="G123" s="15">
        <v>0</v>
      </c>
      <c r="H123" s="15">
        <v>0</v>
      </c>
    </row>
    <row r="124" ht="12.9" customHeight="1">
      <c r="A124" t="s" s="10">
        <v>2857</v>
      </c>
      <c r="B124" t="s" s="11">
        <v>1631</v>
      </c>
      <c r="C124" s="12">
        <v>45339.823054444445</v>
      </c>
      <c r="D124" t="s" s="13">
        <v>84</v>
      </c>
      <c r="E124" t="s" s="13">
        <v>2685</v>
      </c>
      <c r="F124" s="14">
        <v>2</v>
      </c>
      <c r="G124" s="15">
        <v>0</v>
      </c>
      <c r="H124" s="15">
        <v>0</v>
      </c>
    </row>
    <row r="125" ht="12.9" customHeight="1">
      <c r="A125" t="s" s="10">
        <v>2857</v>
      </c>
      <c r="B125" t="s" s="11">
        <v>1631</v>
      </c>
      <c r="C125" s="12">
        <v>45339.823054444445</v>
      </c>
      <c r="D125" t="s" s="13">
        <v>470</v>
      </c>
      <c r="E125" t="s" s="13">
        <v>517</v>
      </c>
      <c r="F125" s="14">
        <v>2</v>
      </c>
      <c r="G125" s="15">
        <v>100</v>
      </c>
      <c r="H125" s="15">
        <v>200</v>
      </c>
    </row>
    <row r="126" ht="12.9" customHeight="1">
      <c r="A126" t="s" s="10">
        <v>2858</v>
      </c>
      <c r="B126" t="s" s="11">
        <v>2740</v>
      </c>
      <c r="C126" s="12">
        <v>45339.648215370369</v>
      </c>
      <c r="D126" t="s" s="13">
        <v>171</v>
      </c>
      <c r="E126" t="s" s="13">
        <v>172</v>
      </c>
      <c r="F126" s="14">
        <v>1</v>
      </c>
      <c r="G126" s="15">
        <v>549.99</v>
      </c>
      <c r="H126" s="15">
        <v>549.99</v>
      </c>
    </row>
    <row r="127" ht="12.9" customHeight="1">
      <c r="A127" t="s" s="10">
        <v>2859</v>
      </c>
      <c r="B127" t="s" s="11">
        <v>2860</v>
      </c>
      <c r="C127" s="12">
        <v>45339.013536550927</v>
      </c>
      <c r="D127" t="s" s="13">
        <v>15</v>
      </c>
      <c r="E127" t="s" s="13">
        <v>16</v>
      </c>
      <c r="F127" s="14">
        <v>2</v>
      </c>
      <c r="G127" s="15">
        <v>9.99</v>
      </c>
      <c r="H127" s="15">
        <v>19.98</v>
      </c>
    </row>
    <row r="128" ht="12.9" customHeight="1">
      <c r="A128" t="s" s="10">
        <v>2859</v>
      </c>
      <c r="B128" t="s" s="11">
        <v>2860</v>
      </c>
      <c r="C128" s="12">
        <v>45339.013536550927</v>
      </c>
      <c r="D128" t="s" s="13">
        <v>27</v>
      </c>
      <c r="E128" t="s" s="13">
        <v>28</v>
      </c>
      <c r="F128" s="14">
        <v>1</v>
      </c>
      <c r="G128" s="15">
        <v>79.98999999999999</v>
      </c>
      <c r="H128" s="15">
        <v>79.98999999999999</v>
      </c>
    </row>
    <row r="129" ht="12.9" customHeight="1">
      <c r="A129" t="s" s="10">
        <v>2861</v>
      </c>
      <c r="B129" t="s" s="11">
        <v>2862</v>
      </c>
      <c r="C129" s="12">
        <v>45338.854234201390</v>
      </c>
      <c r="D129" t="s" s="13">
        <v>81</v>
      </c>
      <c r="E129" t="s" s="13">
        <v>82</v>
      </c>
      <c r="F129" s="14">
        <v>2</v>
      </c>
      <c r="G129" s="15">
        <v>849.99</v>
      </c>
      <c r="H129" s="15">
        <v>1699.98</v>
      </c>
    </row>
    <row r="130" ht="12.9" customHeight="1">
      <c r="A130" t="s" s="10">
        <v>2861</v>
      </c>
      <c r="B130" t="s" s="11">
        <v>2862</v>
      </c>
      <c r="C130" s="12">
        <v>45338.854234201390</v>
      </c>
      <c r="D130" t="s" s="13">
        <v>133</v>
      </c>
      <c r="E130" t="s" s="13">
        <v>134</v>
      </c>
      <c r="F130" s="14">
        <v>2</v>
      </c>
      <c r="G130" s="15">
        <v>50</v>
      </c>
      <c r="H130" s="15">
        <v>100</v>
      </c>
    </row>
    <row r="131" ht="12.9" customHeight="1">
      <c r="A131" t="s" s="10">
        <v>2861</v>
      </c>
      <c r="B131" t="s" s="11">
        <v>2862</v>
      </c>
      <c r="C131" s="12">
        <v>45338.854234201390</v>
      </c>
      <c r="D131" t="s" s="13">
        <v>50</v>
      </c>
      <c r="E131" t="s" s="13">
        <v>83</v>
      </c>
      <c r="F131" s="14">
        <v>2</v>
      </c>
      <c r="G131" s="15">
        <v>0</v>
      </c>
      <c r="H131" s="15">
        <v>0</v>
      </c>
    </row>
    <row r="132" ht="12.9" customHeight="1">
      <c r="A132" t="s" s="10">
        <v>2861</v>
      </c>
      <c r="B132" t="s" s="11">
        <v>2862</v>
      </c>
      <c r="C132" s="12">
        <v>45338.854234201390</v>
      </c>
      <c r="D132" t="s" s="13">
        <v>84</v>
      </c>
      <c r="E132" t="s" s="13">
        <v>2685</v>
      </c>
      <c r="F132" s="14">
        <v>2</v>
      </c>
      <c r="G132" s="15">
        <v>0</v>
      </c>
      <c r="H132" s="15">
        <v>0</v>
      </c>
    </row>
    <row r="133" ht="12.9" customHeight="1">
      <c r="A133" t="s" s="10">
        <v>2863</v>
      </c>
      <c r="B133" t="s" s="11">
        <v>2847</v>
      </c>
      <c r="C133" s="12">
        <v>45338.795013831019</v>
      </c>
      <c r="D133" t="s" s="13">
        <v>19</v>
      </c>
      <c r="E133" t="s" s="13">
        <v>20</v>
      </c>
      <c r="F133" s="14">
        <v>2</v>
      </c>
      <c r="G133" s="15">
        <v>119.99</v>
      </c>
      <c r="H133" s="15">
        <v>239.98</v>
      </c>
    </row>
    <row r="134" ht="12.9" customHeight="1">
      <c r="A134" t="s" s="10">
        <v>2863</v>
      </c>
      <c r="B134" t="s" s="11">
        <v>2847</v>
      </c>
      <c r="C134" s="12">
        <v>45338.795013831019</v>
      </c>
      <c r="D134" t="s" s="13">
        <v>15</v>
      </c>
      <c r="E134" t="s" s="13">
        <v>16</v>
      </c>
      <c r="F134" s="14">
        <v>2</v>
      </c>
      <c r="G134" s="15">
        <v>9.99</v>
      </c>
      <c r="H134" s="15">
        <v>19.98</v>
      </c>
    </row>
    <row r="135" ht="12.9" customHeight="1">
      <c r="A135" t="s" s="10">
        <v>2863</v>
      </c>
      <c r="B135" t="s" s="11">
        <v>2847</v>
      </c>
      <c r="C135" s="12">
        <v>45338.795013831019</v>
      </c>
      <c r="D135" t="s" s="13">
        <v>54</v>
      </c>
      <c r="E135" t="s" s="13">
        <v>93</v>
      </c>
      <c r="F135" s="14">
        <v>4</v>
      </c>
      <c r="G135" s="15">
        <v>9.99</v>
      </c>
      <c r="H135" s="15">
        <v>39.96</v>
      </c>
    </row>
    <row r="136" ht="12.9" customHeight="1">
      <c r="A136" t="s" s="10">
        <v>2864</v>
      </c>
      <c r="B136" t="s" s="11">
        <v>1382</v>
      </c>
      <c r="C136" s="12">
        <v>45338.724742430553</v>
      </c>
      <c r="D136" t="s" s="13">
        <v>35</v>
      </c>
      <c r="E136" t="s" s="13">
        <v>36</v>
      </c>
      <c r="F136" s="14">
        <v>1</v>
      </c>
      <c r="G136" s="15">
        <v>49.99</v>
      </c>
      <c r="H136" s="15">
        <v>49.99</v>
      </c>
    </row>
    <row r="137" ht="12.9" customHeight="1">
      <c r="A137" t="s" s="10">
        <v>2865</v>
      </c>
      <c r="B137" t="s" s="11">
        <v>2866</v>
      </c>
      <c r="C137" s="12">
        <v>45338.011932037036</v>
      </c>
      <c r="D137" t="s" s="13">
        <v>35</v>
      </c>
      <c r="E137" t="s" s="13">
        <v>36</v>
      </c>
      <c r="F137" s="14">
        <v>2</v>
      </c>
      <c r="G137" s="15">
        <v>49.99</v>
      </c>
      <c r="H137" s="15">
        <v>99.98</v>
      </c>
    </row>
    <row r="138" ht="12.9" customHeight="1">
      <c r="A138" t="s" s="10">
        <v>2867</v>
      </c>
      <c r="B138" t="s" s="11">
        <v>473</v>
      </c>
      <c r="C138" s="12">
        <v>45338</v>
      </c>
      <c r="D138" t="s" s="13">
        <v>2868</v>
      </c>
      <c r="E138" t="s" s="13">
        <v>2869</v>
      </c>
      <c r="F138" s="14">
        <v>1</v>
      </c>
      <c r="G138" s="15">
        <v>145</v>
      </c>
      <c r="H138" s="15">
        <v>145</v>
      </c>
    </row>
    <row r="139" ht="12.9" customHeight="1">
      <c r="A139" t="s" s="10">
        <v>2867</v>
      </c>
      <c r="B139" t="s" s="11">
        <v>473</v>
      </c>
      <c r="C139" s="12">
        <v>45338</v>
      </c>
      <c r="D139" t="s" s="13">
        <v>63</v>
      </c>
      <c r="E139" s="16"/>
      <c r="F139" s="14">
        <v>1</v>
      </c>
      <c r="G139" s="15">
        <v>14</v>
      </c>
      <c r="H139" s="15">
        <v>14</v>
      </c>
    </row>
    <row r="140" ht="12.9" customHeight="1">
      <c r="A140" t="s" s="10">
        <v>2870</v>
      </c>
      <c r="B140" t="s" s="11">
        <v>391</v>
      </c>
      <c r="C140" s="12">
        <v>45338</v>
      </c>
      <c r="D140" t="s" s="13">
        <v>998</v>
      </c>
      <c r="E140" t="s" s="13">
        <v>999</v>
      </c>
      <c r="F140" s="14">
        <v>4</v>
      </c>
      <c r="G140" s="15">
        <v>974.9924999999999</v>
      </c>
      <c r="H140" s="15">
        <v>3899.97</v>
      </c>
    </row>
    <row r="141" ht="12.9" customHeight="1">
      <c r="A141" t="s" s="10">
        <v>2870</v>
      </c>
      <c r="B141" t="s" s="11">
        <v>391</v>
      </c>
      <c r="C141" s="12">
        <v>45338</v>
      </c>
      <c r="D141" t="s" s="13">
        <v>50</v>
      </c>
      <c r="E141" t="s" s="13">
        <v>83</v>
      </c>
      <c r="F141" s="14">
        <v>4</v>
      </c>
      <c r="G141" s="15">
        <v>0</v>
      </c>
      <c r="H141" s="15">
        <v>0</v>
      </c>
    </row>
    <row r="142" ht="12.9" customHeight="1">
      <c r="A142" t="s" s="10">
        <v>2870</v>
      </c>
      <c r="B142" t="s" s="11">
        <v>391</v>
      </c>
      <c r="C142" s="12">
        <v>45338</v>
      </c>
      <c r="D142" t="s" s="13">
        <v>15</v>
      </c>
      <c r="E142" t="s" s="13">
        <v>16</v>
      </c>
      <c r="F142" s="14">
        <v>4</v>
      </c>
      <c r="G142" s="15">
        <v>0</v>
      </c>
      <c r="H142" s="15">
        <v>0</v>
      </c>
    </row>
    <row r="143" ht="12.9" customHeight="1">
      <c r="A143" t="s" s="10">
        <v>2870</v>
      </c>
      <c r="B143" t="s" s="11">
        <v>391</v>
      </c>
      <c r="C143" s="12">
        <v>45338</v>
      </c>
      <c r="D143" t="s" s="13">
        <v>57</v>
      </c>
      <c r="E143" t="s" s="13">
        <v>58</v>
      </c>
      <c r="F143" s="14">
        <v>4</v>
      </c>
      <c r="G143" s="15">
        <v>599.9924999999999</v>
      </c>
      <c r="H143" s="15">
        <v>2399.97</v>
      </c>
    </row>
    <row r="144" ht="12.9" customHeight="1">
      <c r="A144" t="s" s="10">
        <v>2870</v>
      </c>
      <c r="B144" t="s" s="11">
        <v>391</v>
      </c>
      <c r="C144" s="12">
        <v>45338</v>
      </c>
      <c r="D144" t="s" s="13">
        <v>59</v>
      </c>
      <c r="E144" t="s" s="13">
        <v>60</v>
      </c>
      <c r="F144" s="14">
        <v>1</v>
      </c>
      <c r="G144" s="15">
        <v>899.9924999999999</v>
      </c>
      <c r="H144" s="15">
        <v>899.9924999999999</v>
      </c>
    </row>
    <row r="145" ht="12.9" customHeight="1">
      <c r="A145" t="s" s="10">
        <v>2870</v>
      </c>
      <c r="B145" t="s" s="11">
        <v>391</v>
      </c>
      <c r="C145" s="12">
        <v>45338</v>
      </c>
      <c r="D145" t="s" s="13">
        <v>63</v>
      </c>
      <c r="E145" s="16"/>
      <c r="F145" s="14">
        <v>1</v>
      </c>
      <c r="G145" s="15">
        <v>92.40000000000001</v>
      </c>
      <c r="H145" s="15">
        <v>92.40000000000001</v>
      </c>
    </row>
    <row r="146" ht="12.9" customHeight="1">
      <c r="A146" t="s" s="10">
        <v>2871</v>
      </c>
      <c r="B146" t="s" s="11">
        <v>2872</v>
      </c>
      <c r="C146" s="12">
        <v>45337.888367060186</v>
      </c>
      <c r="D146" t="s" s="13">
        <v>239</v>
      </c>
      <c r="E146" t="s" s="13">
        <v>240</v>
      </c>
      <c r="F146" s="14">
        <v>1</v>
      </c>
      <c r="G146" s="15">
        <v>99.98999999999999</v>
      </c>
      <c r="H146" s="15">
        <v>99.98999999999999</v>
      </c>
    </row>
    <row r="147" ht="12.9" customHeight="1">
      <c r="A147" t="s" s="10">
        <v>2873</v>
      </c>
      <c r="B147" t="s" s="11">
        <v>2874</v>
      </c>
      <c r="C147" s="12">
        <v>45337.689207326388</v>
      </c>
      <c r="D147" t="s" s="13">
        <v>470</v>
      </c>
      <c r="E147" t="s" s="13">
        <v>517</v>
      </c>
      <c r="F147" s="14">
        <v>2</v>
      </c>
      <c r="G147" s="15">
        <v>249.99</v>
      </c>
      <c r="H147" s="15">
        <v>499.98</v>
      </c>
    </row>
    <row r="148" ht="12.9" customHeight="1">
      <c r="A148" t="s" s="10">
        <v>2875</v>
      </c>
      <c r="B148" t="s" s="11">
        <v>2876</v>
      </c>
      <c r="C148" s="12">
        <v>45337.041934467590</v>
      </c>
      <c r="D148" t="s" s="13">
        <v>412</v>
      </c>
      <c r="E148" t="s" s="13">
        <v>413</v>
      </c>
      <c r="F148" s="14">
        <v>3</v>
      </c>
      <c r="G148" s="15">
        <v>1.99</v>
      </c>
      <c r="H148" s="15">
        <v>5.97</v>
      </c>
    </row>
    <row r="149" ht="12.9" customHeight="1">
      <c r="A149" t="s" s="10">
        <v>2875</v>
      </c>
      <c r="B149" t="s" s="11">
        <v>2876</v>
      </c>
      <c r="C149" s="12">
        <v>45337.041934467590</v>
      </c>
      <c r="D149" t="s" s="13">
        <v>359</v>
      </c>
      <c r="E149" t="s" s="13">
        <v>360</v>
      </c>
      <c r="F149" s="14">
        <v>1</v>
      </c>
      <c r="G149" s="15">
        <v>29.99</v>
      </c>
      <c r="H149" s="15">
        <v>29.99</v>
      </c>
    </row>
    <row r="150" ht="12.9" customHeight="1">
      <c r="A150" t="s" s="10">
        <v>2875</v>
      </c>
      <c r="B150" t="s" s="11">
        <v>2876</v>
      </c>
      <c r="C150" s="12">
        <v>45337.041934467590</v>
      </c>
      <c r="D150" t="s" s="13">
        <v>119</v>
      </c>
      <c r="E150" t="s" s="13">
        <v>120</v>
      </c>
      <c r="F150" s="14">
        <v>2</v>
      </c>
      <c r="G150" s="15">
        <v>1.99</v>
      </c>
      <c r="H150" s="15">
        <v>3.98</v>
      </c>
    </row>
    <row r="151" ht="12.9" customHeight="1">
      <c r="A151" t="s" s="10">
        <v>2877</v>
      </c>
      <c r="B151" t="s" s="11">
        <v>2878</v>
      </c>
      <c r="C151" s="12">
        <v>45337</v>
      </c>
      <c r="D151" t="s" s="13">
        <v>254</v>
      </c>
      <c r="E151" t="s" s="13">
        <v>2879</v>
      </c>
      <c r="F151" s="14">
        <v>1</v>
      </c>
      <c r="G151" s="15">
        <v>0</v>
      </c>
      <c r="H151" s="15">
        <v>0</v>
      </c>
    </row>
    <row r="152" ht="12.9" customHeight="1">
      <c r="A152" t="s" s="10">
        <v>2877</v>
      </c>
      <c r="B152" t="s" s="11">
        <v>2878</v>
      </c>
      <c r="C152" s="12">
        <v>45337</v>
      </c>
      <c r="D152" t="s" s="13">
        <v>52</v>
      </c>
      <c r="E152" t="s" s="13">
        <v>321</v>
      </c>
      <c r="F152" s="14">
        <v>4</v>
      </c>
      <c r="G152" s="15">
        <v>0</v>
      </c>
      <c r="H152" s="15">
        <v>0</v>
      </c>
    </row>
    <row r="153" ht="12.9" customHeight="1">
      <c r="A153" t="s" s="10">
        <v>2877</v>
      </c>
      <c r="B153" t="s" s="11">
        <v>2878</v>
      </c>
      <c r="C153" s="12">
        <v>45337</v>
      </c>
      <c r="D153" t="s" s="13">
        <v>1044</v>
      </c>
      <c r="E153" t="s" s="13">
        <v>1045</v>
      </c>
      <c r="F153" s="14">
        <v>2</v>
      </c>
      <c r="G153" s="15">
        <v>0</v>
      </c>
      <c r="H153" s="15">
        <v>0</v>
      </c>
    </row>
    <row r="154" ht="12.9" customHeight="1">
      <c r="A154" t="s" s="10">
        <v>2877</v>
      </c>
      <c r="B154" t="s" s="11">
        <v>2878</v>
      </c>
      <c r="C154" s="12">
        <v>45337</v>
      </c>
      <c r="D154" t="s" s="13">
        <v>1048</v>
      </c>
      <c r="E154" t="s" s="13">
        <v>1049</v>
      </c>
      <c r="F154" s="14">
        <v>2</v>
      </c>
      <c r="G154" s="15">
        <v>0</v>
      </c>
      <c r="H154" s="15">
        <v>0</v>
      </c>
    </row>
    <row r="155" ht="12.9" customHeight="1">
      <c r="A155" t="s" s="10">
        <v>2877</v>
      </c>
      <c r="B155" t="s" s="11">
        <v>2878</v>
      </c>
      <c r="C155" s="12">
        <v>45337</v>
      </c>
      <c r="D155" t="s" s="13">
        <v>1046</v>
      </c>
      <c r="E155" t="s" s="13">
        <v>1047</v>
      </c>
      <c r="F155" s="14">
        <v>4</v>
      </c>
      <c r="G155" s="15">
        <v>0</v>
      </c>
      <c r="H155" s="15">
        <v>0</v>
      </c>
    </row>
    <row r="156" ht="12.9" customHeight="1">
      <c r="A156" t="s" s="10">
        <v>2877</v>
      </c>
      <c r="B156" t="s" s="11">
        <v>2878</v>
      </c>
      <c r="C156" s="12">
        <v>45337</v>
      </c>
      <c r="D156" t="s" s="13">
        <v>1187</v>
      </c>
      <c r="E156" t="s" s="13">
        <v>1187</v>
      </c>
      <c r="F156" s="14">
        <v>1</v>
      </c>
      <c r="G156" s="15">
        <v>0</v>
      </c>
      <c r="H156" s="15">
        <v>0</v>
      </c>
    </row>
    <row r="157" ht="12.9" customHeight="1">
      <c r="A157" t="s" s="10">
        <v>2877</v>
      </c>
      <c r="B157" t="s" s="11">
        <v>2878</v>
      </c>
      <c r="C157" s="12">
        <v>45337</v>
      </c>
      <c r="D157" t="s" s="13">
        <v>1186</v>
      </c>
      <c r="E157" t="s" s="13">
        <v>1186</v>
      </c>
      <c r="F157" s="14">
        <v>1</v>
      </c>
      <c r="G157" s="15">
        <v>0</v>
      </c>
      <c r="H157" s="15">
        <v>0</v>
      </c>
    </row>
    <row r="158" ht="12.9" customHeight="1">
      <c r="A158" t="s" s="10">
        <v>2880</v>
      </c>
      <c r="B158" t="s" s="11">
        <v>2829</v>
      </c>
      <c r="C158" s="12">
        <v>45337</v>
      </c>
      <c r="D158" t="s" s="13">
        <v>123</v>
      </c>
      <c r="E158" t="s" s="13">
        <v>124</v>
      </c>
      <c r="F158" s="14">
        <v>2</v>
      </c>
      <c r="G158" s="15">
        <v>134.9925</v>
      </c>
      <c r="H158" s="15">
        <v>269.985</v>
      </c>
    </row>
    <row r="159" ht="12.9" customHeight="1">
      <c r="A159" t="s" s="10">
        <v>2880</v>
      </c>
      <c r="B159" t="s" s="11">
        <v>2829</v>
      </c>
      <c r="C159" s="12">
        <v>45337</v>
      </c>
      <c r="D159" t="s" s="13">
        <v>882</v>
      </c>
      <c r="E159" t="s" s="13">
        <v>883</v>
      </c>
      <c r="F159" s="14">
        <v>9</v>
      </c>
      <c r="G159" s="15">
        <v>56.2425</v>
      </c>
      <c r="H159" s="15">
        <v>506.1825</v>
      </c>
    </row>
    <row r="160" ht="12.9" customHeight="1">
      <c r="A160" t="s" s="10">
        <v>2880</v>
      </c>
      <c r="B160" t="s" s="11">
        <v>2829</v>
      </c>
      <c r="C160" s="12">
        <v>45337</v>
      </c>
      <c r="D160" t="s" s="13">
        <v>115</v>
      </c>
      <c r="E160" t="s" s="13">
        <v>1856</v>
      </c>
      <c r="F160" s="14">
        <v>8</v>
      </c>
      <c r="G160" s="15">
        <v>17.2425</v>
      </c>
      <c r="H160" s="15">
        <v>137.94</v>
      </c>
    </row>
    <row r="161" ht="12.9" customHeight="1">
      <c r="A161" t="s" s="10">
        <v>2880</v>
      </c>
      <c r="B161" t="s" s="11">
        <v>2829</v>
      </c>
      <c r="C161" s="12">
        <v>45337</v>
      </c>
      <c r="D161" t="s" s="13">
        <v>73</v>
      </c>
      <c r="E161" t="s" s="13">
        <v>74</v>
      </c>
      <c r="F161" s="14">
        <v>1</v>
      </c>
      <c r="G161" s="15">
        <v>299.9925</v>
      </c>
      <c r="H161" s="15">
        <v>299.9925</v>
      </c>
    </row>
    <row r="162" ht="12.9" customHeight="1">
      <c r="A162" t="s" s="10">
        <v>2880</v>
      </c>
      <c r="B162" t="s" s="11">
        <v>2829</v>
      </c>
      <c r="C162" s="12">
        <v>45337</v>
      </c>
      <c r="D162" t="s" s="13">
        <v>354</v>
      </c>
      <c r="E162" t="s" s="13">
        <v>355</v>
      </c>
      <c r="F162" s="14">
        <v>3</v>
      </c>
      <c r="G162" s="15">
        <v>112.4925</v>
      </c>
      <c r="H162" s="15">
        <v>337.4775</v>
      </c>
    </row>
    <row r="163" ht="12.9" customHeight="1">
      <c r="A163" t="s" s="10">
        <v>2880</v>
      </c>
      <c r="B163" t="s" s="11">
        <v>2829</v>
      </c>
      <c r="C163" s="12">
        <v>45337</v>
      </c>
      <c r="D163" t="s" s="13">
        <v>48</v>
      </c>
      <c r="E163" t="s" s="13">
        <v>49</v>
      </c>
      <c r="F163" s="14">
        <v>1</v>
      </c>
      <c r="G163" s="15">
        <v>974.9924999999999</v>
      </c>
      <c r="H163" s="15">
        <v>974.9924999999999</v>
      </c>
    </row>
    <row r="164" ht="12.9" customHeight="1">
      <c r="A164" t="s" s="10">
        <v>2880</v>
      </c>
      <c r="B164" t="s" s="11">
        <v>2829</v>
      </c>
      <c r="C164" s="12">
        <v>45337</v>
      </c>
      <c r="D164" t="s" s="13">
        <v>50</v>
      </c>
      <c r="E164" t="s" s="13">
        <v>83</v>
      </c>
      <c r="F164" s="14">
        <v>1</v>
      </c>
      <c r="G164" s="15">
        <v>0</v>
      </c>
      <c r="H164" s="15">
        <v>0</v>
      </c>
    </row>
    <row r="165" ht="12.9" customHeight="1">
      <c r="A165" t="s" s="10">
        <v>2880</v>
      </c>
      <c r="B165" t="s" s="11">
        <v>2829</v>
      </c>
      <c r="C165" s="12">
        <v>45337</v>
      </c>
      <c r="D165" t="s" s="13">
        <v>52</v>
      </c>
      <c r="E165" t="s" s="13">
        <v>321</v>
      </c>
      <c r="F165" s="14">
        <v>1</v>
      </c>
      <c r="G165" s="15">
        <v>0</v>
      </c>
      <c r="H165" s="15">
        <v>0</v>
      </c>
    </row>
    <row r="166" ht="12.9" customHeight="1">
      <c r="A166" t="s" s="10">
        <v>2880</v>
      </c>
      <c r="B166" t="s" s="11">
        <v>2829</v>
      </c>
      <c r="C166" s="12">
        <v>45337</v>
      </c>
      <c r="D166" t="s" s="13">
        <v>23</v>
      </c>
      <c r="E166" t="s" s="13">
        <v>24</v>
      </c>
      <c r="F166" s="14">
        <v>1</v>
      </c>
      <c r="G166" s="15">
        <v>0</v>
      </c>
      <c r="H166" s="15">
        <v>0</v>
      </c>
    </row>
    <row r="167" ht="12.9" customHeight="1">
      <c r="A167" t="s" s="10">
        <v>2880</v>
      </c>
      <c r="B167" t="s" s="11">
        <v>2829</v>
      </c>
      <c r="C167" s="12">
        <v>45337</v>
      </c>
      <c r="D167" t="s" s="13">
        <v>84</v>
      </c>
      <c r="E167" t="s" s="13">
        <v>2685</v>
      </c>
      <c r="F167" s="14">
        <v>1</v>
      </c>
      <c r="G167" s="15">
        <v>0</v>
      </c>
      <c r="H167" s="15">
        <v>0</v>
      </c>
    </row>
    <row r="168" ht="12.9" customHeight="1">
      <c r="A168" t="s" s="10">
        <v>2880</v>
      </c>
      <c r="B168" t="s" s="11">
        <v>2829</v>
      </c>
      <c r="C168" s="12">
        <v>45337</v>
      </c>
      <c r="D168" t="s" s="13">
        <v>95</v>
      </c>
      <c r="E168" t="s" s="13">
        <v>12</v>
      </c>
      <c r="F168" s="14">
        <v>3</v>
      </c>
      <c r="G168" s="15">
        <v>262.4925</v>
      </c>
      <c r="H168" s="15">
        <v>787.4775</v>
      </c>
    </row>
    <row r="169" ht="12.9" customHeight="1">
      <c r="A169" t="s" s="10">
        <v>2880</v>
      </c>
      <c r="B169" t="s" s="11">
        <v>2829</v>
      </c>
      <c r="C169" s="12">
        <v>45337</v>
      </c>
      <c r="D169" t="s" s="13">
        <v>63</v>
      </c>
      <c r="E169" s="16"/>
      <c r="F169" s="14">
        <v>1</v>
      </c>
      <c r="G169" s="15">
        <v>297.53</v>
      </c>
      <c r="H169" s="15">
        <v>297.53</v>
      </c>
    </row>
    <row r="170" ht="12.9" customHeight="1">
      <c r="A170" t="s" s="10">
        <v>2881</v>
      </c>
      <c r="B170" t="s" s="11">
        <v>2882</v>
      </c>
      <c r="C170" s="12">
        <v>45337</v>
      </c>
      <c r="D170" t="s" s="13">
        <v>19</v>
      </c>
      <c r="E170" t="s" s="13">
        <v>20</v>
      </c>
      <c r="F170" s="14">
        <v>4</v>
      </c>
      <c r="G170" s="15">
        <v>119.99</v>
      </c>
      <c r="H170" s="15">
        <v>479.96</v>
      </c>
    </row>
    <row r="171" ht="12.9" customHeight="1">
      <c r="A171" t="s" s="10">
        <v>2883</v>
      </c>
      <c r="B171" t="s" s="11">
        <v>2884</v>
      </c>
      <c r="C171" s="12">
        <v>45337</v>
      </c>
      <c r="D171" t="s" s="13">
        <v>254</v>
      </c>
      <c r="E171" t="s" s="13">
        <v>2885</v>
      </c>
      <c r="F171" s="14">
        <v>1</v>
      </c>
      <c r="G171" s="15">
        <v>0</v>
      </c>
      <c r="H171" s="15">
        <v>0</v>
      </c>
    </row>
    <row r="172" ht="12.9" customHeight="1">
      <c r="A172" t="s" s="10">
        <v>2886</v>
      </c>
      <c r="B172" t="s" s="11">
        <v>2887</v>
      </c>
      <c r="C172" s="12">
        <v>45336.914934432869</v>
      </c>
      <c r="D172" t="s" s="13">
        <v>682</v>
      </c>
      <c r="E172" t="s" s="13">
        <v>683</v>
      </c>
      <c r="F172" s="14">
        <v>1</v>
      </c>
      <c r="G172" s="15">
        <v>249.99</v>
      </c>
      <c r="H172" s="15">
        <v>249.99</v>
      </c>
    </row>
    <row r="173" ht="12.9" customHeight="1">
      <c r="A173" t="s" s="10">
        <v>2886</v>
      </c>
      <c r="B173" t="s" s="11">
        <v>2887</v>
      </c>
      <c r="C173" s="12">
        <v>45336.914934432869</v>
      </c>
      <c r="D173" t="s" s="13">
        <v>602</v>
      </c>
      <c r="E173" t="s" s="13">
        <v>686</v>
      </c>
      <c r="F173" s="14">
        <v>1</v>
      </c>
      <c r="G173" s="15">
        <v>299.99</v>
      </c>
      <c r="H173" s="15">
        <v>299.99</v>
      </c>
    </row>
    <row r="174" ht="12.9" customHeight="1">
      <c r="A174" t="s" s="10">
        <v>2886</v>
      </c>
      <c r="B174" t="s" s="11">
        <v>2887</v>
      </c>
      <c r="C174" s="12">
        <v>45336.914934432869</v>
      </c>
      <c r="D174" t="s" s="13">
        <v>19</v>
      </c>
      <c r="E174" t="s" s="13">
        <v>20</v>
      </c>
      <c r="F174" s="14">
        <v>2</v>
      </c>
      <c r="G174" s="15">
        <v>119.99</v>
      </c>
      <c r="H174" s="15">
        <v>239.98</v>
      </c>
    </row>
    <row r="175" ht="12.9" customHeight="1">
      <c r="A175" t="s" s="10">
        <v>2886</v>
      </c>
      <c r="B175" t="s" s="11">
        <v>2887</v>
      </c>
      <c r="C175" s="12">
        <v>45336.914934432869</v>
      </c>
      <c r="D175" t="s" s="13">
        <v>15</v>
      </c>
      <c r="E175" t="s" s="13">
        <v>16</v>
      </c>
      <c r="F175" s="14">
        <v>2</v>
      </c>
      <c r="G175" s="15">
        <v>9.99</v>
      </c>
      <c r="H175" s="15">
        <v>19.98</v>
      </c>
    </row>
    <row r="176" ht="12.9" customHeight="1">
      <c r="A176" t="s" s="10">
        <v>2888</v>
      </c>
      <c r="B176" t="s" s="11">
        <v>155</v>
      </c>
      <c r="C176" s="12">
        <v>45336.891594212961</v>
      </c>
      <c r="D176" t="s" s="13">
        <v>19</v>
      </c>
      <c r="E176" t="s" s="13">
        <v>20</v>
      </c>
      <c r="F176" s="14">
        <v>4</v>
      </c>
      <c r="G176" s="15">
        <v>119.99</v>
      </c>
      <c r="H176" s="15">
        <v>479.96</v>
      </c>
    </row>
    <row r="177" ht="12.9" customHeight="1">
      <c r="A177" t="s" s="10">
        <v>2888</v>
      </c>
      <c r="B177" t="s" s="11">
        <v>155</v>
      </c>
      <c r="C177" s="12">
        <v>45336.891594212961</v>
      </c>
      <c r="D177" t="s" s="13">
        <v>15</v>
      </c>
      <c r="E177" t="s" s="13">
        <v>16</v>
      </c>
      <c r="F177" s="14">
        <v>4</v>
      </c>
      <c r="G177" s="15">
        <v>9.99</v>
      </c>
      <c r="H177" s="15">
        <v>39.96</v>
      </c>
    </row>
    <row r="178" ht="12.9" customHeight="1">
      <c r="A178" t="s" s="10">
        <v>2888</v>
      </c>
      <c r="B178" t="s" s="11">
        <v>155</v>
      </c>
      <c r="C178" s="12">
        <v>45336.891594212961</v>
      </c>
      <c r="D178" t="s" s="13">
        <v>1695</v>
      </c>
      <c r="E178" t="s" s="13">
        <v>140</v>
      </c>
      <c r="F178" s="14">
        <v>1</v>
      </c>
      <c r="G178" s="15">
        <v>49.99</v>
      </c>
      <c r="H178" s="15">
        <v>49.99</v>
      </c>
    </row>
    <row r="179" ht="12.9" customHeight="1">
      <c r="A179" t="s" s="10">
        <v>2888</v>
      </c>
      <c r="B179" t="s" s="11">
        <v>155</v>
      </c>
      <c r="C179" s="12">
        <v>45336.891594212961</v>
      </c>
      <c r="D179" t="s" s="13">
        <v>15</v>
      </c>
      <c r="E179" t="s" s="13">
        <v>16</v>
      </c>
      <c r="F179" s="14">
        <v>1</v>
      </c>
      <c r="G179" s="15">
        <v>9.99</v>
      </c>
      <c r="H179" s="15">
        <v>9.99</v>
      </c>
    </row>
    <row r="180" ht="12.9" customHeight="1">
      <c r="A180" t="s" s="10">
        <v>2888</v>
      </c>
      <c r="B180" t="s" s="11">
        <v>155</v>
      </c>
      <c r="C180" s="12">
        <v>45336.891594212961</v>
      </c>
      <c r="D180" t="s" s="13">
        <v>39</v>
      </c>
      <c r="E180" t="s" s="13">
        <v>40</v>
      </c>
      <c r="F180" s="14">
        <v>2</v>
      </c>
      <c r="G180" s="15">
        <v>109.99</v>
      </c>
      <c r="H180" s="15">
        <v>219.98</v>
      </c>
    </row>
    <row r="181" ht="12.9" customHeight="1">
      <c r="A181" t="s" s="10">
        <v>2889</v>
      </c>
      <c r="B181" t="s" s="11">
        <v>2890</v>
      </c>
      <c r="C181" s="12">
        <v>45336.858039479164</v>
      </c>
      <c r="D181" t="s" s="13">
        <v>50</v>
      </c>
      <c r="E181" t="s" s="13">
        <v>83</v>
      </c>
      <c r="F181" s="14">
        <v>1</v>
      </c>
      <c r="G181" s="15">
        <v>29.99</v>
      </c>
      <c r="H181" s="15">
        <v>29.99</v>
      </c>
    </row>
    <row r="182" ht="12.9" customHeight="1">
      <c r="A182" t="s" s="10">
        <v>2891</v>
      </c>
      <c r="B182" t="s" s="11">
        <v>2890</v>
      </c>
      <c r="C182" s="12">
        <v>45336.855797083335</v>
      </c>
      <c r="D182" t="s" s="13">
        <v>50</v>
      </c>
      <c r="E182" t="s" s="13">
        <v>83</v>
      </c>
      <c r="F182" s="14">
        <v>1</v>
      </c>
      <c r="G182" s="15">
        <v>29.99</v>
      </c>
      <c r="H182" s="15">
        <v>29.99</v>
      </c>
    </row>
    <row r="183" ht="12.9" customHeight="1">
      <c r="A183" t="s" s="10">
        <v>2892</v>
      </c>
      <c r="B183" t="s" s="11">
        <v>2893</v>
      </c>
      <c r="C183" s="12">
        <v>45336.736458136576</v>
      </c>
      <c r="D183" t="s" s="13">
        <v>11</v>
      </c>
      <c r="E183" t="s" s="13">
        <v>12</v>
      </c>
      <c r="F183" s="14">
        <v>1</v>
      </c>
      <c r="G183" s="15">
        <v>399.99</v>
      </c>
      <c r="H183" s="15">
        <v>399.99</v>
      </c>
    </row>
    <row r="184" ht="12.9" customHeight="1">
      <c r="A184" t="s" s="10">
        <v>2894</v>
      </c>
      <c r="B184" t="s" s="11">
        <v>2895</v>
      </c>
      <c r="C184" s="12">
        <v>45336.570402870369</v>
      </c>
      <c r="D184" t="s" s="13">
        <v>345</v>
      </c>
      <c r="E184" t="s" s="13">
        <v>346</v>
      </c>
      <c r="F184" s="14">
        <v>2</v>
      </c>
      <c r="G184" s="15">
        <v>219.99</v>
      </c>
      <c r="H184" s="15">
        <v>439.98</v>
      </c>
    </row>
    <row r="185" ht="12.9" customHeight="1">
      <c r="A185" t="s" s="10">
        <v>2896</v>
      </c>
      <c r="B185" t="s" s="11">
        <v>2380</v>
      </c>
      <c r="C185" s="12">
        <v>45336</v>
      </c>
      <c r="D185" t="s" s="13">
        <v>1695</v>
      </c>
      <c r="E185" t="s" s="13">
        <v>140</v>
      </c>
      <c r="F185" s="14">
        <v>4</v>
      </c>
      <c r="G185" s="15">
        <v>37.4925</v>
      </c>
      <c r="H185" s="15">
        <v>149.97</v>
      </c>
    </row>
    <row r="186" ht="12.9" customHeight="1">
      <c r="A186" t="s" s="10">
        <v>2896</v>
      </c>
      <c r="B186" t="s" s="11">
        <v>2380</v>
      </c>
      <c r="C186" s="12">
        <v>45336</v>
      </c>
      <c r="D186" t="s" s="13">
        <v>15</v>
      </c>
      <c r="E186" t="s" s="13">
        <v>16</v>
      </c>
      <c r="F186" s="14">
        <v>4</v>
      </c>
      <c r="G186" s="15">
        <v>0</v>
      </c>
      <c r="H186" s="15">
        <v>0</v>
      </c>
    </row>
    <row r="187" ht="12.9" customHeight="1">
      <c r="A187" t="s" s="10">
        <v>2896</v>
      </c>
      <c r="B187" t="s" s="11">
        <v>2380</v>
      </c>
      <c r="C187" s="12">
        <v>45336</v>
      </c>
      <c r="D187" t="s" s="13">
        <v>207</v>
      </c>
      <c r="E187" t="s" s="13">
        <v>208</v>
      </c>
      <c r="F187" s="14">
        <v>2</v>
      </c>
      <c r="G187" s="15">
        <v>0</v>
      </c>
      <c r="H187" s="15">
        <v>0</v>
      </c>
    </row>
    <row r="188" ht="12.9" customHeight="1">
      <c r="A188" t="s" s="10">
        <v>2896</v>
      </c>
      <c r="B188" t="s" s="11">
        <v>2380</v>
      </c>
      <c r="C188" s="12">
        <v>45336</v>
      </c>
      <c r="D188" t="s" s="13">
        <v>63</v>
      </c>
      <c r="E188" s="16"/>
      <c r="F188" s="14">
        <v>1</v>
      </c>
      <c r="G188" s="15">
        <v>58.65</v>
      </c>
      <c r="H188" s="15">
        <v>58.65</v>
      </c>
    </row>
    <row r="189" ht="12.9" customHeight="1">
      <c r="A189" t="s" s="10">
        <v>2897</v>
      </c>
      <c r="B189" t="s" s="11">
        <v>2882</v>
      </c>
      <c r="C189" s="12">
        <v>45336</v>
      </c>
      <c r="D189" t="s" s="13">
        <v>81</v>
      </c>
      <c r="E189" t="s" s="13">
        <v>82</v>
      </c>
      <c r="F189" s="14">
        <v>8</v>
      </c>
      <c r="G189" s="15">
        <v>849.99</v>
      </c>
      <c r="H189" s="15">
        <v>6799.92</v>
      </c>
    </row>
    <row r="190" ht="12.9" customHeight="1">
      <c r="A190" t="s" s="10">
        <v>2897</v>
      </c>
      <c r="B190" t="s" s="11">
        <v>2882</v>
      </c>
      <c r="C190" s="12">
        <v>45336</v>
      </c>
      <c r="D190" t="s" s="13">
        <v>50</v>
      </c>
      <c r="E190" t="s" s="13">
        <v>83</v>
      </c>
      <c r="F190" s="14">
        <v>8</v>
      </c>
      <c r="G190" s="15">
        <v>0</v>
      </c>
      <c r="H190" s="15">
        <v>0</v>
      </c>
    </row>
    <row r="191" ht="12.9" customHeight="1">
      <c r="A191" t="s" s="10">
        <v>2897</v>
      </c>
      <c r="B191" t="s" s="11">
        <v>2882</v>
      </c>
      <c r="C191" s="12">
        <v>45336</v>
      </c>
      <c r="D191" t="s" s="13">
        <v>54</v>
      </c>
      <c r="E191" t="s" s="13">
        <v>93</v>
      </c>
      <c r="F191" s="14">
        <v>8</v>
      </c>
      <c r="G191" s="15">
        <v>0</v>
      </c>
      <c r="H191" s="15">
        <v>0</v>
      </c>
    </row>
    <row r="192" ht="12.9" customHeight="1">
      <c r="A192" t="s" s="10">
        <v>2897</v>
      </c>
      <c r="B192" t="s" s="11">
        <v>2882</v>
      </c>
      <c r="C192" s="12">
        <v>45336</v>
      </c>
      <c r="D192" t="s" s="13">
        <v>15</v>
      </c>
      <c r="E192" t="s" s="13">
        <v>16</v>
      </c>
      <c r="F192" s="14">
        <v>12</v>
      </c>
      <c r="G192" s="15">
        <v>0</v>
      </c>
      <c r="H192" s="15">
        <v>0</v>
      </c>
    </row>
    <row r="193" ht="12.9" customHeight="1">
      <c r="A193" t="s" s="10">
        <v>2897</v>
      </c>
      <c r="B193" t="s" s="11">
        <v>2882</v>
      </c>
      <c r="C193" s="12">
        <v>45336</v>
      </c>
      <c r="D193" t="s" s="13">
        <v>602</v>
      </c>
      <c r="E193" t="s" s="13">
        <v>686</v>
      </c>
      <c r="F193" s="14">
        <v>3</v>
      </c>
      <c r="G193" s="15">
        <v>175</v>
      </c>
      <c r="H193" s="15">
        <v>525</v>
      </c>
    </row>
    <row r="194" ht="12.9" customHeight="1">
      <c r="A194" t="s" s="10">
        <v>2897</v>
      </c>
      <c r="B194" t="s" s="11">
        <v>2882</v>
      </c>
      <c r="C194" s="12">
        <v>45336</v>
      </c>
      <c r="D194" t="s" s="13">
        <v>19</v>
      </c>
      <c r="E194" t="s" s="13">
        <v>20</v>
      </c>
      <c r="F194" s="14">
        <v>4</v>
      </c>
      <c r="G194" s="15">
        <v>119.99</v>
      </c>
      <c r="H194" s="15">
        <v>479.96</v>
      </c>
    </row>
    <row r="195" ht="12.9" customHeight="1">
      <c r="A195" t="s" s="10">
        <v>2897</v>
      </c>
      <c r="B195" t="s" s="11">
        <v>2882</v>
      </c>
      <c r="C195" s="12">
        <v>45336</v>
      </c>
      <c r="D195" t="s" s="13">
        <v>15</v>
      </c>
      <c r="E195" t="s" s="13">
        <v>16</v>
      </c>
      <c r="F195" s="14">
        <v>5</v>
      </c>
      <c r="G195" s="15">
        <v>8.99</v>
      </c>
      <c r="H195" s="15">
        <v>44.95</v>
      </c>
    </row>
    <row r="196" ht="12.9" customHeight="1">
      <c r="A196" t="s" s="10">
        <v>2897</v>
      </c>
      <c r="B196" t="s" s="11">
        <v>2882</v>
      </c>
      <c r="C196" s="12">
        <v>45336</v>
      </c>
      <c r="D196" t="s" s="13">
        <v>119</v>
      </c>
      <c r="E196" t="s" s="13">
        <v>120</v>
      </c>
      <c r="F196" s="14">
        <v>10</v>
      </c>
      <c r="G196" s="15">
        <v>1.99</v>
      </c>
      <c r="H196" s="15">
        <v>19.9</v>
      </c>
    </row>
    <row r="197" ht="12.9" customHeight="1">
      <c r="A197" t="s" s="10">
        <v>2897</v>
      </c>
      <c r="B197" t="s" s="11">
        <v>2882</v>
      </c>
      <c r="C197" s="12">
        <v>45336</v>
      </c>
      <c r="D197" t="s" s="13">
        <v>77</v>
      </c>
      <c r="E197" t="s" s="13">
        <v>78</v>
      </c>
      <c r="F197" s="14">
        <v>4</v>
      </c>
      <c r="G197" s="15">
        <v>19.99</v>
      </c>
      <c r="H197" s="15">
        <v>79.95999999999999</v>
      </c>
    </row>
    <row r="198" ht="12.9" customHeight="1">
      <c r="A198" t="s" s="10">
        <v>2897</v>
      </c>
      <c r="B198" t="s" s="11">
        <v>2882</v>
      </c>
      <c r="C198" s="12">
        <v>45336</v>
      </c>
      <c r="D198" t="s" s="13">
        <v>1695</v>
      </c>
      <c r="E198" t="s" s="13">
        <v>140</v>
      </c>
      <c r="F198" s="14">
        <v>1</v>
      </c>
      <c r="G198" s="15">
        <v>49.99</v>
      </c>
      <c r="H198" s="15">
        <v>49.99</v>
      </c>
    </row>
    <row r="199" ht="12.9" customHeight="1">
      <c r="A199" t="s" s="10">
        <v>2898</v>
      </c>
      <c r="B199" t="s" s="11">
        <v>2899</v>
      </c>
      <c r="C199" s="12">
        <v>45336</v>
      </c>
      <c r="D199" t="s" s="13">
        <v>1236</v>
      </c>
      <c r="E199" t="s" s="13">
        <v>1237</v>
      </c>
      <c r="F199" s="14">
        <v>1</v>
      </c>
      <c r="G199" s="15">
        <v>0</v>
      </c>
      <c r="H199" s="15">
        <v>0</v>
      </c>
    </row>
    <row r="200" ht="12.9" customHeight="1">
      <c r="A200" t="s" s="10">
        <v>2898</v>
      </c>
      <c r="B200" t="s" s="11">
        <v>2899</v>
      </c>
      <c r="C200" s="12">
        <v>45336</v>
      </c>
      <c r="D200" t="s" s="13">
        <v>762</v>
      </c>
      <c r="E200" t="s" s="13">
        <v>763</v>
      </c>
      <c r="F200" s="14">
        <v>4</v>
      </c>
      <c r="G200" s="15">
        <v>0</v>
      </c>
      <c r="H200" s="15">
        <v>0</v>
      </c>
    </row>
    <row r="201" ht="12.9" customHeight="1">
      <c r="A201" t="s" s="10">
        <v>2900</v>
      </c>
      <c r="B201" t="s" s="11">
        <v>2901</v>
      </c>
      <c r="C201" s="12">
        <v>45336</v>
      </c>
      <c r="D201" t="s" s="13">
        <v>359</v>
      </c>
      <c r="E201" t="s" s="13">
        <v>360</v>
      </c>
      <c r="F201" s="14">
        <v>67</v>
      </c>
      <c r="G201" s="15">
        <v>29.99</v>
      </c>
      <c r="H201" s="15">
        <v>2009.33</v>
      </c>
    </row>
    <row r="202" ht="12.9" customHeight="1">
      <c r="A202" t="s" s="10">
        <v>2900</v>
      </c>
      <c r="B202" t="s" s="11">
        <v>2901</v>
      </c>
      <c r="C202" s="12">
        <v>45336</v>
      </c>
      <c r="D202" t="s" s="13">
        <v>77</v>
      </c>
      <c r="E202" t="s" s="13">
        <v>78</v>
      </c>
      <c r="F202" s="14">
        <v>59</v>
      </c>
      <c r="G202" s="15">
        <v>19.99</v>
      </c>
      <c r="H202" s="15">
        <v>1179.41</v>
      </c>
    </row>
    <row r="203" ht="12.9" customHeight="1">
      <c r="A203" t="s" s="10">
        <v>2900</v>
      </c>
      <c r="B203" t="s" s="11">
        <v>2901</v>
      </c>
      <c r="C203" s="12">
        <v>45336</v>
      </c>
      <c r="D203" t="s" s="13">
        <v>442</v>
      </c>
      <c r="E203" t="s" s="13">
        <v>2902</v>
      </c>
      <c r="F203" s="14">
        <v>1</v>
      </c>
      <c r="G203" s="15">
        <v>-318.874</v>
      </c>
      <c r="H203" s="15">
        <v>-318.874</v>
      </c>
    </row>
    <row r="204" ht="12.9" customHeight="1">
      <c r="A204" t="s" s="10">
        <v>2903</v>
      </c>
      <c r="B204" t="s" s="11">
        <v>2882</v>
      </c>
      <c r="C204" s="12">
        <v>45336</v>
      </c>
      <c r="D204" t="s" s="13">
        <v>59</v>
      </c>
      <c r="E204" t="s" s="13">
        <v>60</v>
      </c>
      <c r="F204" s="14">
        <v>1</v>
      </c>
      <c r="G204" s="15">
        <v>1199.99</v>
      </c>
      <c r="H204" s="15">
        <v>1199.99</v>
      </c>
    </row>
    <row r="205" ht="12.9" customHeight="1">
      <c r="A205" t="s" s="10">
        <v>2903</v>
      </c>
      <c r="B205" t="s" s="11">
        <v>2882</v>
      </c>
      <c r="C205" s="12">
        <v>45336</v>
      </c>
      <c r="D205" t="s" s="13">
        <v>602</v>
      </c>
      <c r="E205" t="s" s="13">
        <v>686</v>
      </c>
      <c r="F205" s="14">
        <v>5</v>
      </c>
      <c r="G205" s="15">
        <v>175</v>
      </c>
      <c r="H205" s="15">
        <v>875</v>
      </c>
    </row>
    <row r="206" ht="12.9" customHeight="1">
      <c r="A206" t="s" s="10">
        <v>2904</v>
      </c>
      <c r="B206" t="s" s="11">
        <v>467</v>
      </c>
      <c r="C206" s="12">
        <v>45335.6871094676</v>
      </c>
      <c r="D206" t="s" s="13">
        <v>73</v>
      </c>
      <c r="E206" t="s" s="13">
        <v>74</v>
      </c>
      <c r="F206" s="14">
        <v>1</v>
      </c>
      <c r="G206" s="15">
        <v>399.99</v>
      </c>
      <c r="H206" s="15">
        <v>399.99</v>
      </c>
    </row>
    <row r="207" ht="12.9" customHeight="1">
      <c r="A207" t="s" s="10">
        <v>2904</v>
      </c>
      <c r="B207" t="s" s="11">
        <v>467</v>
      </c>
      <c r="C207" s="12">
        <v>45335.6871094676</v>
      </c>
      <c r="D207" t="s" s="13">
        <v>225</v>
      </c>
      <c r="E207" t="s" s="13">
        <v>226</v>
      </c>
      <c r="F207" s="14">
        <v>1</v>
      </c>
      <c r="G207" s="15">
        <v>499.99</v>
      </c>
      <c r="H207" s="15">
        <v>499.99</v>
      </c>
    </row>
    <row r="208" ht="12.9" customHeight="1">
      <c r="A208" t="s" s="10">
        <v>2904</v>
      </c>
      <c r="B208" t="s" s="11">
        <v>467</v>
      </c>
      <c r="C208" s="12">
        <v>45335.6871094676</v>
      </c>
      <c r="D208" t="s" s="13">
        <v>227</v>
      </c>
      <c r="E208" t="s" s="13">
        <v>228</v>
      </c>
      <c r="F208" s="14">
        <v>1</v>
      </c>
      <c r="G208" s="15">
        <v>0</v>
      </c>
      <c r="H208" s="15">
        <v>0</v>
      </c>
    </row>
    <row r="209" ht="12.9" customHeight="1">
      <c r="A209" t="s" s="10">
        <v>2905</v>
      </c>
      <c r="B209" t="s" s="11">
        <v>2906</v>
      </c>
      <c r="C209" s="12">
        <v>45335.618067303243</v>
      </c>
      <c r="D209" t="s" s="13">
        <v>31</v>
      </c>
      <c r="E209" t="s" s="13">
        <v>32</v>
      </c>
      <c r="F209" s="14">
        <v>1</v>
      </c>
      <c r="G209" s="15">
        <v>599.99</v>
      </c>
      <c r="H209" s="15">
        <v>599.99</v>
      </c>
    </row>
    <row r="210" ht="12.9" customHeight="1">
      <c r="A210" t="s" s="10">
        <v>2907</v>
      </c>
      <c r="B210" t="s" s="11">
        <v>2908</v>
      </c>
      <c r="C210" s="12">
        <v>45335.453886180556</v>
      </c>
      <c r="D210" t="s" s="13">
        <v>73</v>
      </c>
      <c r="E210" t="s" s="13">
        <v>74</v>
      </c>
      <c r="F210" s="14">
        <v>2</v>
      </c>
      <c r="G210" s="15">
        <v>399.99</v>
      </c>
      <c r="H210" s="15">
        <v>799.98</v>
      </c>
    </row>
    <row r="211" ht="12.9" customHeight="1">
      <c r="A211" t="s" s="10">
        <v>2909</v>
      </c>
      <c r="B211" t="s" s="11">
        <v>2910</v>
      </c>
      <c r="C211" s="12">
        <v>45335.107726099537</v>
      </c>
      <c r="D211" t="s" s="13">
        <v>19</v>
      </c>
      <c r="E211" t="s" s="13">
        <v>20</v>
      </c>
      <c r="F211" s="14">
        <v>4</v>
      </c>
      <c r="G211" s="15">
        <v>119.99</v>
      </c>
      <c r="H211" s="15">
        <v>479.96</v>
      </c>
    </row>
    <row r="212" ht="12.9" customHeight="1">
      <c r="A212" t="s" s="10">
        <v>2909</v>
      </c>
      <c r="B212" t="s" s="11">
        <v>2910</v>
      </c>
      <c r="C212" s="12">
        <v>45335.107726099537</v>
      </c>
      <c r="D212" t="s" s="13">
        <v>15</v>
      </c>
      <c r="E212" t="s" s="13">
        <v>16</v>
      </c>
      <c r="F212" s="14">
        <v>4</v>
      </c>
      <c r="G212" s="15">
        <v>9.99</v>
      </c>
      <c r="H212" s="15">
        <v>39.96</v>
      </c>
    </row>
    <row r="213" ht="12.9" customHeight="1">
      <c r="A213" t="s" s="10">
        <v>2911</v>
      </c>
      <c r="B213" t="s" s="11">
        <v>1536</v>
      </c>
      <c r="C213" s="12">
        <v>45335</v>
      </c>
      <c r="D213" t="s" s="13">
        <v>1550</v>
      </c>
      <c r="E213" t="s" s="13">
        <v>1551</v>
      </c>
      <c r="F213" s="14">
        <v>1</v>
      </c>
      <c r="G213" s="15">
        <v>3999.99</v>
      </c>
      <c r="H213" s="15">
        <v>3999.99</v>
      </c>
    </row>
    <row r="214" ht="12.9" customHeight="1">
      <c r="A214" t="s" s="10">
        <v>2911</v>
      </c>
      <c r="B214" t="s" s="11">
        <v>1536</v>
      </c>
      <c r="C214" s="12">
        <v>45335</v>
      </c>
      <c r="D214" t="s" s="13">
        <v>23</v>
      </c>
      <c r="E214" t="s" s="13">
        <v>24</v>
      </c>
      <c r="F214" s="14">
        <v>1</v>
      </c>
      <c r="G214" s="15">
        <v>149.99</v>
      </c>
      <c r="H214" s="15">
        <v>149.99</v>
      </c>
    </row>
    <row r="215" ht="12.9" customHeight="1">
      <c r="A215" t="s" s="10">
        <v>2911</v>
      </c>
      <c r="B215" t="s" s="11">
        <v>1536</v>
      </c>
      <c r="C215" s="12">
        <v>45335</v>
      </c>
      <c r="D215" t="s" s="13">
        <v>84</v>
      </c>
      <c r="E215" t="s" s="13">
        <v>2685</v>
      </c>
      <c r="F215" s="14">
        <v>1</v>
      </c>
      <c r="G215" s="15">
        <v>0</v>
      </c>
      <c r="H215" s="15">
        <v>0</v>
      </c>
    </row>
    <row r="216" ht="12.9" customHeight="1">
      <c r="A216" t="s" s="10">
        <v>2911</v>
      </c>
      <c r="B216" t="s" s="11">
        <v>1536</v>
      </c>
      <c r="C216" s="12">
        <v>45335</v>
      </c>
      <c r="D216" t="s" s="13">
        <v>63</v>
      </c>
      <c r="E216" s="16"/>
      <c r="F216" s="14">
        <v>1</v>
      </c>
      <c r="G216" s="15">
        <v>576.4400000000001</v>
      </c>
      <c r="H216" s="15">
        <v>576.4400000000001</v>
      </c>
    </row>
    <row r="217" ht="12.9" customHeight="1">
      <c r="A217" t="s" s="10">
        <v>2912</v>
      </c>
      <c r="B217" t="s" s="11">
        <v>467</v>
      </c>
      <c r="C217" s="12">
        <v>45335</v>
      </c>
      <c r="D217" t="s" s="13">
        <v>691</v>
      </c>
      <c r="E217" t="s" s="13">
        <v>692</v>
      </c>
      <c r="F217" s="14">
        <v>1</v>
      </c>
      <c r="G217" s="15">
        <v>334.99</v>
      </c>
      <c r="H217" s="15">
        <v>334.99</v>
      </c>
    </row>
    <row r="218" ht="12.9" customHeight="1">
      <c r="A218" t="s" s="10">
        <v>2912</v>
      </c>
      <c r="B218" t="s" s="11">
        <v>467</v>
      </c>
      <c r="C218" s="12">
        <v>45335</v>
      </c>
      <c r="D218" t="s" s="13">
        <v>23</v>
      </c>
      <c r="E218" t="s" s="13">
        <v>24</v>
      </c>
      <c r="F218" s="14">
        <v>1</v>
      </c>
      <c r="G218" s="15">
        <v>149.99</v>
      </c>
      <c r="H218" s="15">
        <v>149.99</v>
      </c>
    </row>
    <row r="219" ht="12.9" customHeight="1">
      <c r="A219" t="s" s="10">
        <v>2912</v>
      </c>
      <c r="B219" t="s" s="11">
        <v>467</v>
      </c>
      <c r="C219" s="12">
        <v>45335</v>
      </c>
      <c r="D219" t="s" s="13">
        <v>63</v>
      </c>
      <c r="E219" s="16"/>
      <c r="F219" s="14">
        <v>1</v>
      </c>
      <c r="G219" s="15">
        <v>52.81</v>
      </c>
      <c r="H219" s="15">
        <v>52.81</v>
      </c>
    </row>
    <row r="220" ht="12.9" customHeight="1">
      <c r="A220" t="s" s="10">
        <v>2913</v>
      </c>
      <c r="B220" t="s" s="11">
        <v>2914</v>
      </c>
      <c r="C220" s="12">
        <v>45334.9932565162</v>
      </c>
      <c r="D220" t="s" s="13">
        <v>27</v>
      </c>
      <c r="E220" t="s" s="13">
        <v>28</v>
      </c>
      <c r="F220" s="14">
        <v>2</v>
      </c>
      <c r="G220" s="15">
        <v>79.98999999999999</v>
      </c>
      <c r="H220" s="15">
        <v>159.98</v>
      </c>
    </row>
    <row r="221" ht="12.9" customHeight="1">
      <c r="A221" t="s" s="10">
        <v>2915</v>
      </c>
      <c r="B221" t="s" s="11">
        <v>2916</v>
      </c>
      <c r="C221" s="12">
        <v>45334.883942847220</v>
      </c>
      <c r="D221" t="s" s="13">
        <v>19</v>
      </c>
      <c r="E221" t="s" s="13">
        <v>20</v>
      </c>
      <c r="F221" s="14">
        <v>3</v>
      </c>
      <c r="G221" s="15">
        <v>119.99</v>
      </c>
      <c r="H221" s="15">
        <v>359.97</v>
      </c>
    </row>
    <row r="222" ht="12.9" customHeight="1">
      <c r="A222" t="s" s="10">
        <v>2915</v>
      </c>
      <c r="B222" t="s" s="11">
        <v>2916</v>
      </c>
      <c r="C222" s="12">
        <v>45334.883942847220</v>
      </c>
      <c r="D222" t="s" s="13">
        <v>15</v>
      </c>
      <c r="E222" t="s" s="13">
        <v>16</v>
      </c>
      <c r="F222" s="14">
        <v>3</v>
      </c>
      <c r="G222" s="15">
        <v>9.99</v>
      </c>
      <c r="H222" s="15">
        <v>29.97</v>
      </c>
    </row>
    <row r="223" ht="12.9" customHeight="1">
      <c r="A223" t="s" s="10">
        <v>2917</v>
      </c>
      <c r="B223" t="s" s="11">
        <v>2918</v>
      </c>
      <c r="C223" s="12">
        <v>45334.869628240740</v>
      </c>
      <c r="D223" t="s" s="13">
        <v>27</v>
      </c>
      <c r="E223" t="s" s="13">
        <v>28</v>
      </c>
      <c r="F223" s="14">
        <v>1</v>
      </c>
      <c r="G223" s="15">
        <v>79.98999999999999</v>
      </c>
      <c r="H223" s="15">
        <v>79.98999999999999</v>
      </c>
    </row>
    <row r="224" ht="12.9" customHeight="1">
      <c r="A224" t="s" s="10">
        <v>2919</v>
      </c>
      <c r="B224" t="s" s="11">
        <v>2522</v>
      </c>
      <c r="C224" s="12">
        <v>45334.802182939813</v>
      </c>
      <c r="D224" t="s" s="13">
        <v>27</v>
      </c>
      <c r="E224" t="s" s="13">
        <v>28</v>
      </c>
      <c r="F224" s="14">
        <v>2</v>
      </c>
      <c r="G224" s="15">
        <v>79.98999999999999</v>
      </c>
      <c r="H224" s="15">
        <v>159.98</v>
      </c>
    </row>
    <row r="225" ht="12.9" customHeight="1">
      <c r="A225" t="s" s="10">
        <v>2920</v>
      </c>
      <c r="B225" t="s" s="11">
        <v>704</v>
      </c>
      <c r="C225" s="12">
        <v>45334</v>
      </c>
      <c r="D225" t="s" s="13">
        <v>27</v>
      </c>
      <c r="E225" t="s" s="13">
        <v>28</v>
      </c>
      <c r="F225" s="14">
        <v>12</v>
      </c>
      <c r="G225" s="15">
        <v>59.99</v>
      </c>
      <c r="H225" s="15">
        <v>719.88</v>
      </c>
    </row>
    <row r="226" ht="12.9" customHeight="1">
      <c r="A226" t="s" s="10">
        <v>2921</v>
      </c>
      <c r="B226" t="s" s="11">
        <v>69</v>
      </c>
      <c r="C226" s="12">
        <v>45334</v>
      </c>
      <c r="D226" t="s" s="13">
        <v>48</v>
      </c>
      <c r="E226" t="s" s="13">
        <v>2922</v>
      </c>
      <c r="F226" s="14">
        <v>5</v>
      </c>
      <c r="G226" s="15">
        <v>900</v>
      </c>
      <c r="H226" s="15">
        <v>4500</v>
      </c>
    </row>
    <row r="227" ht="12.9" customHeight="1">
      <c r="A227" t="s" s="10">
        <v>2921</v>
      </c>
      <c r="B227" t="s" s="11">
        <v>69</v>
      </c>
      <c r="C227" s="12">
        <v>45334</v>
      </c>
      <c r="D227" t="s" s="13">
        <v>50</v>
      </c>
      <c r="E227" t="s" s="13">
        <v>83</v>
      </c>
      <c r="F227" s="14">
        <v>5</v>
      </c>
      <c r="G227" s="15">
        <v>0</v>
      </c>
      <c r="H227" s="15">
        <v>0</v>
      </c>
    </row>
    <row r="228" ht="12.9" customHeight="1">
      <c r="A228" t="s" s="10">
        <v>2921</v>
      </c>
      <c r="B228" t="s" s="11">
        <v>69</v>
      </c>
      <c r="C228" s="12">
        <v>45334</v>
      </c>
      <c r="D228" t="s" s="13">
        <v>52</v>
      </c>
      <c r="E228" t="s" s="13">
        <v>321</v>
      </c>
      <c r="F228" s="14">
        <v>5</v>
      </c>
      <c r="G228" s="15">
        <v>0</v>
      </c>
      <c r="H228" s="15">
        <v>0</v>
      </c>
    </row>
    <row r="229" ht="12.9" customHeight="1">
      <c r="A229" t="s" s="10">
        <v>2921</v>
      </c>
      <c r="B229" t="s" s="11">
        <v>69</v>
      </c>
      <c r="C229" s="12">
        <v>45334</v>
      </c>
      <c r="D229" t="s" s="13">
        <v>1875</v>
      </c>
      <c r="E229" t="s" s="13">
        <v>2272</v>
      </c>
      <c r="F229" s="14">
        <v>20</v>
      </c>
      <c r="G229" s="15">
        <v>187.4925</v>
      </c>
      <c r="H229" s="15">
        <v>3749.85</v>
      </c>
    </row>
    <row r="230" ht="12.9" customHeight="1">
      <c r="A230" t="s" s="10">
        <v>2921</v>
      </c>
      <c r="B230" t="s" s="11">
        <v>69</v>
      </c>
      <c r="C230" s="12">
        <v>45334</v>
      </c>
      <c r="D230" t="s" s="13">
        <v>106</v>
      </c>
      <c r="E230" t="s" s="13">
        <v>502</v>
      </c>
      <c r="F230" s="14">
        <v>80</v>
      </c>
      <c r="G230" s="15">
        <v>48.7425</v>
      </c>
      <c r="H230" s="15">
        <v>3899.4</v>
      </c>
    </row>
    <row r="231" ht="12.9" customHeight="1">
      <c r="A231" t="s" s="10">
        <v>2921</v>
      </c>
      <c r="B231" t="s" s="11">
        <v>69</v>
      </c>
      <c r="C231" s="12">
        <v>45334</v>
      </c>
      <c r="D231" t="s" s="13">
        <v>47</v>
      </c>
      <c r="E231" s="16"/>
      <c r="F231" s="14">
        <v>1</v>
      </c>
      <c r="G231" s="15">
        <v>121.55</v>
      </c>
      <c r="H231" s="15">
        <v>121.55</v>
      </c>
    </row>
    <row r="232" ht="12.9" customHeight="1">
      <c r="A232" t="s" s="10">
        <v>2923</v>
      </c>
      <c r="B232" t="s" s="11">
        <v>2924</v>
      </c>
      <c r="C232" s="12">
        <v>45331.894605057867</v>
      </c>
      <c r="D232" t="s" s="13">
        <v>35</v>
      </c>
      <c r="E232" t="s" s="13">
        <v>36</v>
      </c>
      <c r="F232" s="14">
        <v>2</v>
      </c>
      <c r="G232" s="15">
        <v>49.99</v>
      </c>
      <c r="H232" s="15">
        <v>99.98</v>
      </c>
    </row>
    <row r="233" ht="12.9" customHeight="1">
      <c r="A233" t="s" s="10">
        <v>2925</v>
      </c>
      <c r="B233" t="s" s="11">
        <v>2714</v>
      </c>
      <c r="C233" s="12">
        <v>45331.841858541666</v>
      </c>
      <c r="D233" t="s" s="13">
        <v>39</v>
      </c>
      <c r="E233" t="s" s="13">
        <v>40</v>
      </c>
      <c r="F233" s="14">
        <v>2</v>
      </c>
      <c r="G233" s="15">
        <v>109.99</v>
      </c>
      <c r="H233" s="15">
        <v>219.98</v>
      </c>
    </row>
    <row r="234" ht="12.9" customHeight="1">
      <c r="A234" t="s" s="10">
        <v>2925</v>
      </c>
      <c r="B234" t="s" s="11">
        <v>2714</v>
      </c>
      <c r="C234" s="12">
        <v>45331.841858541666</v>
      </c>
      <c r="D234" t="s" s="13">
        <v>1479</v>
      </c>
      <c r="E234" t="s" s="13">
        <v>1480</v>
      </c>
      <c r="F234" s="14">
        <v>2</v>
      </c>
      <c r="G234" s="15">
        <v>299.99</v>
      </c>
      <c r="H234" s="15">
        <v>599.98</v>
      </c>
    </row>
    <row r="235" ht="12.9" customHeight="1">
      <c r="A235" t="s" s="10">
        <v>2926</v>
      </c>
      <c r="B235" t="s" s="11">
        <v>2401</v>
      </c>
      <c r="C235" s="12">
        <v>45331.318267407405</v>
      </c>
      <c r="D235" t="s" s="13">
        <v>31</v>
      </c>
      <c r="E235" t="s" s="13">
        <v>32</v>
      </c>
      <c r="F235" s="14">
        <v>1</v>
      </c>
      <c r="G235" s="15">
        <v>591.65</v>
      </c>
      <c r="H235" s="15">
        <v>591.65</v>
      </c>
    </row>
    <row r="236" ht="12.9" customHeight="1">
      <c r="A236" t="s" s="10">
        <v>2926</v>
      </c>
      <c r="B236" t="s" s="11">
        <v>2401</v>
      </c>
      <c r="C236" s="12">
        <v>45331.318267407405</v>
      </c>
      <c r="D236" t="s" s="13">
        <v>35</v>
      </c>
      <c r="E236" t="s" s="13">
        <v>36</v>
      </c>
      <c r="F236" s="14">
        <v>2</v>
      </c>
      <c r="G236" s="15">
        <v>41.66</v>
      </c>
      <c r="H236" s="15">
        <v>83.31999999999999</v>
      </c>
    </row>
    <row r="237" ht="12.9" customHeight="1">
      <c r="A237" t="s" s="10">
        <v>2927</v>
      </c>
      <c r="B237" t="s" s="11">
        <v>2928</v>
      </c>
      <c r="C237" s="12">
        <v>45331.224025416668</v>
      </c>
      <c r="D237" t="s" s="13">
        <v>73</v>
      </c>
      <c r="E237" t="s" s="13">
        <v>74</v>
      </c>
      <c r="F237" s="14">
        <v>1</v>
      </c>
      <c r="G237" s="15">
        <v>399.99</v>
      </c>
      <c r="H237" s="15">
        <v>399.99</v>
      </c>
    </row>
    <row r="238" ht="12.9" customHeight="1">
      <c r="A238" t="s" s="10">
        <v>2929</v>
      </c>
      <c r="B238" t="s" s="11">
        <v>2522</v>
      </c>
      <c r="C238" s="12">
        <v>45331.039601574077</v>
      </c>
      <c r="D238" t="s" s="13">
        <v>59</v>
      </c>
      <c r="E238" t="s" s="13">
        <v>60</v>
      </c>
      <c r="F238" s="14">
        <v>1</v>
      </c>
      <c r="G238" s="15">
        <v>1199.99</v>
      </c>
      <c r="H238" s="15">
        <v>1199.99</v>
      </c>
    </row>
    <row r="239" ht="12.9" customHeight="1">
      <c r="A239" t="s" s="10">
        <v>2929</v>
      </c>
      <c r="B239" t="s" s="11">
        <v>2522</v>
      </c>
      <c r="C239" s="12">
        <v>45331.039601574077</v>
      </c>
      <c r="D239" t="s" s="13">
        <v>123</v>
      </c>
      <c r="E239" t="s" s="13">
        <v>124</v>
      </c>
      <c r="F239" s="14">
        <v>2</v>
      </c>
      <c r="G239" s="15">
        <v>179.99</v>
      </c>
      <c r="H239" s="15">
        <v>359.98</v>
      </c>
    </row>
    <row r="240" ht="12.9" customHeight="1">
      <c r="A240" t="s" s="10">
        <v>2929</v>
      </c>
      <c r="B240" t="s" s="11">
        <v>2522</v>
      </c>
      <c r="C240" s="12">
        <v>45331.039601574077</v>
      </c>
      <c r="D240" t="s" s="13">
        <v>125</v>
      </c>
      <c r="E240" t="s" s="13">
        <v>126</v>
      </c>
      <c r="F240" s="14">
        <v>8</v>
      </c>
      <c r="G240" s="15">
        <v>64.98999999999999</v>
      </c>
      <c r="H240" s="15">
        <v>519.92</v>
      </c>
    </row>
    <row r="241" ht="12.9" customHeight="1">
      <c r="A241" t="s" s="10">
        <v>2929</v>
      </c>
      <c r="B241" t="s" s="11">
        <v>2522</v>
      </c>
      <c r="C241" s="12">
        <v>45331.039601574077</v>
      </c>
      <c r="D241" t="s" s="13">
        <v>146</v>
      </c>
      <c r="E241" t="s" s="13">
        <v>147</v>
      </c>
      <c r="F241" s="14">
        <v>8</v>
      </c>
      <c r="G241" s="15">
        <v>19.99</v>
      </c>
      <c r="H241" s="15">
        <v>159.92</v>
      </c>
    </row>
    <row r="242" ht="12.9" customHeight="1">
      <c r="A242" t="s" s="10">
        <v>2929</v>
      </c>
      <c r="B242" t="s" s="11">
        <v>2522</v>
      </c>
      <c r="C242" s="12">
        <v>45331.039601574077</v>
      </c>
      <c r="D242" t="s" s="13">
        <v>487</v>
      </c>
      <c r="E242" t="s" s="13">
        <v>488</v>
      </c>
      <c r="F242" s="14">
        <v>3</v>
      </c>
      <c r="G242" s="15">
        <v>109.99</v>
      </c>
      <c r="H242" s="15">
        <v>329.97</v>
      </c>
    </row>
    <row r="243" ht="12.9" customHeight="1">
      <c r="A243" t="s" s="10">
        <v>2929</v>
      </c>
      <c r="B243" t="s" s="11">
        <v>2522</v>
      </c>
      <c r="C243" s="12">
        <v>45331.039601574077</v>
      </c>
      <c r="D243" t="s" s="13">
        <v>369</v>
      </c>
      <c r="E243" t="s" s="13">
        <v>370</v>
      </c>
      <c r="F243" s="14">
        <v>1</v>
      </c>
      <c r="G243" s="15">
        <v>12.99</v>
      </c>
      <c r="H243" s="15">
        <v>12.99</v>
      </c>
    </row>
    <row r="244" ht="12.9" customHeight="1">
      <c r="A244" t="s" s="10">
        <v>2930</v>
      </c>
      <c r="B244" t="s" s="11">
        <v>2931</v>
      </c>
      <c r="C244" s="12">
        <v>45331</v>
      </c>
      <c r="D244" t="s" s="13">
        <v>2932</v>
      </c>
      <c r="E244" t="s" s="13">
        <v>2933</v>
      </c>
      <c r="F244" s="14">
        <v>1</v>
      </c>
      <c r="G244" s="15">
        <v>320</v>
      </c>
      <c r="H244" s="15">
        <v>320</v>
      </c>
    </row>
    <row r="245" ht="12.9" customHeight="1">
      <c r="A245" t="s" s="10">
        <v>2930</v>
      </c>
      <c r="B245" t="s" s="11">
        <v>2931</v>
      </c>
      <c r="C245" s="12">
        <v>45331</v>
      </c>
      <c r="D245" t="s" s="13">
        <v>63</v>
      </c>
      <c r="E245" s="16"/>
      <c r="F245" s="14">
        <v>1</v>
      </c>
      <c r="G245" s="15">
        <v>12.65</v>
      </c>
      <c r="H245" s="15">
        <v>12.65</v>
      </c>
    </row>
    <row r="246" ht="12.9" customHeight="1">
      <c r="A246" t="s" s="10">
        <v>2934</v>
      </c>
      <c r="B246" t="s" s="11">
        <v>2935</v>
      </c>
      <c r="C246" s="12">
        <v>45331</v>
      </c>
      <c r="D246" t="s" s="13">
        <v>772</v>
      </c>
      <c r="E246" t="s" s="13">
        <v>773</v>
      </c>
      <c r="F246" s="14">
        <v>4</v>
      </c>
      <c r="G246" s="15">
        <v>40</v>
      </c>
      <c r="H246" s="15">
        <v>160</v>
      </c>
    </row>
    <row r="247" ht="12.9" customHeight="1">
      <c r="A247" t="s" s="10">
        <v>2934</v>
      </c>
      <c r="B247" t="s" s="11">
        <v>2935</v>
      </c>
      <c r="C247" s="12">
        <v>45331</v>
      </c>
      <c r="D247" t="s" s="13">
        <v>780</v>
      </c>
      <c r="E247" t="s" s="13">
        <v>780</v>
      </c>
      <c r="F247" s="14">
        <v>8</v>
      </c>
      <c r="G247" s="15">
        <v>0</v>
      </c>
      <c r="H247" s="15">
        <v>0</v>
      </c>
    </row>
    <row r="248" ht="12.9" customHeight="1">
      <c r="A248" t="s" s="10">
        <v>2934</v>
      </c>
      <c r="B248" t="s" s="11">
        <v>2935</v>
      </c>
      <c r="C248" s="12">
        <v>45331</v>
      </c>
      <c r="D248" t="s" s="13">
        <v>258</v>
      </c>
      <c r="E248" t="s" s="13">
        <v>774</v>
      </c>
      <c r="F248" s="14">
        <v>8</v>
      </c>
      <c r="G248" s="15">
        <v>0</v>
      </c>
      <c r="H248" s="15">
        <v>0</v>
      </c>
    </row>
    <row r="249" ht="12.9" customHeight="1">
      <c r="A249" t="s" s="10">
        <v>2934</v>
      </c>
      <c r="B249" t="s" s="11">
        <v>2935</v>
      </c>
      <c r="C249" s="12">
        <v>45331</v>
      </c>
      <c r="D249" t="s" s="13">
        <v>52</v>
      </c>
      <c r="E249" t="s" s="13">
        <v>321</v>
      </c>
      <c r="F249" s="14">
        <v>4</v>
      </c>
      <c r="G249" s="15">
        <v>0</v>
      </c>
      <c r="H249" s="15">
        <v>0</v>
      </c>
    </row>
    <row r="250" ht="12.9" customHeight="1">
      <c r="A250" t="s" s="10">
        <v>2934</v>
      </c>
      <c r="B250" t="s" s="11">
        <v>2935</v>
      </c>
      <c r="C250" s="12">
        <v>45331</v>
      </c>
      <c r="D250" t="s" s="13">
        <v>63</v>
      </c>
      <c r="E250" s="16"/>
      <c r="F250" s="14">
        <v>1</v>
      </c>
      <c r="G250" s="15">
        <v>16.42</v>
      </c>
      <c r="H250" s="15">
        <v>16.42</v>
      </c>
    </row>
    <row r="251" ht="12.9" customHeight="1">
      <c r="A251" t="s" s="10">
        <v>2936</v>
      </c>
      <c r="B251" t="s" s="11">
        <v>476</v>
      </c>
      <c r="C251" s="12">
        <v>45331</v>
      </c>
      <c r="D251" t="s" s="13">
        <v>1155</v>
      </c>
      <c r="E251" t="s" s="13">
        <v>2937</v>
      </c>
      <c r="F251" s="14">
        <v>5</v>
      </c>
      <c r="G251" s="15">
        <v>1650</v>
      </c>
      <c r="H251" s="15">
        <v>8250</v>
      </c>
    </row>
    <row r="252" ht="12.9" customHeight="1">
      <c r="A252" t="s" s="10">
        <v>2936</v>
      </c>
      <c r="B252" t="s" s="11">
        <v>476</v>
      </c>
      <c r="C252" s="12">
        <v>45331</v>
      </c>
      <c r="D252" t="s" s="13">
        <v>998</v>
      </c>
      <c r="E252" t="s" s="13">
        <v>2938</v>
      </c>
      <c r="F252" s="14">
        <v>7</v>
      </c>
      <c r="G252" s="15">
        <v>900</v>
      </c>
      <c r="H252" s="15">
        <v>6300</v>
      </c>
    </row>
    <row r="253" ht="12.9" customHeight="1">
      <c r="A253" t="s" s="10">
        <v>2936</v>
      </c>
      <c r="B253" t="s" s="11">
        <v>476</v>
      </c>
      <c r="C253" s="12">
        <v>45331</v>
      </c>
      <c r="D253" t="s" s="13">
        <v>50</v>
      </c>
      <c r="E253" t="s" s="13">
        <v>83</v>
      </c>
      <c r="F253" s="14">
        <v>12</v>
      </c>
      <c r="G253" s="15">
        <v>0</v>
      </c>
      <c r="H253" s="15">
        <v>0</v>
      </c>
    </row>
    <row r="254" ht="12.9" customHeight="1">
      <c r="A254" t="s" s="10">
        <v>2936</v>
      </c>
      <c r="B254" t="s" s="11">
        <v>476</v>
      </c>
      <c r="C254" s="12">
        <v>45331</v>
      </c>
      <c r="D254" t="s" s="13">
        <v>59</v>
      </c>
      <c r="E254" t="s" s="13">
        <v>60</v>
      </c>
      <c r="F254" s="14">
        <v>1</v>
      </c>
      <c r="G254" s="15">
        <v>899.9924999999999</v>
      </c>
      <c r="H254" s="15">
        <v>899.9924999999999</v>
      </c>
    </row>
    <row r="255" ht="12.9" customHeight="1">
      <c r="A255" t="s" s="10">
        <v>2936</v>
      </c>
      <c r="B255" t="s" s="11">
        <v>476</v>
      </c>
      <c r="C255" s="12">
        <v>45331</v>
      </c>
      <c r="D255" t="s" s="13">
        <v>47</v>
      </c>
      <c r="E255" s="16"/>
      <c r="F255" s="14">
        <v>1</v>
      </c>
      <c r="G255" s="15">
        <v>116.25</v>
      </c>
      <c r="H255" s="15">
        <v>116.25</v>
      </c>
    </row>
    <row r="256" ht="12.9" customHeight="1">
      <c r="A256" t="s" s="10">
        <v>2939</v>
      </c>
      <c r="B256" t="s" s="11">
        <v>2940</v>
      </c>
      <c r="C256" s="12">
        <v>45331</v>
      </c>
      <c r="D256" t="s" s="13">
        <v>95</v>
      </c>
      <c r="E256" t="s" s="13">
        <v>12</v>
      </c>
      <c r="F256" s="14">
        <v>1</v>
      </c>
      <c r="G256" s="15">
        <v>314.991</v>
      </c>
      <c r="H256" s="15">
        <v>314.991</v>
      </c>
    </row>
    <row r="257" ht="12.9" customHeight="1">
      <c r="A257" t="s" s="10">
        <v>2941</v>
      </c>
      <c r="B257" t="s" s="11">
        <v>2942</v>
      </c>
      <c r="C257" s="12">
        <v>45330.0184721412</v>
      </c>
      <c r="D257" t="s" s="13">
        <v>35</v>
      </c>
      <c r="E257" t="s" s="13">
        <v>36</v>
      </c>
      <c r="F257" s="14">
        <v>2</v>
      </c>
      <c r="G257" s="15">
        <v>49.99</v>
      </c>
      <c r="H257" s="15">
        <v>99.98</v>
      </c>
    </row>
    <row r="258" ht="12.9" customHeight="1">
      <c r="A258" t="s" s="10">
        <v>2943</v>
      </c>
      <c r="B258" t="s" s="11">
        <v>2854</v>
      </c>
      <c r="C258" s="12">
        <v>45330</v>
      </c>
      <c r="D258" t="s" s="13">
        <v>81</v>
      </c>
      <c r="E258" t="s" s="13">
        <v>82</v>
      </c>
      <c r="F258" s="14">
        <v>8</v>
      </c>
      <c r="G258" s="15">
        <v>637.4924999999999</v>
      </c>
      <c r="H258" s="15">
        <v>5099.94</v>
      </c>
    </row>
    <row r="259" ht="12.9" customHeight="1">
      <c r="A259" t="s" s="10">
        <v>2943</v>
      </c>
      <c r="B259" t="s" s="11">
        <v>2854</v>
      </c>
      <c r="C259" s="12">
        <v>45330</v>
      </c>
      <c r="D259" t="s" s="13">
        <v>50</v>
      </c>
      <c r="E259" t="s" s="13">
        <v>83</v>
      </c>
      <c r="F259" s="14">
        <v>8</v>
      </c>
      <c r="G259" s="15">
        <v>0</v>
      </c>
      <c r="H259" s="15">
        <v>0</v>
      </c>
    </row>
    <row r="260" ht="12.9" customHeight="1">
      <c r="A260" t="s" s="10">
        <v>2943</v>
      </c>
      <c r="B260" t="s" s="11">
        <v>2854</v>
      </c>
      <c r="C260" s="12">
        <v>45330</v>
      </c>
      <c r="D260" t="s" s="13">
        <v>54</v>
      </c>
      <c r="E260" t="s" s="13">
        <v>93</v>
      </c>
      <c r="F260" s="14">
        <v>8</v>
      </c>
      <c r="G260" s="15">
        <v>0</v>
      </c>
      <c r="H260" s="15">
        <v>0</v>
      </c>
    </row>
    <row r="261" ht="12.9" customHeight="1">
      <c r="A261" t="s" s="10">
        <v>2943</v>
      </c>
      <c r="B261" t="s" s="11">
        <v>2854</v>
      </c>
      <c r="C261" s="12">
        <v>45330</v>
      </c>
      <c r="D261" t="s" s="13">
        <v>15</v>
      </c>
      <c r="E261" t="s" s="13">
        <v>16</v>
      </c>
      <c r="F261" s="14">
        <v>8</v>
      </c>
      <c r="G261" s="15">
        <v>0</v>
      </c>
      <c r="H261" s="15">
        <v>0</v>
      </c>
    </row>
    <row r="262" ht="12.9" customHeight="1">
      <c r="A262" t="s" s="10">
        <v>2943</v>
      </c>
      <c r="B262" t="s" s="11">
        <v>2854</v>
      </c>
      <c r="C262" s="12">
        <v>45330</v>
      </c>
      <c r="D262" t="s" s="13">
        <v>23</v>
      </c>
      <c r="E262" t="s" s="13">
        <v>24</v>
      </c>
      <c r="F262" s="14">
        <v>4</v>
      </c>
      <c r="G262" s="15">
        <v>0</v>
      </c>
      <c r="H262" s="15">
        <v>0</v>
      </c>
    </row>
    <row r="263" ht="12.9" customHeight="1">
      <c r="A263" t="s" s="10">
        <v>2943</v>
      </c>
      <c r="B263" t="s" s="11">
        <v>2854</v>
      </c>
      <c r="C263" s="12">
        <v>45330</v>
      </c>
      <c r="D263" t="s" s="13">
        <v>354</v>
      </c>
      <c r="E263" t="s" s="13">
        <v>2944</v>
      </c>
      <c r="F263" s="14">
        <v>1</v>
      </c>
      <c r="G263" s="15">
        <v>0</v>
      </c>
      <c r="H263" s="15">
        <v>0</v>
      </c>
    </row>
    <row r="264" ht="12.9" customHeight="1">
      <c r="A264" t="s" s="10">
        <v>2943</v>
      </c>
      <c r="B264" t="s" s="11">
        <v>2854</v>
      </c>
      <c r="C264" s="12">
        <v>45330</v>
      </c>
      <c r="D264" t="s" s="13">
        <v>213</v>
      </c>
      <c r="E264" t="s" s="13">
        <v>2945</v>
      </c>
      <c r="F264" s="14">
        <v>3</v>
      </c>
      <c r="G264" s="15">
        <v>318.75</v>
      </c>
      <c r="H264" s="15">
        <v>956.25</v>
      </c>
    </row>
    <row r="265" ht="12.9" customHeight="1">
      <c r="A265" t="s" s="10">
        <v>2943</v>
      </c>
      <c r="B265" t="s" s="11">
        <v>2854</v>
      </c>
      <c r="C265" s="12">
        <v>45330</v>
      </c>
      <c r="D265" t="s" s="13">
        <v>602</v>
      </c>
      <c r="E265" t="s" s="13">
        <v>686</v>
      </c>
      <c r="F265" s="14">
        <v>1</v>
      </c>
      <c r="G265" s="15">
        <v>224.9925</v>
      </c>
      <c r="H265" s="15">
        <v>224.9925</v>
      </c>
    </row>
    <row r="266" ht="12.9" customHeight="1">
      <c r="A266" t="s" s="10">
        <v>2943</v>
      </c>
      <c r="B266" t="s" s="11">
        <v>2854</v>
      </c>
      <c r="C266" s="12">
        <v>45330</v>
      </c>
      <c r="D266" t="s" s="13">
        <v>1875</v>
      </c>
      <c r="E266" t="s" s="13">
        <v>2272</v>
      </c>
      <c r="F266" s="14">
        <v>2</v>
      </c>
      <c r="G266" s="15">
        <v>187.4925</v>
      </c>
      <c r="H266" s="15">
        <v>374.985</v>
      </c>
    </row>
    <row r="267" ht="12.9" customHeight="1">
      <c r="A267" t="s" s="10">
        <v>2943</v>
      </c>
      <c r="B267" t="s" s="11">
        <v>2854</v>
      </c>
      <c r="C267" s="12">
        <v>45330</v>
      </c>
      <c r="D267" t="s" s="13">
        <v>73</v>
      </c>
      <c r="E267" t="s" s="13">
        <v>74</v>
      </c>
      <c r="F267" s="14">
        <v>4</v>
      </c>
      <c r="G267" s="15">
        <v>299.9925</v>
      </c>
      <c r="H267" s="15">
        <v>1199.97</v>
      </c>
    </row>
    <row r="268" ht="12.9" customHeight="1">
      <c r="A268" t="s" s="10">
        <v>2943</v>
      </c>
      <c r="B268" t="s" s="11">
        <v>2854</v>
      </c>
      <c r="C268" s="12">
        <v>45330</v>
      </c>
      <c r="D268" t="s" s="13">
        <v>31</v>
      </c>
      <c r="E268" t="s" s="13">
        <v>32</v>
      </c>
      <c r="F268" s="14">
        <v>2</v>
      </c>
      <c r="G268" s="15">
        <v>449.9925</v>
      </c>
      <c r="H268" s="15">
        <v>899.985</v>
      </c>
    </row>
    <row r="269" ht="12.9" customHeight="1">
      <c r="A269" t="s" s="10">
        <v>2943</v>
      </c>
      <c r="B269" t="s" s="11">
        <v>2854</v>
      </c>
      <c r="C269" s="12">
        <v>45330</v>
      </c>
      <c r="D269" t="s" s="13">
        <v>11</v>
      </c>
      <c r="E269" t="s" s="13">
        <v>12</v>
      </c>
      <c r="F269" s="14">
        <v>3</v>
      </c>
      <c r="G269" s="15">
        <v>299.9925</v>
      </c>
      <c r="H269" s="15">
        <v>899.9775</v>
      </c>
    </row>
    <row r="270" ht="12.9" customHeight="1">
      <c r="A270" t="s" s="10">
        <v>2943</v>
      </c>
      <c r="B270" t="s" s="11">
        <v>2854</v>
      </c>
      <c r="C270" s="12">
        <v>45330</v>
      </c>
      <c r="D270" t="s" s="13">
        <v>47</v>
      </c>
      <c r="E270" s="16"/>
      <c r="F270" s="14">
        <v>1</v>
      </c>
      <c r="G270" s="15">
        <v>221.66</v>
      </c>
      <c r="H270" s="15">
        <v>221.66</v>
      </c>
    </row>
    <row r="271" ht="12.9" customHeight="1">
      <c r="A271" t="s" s="10">
        <v>2946</v>
      </c>
      <c r="B271" t="s" s="11">
        <v>69</v>
      </c>
      <c r="C271" s="12">
        <v>45330</v>
      </c>
      <c r="D271" t="s" s="13">
        <v>1914</v>
      </c>
      <c r="E271" t="s" s="13">
        <v>1915</v>
      </c>
      <c r="F271" s="14">
        <v>2</v>
      </c>
      <c r="G271" s="15">
        <v>0</v>
      </c>
      <c r="H271" s="15">
        <v>0</v>
      </c>
    </row>
    <row r="272" ht="12.9" customHeight="1">
      <c r="A272" t="s" s="10">
        <v>2946</v>
      </c>
      <c r="B272" t="s" s="11">
        <v>69</v>
      </c>
      <c r="C272" s="12">
        <v>45330</v>
      </c>
      <c r="D272" t="s" s="13">
        <v>2947</v>
      </c>
      <c r="E272" t="s" s="13">
        <v>2948</v>
      </c>
      <c r="F272" s="14">
        <v>20</v>
      </c>
      <c r="G272" s="15">
        <v>0</v>
      </c>
      <c r="H272" s="15">
        <v>0</v>
      </c>
    </row>
    <row r="273" ht="12.9" customHeight="1">
      <c r="A273" t="s" s="10">
        <v>2946</v>
      </c>
      <c r="B273" t="s" s="11">
        <v>69</v>
      </c>
      <c r="C273" s="12">
        <v>45330</v>
      </c>
      <c r="D273" t="s" s="13">
        <v>2949</v>
      </c>
      <c r="E273" t="s" s="13">
        <v>2950</v>
      </c>
      <c r="F273" s="14">
        <v>20</v>
      </c>
      <c r="G273" s="15">
        <v>0</v>
      </c>
      <c r="H273" s="15">
        <v>0</v>
      </c>
    </row>
    <row r="274" ht="12.9" customHeight="1">
      <c r="A274" t="s" s="10">
        <v>2946</v>
      </c>
      <c r="B274" t="s" s="11">
        <v>69</v>
      </c>
      <c r="C274" s="12">
        <v>45330</v>
      </c>
      <c r="D274" t="s" s="13">
        <v>396</v>
      </c>
      <c r="E274" t="s" s="13">
        <v>2951</v>
      </c>
      <c r="F274" s="14">
        <v>8</v>
      </c>
      <c r="G274" s="15">
        <v>0</v>
      </c>
      <c r="H274" s="15">
        <v>0</v>
      </c>
    </row>
    <row r="275" ht="12.9" customHeight="1">
      <c r="A275" t="s" s="10">
        <v>2952</v>
      </c>
      <c r="B275" t="s" s="11">
        <v>2953</v>
      </c>
      <c r="C275" s="12">
        <v>45329.924662708334</v>
      </c>
      <c r="D275" t="s" s="13">
        <v>81</v>
      </c>
      <c r="E275" t="s" s="13">
        <v>82</v>
      </c>
      <c r="F275" s="14">
        <v>2</v>
      </c>
      <c r="G275" s="15">
        <v>849.99</v>
      </c>
      <c r="H275" s="15">
        <v>1699.98</v>
      </c>
    </row>
    <row r="276" ht="12.9" customHeight="1">
      <c r="A276" t="s" s="10">
        <v>2952</v>
      </c>
      <c r="B276" t="s" s="11">
        <v>2953</v>
      </c>
      <c r="C276" s="12">
        <v>45329.924662708334</v>
      </c>
      <c r="D276" t="s" s="13">
        <v>470</v>
      </c>
      <c r="E276" t="s" s="13">
        <v>517</v>
      </c>
      <c r="F276" s="14">
        <v>2</v>
      </c>
      <c r="G276" s="15">
        <v>100</v>
      </c>
      <c r="H276" s="15">
        <v>200</v>
      </c>
    </row>
    <row r="277" ht="12.9" customHeight="1">
      <c r="A277" t="s" s="10">
        <v>2952</v>
      </c>
      <c r="B277" t="s" s="11">
        <v>2953</v>
      </c>
      <c r="C277" s="12">
        <v>45329.924662708334</v>
      </c>
      <c r="D277" t="s" s="13">
        <v>50</v>
      </c>
      <c r="E277" t="s" s="13">
        <v>83</v>
      </c>
      <c r="F277" s="14">
        <v>2</v>
      </c>
      <c r="G277" s="15">
        <v>0</v>
      </c>
      <c r="H277" s="15">
        <v>0</v>
      </c>
    </row>
    <row r="278" ht="12.9" customHeight="1">
      <c r="A278" t="s" s="10">
        <v>2952</v>
      </c>
      <c r="B278" t="s" s="11">
        <v>2953</v>
      </c>
      <c r="C278" s="12">
        <v>45329.924662708334</v>
      </c>
      <c r="D278" t="s" s="13">
        <v>84</v>
      </c>
      <c r="E278" t="s" s="13">
        <v>2685</v>
      </c>
      <c r="F278" s="14">
        <v>2</v>
      </c>
      <c r="G278" s="15">
        <v>0</v>
      </c>
      <c r="H278" s="15">
        <v>0</v>
      </c>
    </row>
    <row r="279" ht="12.9" customHeight="1">
      <c r="A279" t="s" s="10">
        <v>2952</v>
      </c>
      <c r="B279" t="s" s="11">
        <v>2953</v>
      </c>
      <c r="C279" s="12">
        <v>45329.924662708334</v>
      </c>
      <c r="D279" t="s" s="13">
        <v>602</v>
      </c>
      <c r="E279" t="s" s="13">
        <v>686</v>
      </c>
      <c r="F279" s="14">
        <v>1</v>
      </c>
      <c r="G279" s="15">
        <v>299.99</v>
      </c>
      <c r="H279" s="15">
        <v>299.99</v>
      </c>
    </row>
    <row r="280" ht="12.9" customHeight="1">
      <c r="A280" t="s" s="10">
        <v>2952</v>
      </c>
      <c r="B280" t="s" s="11">
        <v>2953</v>
      </c>
      <c r="C280" s="12">
        <v>45329.924662708334</v>
      </c>
      <c r="D280" t="s" s="13">
        <v>23</v>
      </c>
      <c r="E280" t="s" s="13">
        <v>24</v>
      </c>
      <c r="F280" s="14">
        <v>1</v>
      </c>
      <c r="G280" s="15">
        <v>149.99</v>
      </c>
      <c r="H280" s="15">
        <v>149.99</v>
      </c>
    </row>
    <row r="281" ht="12.9" customHeight="1">
      <c r="A281" t="s" s="10">
        <v>2952</v>
      </c>
      <c r="B281" t="s" s="11">
        <v>2953</v>
      </c>
      <c r="C281" s="12">
        <v>45329.924662708334</v>
      </c>
      <c r="D281" t="s" s="13">
        <v>11</v>
      </c>
      <c r="E281" t="s" s="13">
        <v>12</v>
      </c>
      <c r="F281" s="14">
        <v>1</v>
      </c>
      <c r="G281" s="15">
        <v>399.99</v>
      </c>
      <c r="H281" s="15">
        <v>399.99</v>
      </c>
    </row>
    <row r="282" ht="12.9" customHeight="1">
      <c r="A282" t="s" s="10">
        <v>2952</v>
      </c>
      <c r="B282" t="s" s="11">
        <v>2953</v>
      </c>
      <c r="C282" s="12">
        <v>45329.924662708334</v>
      </c>
      <c r="D282" t="s" s="13">
        <v>15</v>
      </c>
      <c r="E282" t="s" s="13">
        <v>16</v>
      </c>
      <c r="F282" s="14">
        <v>2</v>
      </c>
      <c r="G282" s="15">
        <v>9.99</v>
      </c>
      <c r="H282" s="15">
        <v>19.98</v>
      </c>
    </row>
    <row r="283" ht="12.9" customHeight="1">
      <c r="A283" t="s" s="10">
        <v>2954</v>
      </c>
      <c r="B283" t="s" s="11">
        <v>2955</v>
      </c>
      <c r="C283" s="12">
        <v>45329.767132673609</v>
      </c>
      <c r="D283" t="s" s="13">
        <v>15</v>
      </c>
      <c r="E283" t="s" s="13">
        <v>16</v>
      </c>
      <c r="F283" s="14">
        <v>1</v>
      </c>
      <c r="G283" s="15">
        <v>9.99</v>
      </c>
      <c r="H283" s="15">
        <v>9.99</v>
      </c>
    </row>
    <row r="284" ht="12.9" customHeight="1">
      <c r="A284" t="s" s="10">
        <v>2956</v>
      </c>
      <c r="B284" t="s" s="11">
        <v>2957</v>
      </c>
      <c r="C284" s="12">
        <v>45329.7484634375</v>
      </c>
      <c r="D284" t="s" s="13">
        <v>35</v>
      </c>
      <c r="E284" t="s" s="13">
        <v>36</v>
      </c>
      <c r="F284" s="14">
        <v>2</v>
      </c>
      <c r="G284" s="15">
        <v>49.99</v>
      </c>
      <c r="H284" s="15">
        <v>99.98</v>
      </c>
    </row>
    <row r="285" ht="12.9" customHeight="1">
      <c r="A285" t="s" s="10">
        <v>2958</v>
      </c>
      <c r="B285" t="s" s="11">
        <v>473</v>
      </c>
      <c r="C285" s="12">
        <v>45329</v>
      </c>
      <c r="D285" t="s" s="13">
        <v>48</v>
      </c>
      <c r="E285" t="s" s="13">
        <v>49</v>
      </c>
      <c r="F285" s="14">
        <v>14</v>
      </c>
      <c r="G285" s="15">
        <v>900</v>
      </c>
      <c r="H285" s="15">
        <v>12600</v>
      </c>
    </row>
    <row r="286" ht="12.9" customHeight="1">
      <c r="A286" t="s" s="10">
        <v>2958</v>
      </c>
      <c r="B286" t="s" s="11">
        <v>473</v>
      </c>
      <c r="C286" s="12">
        <v>45329</v>
      </c>
      <c r="D286" t="s" s="13">
        <v>50</v>
      </c>
      <c r="E286" t="s" s="13">
        <v>83</v>
      </c>
      <c r="F286" s="14">
        <v>14</v>
      </c>
      <c r="G286" s="15">
        <v>0</v>
      </c>
      <c r="H286" s="15">
        <v>0</v>
      </c>
    </row>
    <row r="287" ht="12.9" customHeight="1">
      <c r="A287" t="s" s="10">
        <v>2958</v>
      </c>
      <c r="B287" t="s" s="11">
        <v>473</v>
      </c>
      <c r="C287" s="12">
        <v>45329</v>
      </c>
      <c r="D287" t="s" s="13">
        <v>52</v>
      </c>
      <c r="E287" t="s" s="13">
        <v>321</v>
      </c>
      <c r="F287" s="14">
        <v>14</v>
      </c>
      <c r="G287" s="15">
        <v>0</v>
      </c>
      <c r="H287" s="15">
        <v>0</v>
      </c>
    </row>
    <row r="288" ht="12.9" customHeight="1">
      <c r="A288" t="s" s="10">
        <v>2958</v>
      </c>
      <c r="B288" t="s" s="11">
        <v>473</v>
      </c>
      <c r="C288" s="12">
        <v>45329</v>
      </c>
      <c r="D288" t="s" s="13">
        <v>359</v>
      </c>
      <c r="E288" t="s" s="13">
        <v>360</v>
      </c>
      <c r="F288" s="14">
        <v>28</v>
      </c>
      <c r="G288" s="15">
        <v>22.4925</v>
      </c>
      <c r="H288" s="15">
        <v>629.79</v>
      </c>
    </row>
    <row r="289" ht="12.9" customHeight="1">
      <c r="A289" t="s" s="10">
        <v>2958</v>
      </c>
      <c r="B289" t="s" s="11">
        <v>473</v>
      </c>
      <c r="C289" s="12">
        <v>45329</v>
      </c>
      <c r="D289" t="s" s="13">
        <v>47</v>
      </c>
      <c r="E289" s="16"/>
      <c r="F289" s="14">
        <v>1</v>
      </c>
      <c r="G289" s="15">
        <v>171.8</v>
      </c>
      <c r="H289" s="15">
        <v>171.8</v>
      </c>
    </row>
    <row r="290" ht="12.9" customHeight="1">
      <c r="A290" t="s" s="10">
        <v>2959</v>
      </c>
      <c r="B290" t="s" s="11">
        <v>391</v>
      </c>
      <c r="C290" s="12">
        <v>45329</v>
      </c>
      <c r="D290" t="s" s="13">
        <v>1306</v>
      </c>
      <c r="E290" t="s" s="13">
        <v>1307</v>
      </c>
      <c r="F290" s="14">
        <v>2</v>
      </c>
      <c r="G290" s="15">
        <v>0</v>
      </c>
      <c r="H290" s="15">
        <v>0</v>
      </c>
    </row>
    <row r="291" ht="12.9" customHeight="1">
      <c r="A291" t="s" s="10">
        <v>2959</v>
      </c>
      <c r="B291" t="s" s="11">
        <v>391</v>
      </c>
      <c r="C291" s="12">
        <v>45329</v>
      </c>
      <c r="D291" t="s" s="13">
        <v>2960</v>
      </c>
      <c r="E291" t="s" s="13">
        <v>2960</v>
      </c>
      <c r="F291" s="14">
        <v>1</v>
      </c>
      <c r="G291" s="15">
        <v>0</v>
      </c>
      <c r="H291" s="15">
        <v>0</v>
      </c>
    </row>
    <row r="292" ht="12.9" customHeight="1">
      <c r="A292" t="s" s="10">
        <v>2959</v>
      </c>
      <c r="B292" t="s" s="11">
        <v>391</v>
      </c>
      <c r="C292" s="12">
        <v>45329</v>
      </c>
      <c r="D292" t="s" s="13">
        <v>2961</v>
      </c>
      <c r="E292" t="s" s="13">
        <v>2962</v>
      </c>
      <c r="F292" s="14">
        <v>50</v>
      </c>
      <c r="G292" s="15">
        <v>14</v>
      </c>
      <c r="H292" s="15">
        <v>700</v>
      </c>
    </row>
    <row r="293" ht="12.9" customHeight="1">
      <c r="A293" t="s" s="10">
        <v>2959</v>
      </c>
      <c r="B293" t="s" s="11">
        <v>391</v>
      </c>
      <c r="C293" s="12">
        <v>45329</v>
      </c>
      <c r="D293" t="s" s="13">
        <v>904</v>
      </c>
      <c r="E293" t="s" s="13">
        <v>2963</v>
      </c>
      <c r="F293" s="14">
        <v>4</v>
      </c>
      <c r="G293" s="15">
        <v>412.4925</v>
      </c>
      <c r="H293" s="15">
        <v>1649.97</v>
      </c>
    </row>
    <row r="294" ht="12.9" customHeight="1">
      <c r="A294" t="s" s="10">
        <v>2959</v>
      </c>
      <c r="B294" t="s" s="11">
        <v>391</v>
      </c>
      <c r="C294" s="12">
        <v>45329</v>
      </c>
      <c r="D294" t="s" s="13">
        <v>778</v>
      </c>
      <c r="E294" t="s" s="13">
        <v>2964</v>
      </c>
      <c r="F294" s="14">
        <v>8</v>
      </c>
      <c r="G294" s="15">
        <v>224.9925</v>
      </c>
      <c r="H294" s="15">
        <v>1799.94</v>
      </c>
    </row>
    <row r="295" ht="12.9" customHeight="1">
      <c r="A295" t="s" s="10">
        <v>2959</v>
      </c>
      <c r="B295" t="s" s="11">
        <v>391</v>
      </c>
      <c r="C295" s="12">
        <v>45329</v>
      </c>
      <c r="D295" t="s" s="13">
        <v>2965</v>
      </c>
      <c r="E295" t="s" s="13">
        <v>2966</v>
      </c>
      <c r="F295" s="14">
        <v>4</v>
      </c>
      <c r="G295" s="15">
        <v>187.4925</v>
      </c>
      <c r="H295" s="15">
        <v>749.97</v>
      </c>
    </row>
    <row r="296" ht="12.9" customHeight="1">
      <c r="A296" t="s" s="10">
        <v>2959</v>
      </c>
      <c r="B296" t="s" s="11">
        <v>391</v>
      </c>
      <c r="C296" s="12">
        <v>45329</v>
      </c>
      <c r="D296" t="s" s="13">
        <v>902</v>
      </c>
      <c r="E296" t="s" s="13">
        <v>2967</v>
      </c>
      <c r="F296" s="14">
        <v>4</v>
      </c>
      <c r="G296" s="15">
        <v>149.9925</v>
      </c>
      <c r="H296" s="15">
        <v>599.97</v>
      </c>
    </row>
    <row r="297" ht="12.9" customHeight="1">
      <c r="A297" t="s" s="10">
        <v>2959</v>
      </c>
      <c r="B297" t="s" s="11">
        <v>391</v>
      </c>
      <c r="C297" s="12">
        <v>45329</v>
      </c>
      <c r="D297" t="s" s="13">
        <v>2404</v>
      </c>
      <c r="E297" t="s" s="13">
        <v>2405</v>
      </c>
      <c r="F297" s="14">
        <v>4</v>
      </c>
      <c r="G297" s="15">
        <v>112.4925</v>
      </c>
      <c r="H297" s="15">
        <v>449.97</v>
      </c>
    </row>
    <row r="298" ht="12.9" customHeight="1">
      <c r="A298" t="s" s="10">
        <v>2959</v>
      </c>
      <c r="B298" t="s" s="11">
        <v>391</v>
      </c>
      <c r="C298" s="12">
        <v>45329</v>
      </c>
      <c r="D298" t="s" s="13">
        <v>2968</v>
      </c>
      <c r="E298" t="s" s="13">
        <v>2968</v>
      </c>
      <c r="F298" s="14">
        <v>4</v>
      </c>
      <c r="G298" s="15">
        <v>48.75</v>
      </c>
      <c r="H298" s="15">
        <v>195</v>
      </c>
    </row>
    <row r="299" ht="12.9" customHeight="1">
      <c r="A299" t="s" s="10">
        <v>2959</v>
      </c>
      <c r="B299" t="s" s="11">
        <v>391</v>
      </c>
      <c r="C299" s="12">
        <v>45329</v>
      </c>
      <c r="D299" t="s" s="13">
        <v>906</v>
      </c>
      <c r="E299" t="s" s="13">
        <v>907</v>
      </c>
      <c r="F299" s="14">
        <v>28</v>
      </c>
      <c r="G299" s="15">
        <v>7.5</v>
      </c>
      <c r="H299" s="15">
        <v>210</v>
      </c>
    </row>
    <row r="300" ht="12.9" customHeight="1">
      <c r="A300" t="s" s="10">
        <v>2959</v>
      </c>
      <c r="B300" t="s" s="11">
        <v>391</v>
      </c>
      <c r="C300" s="12">
        <v>45329</v>
      </c>
      <c r="D300" t="s" s="13">
        <v>2969</v>
      </c>
      <c r="E300" s="16"/>
      <c r="F300" s="14">
        <v>24</v>
      </c>
      <c r="G300" s="15">
        <v>15</v>
      </c>
      <c r="H300" s="15">
        <v>360</v>
      </c>
    </row>
    <row r="301" ht="12.9" customHeight="1">
      <c r="A301" t="s" s="10">
        <v>2959</v>
      </c>
      <c r="B301" t="s" s="11">
        <v>391</v>
      </c>
      <c r="C301" s="12">
        <v>45329</v>
      </c>
      <c r="D301" t="s" s="13">
        <v>63</v>
      </c>
      <c r="E301" s="16"/>
      <c r="F301" s="14">
        <v>1</v>
      </c>
      <c r="G301" s="15">
        <v>1024.6</v>
      </c>
      <c r="H301" s="15">
        <v>1024.6</v>
      </c>
    </row>
    <row r="302" ht="12.9" customHeight="1">
      <c r="A302" t="s" s="10">
        <v>2970</v>
      </c>
      <c r="B302" t="s" s="11">
        <v>42</v>
      </c>
      <c r="C302" s="12">
        <v>45329</v>
      </c>
      <c r="D302" t="s" s="13">
        <v>27</v>
      </c>
      <c r="E302" t="s" s="13">
        <v>28</v>
      </c>
      <c r="F302" s="14">
        <v>25</v>
      </c>
      <c r="G302" s="15">
        <v>50</v>
      </c>
      <c r="H302" s="15">
        <v>1250</v>
      </c>
    </row>
    <row r="303" ht="12.9" customHeight="1">
      <c r="A303" t="s" s="10">
        <v>2970</v>
      </c>
      <c r="B303" t="s" s="11">
        <v>42</v>
      </c>
      <c r="C303" s="12">
        <v>45329</v>
      </c>
      <c r="D303" t="s" s="13">
        <v>63</v>
      </c>
      <c r="E303" s="16"/>
      <c r="F303" s="14">
        <v>1</v>
      </c>
      <c r="G303" s="15">
        <v>22.9</v>
      </c>
      <c r="H303" s="15">
        <v>22.9</v>
      </c>
    </row>
    <row r="304" ht="12.9" customHeight="1">
      <c r="A304" t="s" s="10">
        <v>2971</v>
      </c>
      <c r="B304" t="s" s="11">
        <v>2972</v>
      </c>
      <c r="C304" s="12">
        <v>45328.992411493055</v>
      </c>
      <c r="D304" t="s" s="13">
        <v>54</v>
      </c>
      <c r="E304" t="s" s="13">
        <v>93</v>
      </c>
      <c r="F304" s="14">
        <v>2</v>
      </c>
      <c r="G304" s="15">
        <v>9.99</v>
      </c>
      <c r="H304" s="15">
        <v>19.98</v>
      </c>
    </row>
    <row r="305" ht="12.9" customHeight="1">
      <c r="A305" t="s" s="10">
        <v>2973</v>
      </c>
      <c r="B305" t="s" s="11">
        <v>1195</v>
      </c>
      <c r="C305" s="12">
        <v>45328.990116585650</v>
      </c>
      <c r="D305" t="s" s="13">
        <v>89</v>
      </c>
      <c r="E305" t="s" s="13">
        <v>90</v>
      </c>
      <c r="F305" s="14">
        <v>2</v>
      </c>
      <c r="G305" s="15">
        <v>59.99</v>
      </c>
      <c r="H305" s="15">
        <v>119.98</v>
      </c>
    </row>
    <row r="306" ht="12.9" customHeight="1">
      <c r="A306" t="s" s="10">
        <v>2974</v>
      </c>
      <c r="B306" t="s" s="11">
        <v>1195</v>
      </c>
      <c r="C306" s="12">
        <v>45328.9715933912</v>
      </c>
      <c r="D306" t="s" s="13">
        <v>11</v>
      </c>
      <c r="E306" t="s" s="13">
        <v>12</v>
      </c>
      <c r="F306" s="14">
        <v>2</v>
      </c>
      <c r="G306" s="15">
        <v>399.99</v>
      </c>
      <c r="H306" s="15">
        <v>799.98</v>
      </c>
    </row>
    <row r="307" ht="12.9" customHeight="1">
      <c r="A307" t="s" s="10">
        <v>2975</v>
      </c>
      <c r="B307" t="s" s="11">
        <v>2874</v>
      </c>
      <c r="C307" s="12">
        <v>45328.876262962964</v>
      </c>
      <c r="D307" t="s" s="13">
        <v>470</v>
      </c>
      <c r="E307" t="s" s="13">
        <v>517</v>
      </c>
      <c r="F307" s="14">
        <v>2</v>
      </c>
      <c r="G307" s="15">
        <v>249.99</v>
      </c>
      <c r="H307" s="15">
        <v>499.98</v>
      </c>
    </row>
    <row r="308" ht="12.9" customHeight="1">
      <c r="A308" t="s" s="10">
        <v>2976</v>
      </c>
      <c r="B308" t="s" s="11">
        <v>2977</v>
      </c>
      <c r="C308" s="12">
        <v>45328.813879837966</v>
      </c>
      <c r="D308" t="s" s="13">
        <v>50</v>
      </c>
      <c r="E308" t="s" s="13">
        <v>83</v>
      </c>
      <c r="F308" s="14">
        <v>5</v>
      </c>
      <c r="G308" s="15">
        <v>29.99</v>
      </c>
      <c r="H308" s="15">
        <v>149.95</v>
      </c>
    </row>
    <row r="309" ht="12.9" customHeight="1">
      <c r="A309" t="s" s="10">
        <v>2978</v>
      </c>
      <c r="B309" t="s" s="11">
        <v>896</v>
      </c>
      <c r="C309" s="12">
        <v>45328</v>
      </c>
      <c r="D309" t="s" s="13">
        <v>998</v>
      </c>
      <c r="E309" t="s" s="13">
        <v>2979</v>
      </c>
      <c r="F309" s="14">
        <v>5</v>
      </c>
      <c r="G309" s="15">
        <v>956.2424999999999</v>
      </c>
      <c r="H309" s="15">
        <v>4781.2125</v>
      </c>
    </row>
    <row r="310" ht="12.9" customHeight="1">
      <c r="A310" t="s" s="10">
        <v>2978</v>
      </c>
      <c r="B310" t="s" s="11">
        <v>896</v>
      </c>
      <c r="C310" s="12">
        <v>45328</v>
      </c>
      <c r="D310" t="s" s="13">
        <v>50</v>
      </c>
      <c r="E310" t="s" s="13">
        <v>83</v>
      </c>
      <c r="F310" s="14">
        <v>5</v>
      </c>
      <c r="G310" s="15">
        <v>0</v>
      </c>
      <c r="H310" s="15">
        <v>0</v>
      </c>
    </row>
    <row r="311" ht="12.9" customHeight="1">
      <c r="A311" t="s" s="10">
        <v>2978</v>
      </c>
      <c r="B311" t="s" s="11">
        <v>896</v>
      </c>
      <c r="C311" s="12">
        <v>45328</v>
      </c>
      <c r="D311" t="s" s="13">
        <v>57</v>
      </c>
      <c r="E311" t="s" s="13">
        <v>2980</v>
      </c>
      <c r="F311" s="14">
        <v>5</v>
      </c>
      <c r="G311" s="15">
        <v>637.4924999999999</v>
      </c>
      <c r="H311" s="15">
        <v>3187.4625</v>
      </c>
    </row>
    <row r="312" ht="12.9" customHeight="1">
      <c r="A312" t="s" s="10">
        <v>2978</v>
      </c>
      <c r="B312" t="s" s="11">
        <v>896</v>
      </c>
      <c r="C312" s="12">
        <v>45328</v>
      </c>
      <c r="D312" t="s" s="13">
        <v>489</v>
      </c>
      <c r="E312" t="s" s="13">
        <v>490</v>
      </c>
      <c r="F312" s="14">
        <v>1</v>
      </c>
      <c r="G312" s="15">
        <v>1199.9925</v>
      </c>
      <c r="H312" s="15">
        <v>1199.9925</v>
      </c>
    </row>
    <row r="313" ht="12.9" customHeight="1">
      <c r="A313" t="s" s="10">
        <v>2978</v>
      </c>
      <c r="B313" t="s" s="11">
        <v>896</v>
      </c>
      <c r="C313" s="12">
        <v>45328</v>
      </c>
      <c r="D313" t="s" s="13">
        <v>491</v>
      </c>
      <c r="E313" t="s" s="13">
        <v>2680</v>
      </c>
      <c r="F313" s="14">
        <v>2</v>
      </c>
      <c r="G313" s="15">
        <v>0</v>
      </c>
      <c r="H313" s="15">
        <v>0</v>
      </c>
    </row>
    <row r="314" ht="12.9" customHeight="1">
      <c r="A314" t="s" s="10">
        <v>2978</v>
      </c>
      <c r="B314" t="s" s="11">
        <v>896</v>
      </c>
      <c r="C314" s="12">
        <v>45328</v>
      </c>
      <c r="D314" t="s" s="13">
        <v>1633</v>
      </c>
      <c r="E314" t="s" s="13">
        <v>2981</v>
      </c>
      <c r="F314" s="14">
        <v>1</v>
      </c>
      <c r="G314" s="15">
        <v>0</v>
      </c>
      <c r="H314" s="15">
        <v>0</v>
      </c>
    </row>
    <row r="315" ht="12.9" customHeight="1">
      <c r="A315" t="s" s="10">
        <v>2978</v>
      </c>
      <c r="B315" t="s" s="11">
        <v>896</v>
      </c>
      <c r="C315" s="12">
        <v>45328</v>
      </c>
      <c r="D315" t="s" s="13">
        <v>493</v>
      </c>
      <c r="E315" t="s" s="13">
        <v>2681</v>
      </c>
      <c r="F315" s="14">
        <v>1</v>
      </c>
      <c r="G315" s="15">
        <v>0</v>
      </c>
      <c r="H315" s="15">
        <v>0</v>
      </c>
    </row>
    <row r="316" ht="12.9" customHeight="1">
      <c r="A316" t="s" s="10">
        <v>2978</v>
      </c>
      <c r="B316" t="s" s="11">
        <v>896</v>
      </c>
      <c r="C316" s="12">
        <v>45328</v>
      </c>
      <c r="D316" t="s" s="13">
        <v>47</v>
      </c>
      <c r="E316" s="16"/>
      <c r="F316" s="14">
        <v>1</v>
      </c>
      <c r="G316" s="15">
        <v>266.84</v>
      </c>
      <c r="H316" s="15">
        <v>266.84</v>
      </c>
    </row>
    <row r="317" ht="12.9" customHeight="1">
      <c r="A317" t="s" s="10">
        <v>2982</v>
      </c>
      <c r="B317" t="s" s="11">
        <v>2297</v>
      </c>
      <c r="C317" s="12">
        <v>45327.806104849536</v>
      </c>
      <c r="D317" t="s" s="13">
        <v>35</v>
      </c>
      <c r="E317" t="s" s="13">
        <v>36</v>
      </c>
      <c r="F317" s="14">
        <v>1</v>
      </c>
      <c r="G317" s="15">
        <v>49.99</v>
      </c>
      <c r="H317" s="15">
        <v>49.99</v>
      </c>
    </row>
    <row r="318" ht="12.9" customHeight="1">
      <c r="A318" t="s" s="10">
        <v>2982</v>
      </c>
      <c r="B318" t="s" s="11">
        <v>2297</v>
      </c>
      <c r="C318" s="12">
        <v>45327.806104849536</v>
      </c>
      <c r="D318" t="s" s="13">
        <v>89</v>
      </c>
      <c r="E318" t="s" s="13">
        <v>90</v>
      </c>
      <c r="F318" s="14">
        <v>3</v>
      </c>
      <c r="G318" s="15">
        <v>59.99</v>
      </c>
      <c r="H318" s="15">
        <v>179.97</v>
      </c>
    </row>
    <row r="319" ht="12.9" customHeight="1">
      <c r="A319" t="s" s="10">
        <v>2983</v>
      </c>
      <c r="B319" t="s" s="11">
        <v>210</v>
      </c>
      <c r="C319" s="12">
        <v>45327</v>
      </c>
      <c r="D319" t="s" s="13">
        <v>254</v>
      </c>
      <c r="E319" t="s" s="13">
        <v>2984</v>
      </c>
      <c r="F319" s="14">
        <v>1</v>
      </c>
      <c r="G319" s="15">
        <v>470</v>
      </c>
      <c r="H319" s="15">
        <v>470</v>
      </c>
    </row>
    <row r="320" ht="12.9" customHeight="1">
      <c r="A320" t="s" s="10">
        <v>2983</v>
      </c>
      <c r="B320" t="s" s="11">
        <v>210</v>
      </c>
      <c r="C320" s="12">
        <v>45327</v>
      </c>
      <c r="D320" t="s" s="13">
        <v>2985</v>
      </c>
      <c r="E320" t="s" s="13">
        <v>2985</v>
      </c>
      <c r="F320" s="14">
        <v>1</v>
      </c>
      <c r="G320" s="15">
        <v>0</v>
      </c>
      <c r="H320" s="15">
        <v>0</v>
      </c>
    </row>
    <row r="321" ht="12.9" customHeight="1">
      <c r="A321" t="s" s="10">
        <v>2983</v>
      </c>
      <c r="B321" t="s" s="11">
        <v>210</v>
      </c>
      <c r="C321" s="12">
        <v>45327</v>
      </c>
      <c r="D321" t="s" s="13">
        <v>2512</v>
      </c>
      <c r="E321" t="s" s="13">
        <v>2512</v>
      </c>
      <c r="F321" s="14">
        <v>8</v>
      </c>
      <c r="G321" s="15">
        <v>0</v>
      </c>
      <c r="H321" s="15">
        <v>0</v>
      </c>
    </row>
    <row r="322" ht="12.9" customHeight="1">
      <c r="A322" t="s" s="10">
        <v>2983</v>
      </c>
      <c r="B322" t="s" s="11">
        <v>210</v>
      </c>
      <c r="C322" s="12">
        <v>45327</v>
      </c>
      <c r="D322" t="s" s="13">
        <v>1891</v>
      </c>
      <c r="E322" t="s" s="13">
        <v>1891</v>
      </c>
      <c r="F322" s="14">
        <v>8</v>
      </c>
      <c r="G322" s="15">
        <v>0</v>
      </c>
      <c r="H322" s="15">
        <v>0</v>
      </c>
    </row>
    <row r="323" ht="12.9" customHeight="1">
      <c r="A323" t="s" s="10">
        <v>2983</v>
      </c>
      <c r="B323" t="s" s="11">
        <v>210</v>
      </c>
      <c r="C323" s="12">
        <v>45327</v>
      </c>
      <c r="D323" t="s" s="13">
        <v>1892</v>
      </c>
      <c r="E323" t="s" s="13">
        <v>1892</v>
      </c>
      <c r="F323" s="14">
        <v>8</v>
      </c>
      <c r="G323" s="15">
        <v>0</v>
      </c>
      <c r="H323" s="15">
        <v>0</v>
      </c>
    </row>
    <row r="324" ht="12.9" customHeight="1">
      <c r="A324" t="s" s="10">
        <v>2986</v>
      </c>
      <c r="B324" t="s" s="11">
        <v>1401</v>
      </c>
      <c r="C324" s="12">
        <v>45327</v>
      </c>
      <c r="D324" t="s" s="13">
        <v>95</v>
      </c>
      <c r="E324" t="s" s="13">
        <v>12</v>
      </c>
      <c r="F324" s="14">
        <v>4</v>
      </c>
      <c r="G324" s="15">
        <v>262.4925</v>
      </c>
      <c r="H324" s="15">
        <v>1049.97</v>
      </c>
    </row>
    <row r="325" ht="12.9" customHeight="1">
      <c r="A325" t="s" s="10">
        <v>2986</v>
      </c>
      <c r="B325" t="s" s="11">
        <v>1401</v>
      </c>
      <c r="C325" s="12">
        <v>45327</v>
      </c>
      <c r="D325" t="s" s="13">
        <v>63</v>
      </c>
      <c r="E325" s="16"/>
      <c r="F325" s="14">
        <v>1</v>
      </c>
      <c r="G325" s="15">
        <v>28.65</v>
      </c>
      <c r="H325" s="15">
        <v>28.65</v>
      </c>
    </row>
    <row r="326" ht="12.9" customHeight="1">
      <c r="A326" t="s" s="10">
        <v>2987</v>
      </c>
      <c r="B326" t="s" s="11">
        <v>2988</v>
      </c>
      <c r="C326" s="12">
        <v>45326.729924004627</v>
      </c>
      <c r="D326" t="s" s="13">
        <v>35</v>
      </c>
      <c r="E326" t="s" s="13">
        <v>36</v>
      </c>
      <c r="F326" s="14">
        <v>1</v>
      </c>
      <c r="G326" s="15">
        <v>49.99</v>
      </c>
      <c r="H326" s="15">
        <v>49.99</v>
      </c>
    </row>
    <row r="327" ht="12.9" customHeight="1">
      <c r="A327" t="s" s="10">
        <v>2989</v>
      </c>
      <c r="B327" t="s" s="11">
        <v>2990</v>
      </c>
      <c r="C327" s="12">
        <v>45326.1744727199</v>
      </c>
      <c r="D327" t="s" s="13">
        <v>50</v>
      </c>
      <c r="E327" t="s" s="13">
        <v>83</v>
      </c>
      <c r="F327" s="14">
        <v>1</v>
      </c>
      <c r="G327" s="15">
        <v>29.99</v>
      </c>
      <c r="H327" s="15">
        <v>29.99</v>
      </c>
    </row>
    <row r="328" ht="12.9" customHeight="1">
      <c r="A328" t="s" s="10">
        <v>2991</v>
      </c>
      <c r="B328" t="s" s="11">
        <v>2563</v>
      </c>
      <c r="C328" s="12">
        <v>45325.053747199076</v>
      </c>
      <c r="D328" t="s" s="13">
        <v>31</v>
      </c>
      <c r="E328" t="s" s="13">
        <v>32</v>
      </c>
      <c r="F328" s="14">
        <v>1</v>
      </c>
      <c r="G328" s="15">
        <v>599.99</v>
      </c>
      <c r="H328" s="15">
        <v>599.99</v>
      </c>
    </row>
    <row r="329" ht="12.9" customHeight="1">
      <c r="A329" t="s" s="10">
        <v>2992</v>
      </c>
      <c r="B329" t="s" s="11">
        <v>2993</v>
      </c>
      <c r="C329" s="12">
        <v>45324.9092909375</v>
      </c>
      <c r="D329" t="s" s="13">
        <v>15</v>
      </c>
      <c r="E329" t="s" s="13">
        <v>16</v>
      </c>
      <c r="F329" s="14">
        <v>5</v>
      </c>
      <c r="G329" s="15">
        <v>8.99</v>
      </c>
      <c r="H329" s="15">
        <v>44.95</v>
      </c>
    </row>
    <row r="330" ht="12.9" customHeight="1">
      <c r="A330" t="s" s="10">
        <v>2994</v>
      </c>
      <c r="B330" t="s" s="11">
        <v>2995</v>
      </c>
      <c r="C330" s="12">
        <v>45324.847320185188</v>
      </c>
      <c r="D330" t="s" s="13">
        <v>11</v>
      </c>
      <c r="E330" t="s" s="13">
        <v>12</v>
      </c>
      <c r="F330" s="14">
        <v>1</v>
      </c>
      <c r="G330" s="15">
        <v>399.99</v>
      </c>
      <c r="H330" s="15">
        <v>399.99</v>
      </c>
    </row>
    <row r="331" ht="12.9" customHeight="1">
      <c r="A331" t="s" s="10">
        <v>2996</v>
      </c>
      <c r="B331" t="s" s="11">
        <v>2997</v>
      </c>
      <c r="C331" s="12">
        <v>45324.759797280094</v>
      </c>
      <c r="D331" t="s" s="13">
        <v>11</v>
      </c>
      <c r="E331" t="s" s="13">
        <v>12</v>
      </c>
      <c r="F331" s="14">
        <v>1</v>
      </c>
      <c r="G331" s="15">
        <v>399.99</v>
      </c>
      <c r="H331" s="15">
        <v>399.99</v>
      </c>
    </row>
    <row r="332" ht="12.9" customHeight="1">
      <c r="A332" t="s" s="10">
        <v>2998</v>
      </c>
      <c r="B332" t="s" s="11">
        <v>2999</v>
      </c>
      <c r="C332" s="12">
        <v>45324.130579444442</v>
      </c>
      <c r="D332" t="s" s="13">
        <v>95</v>
      </c>
      <c r="E332" t="s" s="13">
        <v>12</v>
      </c>
      <c r="F332" s="14">
        <v>1</v>
      </c>
      <c r="G332" s="15">
        <v>349.99</v>
      </c>
      <c r="H332" s="15">
        <v>349.99</v>
      </c>
    </row>
    <row r="333" ht="12.9" customHeight="1">
      <c r="A333" t="s" s="10">
        <v>3000</v>
      </c>
      <c r="B333" t="s" s="11">
        <v>3001</v>
      </c>
      <c r="C333" s="12">
        <v>45323.850757534725</v>
      </c>
      <c r="D333" t="s" s="13">
        <v>341</v>
      </c>
      <c r="E333" t="s" s="13">
        <v>342</v>
      </c>
      <c r="F333" s="14">
        <v>2</v>
      </c>
      <c r="G333" s="15">
        <v>29.99</v>
      </c>
      <c r="H333" s="15">
        <v>59.98</v>
      </c>
    </row>
    <row r="334" ht="12.9" customHeight="1">
      <c r="A334" t="s" s="10">
        <v>3002</v>
      </c>
      <c r="B334" t="s" s="11">
        <v>3003</v>
      </c>
      <c r="C334" s="12">
        <v>45323.211003738426</v>
      </c>
      <c r="D334" t="s" s="13">
        <v>123</v>
      </c>
      <c r="E334" t="s" s="13">
        <v>124</v>
      </c>
      <c r="F334" s="14">
        <v>1</v>
      </c>
      <c r="G334" s="15">
        <v>179.99</v>
      </c>
      <c r="H334" s="15">
        <v>179.99</v>
      </c>
    </row>
    <row r="335" ht="12.9" customHeight="1">
      <c r="A335" t="s" s="10">
        <v>3002</v>
      </c>
      <c r="B335" t="s" s="11">
        <v>3003</v>
      </c>
      <c r="C335" s="12">
        <v>45323.211003738426</v>
      </c>
      <c r="D335" t="s" s="13">
        <v>19</v>
      </c>
      <c r="E335" t="s" s="13">
        <v>3004</v>
      </c>
      <c r="F335" s="14">
        <v>2</v>
      </c>
      <c r="G335" s="15">
        <v>119.99</v>
      </c>
      <c r="H335" s="15">
        <v>239.98</v>
      </c>
    </row>
    <row r="336" ht="12.9" customHeight="1">
      <c r="A336" t="s" s="10">
        <v>3002</v>
      </c>
      <c r="B336" t="s" s="11">
        <v>3003</v>
      </c>
      <c r="C336" s="12">
        <v>45323.211003738426</v>
      </c>
      <c r="D336" t="s" s="13">
        <v>15</v>
      </c>
      <c r="E336" t="s" s="13">
        <v>16</v>
      </c>
      <c r="F336" s="14">
        <v>2</v>
      </c>
      <c r="G336" s="15">
        <v>9.99</v>
      </c>
      <c r="H336" s="15">
        <v>19.98</v>
      </c>
    </row>
    <row r="337" ht="12.9" customHeight="1">
      <c r="A337" t="s" s="10">
        <v>3002</v>
      </c>
      <c r="B337" t="s" s="11">
        <v>3003</v>
      </c>
      <c r="C337" s="12">
        <v>45323.211003738426</v>
      </c>
      <c r="D337" t="s" s="13">
        <v>73</v>
      </c>
      <c r="E337" t="s" s="13">
        <v>74</v>
      </c>
      <c r="F337" s="14">
        <v>1</v>
      </c>
      <c r="G337" s="15">
        <v>399.99</v>
      </c>
      <c r="H337" s="15">
        <v>399.99</v>
      </c>
    </row>
    <row r="338" ht="12.9" customHeight="1">
      <c r="A338" t="s" s="10">
        <v>3005</v>
      </c>
      <c r="B338" t="s" s="11">
        <v>3006</v>
      </c>
      <c r="C338" s="12">
        <v>45323.174140150462</v>
      </c>
      <c r="D338" t="s" s="13">
        <v>89</v>
      </c>
      <c r="E338" t="s" s="13">
        <v>90</v>
      </c>
      <c r="F338" s="14">
        <v>3</v>
      </c>
      <c r="G338" s="15">
        <v>59.99</v>
      </c>
      <c r="H338" s="15">
        <v>179.97</v>
      </c>
    </row>
    <row r="339" ht="12.9" customHeight="1">
      <c r="A339" t="s" s="10">
        <v>3007</v>
      </c>
      <c r="B339" t="s" s="11">
        <v>2643</v>
      </c>
      <c r="C339" s="12">
        <v>45323</v>
      </c>
      <c r="D339" t="s" s="13">
        <v>225</v>
      </c>
      <c r="E339" t="s" s="13">
        <v>226</v>
      </c>
      <c r="F339" s="14">
        <v>1</v>
      </c>
      <c r="G339" s="15">
        <v>499.99</v>
      </c>
      <c r="H339" s="15">
        <v>499.99</v>
      </c>
    </row>
    <row r="340" ht="12.9" customHeight="1">
      <c r="A340" t="s" s="10">
        <v>3007</v>
      </c>
      <c r="B340" t="s" s="11">
        <v>2643</v>
      </c>
      <c r="C340" s="12">
        <v>45323</v>
      </c>
      <c r="D340" t="s" s="13">
        <v>167</v>
      </c>
      <c r="E340" t="s" s="13">
        <v>168</v>
      </c>
      <c r="F340" s="14">
        <v>1</v>
      </c>
      <c r="G340" s="15">
        <v>0</v>
      </c>
      <c r="H340" s="15">
        <v>0</v>
      </c>
    </row>
    <row r="341" ht="12.9" customHeight="1">
      <c r="A341" t="s" s="10">
        <v>3008</v>
      </c>
      <c r="B341" t="s" s="11">
        <v>2222</v>
      </c>
      <c r="C341" s="12">
        <v>45323</v>
      </c>
      <c r="D341" t="s" s="13">
        <v>50</v>
      </c>
      <c r="E341" t="s" s="13">
        <v>83</v>
      </c>
      <c r="F341" s="14">
        <v>1</v>
      </c>
      <c r="G341" s="15">
        <v>29.99</v>
      </c>
      <c r="H341" s="15">
        <v>29.99</v>
      </c>
    </row>
    <row r="342" ht="12.9" customHeight="1">
      <c r="A342" t="s" s="10">
        <v>3008</v>
      </c>
      <c r="B342" t="s" s="11">
        <v>2222</v>
      </c>
      <c r="C342" s="12">
        <v>45323</v>
      </c>
      <c r="D342" t="s" s="13">
        <v>3009</v>
      </c>
      <c r="E342" t="s" s="13">
        <v>3010</v>
      </c>
      <c r="F342" s="14">
        <v>1</v>
      </c>
      <c r="G342" s="15">
        <v>0</v>
      </c>
      <c r="H342" s="15">
        <v>0</v>
      </c>
    </row>
    <row r="343" ht="12.9" customHeight="1">
      <c r="A343" t="s" s="10">
        <v>3008</v>
      </c>
      <c r="B343" t="s" s="11">
        <v>2222</v>
      </c>
      <c r="C343" s="12">
        <v>45323</v>
      </c>
      <c r="D343" t="s" s="13">
        <v>47</v>
      </c>
      <c r="E343" s="16"/>
      <c r="F343" s="14">
        <v>1</v>
      </c>
      <c r="G343" s="15">
        <v>52.34</v>
      </c>
      <c r="H343" s="15">
        <v>52.34</v>
      </c>
    </row>
    <row r="345" ht="15.55" customHeight="1">
      <c r="I345" t="s" s="2">
        <v>3011</v>
      </c>
      <c r="J345" s="2"/>
      <c r="K345" s="2"/>
      <c r="L345" s="2"/>
      <c r="M345" s="2"/>
      <c r="N345" s="2"/>
      <c r="O345" s="2"/>
    </row>
    <row r="347" ht="13.1" customHeight="1">
      <c r="I347" t="s" s="20">
        <v>2</v>
      </c>
      <c r="J347" t="s" s="21">
        <v>1</v>
      </c>
      <c r="K347" t="s" s="21">
        <v>616</v>
      </c>
      <c r="L347" t="s" s="22">
        <v>4</v>
      </c>
      <c r="M347" t="s" s="23">
        <v>617</v>
      </c>
      <c r="N347" t="s" s="3">
        <v>618</v>
      </c>
      <c r="O347" t="s" s="3">
        <v>619</v>
      </c>
    </row>
    <row r="348" ht="15.4" customHeight="1">
      <c r="I348" t="s" s="121">
        <v>210</v>
      </c>
      <c r="J348" s="122"/>
      <c r="K348" s="122"/>
      <c r="L348" s="123"/>
      <c r="M348" s="124">
        <v>28</v>
      </c>
      <c r="N348" s="125">
        <v>809.9</v>
      </c>
      <c r="O348" s="125">
        <v>809.9</v>
      </c>
    </row>
    <row r="349" ht="15.55" customHeight="1">
      <c r="I349" t="s" s="126">
        <v>2770</v>
      </c>
      <c r="J349" s="127"/>
      <c r="K349" s="127"/>
      <c r="L349" s="128"/>
      <c r="M349" s="129">
        <v>2</v>
      </c>
      <c r="N349" s="130">
        <v>299.99</v>
      </c>
      <c r="O349" s="130">
        <v>599.98</v>
      </c>
    </row>
    <row r="350" ht="15.55" customHeight="1">
      <c r="I350" t="s" s="126">
        <v>2740</v>
      </c>
      <c r="J350" s="127"/>
      <c r="K350" s="127"/>
      <c r="L350" s="128"/>
      <c r="M350" s="129">
        <v>1</v>
      </c>
      <c r="N350" s="130">
        <v>549.99</v>
      </c>
      <c r="O350" s="130">
        <v>549.99</v>
      </c>
    </row>
    <row r="351" ht="15.55" customHeight="1">
      <c r="I351" t="s" s="126">
        <v>2808</v>
      </c>
      <c r="J351" s="127"/>
      <c r="K351" s="127"/>
      <c r="L351" s="128"/>
      <c r="M351" s="129">
        <v>1</v>
      </c>
      <c r="N351" s="130">
        <v>109.99</v>
      </c>
      <c r="O351" s="130">
        <v>109.99</v>
      </c>
    </row>
    <row r="352" ht="15.55" customHeight="1">
      <c r="I352" t="s" s="126">
        <v>2955</v>
      </c>
      <c r="J352" s="127"/>
      <c r="K352" s="127"/>
      <c r="L352" s="128"/>
      <c r="M352" s="129">
        <v>1</v>
      </c>
      <c r="N352" s="130">
        <v>9.99</v>
      </c>
      <c r="O352" s="130">
        <v>9.99</v>
      </c>
    </row>
    <row r="353" ht="15.55" customHeight="1">
      <c r="I353" t="s" s="126">
        <v>2643</v>
      </c>
      <c r="J353" s="127"/>
      <c r="K353" s="127"/>
      <c r="L353" s="128"/>
      <c r="M353" s="129">
        <v>2</v>
      </c>
      <c r="N353" s="130">
        <v>499.99</v>
      </c>
      <c r="O353" s="130">
        <v>499.99</v>
      </c>
    </row>
    <row r="354" ht="15.55" customHeight="1">
      <c r="I354" t="s" s="126">
        <v>2924</v>
      </c>
      <c r="J354" s="127"/>
      <c r="K354" s="127"/>
      <c r="L354" s="128"/>
      <c r="M354" s="129">
        <v>2</v>
      </c>
      <c r="N354" s="130">
        <v>49.99</v>
      </c>
      <c r="O354" s="130">
        <v>99.98</v>
      </c>
    </row>
    <row r="355" ht="15.55" customHeight="1">
      <c r="I355" t="s" s="126">
        <v>3006</v>
      </c>
      <c r="J355" s="127"/>
      <c r="K355" s="127"/>
      <c r="L355" s="128"/>
      <c r="M355" s="129">
        <v>3</v>
      </c>
      <c r="N355" s="130">
        <v>59.99</v>
      </c>
      <c r="O355" s="130">
        <v>179.97</v>
      </c>
    </row>
    <row r="356" ht="15.55" customHeight="1">
      <c r="I356" t="s" s="126">
        <v>2829</v>
      </c>
      <c r="J356" s="127"/>
      <c r="K356" s="127"/>
      <c r="L356" s="128"/>
      <c r="M356" s="129">
        <v>39</v>
      </c>
      <c r="N356" s="130">
        <v>3258.79</v>
      </c>
      <c r="O356" s="130">
        <v>4714.39</v>
      </c>
    </row>
    <row r="357" ht="15.55" customHeight="1">
      <c r="I357" t="s" s="126">
        <v>2893</v>
      </c>
      <c r="J357" s="127"/>
      <c r="K357" s="127"/>
      <c r="L357" s="128"/>
      <c r="M357" s="129">
        <v>1</v>
      </c>
      <c r="N357" s="130">
        <v>399.99</v>
      </c>
      <c r="O357" s="130">
        <v>399.99</v>
      </c>
    </row>
    <row r="358" ht="15.55" customHeight="1">
      <c r="I358" t="s" s="126">
        <v>2778</v>
      </c>
      <c r="J358" s="127"/>
      <c r="K358" s="127"/>
      <c r="L358" s="128"/>
      <c r="M358" s="129">
        <v>2</v>
      </c>
      <c r="N358" s="130">
        <v>189.46</v>
      </c>
      <c r="O358" s="130">
        <v>189.46</v>
      </c>
    </row>
    <row r="359" ht="15.55" customHeight="1">
      <c r="I359" t="s" s="126">
        <v>2768</v>
      </c>
      <c r="J359" s="127"/>
      <c r="K359" s="127"/>
      <c r="L359" s="128"/>
      <c r="M359" s="129">
        <v>5</v>
      </c>
      <c r="N359" s="130">
        <v>449.98</v>
      </c>
      <c r="O359" s="130">
        <v>599.95</v>
      </c>
    </row>
    <row r="360" ht="15.55" customHeight="1">
      <c r="I360" t="s" s="126">
        <v>2766</v>
      </c>
      <c r="J360" s="127"/>
      <c r="K360" s="127"/>
      <c r="L360" s="128"/>
      <c r="M360" s="129">
        <v>2</v>
      </c>
      <c r="N360" s="130">
        <v>1234.15</v>
      </c>
      <c r="O360" s="130">
        <v>1234.15</v>
      </c>
    </row>
    <row r="361" ht="15.55" customHeight="1">
      <c r="I361" t="s" s="126">
        <v>1536</v>
      </c>
      <c r="J361" s="127"/>
      <c r="K361" s="127"/>
      <c r="L361" s="128"/>
      <c r="M361" s="129">
        <v>4</v>
      </c>
      <c r="N361" s="130">
        <v>4726.42</v>
      </c>
      <c r="O361" s="130">
        <v>4726.42</v>
      </c>
    </row>
    <row r="362" ht="15.55" customHeight="1">
      <c r="I362" t="s" s="126">
        <v>2878</v>
      </c>
      <c r="J362" s="127"/>
      <c r="K362" s="127"/>
      <c r="L362" s="128"/>
      <c r="M362" s="129">
        <v>15</v>
      </c>
      <c r="N362" s="131">
        <v>0</v>
      </c>
      <c r="O362" s="131">
        <v>0</v>
      </c>
    </row>
    <row r="363" ht="15.55" customHeight="1">
      <c r="I363" t="s" s="126">
        <v>2874</v>
      </c>
      <c r="J363" s="127"/>
      <c r="K363" s="127"/>
      <c r="L363" s="128"/>
      <c r="M363" s="129">
        <v>4</v>
      </c>
      <c r="N363" s="130">
        <v>499.98</v>
      </c>
      <c r="O363" s="130">
        <v>999.96</v>
      </c>
    </row>
    <row r="364" ht="15.55" customHeight="1">
      <c r="I364" t="s" s="126">
        <v>2751</v>
      </c>
      <c r="J364" s="127"/>
      <c r="K364" s="127"/>
      <c r="L364" s="128"/>
      <c r="M364" s="129">
        <v>28</v>
      </c>
      <c r="N364" s="130">
        <v>2499.99</v>
      </c>
      <c r="O364" s="130">
        <v>4999.98</v>
      </c>
    </row>
    <row r="365" ht="15.55" customHeight="1">
      <c r="I365" t="s" s="126">
        <v>2753</v>
      </c>
      <c r="J365" s="127"/>
      <c r="K365" s="127"/>
      <c r="L365" s="128"/>
      <c r="M365" s="129">
        <v>29</v>
      </c>
      <c r="N365" s="130">
        <v>3151.21</v>
      </c>
      <c r="O365" s="130">
        <v>7461.13</v>
      </c>
    </row>
    <row r="366" ht="15.55" customHeight="1">
      <c r="I366" t="s" s="126">
        <v>2380</v>
      </c>
      <c r="J366" s="127"/>
      <c r="K366" s="127"/>
      <c r="L366" s="128"/>
      <c r="M366" s="129">
        <v>11</v>
      </c>
      <c r="N366" s="130">
        <v>96.1425</v>
      </c>
      <c r="O366" s="130">
        <v>208.62</v>
      </c>
    </row>
    <row r="367" ht="15.55" customHeight="1">
      <c r="I367" t="s" s="126">
        <v>2748</v>
      </c>
      <c r="J367" s="127"/>
      <c r="K367" s="127"/>
      <c r="L367" s="128"/>
      <c r="M367" s="129">
        <v>1</v>
      </c>
      <c r="N367" s="130">
        <v>19.99</v>
      </c>
      <c r="O367" s="130">
        <v>19.99</v>
      </c>
    </row>
    <row r="368" ht="15.55" customHeight="1">
      <c r="I368" t="s" s="126">
        <v>2764</v>
      </c>
      <c r="J368" s="127"/>
      <c r="K368" s="127"/>
      <c r="L368" s="128"/>
      <c r="M368" s="129">
        <v>1</v>
      </c>
      <c r="N368" s="130">
        <v>1.99</v>
      </c>
      <c r="O368" s="130">
        <v>1.99</v>
      </c>
    </row>
    <row r="369" ht="15.55" customHeight="1">
      <c r="I369" t="s" s="126">
        <v>2563</v>
      </c>
      <c r="J369" s="127"/>
      <c r="K369" s="127"/>
      <c r="L369" s="128"/>
      <c r="M369" s="129">
        <v>1</v>
      </c>
      <c r="N369" s="130">
        <v>599.99</v>
      </c>
      <c r="O369" s="130">
        <v>599.99</v>
      </c>
    </row>
    <row r="370" ht="15.55" customHeight="1">
      <c r="I370" t="s" s="126">
        <v>2812</v>
      </c>
      <c r="J370" s="127"/>
      <c r="K370" s="127"/>
      <c r="L370" s="128"/>
      <c r="M370" s="129">
        <v>2</v>
      </c>
      <c r="N370" s="130">
        <v>59.99</v>
      </c>
      <c r="O370" s="130">
        <v>119.98</v>
      </c>
    </row>
    <row r="371" ht="15.55" customHeight="1">
      <c r="I371" t="s" s="126">
        <v>3003</v>
      </c>
      <c r="J371" s="127"/>
      <c r="K371" s="127"/>
      <c r="L371" s="128"/>
      <c r="M371" s="129">
        <v>6</v>
      </c>
      <c r="N371" s="130">
        <v>709.96</v>
      </c>
      <c r="O371" s="130">
        <v>839.9400000000001</v>
      </c>
    </row>
    <row r="372" ht="15.55" customHeight="1">
      <c r="I372" t="s" s="126">
        <v>2820</v>
      </c>
      <c r="J372" s="127"/>
      <c r="K372" s="127"/>
      <c r="L372" s="128"/>
      <c r="M372" s="129">
        <v>6</v>
      </c>
      <c r="N372" s="130">
        <v>9.99</v>
      </c>
      <c r="O372" s="130">
        <v>59.94</v>
      </c>
    </row>
    <row r="373" ht="15.55" customHeight="1">
      <c r="I373" t="s" s="126">
        <v>2800</v>
      </c>
      <c r="J373" s="127"/>
      <c r="K373" s="127"/>
      <c r="L373" s="128"/>
      <c r="M373" s="129">
        <v>2</v>
      </c>
      <c r="N373" s="130">
        <v>49.99</v>
      </c>
      <c r="O373" s="130">
        <v>99.98</v>
      </c>
    </row>
    <row r="374" ht="15.55" customHeight="1">
      <c r="I374" t="s" s="126">
        <v>2972</v>
      </c>
      <c r="J374" s="127"/>
      <c r="K374" s="127"/>
      <c r="L374" s="128"/>
      <c r="M374" s="129">
        <v>2</v>
      </c>
      <c r="N374" s="130">
        <v>9.99</v>
      </c>
      <c r="O374" s="130">
        <v>19.98</v>
      </c>
    </row>
    <row r="375" ht="15.55" customHeight="1">
      <c r="I375" t="s" s="126">
        <v>391</v>
      </c>
      <c r="J375" s="127"/>
      <c r="K375" s="127"/>
      <c r="L375" s="128"/>
      <c r="M375" s="129">
        <v>152</v>
      </c>
      <c r="N375" s="130">
        <v>4764.69</v>
      </c>
      <c r="O375" s="130">
        <v>15031.7525</v>
      </c>
    </row>
    <row r="376" ht="15.55" customHeight="1">
      <c r="I376" t="s" s="126">
        <v>911</v>
      </c>
      <c r="J376" s="127"/>
      <c r="K376" s="127"/>
      <c r="L376" s="128"/>
      <c r="M376" s="129">
        <v>1</v>
      </c>
      <c r="N376" s="131">
        <v>0</v>
      </c>
      <c r="O376" s="131">
        <v>0</v>
      </c>
    </row>
    <row r="377" ht="15.55" customHeight="1">
      <c r="I377" t="s" s="126">
        <v>2940</v>
      </c>
      <c r="J377" s="127"/>
      <c r="K377" s="127"/>
      <c r="L377" s="128"/>
      <c r="M377" s="129">
        <v>1</v>
      </c>
      <c r="N377" s="130">
        <v>314.991</v>
      </c>
      <c r="O377" s="130">
        <v>314.991</v>
      </c>
    </row>
    <row r="378" ht="15.55" customHeight="1">
      <c r="I378" t="s" s="126">
        <v>2908</v>
      </c>
      <c r="J378" s="127"/>
      <c r="K378" s="127"/>
      <c r="L378" s="128"/>
      <c r="M378" s="129">
        <v>2</v>
      </c>
      <c r="N378" s="130">
        <v>399.99</v>
      </c>
      <c r="O378" s="130">
        <v>799.98</v>
      </c>
    </row>
    <row r="379" ht="15.55" customHeight="1">
      <c r="I379" t="s" s="126">
        <v>2990</v>
      </c>
      <c r="J379" s="127"/>
      <c r="K379" s="127"/>
      <c r="L379" s="128"/>
      <c r="M379" s="129">
        <v>1</v>
      </c>
      <c r="N379" s="130">
        <v>29.99</v>
      </c>
      <c r="O379" s="130">
        <v>29.99</v>
      </c>
    </row>
    <row r="380" ht="15.55" customHeight="1">
      <c r="I380" t="s" s="126">
        <v>2721</v>
      </c>
      <c r="J380" s="127"/>
      <c r="K380" s="127"/>
      <c r="L380" s="128"/>
      <c r="M380" s="129">
        <v>1</v>
      </c>
      <c r="N380" s="130">
        <v>399.99</v>
      </c>
      <c r="O380" s="130">
        <v>399.99</v>
      </c>
    </row>
    <row r="381" ht="15.55" customHeight="1">
      <c r="I381" t="s" s="126">
        <v>2824</v>
      </c>
      <c r="J381" s="127"/>
      <c r="K381" s="127"/>
      <c r="L381" s="128"/>
      <c r="M381" s="129">
        <v>1</v>
      </c>
      <c r="N381" s="130">
        <v>324.99</v>
      </c>
      <c r="O381" s="130">
        <v>324.99</v>
      </c>
    </row>
    <row r="382" ht="15.55" customHeight="1">
      <c r="I382" t="s" s="126">
        <v>2910</v>
      </c>
      <c r="J382" s="127"/>
      <c r="K382" s="127"/>
      <c r="L382" s="128"/>
      <c r="M382" s="129">
        <v>8</v>
      </c>
      <c r="N382" s="130">
        <v>129.98</v>
      </c>
      <c r="O382" s="130">
        <v>519.92</v>
      </c>
    </row>
    <row r="383" ht="15.55" customHeight="1">
      <c r="I383" t="s" s="126">
        <v>2882</v>
      </c>
      <c r="J383" s="127"/>
      <c r="K383" s="127"/>
      <c r="L383" s="128"/>
      <c r="M383" s="129">
        <v>73</v>
      </c>
      <c r="N383" s="130">
        <v>2720.92</v>
      </c>
      <c r="O383" s="130">
        <v>10554.63</v>
      </c>
    </row>
    <row r="384" ht="15.55" customHeight="1">
      <c r="I384" t="s" s="126">
        <v>69</v>
      </c>
      <c r="J384" s="127"/>
      <c r="K384" s="127"/>
      <c r="L384" s="128"/>
      <c r="M384" s="129">
        <v>175</v>
      </c>
      <c r="N384" s="130">
        <v>1480.6975</v>
      </c>
      <c r="O384" s="130">
        <v>13806.16</v>
      </c>
    </row>
    <row r="385" ht="15.55" customHeight="1">
      <c r="I385" t="s" s="126">
        <v>2714</v>
      </c>
      <c r="J385" s="127"/>
      <c r="K385" s="127"/>
      <c r="L385" s="128"/>
      <c r="M385" s="129">
        <v>12</v>
      </c>
      <c r="N385" s="130">
        <v>919.95</v>
      </c>
      <c r="O385" s="130">
        <v>2039.88</v>
      </c>
    </row>
    <row r="386" ht="15.55" customHeight="1">
      <c r="I386" t="s" s="126">
        <v>2887</v>
      </c>
      <c r="J386" s="127"/>
      <c r="K386" s="127"/>
      <c r="L386" s="128"/>
      <c r="M386" s="129">
        <v>6</v>
      </c>
      <c r="N386" s="130">
        <v>679.96</v>
      </c>
      <c r="O386" s="130">
        <v>809.9400000000001</v>
      </c>
    </row>
    <row r="387" ht="15.55" customHeight="1">
      <c r="I387" t="s" s="126">
        <v>2895</v>
      </c>
      <c r="J387" s="127"/>
      <c r="K387" s="127"/>
      <c r="L387" s="128"/>
      <c r="M387" s="129">
        <v>2</v>
      </c>
      <c r="N387" s="130">
        <v>219.99</v>
      </c>
      <c r="O387" s="130">
        <v>439.98</v>
      </c>
    </row>
    <row r="388" ht="15.55" customHeight="1">
      <c r="I388" t="s" s="126">
        <v>3001</v>
      </c>
      <c r="J388" s="127"/>
      <c r="K388" s="127"/>
      <c r="L388" s="128"/>
      <c r="M388" s="129">
        <v>2</v>
      </c>
      <c r="N388" s="130">
        <v>29.99</v>
      </c>
      <c r="O388" s="130">
        <v>59.98</v>
      </c>
    </row>
    <row r="389" ht="15.55" customHeight="1">
      <c r="I389" t="s" s="126">
        <v>563</v>
      </c>
      <c r="J389" s="127"/>
      <c r="K389" s="127"/>
      <c r="L389" s="128"/>
      <c r="M389" s="129">
        <v>3</v>
      </c>
      <c r="N389" s="130">
        <v>53.1525</v>
      </c>
      <c r="O389" s="130">
        <v>90.645</v>
      </c>
    </row>
    <row r="390" ht="15.55" customHeight="1">
      <c r="I390" t="s" s="126">
        <v>2993</v>
      </c>
      <c r="J390" s="127"/>
      <c r="K390" s="127"/>
      <c r="L390" s="128"/>
      <c r="M390" s="129">
        <v>5</v>
      </c>
      <c r="N390" s="130">
        <v>8.99</v>
      </c>
      <c r="O390" s="130">
        <v>44.95</v>
      </c>
    </row>
    <row r="391" ht="15.55" customHeight="1">
      <c r="I391" t="s" s="126">
        <v>2401</v>
      </c>
      <c r="J391" s="127"/>
      <c r="K391" s="127"/>
      <c r="L391" s="128"/>
      <c r="M391" s="129">
        <v>3</v>
      </c>
      <c r="N391" s="130">
        <v>633.3099999999999</v>
      </c>
      <c r="O391" s="130">
        <v>674.97</v>
      </c>
    </row>
    <row r="392" ht="15.55" customHeight="1">
      <c r="I392" t="s" s="126">
        <v>2901</v>
      </c>
      <c r="J392" s="127"/>
      <c r="K392" s="127"/>
      <c r="L392" s="128"/>
      <c r="M392" s="129">
        <v>127</v>
      </c>
      <c r="N392" s="130">
        <v>-268.894</v>
      </c>
      <c r="O392" s="130">
        <v>2869.866</v>
      </c>
    </row>
    <row r="393" ht="15.55" customHeight="1">
      <c r="I393" t="s" s="126">
        <v>789</v>
      </c>
      <c r="J393" s="127"/>
      <c r="K393" s="127"/>
      <c r="L393" s="128"/>
      <c r="M393" s="129">
        <v>3</v>
      </c>
      <c r="N393" s="130">
        <v>159.97</v>
      </c>
      <c r="O393" s="130">
        <v>159.97</v>
      </c>
    </row>
    <row r="394" ht="15.55" customHeight="1">
      <c r="I394" t="s" s="126">
        <v>2906</v>
      </c>
      <c r="J394" s="127"/>
      <c r="K394" s="127"/>
      <c r="L394" s="128"/>
      <c r="M394" s="129">
        <v>1</v>
      </c>
      <c r="N394" s="130">
        <v>599.99</v>
      </c>
      <c r="O394" s="130">
        <v>599.99</v>
      </c>
    </row>
    <row r="395" ht="15.55" customHeight="1">
      <c r="I395" t="s" s="126">
        <v>2999</v>
      </c>
      <c r="J395" s="127"/>
      <c r="K395" s="127"/>
      <c r="L395" s="128"/>
      <c r="M395" s="129">
        <v>1</v>
      </c>
      <c r="N395" s="130">
        <v>349.99</v>
      </c>
      <c r="O395" s="130">
        <v>349.99</v>
      </c>
    </row>
    <row r="396" ht="15.55" customHeight="1">
      <c r="I396" t="s" s="126">
        <v>2840</v>
      </c>
      <c r="J396" s="127"/>
      <c r="K396" s="127"/>
      <c r="L396" s="128"/>
      <c r="M396" s="129">
        <v>17</v>
      </c>
      <c r="N396" s="130">
        <v>946.86</v>
      </c>
      <c r="O396" s="130">
        <v>3406.77</v>
      </c>
    </row>
    <row r="397" ht="15.55" customHeight="1">
      <c r="I397" t="s" s="126">
        <v>476</v>
      </c>
      <c r="J397" s="127"/>
      <c r="K397" s="127"/>
      <c r="L397" s="128"/>
      <c r="M397" s="129">
        <v>26</v>
      </c>
      <c r="N397" s="130">
        <v>3566.2425</v>
      </c>
      <c r="O397" s="130">
        <v>15566.2425</v>
      </c>
    </row>
    <row r="398" ht="15.55" customHeight="1">
      <c r="I398" t="s" s="126">
        <v>896</v>
      </c>
      <c r="J398" s="127"/>
      <c r="K398" s="127"/>
      <c r="L398" s="128"/>
      <c r="M398" s="129">
        <v>21</v>
      </c>
      <c r="N398" s="130">
        <v>3060.5675</v>
      </c>
      <c r="O398" s="130">
        <v>9435.5075</v>
      </c>
    </row>
    <row r="399" ht="15.55" customHeight="1">
      <c r="I399" t="s" s="126">
        <v>2817</v>
      </c>
      <c r="J399" s="127"/>
      <c r="K399" s="127"/>
      <c r="L399" s="128"/>
      <c r="M399" s="129">
        <v>1</v>
      </c>
      <c r="N399" s="130">
        <v>349.99</v>
      </c>
      <c r="O399" s="130">
        <v>349.99</v>
      </c>
    </row>
    <row r="400" ht="15.55" customHeight="1">
      <c r="I400" t="s" s="126">
        <v>2786</v>
      </c>
      <c r="J400" s="127"/>
      <c r="K400" s="127"/>
      <c r="L400" s="128"/>
      <c r="M400" s="129">
        <v>2</v>
      </c>
      <c r="N400" s="130">
        <v>45.98</v>
      </c>
      <c r="O400" s="130">
        <v>45.98</v>
      </c>
    </row>
    <row r="401" ht="15.55" customHeight="1">
      <c r="I401" t="s" s="126">
        <v>2810</v>
      </c>
      <c r="J401" s="127"/>
      <c r="K401" s="127"/>
      <c r="L401" s="128"/>
      <c r="M401" s="129">
        <v>1</v>
      </c>
      <c r="N401" s="130">
        <v>549.99</v>
      </c>
      <c r="O401" s="130">
        <v>549.99</v>
      </c>
    </row>
    <row r="402" ht="15.55" customHeight="1">
      <c r="I402" t="s" s="126">
        <v>2756</v>
      </c>
      <c r="J402" s="127"/>
      <c r="K402" s="127"/>
      <c r="L402" s="128"/>
      <c r="M402" s="129">
        <v>2</v>
      </c>
      <c r="N402" s="131">
        <v>0</v>
      </c>
      <c r="O402" s="131">
        <v>0</v>
      </c>
    </row>
    <row r="403" ht="15.55" customHeight="1">
      <c r="I403" t="s" s="126">
        <v>2914</v>
      </c>
      <c r="J403" s="127"/>
      <c r="K403" s="127"/>
      <c r="L403" s="128"/>
      <c r="M403" s="129">
        <v>2</v>
      </c>
      <c r="N403" s="130">
        <v>79.98999999999999</v>
      </c>
      <c r="O403" s="130">
        <v>159.98</v>
      </c>
    </row>
    <row r="404" ht="15.55" customHeight="1">
      <c r="I404" t="s" s="126">
        <v>2775</v>
      </c>
      <c r="J404" s="127"/>
      <c r="K404" s="127"/>
      <c r="L404" s="128"/>
      <c r="M404" s="129">
        <v>3</v>
      </c>
      <c r="N404" s="130">
        <v>1679.97</v>
      </c>
      <c r="O404" s="130">
        <v>1679.97</v>
      </c>
    </row>
    <row r="405" ht="15.55" customHeight="1">
      <c r="I405" t="s" s="126">
        <v>2836</v>
      </c>
      <c r="J405" s="127"/>
      <c r="K405" s="127"/>
      <c r="L405" s="128"/>
      <c r="M405" s="129">
        <v>2</v>
      </c>
      <c r="N405" s="130">
        <v>599.99</v>
      </c>
      <c r="O405" s="130">
        <v>1199.98</v>
      </c>
    </row>
    <row r="406" ht="15.55" customHeight="1">
      <c r="I406" t="s" s="126">
        <v>2804</v>
      </c>
      <c r="J406" s="127"/>
      <c r="K406" s="127"/>
      <c r="L406" s="128"/>
      <c r="M406" s="129">
        <v>1</v>
      </c>
      <c r="N406" s="130">
        <v>399.99</v>
      </c>
      <c r="O406" s="130">
        <v>399.99</v>
      </c>
    </row>
    <row r="407" ht="15.55" customHeight="1">
      <c r="I407" t="s" s="126">
        <v>2795</v>
      </c>
      <c r="J407" s="127"/>
      <c r="K407" s="127"/>
      <c r="L407" s="128"/>
      <c r="M407" s="129">
        <v>1</v>
      </c>
      <c r="N407" s="131">
        <v>0</v>
      </c>
      <c r="O407" s="131">
        <v>0</v>
      </c>
    </row>
    <row r="408" ht="15.55" customHeight="1">
      <c r="I408" t="s" s="126">
        <v>155</v>
      </c>
      <c r="J408" s="127"/>
      <c r="K408" s="127"/>
      <c r="L408" s="128"/>
      <c r="M408" s="129">
        <v>12</v>
      </c>
      <c r="N408" s="130">
        <v>299.95</v>
      </c>
      <c r="O408" s="130">
        <v>799.88</v>
      </c>
    </row>
    <row r="409" ht="15.55" customHeight="1">
      <c r="I409" t="s" s="126">
        <v>2792</v>
      </c>
      <c r="J409" s="127"/>
      <c r="K409" s="127"/>
      <c r="L409" s="128"/>
      <c r="M409" s="129">
        <v>1</v>
      </c>
      <c r="N409" s="131">
        <v>0</v>
      </c>
      <c r="O409" s="131">
        <v>0</v>
      </c>
    </row>
    <row r="410" ht="15.55" customHeight="1">
      <c r="I410" t="s" s="126">
        <v>2876</v>
      </c>
      <c r="J410" s="127"/>
      <c r="K410" s="127"/>
      <c r="L410" s="128"/>
      <c r="M410" s="129">
        <v>6</v>
      </c>
      <c r="N410" s="130">
        <v>33.97</v>
      </c>
      <c r="O410" s="130">
        <v>39.94</v>
      </c>
    </row>
    <row r="411" ht="15.55" customHeight="1">
      <c r="I411" t="s" s="126">
        <v>2802</v>
      </c>
      <c r="J411" s="127"/>
      <c r="K411" s="127"/>
      <c r="L411" s="128"/>
      <c r="M411" s="129">
        <v>3</v>
      </c>
      <c r="N411" s="130">
        <v>59.98</v>
      </c>
      <c r="O411" s="130">
        <v>59.98</v>
      </c>
    </row>
    <row r="412" ht="15.55" customHeight="1">
      <c r="I412" t="s" s="126">
        <v>2773</v>
      </c>
      <c r="J412" s="127"/>
      <c r="K412" s="127"/>
      <c r="L412" s="128"/>
      <c r="M412" s="129">
        <v>2</v>
      </c>
      <c r="N412" s="130">
        <v>9.99</v>
      </c>
      <c r="O412" s="130">
        <v>19.98</v>
      </c>
    </row>
    <row r="413" ht="15.55" customHeight="1">
      <c r="I413" t="s" s="126">
        <v>1209</v>
      </c>
      <c r="J413" s="127"/>
      <c r="K413" s="127"/>
      <c r="L413" s="128"/>
      <c r="M413" s="129">
        <v>1</v>
      </c>
      <c r="N413" s="130">
        <v>349.99</v>
      </c>
      <c r="O413" s="130">
        <v>349.99</v>
      </c>
    </row>
    <row r="414" ht="15.55" customHeight="1">
      <c r="I414" t="s" s="126">
        <v>1382</v>
      </c>
      <c r="J414" s="127"/>
      <c r="K414" s="127"/>
      <c r="L414" s="128"/>
      <c r="M414" s="129">
        <v>1</v>
      </c>
      <c r="N414" s="130">
        <v>49.99</v>
      </c>
      <c r="O414" s="130">
        <v>49.99</v>
      </c>
    </row>
    <row r="415" ht="15.55" customHeight="1">
      <c r="I415" t="s" s="126">
        <v>2995</v>
      </c>
      <c r="J415" s="127"/>
      <c r="K415" s="127"/>
      <c r="L415" s="128"/>
      <c r="M415" s="129">
        <v>1</v>
      </c>
      <c r="N415" s="130">
        <v>399.99</v>
      </c>
      <c r="O415" s="130">
        <v>399.99</v>
      </c>
    </row>
    <row r="416" ht="15.55" customHeight="1">
      <c r="I416" t="s" s="126">
        <v>1631</v>
      </c>
      <c r="J416" s="127"/>
      <c r="K416" s="127"/>
      <c r="L416" s="128"/>
      <c r="M416" s="129">
        <v>12</v>
      </c>
      <c r="N416" s="130">
        <v>1429.98</v>
      </c>
      <c r="O416" s="130">
        <v>2859.96</v>
      </c>
    </row>
    <row r="417" ht="15.55" customHeight="1">
      <c r="I417" t="s" s="126">
        <v>2953</v>
      </c>
      <c r="J417" s="127"/>
      <c r="K417" s="127"/>
      <c r="L417" s="128"/>
      <c r="M417" s="129">
        <v>13</v>
      </c>
      <c r="N417" s="130">
        <v>1809.95</v>
      </c>
      <c r="O417" s="130">
        <v>2769.93</v>
      </c>
    </row>
    <row r="418" ht="15.55" customHeight="1">
      <c r="I418" t="s" s="126">
        <v>2866</v>
      </c>
      <c r="J418" s="127"/>
      <c r="K418" s="127"/>
      <c r="L418" s="128"/>
      <c r="M418" s="129">
        <v>2</v>
      </c>
      <c r="N418" s="130">
        <v>49.99</v>
      </c>
      <c r="O418" s="130">
        <v>99.98</v>
      </c>
    </row>
    <row r="419" ht="15.55" customHeight="1">
      <c r="I419" t="s" s="126">
        <v>2860</v>
      </c>
      <c r="J419" s="127"/>
      <c r="K419" s="127"/>
      <c r="L419" s="128"/>
      <c r="M419" s="129">
        <v>3</v>
      </c>
      <c r="N419" s="130">
        <v>89.98</v>
      </c>
      <c r="O419" s="130">
        <v>99.97</v>
      </c>
    </row>
    <row r="420" ht="15.55" customHeight="1">
      <c r="I420" t="s" s="126">
        <v>1921</v>
      </c>
      <c r="J420" s="127"/>
      <c r="K420" s="127"/>
      <c r="L420" s="128"/>
      <c r="M420" s="129">
        <v>1</v>
      </c>
      <c r="N420" s="131">
        <v>0</v>
      </c>
      <c r="O420" s="131">
        <v>0</v>
      </c>
    </row>
    <row r="421" ht="15.55" customHeight="1">
      <c r="I421" t="s" s="126">
        <v>2942</v>
      </c>
      <c r="J421" s="127"/>
      <c r="K421" s="127"/>
      <c r="L421" s="128"/>
      <c r="M421" s="129">
        <v>2</v>
      </c>
      <c r="N421" s="130">
        <v>49.99</v>
      </c>
      <c r="O421" s="130">
        <v>99.98</v>
      </c>
    </row>
    <row r="422" ht="15.55" customHeight="1">
      <c r="I422" t="s" s="126">
        <v>2850</v>
      </c>
      <c r="J422" s="127"/>
      <c r="K422" s="127"/>
      <c r="L422" s="128"/>
      <c r="M422" s="129">
        <v>4</v>
      </c>
      <c r="N422" s="130">
        <v>649.97</v>
      </c>
      <c r="O422" s="130">
        <v>949.96</v>
      </c>
    </row>
    <row r="423" ht="15.55" customHeight="1">
      <c r="I423" t="s" s="126">
        <v>2522</v>
      </c>
      <c r="J423" s="127"/>
      <c r="K423" s="127"/>
      <c r="L423" s="128"/>
      <c r="M423" s="129">
        <v>25</v>
      </c>
      <c r="N423" s="130">
        <v>1667.93</v>
      </c>
      <c r="O423" s="130">
        <v>2742.75</v>
      </c>
    </row>
    <row r="424" ht="15.55" customHeight="1">
      <c r="I424" t="s" s="126">
        <v>1195</v>
      </c>
      <c r="J424" s="127"/>
      <c r="K424" s="127"/>
      <c r="L424" s="128"/>
      <c r="M424" s="129">
        <v>4</v>
      </c>
      <c r="N424" s="130">
        <v>459.98</v>
      </c>
      <c r="O424" s="130">
        <v>919.96</v>
      </c>
    </row>
    <row r="425" ht="15.55" customHeight="1">
      <c r="I425" t="s" s="126">
        <v>2854</v>
      </c>
      <c r="J425" s="127"/>
      <c r="K425" s="127"/>
      <c r="L425" s="128"/>
      <c r="M425" s="129">
        <v>62</v>
      </c>
      <c r="N425" s="130">
        <v>2759.8075</v>
      </c>
      <c r="O425" s="130">
        <v>10627.15</v>
      </c>
    </row>
    <row r="426" ht="15.55" customHeight="1">
      <c r="I426" t="s" s="126">
        <v>2222</v>
      </c>
      <c r="J426" s="127"/>
      <c r="K426" s="127"/>
      <c r="L426" s="128"/>
      <c r="M426" s="129">
        <v>3</v>
      </c>
      <c r="N426" s="130">
        <v>82.33</v>
      </c>
      <c r="O426" s="130">
        <v>82.33</v>
      </c>
    </row>
    <row r="427" ht="15.55" customHeight="1">
      <c r="I427" t="s" s="126">
        <v>2890</v>
      </c>
      <c r="J427" s="127"/>
      <c r="K427" s="127"/>
      <c r="L427" s="128"/>
      <c r="M427" s="129">
        <v>2</v>
      </c>
      <c r="N427" s="130">
        <v>59.98</v>
      </c>
      <c r="O427" s="130">
        <v>59.98</v>
      </c>
    </row>
    <row r="428" ht="15.55" customHeight="1">
      <c r="I428" t="s" s="126">
        <v>2928</v>
      </c>
      <c r="J428" s="127"/>
      <c r="K428" s="127"/>
      <c r="L428" s="128"/>
      <c r="M428" s="129">
        <v>1</v>
      </c>
      <c r="N428" s="130">
        <v>399.99</v>
      </c>
      <c r="O428" s="130">
        <v>399.99</v>
      </c>
    </row>
    <row r="429" ht="15.55" customHeight="1">
      <c r="I429" t="s" s="126">
        <v>2826</v>
      </c>
      <c r="J429" s="127"/>
      <c r="K429" s="127"/>
      <c r="L429" s="128"/>
      <c r="M429" s="129">
        <v>1</v>
      </c>
      <c r="N429" s="130">
        <v>599.99</v>
      </c>
      <c r="O429" s="130">
        <v>599.99</v>
      </c>
    </row>
    <row r="430" ht="15.55" customHeight="1">
      <c r="I430" t="s" s="126">
        <v>2997</v>
      </c>
      <c r="J430" s="127"/>
      <c r="K430" s="127"/>
      <c r="L430" s="128"/>
      <c r="M430" s="129">
        <v>1</v>
      </c>
      <c r="N430" s="130">
        <v>399.99</v>
      </c>
      <c r="O430" s="130">
        <v>399.99</v>
      </c>
    </row>
    <row r="431" ht="15.55" customHeight="1">
      <c r="I431" t="s" s="126">
        <v>2782</v>
      </c>
      <c r="J431" s="127"/>
      <c r="K431" s="127"/>
      <c r="L431" s="128"/>
      <c r="M431" s="129">
        <v>1</v>
      </c>
      <c r="N431" s="130">
        <v>399.99</v>
      </c>
      <c r="O431" s="130">
        <v>399.99</v>
      </c>
    </row>
    <row r="432" ht="15.55" customHeight="1">
      <c r="I432" t="s" s="126">
        <v>2918</v>
      </c>
      <c r="J432" s="127"/>
      <c r="K432" s="127"/>
      <c r="L432" s="128"/>
      <c r="M432" s="129">
        <v>1</v>
      </c>
      <c r="N432" s="130">
        <v>79.98999999999999</v>
      </c>
      <c r="O432" s="130">
        <v>79.98999999999999</v>
      </c>
    </row>
    <row r="433" ht="15.55" customHeight="1">
      <c r="I433" t="s" s="126">
        <v>2843</v>
      </c>
      <c r="J433" s="127"/>
      <c r="K433" s="127"/>
      <c r="L433" s="128"/>
      <c r="M433" s="129">
        <v>1</v>
      </c>
      <c r="N433" s="131">
        <v>0</v>
      </c>
      <c r="O433" s="131">
        <v>0</v>
      </c>
    </row>
    <row r="434" ht="15.55" customHeight="1">
      <c r="I434" t="s" s="126">
        <v>2761</v>
      </c>
      <c r="J434" s="127"/>
      <c r="K434" s="127"/>
      <c r="L434" s="128"/>
      <c r="M434" s="129">
        <v>4</v>
      </c>
      <c r="N434" s="130">
        <v>99.98</v>
      </c>
      <c r="O434" s="130">
        <v>149.97</v>
      </c>
    </row>
    <row r="435" ht="15.55" customHeight="1">
      <c r="I435" t="s" s="126">
        <v>704</v>
      </c>
      <c r="J435" s="127"/>
      <c r="K435" s="127"/>
      <c r="L435" s="128"/>
      <c r="M435" s="129">
        <v>12</v>
      </c>
      <c r="N435" s="130">
        <v>59.99</v>
      </c>
      <c r="O435" s="130">
        <v>719.88</v>
      </c>
    </row>
    <row r="436" ht="15.55" customHeight="1">
      <c r="I436" t="s" s="126">
        <v>467</v>
      </c>
      <c r="J436" s="127"/>
      <c r="K436" s="127"/>
      <c r="L436" s="128"/>
      <c r="M436" s="129">
        <v>20</v>
      </c>
      <c r="N436" s="130">
        <v>3881.26</v>
      </c>
      <c r="O436" s="130">
        <v>3931.25</v>
      </c>
    </row>
    <row r="437" ht="15.55" customHeight="1">
      <c r="I437" t="s" s="126">
        <v>2957</v>
      </c>
      <c r="J437" s="127"/>
      <c r="K437" s="127"/>
      <c r="L437" s="128"/>
      <c r="M437" s="129">
        <v>2</v>
      </c>
      <c r="N437" s="130">
        <v>49.99</v>
      </c>
      <c r="O437" s="130">
        <v>99.98</v>
      </c>
    </row>
    <row r="438" ht="15.55" customHeight="1">
      <c r="I438" t="s" s="126">
        <v>2935</v>
      </c>
      <c r="J438" s="127"/>
      <c r="K438" s="127"/>
      <c r="L438" s="128"/>
      <c r="M438" s="129">
        <v>25</v>
      </c>
      <c r="N438" s="130">
        <v>56.42</v>
      </c>
      <c r="O438" s="130">
        <v>176.42</v>
      </c>
    </row>
    <row r="439" ht="15.55" customHeight="1">
      <c r="I439" t="s" s="126">
        <v>2838</v>
      </c>
      <c r="J439" s="127"/>
      <c r="K439" s="127"/>
      <c r="L439" s="128"/>
      <c r="M439" s="129">
        <v>4</v>
      </c>
      <c r="N439" s="130">
        <v>49.99</v>
      </c>
      <c r="O439" s="130">
        <v>199.96</v>
      </c>
    </row>
    <row r="440" ht="15.55" customHeight="1">
      <c r="I440" t="s" s="126">
        <v>1401</v>
      </c>
      <c r="J440" s="127"/>
      <c r="K440" s="127"/>
      <c r="L440" s="128"/>
      <c r="M440" s="129">
        <v>5</v>
      </c>
      <c r="N440" s="130">
        <v>291.1425</v>
      </c>
      <c r="O440" s="130">
        <v>1078.62</v>
      </c>
    </row>
    <row r="441" ht="15.55" customHeight="1">
      <c r="I441" t="s" s="126">
        <v>473</v>
      </c>
      <c r="J441" s="127"/>
      <c r="K441" s="127"/>
      <c r="L441" s="128"/>
      <c r="M441" s="129">
        <v>73</v>
      </c>
      <c r="N441" s="130">
        <v>1253.2925</v>
      </c>
      <c r="O441" s="130">
        <v>13560.59</v>
      </c>
    </row>
    <row r="442" ht="15.55" customHeight="1">
      <c r="I442" t="s" s="126">
        <v>42</v>
      </c>
      <c r="J442" s="127"/>
      <c r="K442" s="127"/>
      <c r="L442" s="128"/>
      <c r="M442" s="129">
        <v>26</v>
      </c>
      <c r="N442" s="130">
        <v>72.90000000000001</v>
      </c>
      <c r="O442" s="130">
        <v>1272.9</v>
      </c>
    </row>
    <row r="443" ht="15.55" customHeight="1">
      <c r="I443" t="s" s="126">
        <v>2758</v>
      </c>
      <c r="J443" s="127"/>
      <c r="K443" s="127"/>
      <c r="L443" s="128"/>
      <c r="M443" s="129">
        <v>1</v>
      </c>
      <c r="N443" s="131">
        <v>0</v>
      </c>
      <c r="O443" s="131">
        <v>0</v>
      </c>
    </row>
    <row r="444" ht="15.55" customHeight="1">
      <c r="I444" t="s" s="126">
        <v>2798</v>
      </c>
      <c r="J444" s="127"/>
      <c r="K444" s="127"/>
      <c r="L444" s="128"/>
      <c r="M444" s="129">
        <v>1</v>
      </c>
      <c r="N444" s="130">
        <v>399.99</v>
      </c>
      <c r="O444" s="130">
        <v>399.99</v>
      </c>
    </row>
    <row r="445" ht="15.55" customHeight="1">
      <c r="I445" t="s" s="126">
        <v>2338</v>
      </c>
      <c r="J445" s="127"/>
      <c r="K445" s="127"/>
      <c r="L445" s="128"/>
      <c r="M445" s="129">
        <v>1</v>
      </c>
      <c r="N445" s="130">
        <v>59.99</v>
      </c>
      <c r="O445" s="130">
        <v>59.99</v>
      </c>
    </row>
    <row r="446" ht="15.55" customHeight="1">
      <c r="I446" t="s" s="126">
        <v>2862</v>
      </c>
      <c r="J446" s="127"/>
      <c r="K446" s="127"/>
      <c r="L446" s="128"/>
      <c r="M446" s="129">
        <v>8</v>
      </c>
      <c r="N446" s="130">
        <v>899.99</v>
      </c>
      <c r="O446" s="130">
        <v>1799.98</v>
      </c>
    </row>
    <row r="447" ht="15.55" customHeight="1">
      <c r="I447" t="s" s="126">
        <v>2977</v>
      </c>
      <c r="J447" s="127"/>
      <c r="K447" s="127"/>
      <c r="L447" s="128"/>
      <c r="M447" s="129">
        <v>5</v>
      </c>
      <c r="N447" s="130">
        <v>29.99</v>
      </c>
      <c r="O447" s="130">
        <v>149.95</v>
      </c>
    </row>
    <row r="448" ht="15.55" customHeight="1">
      <c r="I448" t="s" s="126">
        <v>2852</v>
      </c>
      <c r="J448" s="127"/>
      <c r="K448" s="127"/>
      <c r="L448" s="128"/>
      <c r="M448" s="129">
        <v>1</v>
      </c>
      <c r="N448" s="130">
        <v>9.99</v>
      </c>
      <c r="O448" s="130">
        <v>9.99</v>
      </c>
    </row>
    <row r="449" ht="15.55" customHeight="1">
      <c r="I449" t="s" s="126">
        <v>2834</v>
      </c>
      <c r="J449" s="127"/>
      <c r="K449" s="127"/>
      <c r="L449" s="128"/>
      <c r="M449" s="129">
        <v>10</v>
      </c>
      <c r="N449" s="130">
        <v>719.95</v>
      </c>
      <c r="O449" s="130">
        <v>1389.91</v>
      </c>
    </row>
    <row r="450" ht="15.55" customHeight="1">
      <c r="I450" t="s" s="126">
        <v>2806</v>
      </c>
      <c r="J450" s="127"/>
      <c r="K450" s="127"/>
      <c r="L450" s="128"/>
      <c r="M450" s="129">
        <v>1</v>
      </c>
      <c r="N450" s="130">
        <v>599.99</v>
      </c>
      <c r="O450" s="130">
        <v>599.99</v>
      </c>
    </row>
    <row r="451" ht="15.55" customHeight="1">
      <c r="I451" t="s" s="126">
        <v>122</v>
      </c>
      <c r="J451" s="127"/>
      <c r="K451" s="127"/>
      <c r="L451" s="128"/>
      <c r="M451" s="129">
        <v>6</v>
      </c>
      <c r="N451" s="130">
        <v>109.5825</v>
      </c>
      <c r="O451" s="130">
        <v>289.56</v>
      </c>
    </row>
    <row r="452" ht="28.55" customHeight="1">
      <c r="I452" t="s" s="126">
        <v>2856</v>
      </c>
      <c r="J452" s="127"/>
      <c r="K452" s="127"/>
      <c r="L452" s="128"/>
      <c r="M452" s="129">
        <v>4</v>
      </c>
      <c r="N452" s="130">
        <v>74.49250000000001</v>
      </c>
      <c r="O452" s="130">
        <v>194.4775</v>
      </c>
    </row>
    <row r="453" ht="15.55" customHeight="1">
      <c r="I453" t="s" s="126">
        <v>2931</v>
      </c>
      <c r="J453" s="127"/>
      <c r="K453" s="127"/>
      <c r="L453" s="128"/>
      <c r="M453" s="129">
        <v>2</v>
      </c>
      <c r="N453" s="130">
        <v>332.65</v>
      </c>
      <c r="O453" s="130">
        <v>332.65</v>
      </c>
    </row>
    <row r="454" ht="15.55" customHeight="1">
      <c r="I454" t="s" s="126">
        <v>2988</v>
      </c>
      <c r="J454" s="127"/>
      <c r="K454" s="127"/>
      <c r="L454" s="128"/>
      <c r="M454" s="129">
        <v>1</v>
      </c>
      <c r="N454" s="130">
        <v>49.99</v>
      </c>
      <c r="O454" s="130">
        <v>49.99</v>
      </c>
    </row>
    <row r="455" ht="15.55" customHeight="1">
      <c r="I455" t="s" s="126">
        <v>2847</v>
      </c>
      <c r="J455" s="127"/>
      <c r="K455" s="127"/>
      <c r="L455" s="128"/>
      <c r="M455" s="129">
        <v>13</v>
      </c>
      <c r="N455" s="130">
        <v>1439.95</v>
      </c>
      <c r="O455" s="130">
        <v>1599.9</v>
      </c>
    </row>
    <row r="456" ht="15.55" customHeight="1">
      <c r="I456" t="s" s="126">
        <v>2297</v>
      </c>
      <c r="J456" s="127"/>
      <c r="K456" s="127"/>
      <c r="L456" s="128"/>
      <c r="M456" s="129">
        <v>4</v>
      </c>
      <c r="N456" s="130">
        <v>109.98</v>
      </c>
      <c r="O456" s="130">
        <v>229.96</v>
      </c>
    </row>
    <row r="457" ht="15.55" customHeight="1">
      <c r="I457" t="s" s="126">
        <v>2822</v>
      </c>
      <c r="J457" s="127"/>
      <c r="K457" s="127"/>
      <c r="L457" s="128"/>
      <c r="M457" s="129">
        <v>1</v>
      </c>
      <c r="N457" s="130">
        <v>399.99</v>
      </c>
      <c r="O457" s="130">
        <v>399.99</v>
      </c>
    </row>
    <row r="458" ht="15.55" customHeight="1">
      <c r="I458" t="s" s="126">
        <v>2884</v>
      </c>
      <c r="J458" s="127"/>
      <c r="K458" s="127"/>
      <c r="L458" s="128"/>
      <c r="M458" s="129">
        <v>1</v>
      </c>
      <c r="N458" s="131">
        <v>0</v>
      </c>
      <c r="O458" s="131">
        <v>0</v>
      </c>
    </row>
    <row r="459" ht="15.55" customHeight="1">
      <c r="I459" t="s" s="126">
        <v>2916</v>
      </c>
      <c r="J459" s="127"/>
      <c r="K459" s="127"/>
      <c r="L459" s="128"/>
      <c r="M459" s="129">
        <v>6</v>
      </c>
      <c r="N459" s="130">
        <v>129.98</v>
      </c>
      <c r="O459" s="130">
        <v>389.94</v>
      </c>
    </row>
    <row r="460" ht="15.55" customHeight="1">
      <c r="I460" t="s" s="126">
        <v>2872</v>
      </c>
      <c r="J460" s="127"/>
      <c r="K460" s="127"/>
      <c r="L460" s="128"/>
      <c r="M460" s="129">
        <v>1</v>
      </c>
      <c r="N460" s="130">
        <v>99.98999999999999</v>
      </c>
      <c r="O460" s="130">
        <v>99.98999999999999</v>
      </c>
    </row>
    <row r="461" ht="15.4" customHeight="1">
      <c r="I461" t="s" s="132">
        <v>2899</v>
      </c>
      <c r="J461" s="133"/>
      <c r="K461" s="133"/>
      <c r="L461" s="134"/>
      <c r="M461" s="135">
        <v>5</v>
      </c>
      <c r="N461" s="136">
        <v>0</v>
      </c>
      <c r="O461" s="136">
        <v>0</v>
      </c>
    </row>
    <row r="462" ht="13.1" customHeight="1">
      <c r="I462" t="s" s="33">
        <v>620</v>
      </c>
      <c r="M462" s="34">
        <v>1269</v>
      </c>
      <c r="N462" s="100">
        <v>69065.197</v>
      </c>
      <c r="O462" s="100">
        <v>166970.072</v>
      </c>
    </row>
    <row r="464" ht="15.55" customHeight="1">
      <c r="P464" t="s" s="2">
        <v>3012</v>
      </c>
      <c r="Q464" s="2"/>
    </row>
    <row r="465" ht="13.1" customHeight="1">
      <c r="P465" t="s" s="37">
        <v>4</v>
      </c>
      <c r="Q465" t="s" s="23">
        <v>617</v>
      </c>
    </row>
    <row r="466" ht="13.1" customHeight="1">
      <c r="P466" t="s" s="38">
        <v>2961</v>
      </c>
      <c r="Q466" s="39">
        <v>50</v>
      </c>
    </row>
    <row r="467" ht="12.9" customHeight="1">
      <c r="P467" t="s" s="40">
        <v>115</v>
      </c>
      <c r="Q467" s="41">
        <v>8</v>
      </c>
    </row>
    <row r="468" ht="12.9" customHeight="1">
      <c r="P468" t="s" s="40">
        <v>1046</v>
      </c>
      <c r="Q468" s="41">
        <v>4</v>
      </c>
    </row>
    <row r="469" ht="12.9" customHeight="1">
      <c r="P469" t="s" s="40">
        <v>396</v>
      </c>
      <c r="Q469" s="41">
        <v>8</v>
      </c>
    </row>
    <row r="470" ht="12.9" customHeight="1">
      <c r="P470" t="s" s="40">
        <v>1186</v>
      </c>
      <c r="Q470" s="41">
        <v>1</v>
      </c>
    </row>
    <row r="471" ht="12.9" customHeight="1">
      <c r="P471" t="s" s="40">
        <v>1891</v>
      </c>
      <c r="Q471" s="41">
        <v>8</v>
      </c>
    </row>
    <row r="472" ht="12.9" customHeight="1">
      <c r="P472" t="s" s="40">
        <v>1187</v>
      </c>
      <c r="Q472" s="41">
        <v>1</v>
      </c>
    </row>
    <row r="473" ht="12.9" customHeight="1">
      <c r="P473" t="s" s="40">
        <v>2985</v>
      </c>
      <c r="Q473" s="41">
        <v>1</v>
      </c>
    </row>
    <row r="474" ht="12.9" customHeight="1">
      <c r="P474" t="s" s="40">
        <v>904</v>
      </c>
      <c r="Q474" s="41">
        <v>4</v>
      </c>
    </row>
    <row r="475" ht="12.9" customHeight="1">
      <c r="P475" t="s" s="40">
        <v>2968</v>
      </c>
      <c r="Q475" s="41">
        <v>4</v>
      </c>
    </row>
    <row r="476" ht="12.9" customHeight="1">
      <c r="P476" t="s" s="40">
        <v>2404</v>
      </c>
      <c r="Q476" s="41">
        <v>4</v>
      </c>
    </row>
    <row r="477" ht="12.9" customHeight="1">
      <c r="P477" t="s" s="40">
        <v>902</v>
      </c>
      <c r="Q477" s="41">
        <v>4</v>
      </c>
    </row>
    <row r="478" ht="12.9" customHeight="1">
      <c r="P478" t="s" s="40">
        <v>1892</v>
      </c>
      <c r="Q478" s="41">
        <v>8</v>
      </c>
    </row>
    <row r="479" ht="12.9" customHeight="1">
      <c r="P479" t="s" s="40">
        <v>780</v>
      </c>
      <c r="Q479" s="41">
        <v>8</v>
      </c>
    </row>
    <row r="480" ht="12.9" customHeight="1">
      <c r="P480" t="s" s="40">
        <v>2965</v>
      </c>
      <c r="Q480" s="41">
        <v>4</v>
      </c>
    </row>
    <row r="481" ht="12.9" customHeight="1">
      <c r="P481" t="s" s="40">
        <v>778</v>
      </c>
      <c r="Q481" s="41">
        <v>8</v>
      </c>
    </row>
    <row r="482" ht="12.9" customHeight="1">
      <c r="P482" t="s" s="40">
        <v>906</v>
      </c>
      <c r="Q482" s="41">
        <v>28</v>
      </c>
    </row>
    <row r="483" ht="12.9" customHeight="1">
      <c r="P483" t="s" s="40">
        <v>2947</v>
      </c>
      <c r="Q483" s="41">
        <v>20</v>
      </c>
    </row>
    <row r="484" ht="12.9" customHeight="1">
      <c r="P484" t="s" s="40">
        <v>2814</v>
      </c>
      <c r="Q484" s="41">
        <v>1</v>
      </c>
    </row>
    <row r="485" ht="12.9" customHeight="1">
      <c r="P485" t="s" s="40">
        <v>123</v>
      </c>
      <c r="Q485" s="41">
        <v>5</v>
      </c>
    </row>
    <row r="486" ht="12.9" customHeight="1">
      <c r="P486" t="s" s="40">
        <v>165</v>
      </c>
      <c r="Q486" s="41">
        <v>4</v>
      </c>
    </row>
    <row r="487" ht="12.9" customHeight="1">
      <c r="P487" t="s" s="40">
        <v>19</v>
      </c>
      <c r="Q487" s="41">
        <v>35</v>
      </c>
    </row>
    <row r="488" ht="12.9" customHeight="1">
      <c r="P488" t="s" s="40">
        <v>1306</v>
      </c>
      <c r="Q488" s="41">
        <v>2</v>
      </c>
    </row>
    <row r="489" ht="12.9" customHeight="1">
      <c r="P489" t="s" s="40">
        <v>2787</v>
      </c>
      <c r="Q489" s="41">
        <v>2</v>
      </c>
    </row>
    <row r="490" ht="12.9" customHeight="1">
      <c r="P490" t="s" s="40">
        <v>227</v>
      </c>
      <c r="Q490" s="41">
        <v>5</v>
      </c>
    </row>
    <row r="491" ht="12.9" customHeight="1">
      <c r="P491" t="s" s="40">
        <v>167</v>
      </c>
      <c r="Q491" s="41">
        <v>3</v>
      </c>
    </row>
    <row r="492" ht="12.9" customHeight="1">
      <c r="P492" t="s" s="40">
        <v>341</v>
      </c>
      <c r="Q492" s="41">
        <v>2</v>
      </c>
    </row>
    <row r="493" ht="12.9" customHeight="1">
      <c r="P493" t="s" s="40">
        <v>54</v>
      </c>
      <c r="Q493" s="41">
        <v>46</v>
      </c>
    </row>
    <row r="494" ht="12.9" customHeight="1">
      <c r="P494" t="s" s="40">
        <v>1695</v>
      </c>
      <c r="Q494" s="41">
        <v>11</v>
      </c>
    </row>
    <row r="495" ht="12.9" customHeight="1">
      <c r="P495" t="s" s="40">
        <v>57</v>
      </c>
      <c r="Q495" s="41">
        <v>9</v>
      </c>
    </row>
    <row r="496" ht="12.9" customHeight="1">
      <c r="P496" t="s" s="40">
        <v>369</v>
      </c>
      <c r="Q496" s="41">
        <v>1</v>
      </c>
    </row>
    <row r="497" ht="12.9" customHeight="1">
      <c r="P497" t="s" s="40">
        <v>84</v>
      </c>
      <c r="Q497" s="41">
        <v>13</v>
      </c>
    </row>
    <row r="498" ht="12.9" customHeight="1">
      <c r="P498" t="s" s="40">
        <v>412</v>
      </c>
      <c r="Q498" s="41">
        <v>4</v>
      </c>
    </row>
    <row r="499" ht="12.9" customHeight="1">
      <c r="P499" t="s" s="40">
        <v>119</v>
      </c>
      <c r="Q499" s="41">
        <v>12</v>
      </c>
    </row>
    <row r="500" ht="12.9" customHeight="1">
      <c r="P500" t="s" s="40">
        <v>587</v>
      </c>
      <c r="Q500" s="41">
        <v>5</v>
      </c>
    </row>
    <row r="501" ht="12.9" customHeight="1">
      <c r="P501" t="s" s="40">
        <v>345</v>
      </c>
      <c r="Q501" s="41">
        <v>2</v>
      </c>
    </row>
    <row r="502" ht="12.9" customHeight="1">
      <c r="P502" t="s" s="40">
        <v>225</v>
      </c>
      <c r="Q502" s="41">
        <v>7</v>
      </c>
    </row>
    <row r="503" ht="12.9" customHeight="1">
      <c r="P503" t="s" s="40">
        <v>125</v>
      </c>
      <c r="Q503" s="41">
        <v>8</v>
      </c>
    </row>
    <row r="504" ht="12.9" customHeight="1">
      <c r="P504" t="s" s="40">
        <v>1717</v>
      </c>
      <c r="Q504" s="41">
        <v>4</v>
      </c>
    </row>
    <row r="505" ht="12.9" customHeight="1">
      <c r="P505" t="s" s="40">
        <v>882</v>
      </c>
      <c r="Q505" s="41">
        <v>9</v>
      </c>
    </row>
    <row r="506" ht="12.9" customHeight="1">
      <c r="P506" t="s" s="40">
        <v>239</v>
      </c>
      <c r="Q506" s="41">
        <v>1</v>
      </c>
    </row>
    <row r="507" ht="12.9" customHeight="1">
      <c r="P507" t="s" s="40">
        <v>487</v>
      </c>
      <c r="Q507" s="41">
        <v>3</v>
      </c>
    </row>
    <row r="508" ht="12.9" customHeight="1">
      <c r="P508" t="s" s="40">
        <v>1961</v>
      </c>
      <c r="Q508" s="41">
        <v>1</v>
      </c>
    </row>
    <row r="509" ht="12.9" customHeight="1">
      <c r="P509" t="s" s="40">
        <v>39</v>
      </c>
      <c r="Q509" s="41">
        <v>8</v>
      </c>
    </row>
    <row r="510" ht="12.9" customHeight="1">
      <c r="P510" t="s" s="40">
        <v>213</v>
      </c>
      <c r="Q510" s="41">
        <v>5</v>
      </c>
    </row>
    <row r="511" ht="12.9" customHeight="1">
      <c r="P511" t="s" s="40">
        <v>1054</v>
      </c>
      <c r="Q511" s="41">
        <v>3</v>
      </c>
    </row>
    <row r="512" ht="12.9" customHeight="1">
      <c r="P512" t="s" s="40">
        <v>354</v>
      </c>
      <c r="Q512" s="41">
        <v>7</v>
      </c>
    </row>
    <row r="513" ht="12.9" customHeight="1">
      <c r="P513" t="s" s="40">
        <v>23</v>
      </c>
      <c r="Q513" s="41">
        <v>19</v>
      </c>
    </row>
    <row r="514" ht="12.9" customHeight="1">
      <c r="P514" t="s" s="40">
        <v>462</v>
      </c>
      <c r="Q514" s="41">
        <v>3</v>
      </c>
    </row>
    <row r="515" ht="12.9" customHeight="1">
      <c r="P515" t="s" s="40">
        <v>133</v>
      </c>
      <c r="Q515" s="41">
        <v>3</v>
      </c>
    </row>
    <row r="516" ht="12.9" customHeight="1">
      <c r="P516" t="s" s="40">
        <v>682</v>
      </c>
      <c r="Q516" s="41">
        <v>1</v>
      </c>
    </row>
    <row r="517" ht="12.9" customHeight="1">
      <c r="P517" t="s" s="40">
        <v>1875</v>
      </c>
      <c r="Q517" s="41">
        <v>30</v>
      </c>
    </row>
    <row r="518" ht="12.9" customHeight="1">
      <c r="P518" t="s" s="40">
        <v>470</v>
      </c>
      <c r="Q518" s="41">
        <v>8</v>
      </c>
    </row>
    <row r="519" ht="12.9" customHeight="1">
      <c r="P519" t="s" s="40">
        <v>1479</v>
      </c>
      <c r="Q519" s="41">
        <v>7</v>
      </c>
    </row>
    <row r="520" ht="12.9" customHeight="1">
      <c r="P520" t="s" s="40">
        <v>602</v>
      </c>
      <c r="Q520" s="41">
        <v>18</v>
      </c>
    </row>
    <row r="521" ht="12.9" customHeight="1">
      <c r="P521" t="s" s="40">
        <v>35</v>
      </c>
      <c r="Q521" s="41">
        <v>29</v>
      </c>
    </row>
    <row r="522" ht="12.9" customHeight="1">
      <c r="P522" t="s" s="40">
        <v>89</v>
      </c>
      <c r="Q522" s="41">
        <v>11</v>
      </c>
    </row>
    <row r="523" ht="12.9" customHeight="1">
      <c r="P523" t="s" s="40">
        <v>106</v>
      </c>
      <c r="Q523" s="41">
        <v>80</v>
      </c>
    </row>
    <row r="524" ht="12.9" customHeight="1">
      <c r="P524" t="s" s="40">
        <v>52</v>
      </c>
      <c r="Q524" s="41">
        <v>30</v>
      </c>
    </row>
    <row r="525" ht="12.9" customHeight="1">
      <c r="P525" t="s" s="40">
        <v>359</v>
      </c>
      <c r="Q525" s="41">
        <v>97</v>
      </c>
    </row>
    <row r="526" ht="12.9" customHeight="1">
      <c r="P526" t="s" s="40">
        <v>77</v>
      </c>
      <c r="Q526" s="41">
        <v>65</v>
      </c>
    </row>
    <row r="527" ht="12.9" customHeight="1">
      <c r="P527" t="s" s="40">
        <v>146</v>
      </c>
      <c r="Q527" s="41">
        <v>8</v>
      </c>
    </row>
    <row r="528" ht="12.9" customHeight="1">
      <c r="P528" t="s" s="40">
        <v>2830</v>
      </c>
      <c r="Q528" s="41">
        <v>1</v>
      </c>
    </row>
    <row r="529" ht="12.9" customHeight="1">
      <c r="P529" t="s" s="40">
        <v>258</v>
      </c>
      <c r="Q529" s="41">
        <v>8</v>
      </c>
    </row>
    <row r="530" ht="12.9" customHeight="1">
      <c r="P530" t="s" s="40">
        <v>95</v>
      </c>
      <c r="Q530" s="41">
        <v>13</v>
      </c>
    </row>
    <row r="531" ht="12.9" customHeight="1">
      <c r="P531" t="s" s="40">
        <v>171</v>
      </c>
      <c r="Q531" s="41">
        <v>2</v>
      </c>
    </row>
    <row r="532" ht="12.9" customHeight="1">
      <c r="P532" t="s" s="40">
        <v>11</v>
      </c>
      <c r="Q532" s="41">
        <v>12</v>
      </c>
    </row>
    <row r="533" ht="12.9" customHeight="1">
      <c r="P533" t="s" s="40">
        <v>31</v>
      </c>
      <c r="Q533" s="41">
        <v>11</v>
      </c>
    </row>
    <row r="534" ht="12.9" customHeight="1">
      <c r="P534" t="s" s="40">
        <v>81</v>
      </c>
      <c r="Q534" s="41">
        <v>21</v>
      </c>
    </row>
    <row r="535" ht="12.9" customHeight="1">
      <c r="P535" t="s" s="40">
        <v>50</v>
      </c>
      <c r="Q535" s="41">
        <v>80</v>
      </c>
    </row>
    <row r="536" ht="12.9" customHeight="1">
      <c r="P536" t="s" s="40">
        <v>48</v>
      </c>
      <c r="Q536" s="41">
        <v>26</v>
      </c>
    </row>
    <row r="537" ht="12.9" customHeight="1">
      <c r="P537" t="s" s="40">
        <v>998</v>
      </c>
      <c r="Q537" s="41">
        <v>16</v>
      </c>
    </row>
    <row r="538" ht="12.9" customHeight="1">
      <c r="P538" t="s" s="40">
        <v>468</v>
      </c>
      <c r="Q538" s="41">
        <v>3</v>
      </c>
    </row>
    <row r="539" ht="12.9" customHeight="1">
      <c r="P539" t="s" s="40">
        <v>1155</v>
      </c>
      <c r="Q539" s="41">
        <v>5</v>
      </c>
    </row>
    <row r="540" ht="12.9" customHeight="1">
      <c r="P540" t="s" s="40">
        <v>489</v>
      </c>
      <c r="Q540" s="41">
        <v>1</v>
      </c>
    </row>
    <row r="541" ht="12.9" customHeight="1">
      <c r="P541" t="s" s="40">
        <v>1633</v>
      </c>
      <c r="Q541" s="41">
        <v>1</v>
      </c>
    </row>
    <row r="542" ht="12.9" customHeight="1">
      <c r="P542" t="s" s="40">
        <v>491</v>
      </c>
      <c r="Q542" s="41">
        <v>2</v>
      </c>
    </row>
    <row r="543" ht="12.9" customHeight="1">
      <c r="P543" t="s" s="40">
        <v>493</v>
      </c>
      <c r="Q543" s="41">
        <v>1</v>
      </c>
    </row>
    <row r="544" ht="12.9" customHeight="1">
      <c r="P544" t="s" s="40">
        <v>59</v>
      </c>
      <c r="Q544" s="41">
        <v>6</v>
      </c>
    </row>
    <row r="545" ht="12.9" customHeight="1">
      <c r="P545" t="s" s="40">
        <v>73</v>
      </c>
      <c r="Q545" s="41">
        <v>16</v>
      </c>
    </row>
    <row r="546" ht="12.9" customHeight="1">
      <c r="P546" t="s" s="40">
        <v>27</v>
      </c>
      <c r="Q546" s="41">
        <v>51</v>
      </c>
    </row>
    <row r="547" ht="12.9" customHeight="1">
      <c r="P547" t="s" s="40">
        <v>15</v>
      </c>
      <c r="Q547" s="41">
        <v>77</v>
      </c>
    </row>
    <row r="548" ht="12.9" customHeight="1">
      <c r="P548" t="s" s="40">
        <v>2960</v>
      </c>
      <c r="Q548" s="41">
        <v>1</v>
      </c>
    </row>
    <row r="549" ht="12.9" customHeight="1">
      <c r="P549" t="s" s="40">
        <v>207</v>
      </c>
      <c r="Q549" s="41">
        <v>4</v>
      </c>
    </row>
    <row r="550" ht="12.9" customHeight="1">
      <c r="P550" t="s" s="40">
        <v>772</v>
      </c>
      <c r="Q550" s="41">
        <v>4</v>
      </c>
    </row>
    <row r="551" ht="12.9" customHeight="1">
      <c r="P551" t="s" s="40">
        <v>1044</v>
      </c>
      <c r="Q551" s="41">
        <v>2</v>
      </c>
    </row>
    <row r="552" ht="12.9" customHeight="1">
      <c r="P552" t="s" s="40">
        <v>2969</v>
      </c>
      <c r="Q552" s="41">
        <v>24</v>
      </c>
    </row>
    <row r="553" ht="12.9" customHeight="1">
      <c r="P553" t="s" s="40">
        <v>442</v>
      </c>
      <c r="Q553" s="41">
        <v>1</v>
      </c>
    </row>
    <row r="554" ht="12.9" customHeight="1">
      <c r="P554" t="s" s="40">
        <v>892</v>
      </c>
      <c r="Q554" s="41">
        <v>1</v>
      </c>
    </row>
    <row r="555" ht="12.9" customHeight="1">
      <c r="P555" t="s" s="40">
        <v>2868</v>
      </c>
      <c r="Q555" s="41">
        <v>1</v>
      </c>
    </row>
    <row r="556" ht="12.9" customHeight="1">
      <c r="P556" t="s" s="40">
        <v>1550</v>
      </c>
      <c r="Q556" s="41">
        <v>1</v>
      </c>
    </row>
    <row r="557" ht="12.9" customHeight="1">
      <c r="P557" t="s" s="40">
        <v>2932</v>
      </c>
      <c r="Q557" s="41">
        <v>1</v>
      </c>
    </row>
    <row r="558" ht="12.9" customHeight="1">
      <c r="P558" t="s" s="40">
        <v>1914</v>
      </c>
      <c r="Q558" s="41">
        <v>2</v>
      </c>
    </row>
    <row r="559" ht="12.9" customHeight="1">
      <c r="P559" t="s" s="40">
        <v>1048</v>
      </c>
      <c r="Q559" s="41">
        <v>2</v>
      </c>
    </row>
    <row r="560" ht="12.9" customHeight="1">
      <c r="P560" t="s" s="40">
        <v>691</v>
      </c>
      <c r="Q560" s="41">
        <v>1</v>
      </c>
    </row>
    <row r="561" ht="12.9" customHeight="1">
      <c r="P561" t="s" s="40">
        <v>254</v>
      </c>
      <c r="Q561" s="41">
        <v>8</v>
      </c>
    </row>
    <row r="562" ht="12.9" customHeight="1">
      <c r="P562" t="s" s="40">
        <v>63</v>
      </c>
      <c r="Q562" s="41">
        <v>19</v>
      </c>
    </row>
    <row r="563" ht="12.9" customHeight="1">
      <c r="P563" t="s" s="40">
        <v>47</v>
      </c>
      <c r="Q563" s="41">
        <v>10</v>
      </c>
    </row>
    <row r="564" ht="12.9" customHeight="1">
      <c r="P564" t="s" s="40">
        <v>2512</v>
      </c>
      <c r="Q564" s="41">
        <v>8</v>
      </c>
    </row>
    <row r="565" ht="12.9" customHeight="1">
      <c r="P565" t="s" s="40">
        <v>1236</v>
      </c>
      <c r="Q565" s="41">
        <v>1</v>
      </c>
    </row>
    <row r="566" ht="12.9" customHeight="1">
      <c r="P566" t="s" s="40">
        <v>2949</v>
      </c>
      <c r="Q566" s="41">
        <v>20</v>
      </c>
    </row>
    <row r="567" ht="12.9" customHeight="1">
      <c r="P567" t="s" s="40">
        <v>762</v>
      </c>
      <c r="Q567" s="41">
        <v>4</v>
      </c>
    </row>
    <row r="568" ht="13.1" customHeight="1">
      <c r="P568" t="s" s="42">
        <v>3009</v>
      </c>
      <c r="Q568" s="43">
        <v>1</v>
      </c>
    </row>
    <row r="569" ht="13.1" customHeight="1">
      <c r="P569" t="s" s="44">
        <v>620</v>
      </c>
      <c r="Q569" s="34">
        <v>1269</v>
      </c>
    </row>
    <row r="571" ht="15.55" customHeight="1">
      <c r="R571" t="s" s="2">
        <v>3013</v>
      </c>
      <c r="S571" s="2"/>
    </row>
    <row r="572" ht="13.1" customHeight="1">
      <c r="R572" t="s" s="37">
        <v>4</v>
      </c>
      <c r="S572" t="s" s="23">
        <v>619</v>
      </c>
    </row>
    <row r="573" ht="13.1" customHeight="1">
      <c r="R573" t="s" s="38">
        <v>2961</v>
      </c>
      <c r="S573" s="46">
        <v>700</v>
      </c>
    </row>
    <row r="574" ht="12.9" customHeight="1">
      <c r="R574" t="s" s="40">
        <v>115</v>
      </c>
      <c r="S574" s="48">
        <v>137.94</v>
      </c>
    </row>
    <row r="575" ht="12.9" customHeight="1">
      <c r="R575" t="s" s="40">
        <v>1046</v>
      </c>
      <c r="S575" s="47">
        <v>0</v>
      </c>
    </row>
    <row r="576" ht="12.9" customHeight="1">
      <c r="R576" t="s" s="40">
        <v>396</v>
      </c>
      <c r="S576" s="47">
        <v>0</v>
      </c>
    </row>
    <row r="577" ht="12.9" customHeight="1">
      <c r="R577" t="s" s="40">
        <v>1186</v>
      </c>
      <c r="S577" s="47">
        <v>0</v>
      </c>
    </row>
    <row r="578" ht="12.9" customHeight="1">
      <c r="R578" t="s" s="40">
        <v>1891</v>
      </c>
      <c r="S578" s="47">
        <v>0</v>
      </c>
    </row>
    <row r="579" ht="12.9" customHeight="1">
      <c r="R579" t="s" s="40">
        <v>1187</v>
      </c>
      <c r="S579" s="47">
        <v>0</v>
      </c>
    </row>
    <row r="580" ht="12.9" customHeight="1">
      <c r="R580" t="s" s="40">
        <v>2985</v>
      </c>
      <c r="S580" s="47">
        <v>0</v>
      </c>
    </row>
    <row r="581" ht="12.9" customHeight="1">
      <c r="R581" t="s" s="40">
        <v>904</v>
      </c>
      <c r="S581" s="48">
        <v>1649.97</v>
      </c>
    </row>
    <row r="582" ht="12.9" customHeight="1">
      <c r="R582" t="s" s="40">
        <v>2968</v>
      </c>
      <c r="S582" s="48">
        <v>195</v>
      </c>
    </row>
    <row r="583" ht="12.9" customHeight="1">
      <c r="R583" t="s" s="40">
        <v>2404</v>
      </c>
      <c r="S583" s="48">
        <v>449.97</v>
      </c>
    </row>
    <row r="584" ht="12.9" customHeight="1">
      <c r="R584" t="s" s="40">
        <v>902</v>
      </c>
      <c r="S584" s="48">
        <v>599.97</v>
      </c>
    </row>
    <row r="585" ht="12.9" customHeight="1">
      <c r="R585" t="s" s="40">
        <v>1892</v>
      </c>
      <c r="S585" s="47">
        <v>0</v>
      </c>
    </row>
    <row r="586" ht="12.9" customHeight="1">
      <c r="R586" t="s" s="40">
        <v>780</v>
      </c>
      <c r="S586" s="47">
        <v>0</v>
      </c>
    </row>
    <row r="587" ht="12.9" customHeight="1">
      <c r="R587" t="s" s="40">
        <v>2965</v>
      </c>
      <c r="S587" s="48">
        <v>749.97</v>
      </c>
    </row>
    <row r="588" ht="12.9" customHeight="1">
      <c r="R588" t="s" s="40">
        <v>778</v>
      </c>
      <c r="S588" s="48">
        <v>1799.94</v>
      </c>
    </row>
    <row r="589" ht="12.9" customHeight="1">
      <c r="R589" t="s" s="40">
        <v>906</v>
      </c>
      <c r="S589" s="48">
        <v>210</v>
      </c>
    </row>
    <row r="590" ht="12.9" customHeight="1">
      <c r="R590" t="s" s="40">
        <v>2947</v>
      </c>
      <c r="S590" s="47">
        <v>0</v>
      </c>
    </row>
    <row r="591" ht="12.9" customHeight="1">
      <c r="R591" t="s" s="40">
        <v>2814</v>
      </c>
      <c r="S591" s="48">
        <v>9.9</v>
      </c>
    </row>
    <row r="592" ht="12.9" customHeight="1">
      <c r="R592" t="s" s="40">
        <v>123</v>
      </c>
      <c r="S592" s="48">
        <v>809.955</v>
      </c>
    </row>
    <row r="593" ht="12.9" customHeight="1">
      <c r="R593" t="s" s="40">
        <v>165</v>
      </c>
      <c r="S593" s="47">
        <v>0</v>
      </c>
    </row>
    <row r="594" ht="12.9" customHeight="1">
      <c r="R594" t="s" s="40">
        <v>19</v>
      </c>
      <c r="S594" s="48">
        <v>3959.67</v>
      </c>
    </row>
    <row r="595" ht="12.9" customHeight="1">
      <c r="R595" t="s" s="40">
        <v>1306</v>
      </c>
      <c r="S595" s="47">
        <v>0</v>
      </c>
    </row>
    <row r="596" ht="12.9" customHeight="1">
      <c r="R596" t="s" s="40">
        <v>2787</v>
      </c>
      <c r="S596" s="48">
        <v>45.98</v>
      </c>
    </row>
    <row r="597" ht="12.9" customHeight="1">
      <c r="R597" t="s" s="40">
        <v>227</v>
      </c>
      <c r="S597" s="48">
        <v>119.96</v>
      </c>
    </row>
    <row r="598" ht="12.9" customHeight="1">
      <c r="R598" t="s" s="40">
        <v>167</v>
      </c>
      <c r="S598" s="48">
        <v>59.98</v>
      </c>
    </row>
    <row r="599" ht="12.9" customHeight="1">
      <c r="R599" t="s" s="40">
        <v>341</v>
      </c>
      <c r="S599" s="48">
        <v>59.98</v>
      </c>
    </row>
    <row r="600" ht="12.9" customHeight="1">
      <c r="R600" t="s" s="40">
        <v>54</v>
      </c>
      <c r="S600" s="48">
        <v>179.82</v>
      </c>
    </row>
    <row r="601" ht="12.9" customHeight="1">
      <c r="R601" t="s" s="40">
        <v>1695</v>
      </c>
      <c r="S601" s="48">
        <v>499.9</v>
      </c>
    </row>
    <row r="602" ht="12.9" customHeight="1">
      <c r="R602" t="s" s="40">
        <v>57</v>
      </c>
      <c r="S602" s="48">
        <v>5587.4325</v>
      </c>
    </row>
    <row r="603" ht="12.9" customHeight="1">
      <c r="R603" t="s" s="40">
        <v>369</v>
      </c>
      <c r="S603" s="48">
        <v>12.99</v>
      </c>
    </row>
    <row r="604" ht="12.9" customHeight="1">
      <c r="R604" t="s" s="40">
        <v>84</v>
      </c>
      <c r="S604" s="47">
        <v>0</v>
      </c>
    </row>
    <row r="605" ht="12.9" customHeight="1">
      <c r="R605" t="s" s="40">
        <v>412</v>
      </c>
      <c r="S605" s="48">
        <v>7.96</v>
      </c>
    </row>
    <row r="606" ht="12.9" customHeight="1">
      <c r="R606" t="s" s="40">
        <v>119</v>
      </c>
      <c r="S606" s="48">
        <v>23.88</v>
      </c>
    </row>
    <row r="607" ht="12.9" customHeight="1">
      <c r="R607" t="s" s="40">
        <v>587</v>
      </c>
      <c r="S607" s="48">
        <v>79.95999999999999</v>
      </c>
    </row>
    <row r="608" ht="12.9" customHeight="1">
      <c r="R608" t="s" s="40">
        <v>345</v>
      </c>
      <c r="S608" s="48">
        <v>439.98</v>
      </c>
    </row>
    <row r="609" ht="12.9" customHeight="1">
      <c r="R609" t="s" s="40">
        <v>225</v>
      </c>
      <c r="S609" s="48">
        <v>3374.9325</v>
      </c>
    </row>
    <row r="610" ht="12.9" customHeight="1">
      <c r="R610" t="s" s="40">
        <v>125</v>
      </c>
      <c r="S610" s="48">
        <v>519.92</v>
      </c>
    </row>
    <row r="611" ht="12.9" customHeight="1">
      <c r="R611" t="s" s="40">
        <v>1717</v>
      </c>
      <c r="S611" s="48">
        <v>399.96</v>
      </c>
    </row>
    <row r="612" ht="12.9" customHeight="1">
      <c r="R612" t="s" s="40">
        <v>882</v>
      </c>
      <c r="S612" s="48">
        <v>506.1825</v>
      </c>
    </row>
    <row r="613" ht="12.9" customHeight="1">
      <c r="R613" t="s" s="40">
        <v>239</v>
      </c>
      <c r="S613" s="48">
        <v>99.98999999999999</v>
      </c>
    </row>
    <row r="614" ht="12.9" customHeight="1">
      <c r="R614" t="s" s="40">
        <v>487</v>
      </c>
      <c r="S614" s="48">
        <v>329.97</v>
      </c>
    </row>
    <row r="615" ht="12.9" customHeight="1">
      <c r="R615" t="s" s="40">
        <v>1961</v>
      </c>
      <c r="S615" s="48">
        <v>82.49250000000001</v>
      </c>
    </row>
    <row r="616" ht="12.9" customHeight="1">
      <c r="R616" t="s" s="40">
        <v>39</v>
      </c>
      <c r="S616" s="48">
        <v>879.92</v>
      </c>
    </row>
    <row r="617" ht="12.9" customHeight="1">
      <c r="R617" t="s" s="40">
        <v>213</v>
      </c>
      <c r="S617" s="48">
        <v>2056.23</v>
      </c>
    </row>
    <row r="618" ht="12.9" customHeight="1">
      <c r="R618" t="s" s="40">
        <v>1054</v>
      </c>
      <c r="S618" s="47">
        <v>0</v>
      </c>
    </row>
    <row r="619" ht="12.9" customHeight="1">
      <c r="R619" t="s" s="40">
        <v>354</v>
      </c>
      <c r="S619" s="48">
        <v>637.4575</v>
      </c>
    </row>
    <row r="620" ht="12.9" customHeight="1">
      <c r="R620" t="s" s="40">
        <v>23</v>
      </c>
      <c r="S620" s="48">
        <v>449.97</v>
      </c>
    </row>
    <row r="621" ht="12.9" customHeight="1">
      <c r="R621" t="s" s="40">
        <v>462</v>
      </c>
      <c r="S621" s="48">
        <v>599.97</v>
      </c>
    </row>
    <row r="622" ht="12.9" customHeight="1">
      <c r="R622" t="s" s="40">
        <v>133</v>
      </c>
      <c r="S622" s="48">
        <v>150</v>
      </c>
    </row>
    <row r="623" ht="12.9" customHeight="1">
      <c r="R623" t="s" s="40">
        <v>682</v>
      </c>
      <c r="S623" s="48">
        <v>249.99</v>
      </c>
    </row>
    <row r="624" ht="12.9" customHeight="1">
      <c r="R624" t="s" s="40">
        <v>1875</v>
      </c>
      <c r="S624" s="48">
        <v>5624.775</v>
      </c>
    </row>
    <row r="625" ht="12.9" customHeight="1">
      <c r="R625" t="s" s="40">
        <v>470</v>
      </c>
      <c r="S625" s="48">
        <v>1399.96</v>
      </c>
    </row>
    <row r="626" ht="12.9" customHeight="1">
      <c r="R626" t="s" s="40">
        <v>1479</v>
      </c>
      <c r="S626" s="48">
        <v>2024.9325</v>
      </c>
    </row>
    <row r="627" ht="12.9" customHeight="1">
      <c r="R627" t="s" s="40">
        <v>602</v>
      </c>
      <c r="S627" s="48">
        <v>4249.905</v>
      </c>
    </row>
    <row r="628" ht="12.9" customHeight="1">
      <c r="R628" t="s" s="40">
        <v>35</v>
      </c>
      <c r="S628" s="48">
        <v>1408.055</v>
      </c>
    </row>
    <row r="629" ht="12.9" customHeight="1">
      <c r="R629" t="s" s="40">
        <v>89</v>
      </c>
      <c r="S629" s="48">
        <v>659.89</v>
      </c>
    </row>
    <row r="630" ht="12.9" customHeight="1">
      <c r="R630" t="s" s="40">
        <v>106</v>
      </c>
      <c r="S630" s="48">
        <v>3899.4</v>
      </c>
    </row>
    <row r="631" ht="12.9" customHeight="1">
      <c r="R631" t="s" s="40">
        <v>52</v>
      </c>
      <c r="S631" s="47">
        <v>0</v>
      </c>
    </row>
    <row r="632" ht="12.9" customHeight="1">
      <c r="R632" t="s" s="40">
        <v>359</v>
      </c>
      <c r="S632" s="48">
        <v>2699.1</v>
      </c>
    </row>
    <row r="633" ht="12.9" customHeight="1">
      <c r="R633" t="s" s="40">
        <v>77</v>
      </c>
      <c r="S633" s="48">
        <v>1299.35</v>
      </c>
    </row>
    <row r="634" ht="12.9" customHeight="1">
      <c r="R634" t="s" s="40">
        <v>146</v>
      </c>
      <c r="S634" s="48">
        <v>159.92</v>
      </c>
    </row>
    <row r="635" ht="12.9" customHeight="1">
      <c r="R635" t="s" s="40">
        <v>2830</v>
      </c>
      <c r="S635" s="48">
        <v>59.9925</v>
      </c>
    </row>
    <row r="636" ht="12.9" customHeight="1">
      <c r="R636" t="s" s="40">
        <v>258</v>
      </c>
      <c r="S636" s="47">
        <v>0</v>
      </c>
    </row>
    <row r="637" ht="12.9" customHeight="1">
      <c r="R637" t="s" s="40">
        <v>95</v>
      </c>
      <c r="S637" s="48">
        <v>3527.3985</v>
      </c>
    </row>
    <row r="638" ht="12.9" customHeight="1">
      <c r="R638" t="s" s="40">
        <v>171</v>
      </c>
      <c r="S638" s="48">
        <v>1099.98</v>
      </c>
    </row>
    <row r="639" ht="12.9" customHeight="1">
      <c r="R639" t="s" s="40">
        <v>11</v>
      </c>
      <c r="S639" s="48">
        <v>4499.8875</v>
      </c>
    </row>
    <row r="640" ht="12.9" customHeight="1">
      <c r="R640" t="s" s="40">
        <v>31</v>
      </c>
      <c r="S640" s="48">
        <v>6291.555</v>
      </c>
    </row>
    <row r="641" ht="12.9" customHeight="1">
      <c r="R641" t="s" s="40">
        <v>81</v>
      </c>
      <c r="S641" s="48">
        <v>16149.81</v>
      </c>
    </row>
    <row r="642" ht="12.9" customHeight="1">
      <c r="R642" t="s" s="40">
        <v>50</v>
      </c>
      <c r="S642" s="48">
        <v>269.91</v>
      </c>
    </row>
    <row r="643" ht="12.9" customHeight="1">
      <c r="R643" t="s" s="40">
        <v>48</v>
      </c>
      <c r="S643" s="48">
        <v>25874.9325</v>
      </c>
    </row>
    <row r="644" ht="12.9" customHeight="1">
      <c r="R644" t="s" s="40">
        <v>998</v>
      </c>
      <c r="S644" s="48">
        <v>14981.1825</v>
      </c>
    </row>
    <row r="645" ht="12.9" customHeight="1">
      <c r="R645" t="s" s="40">
        <v>468</v>
      </c>
      <c r="S645" s="48">
        <v>7349.98</v>
      </c>
    </row>
    <row r="646" ht="12.9" customHeight="1">
      <c r="R646" t="s" s="40">
        <v>1155</v>
      </c>
      <c r="S646" s="48">
        <v>8250</v>
      </c>
    </row>
    <row r="647" ht="12.9" customHeight="1">
      <c r="R647" t="s" s="40">
        <v>489</v>
      </c>
      <c r="S647" s="48">
        <v>1199.9925</v>
      </c>
    </row>
    <row r="648" ht="12.9" customHeight="1">
      <c r="R648" t="s" s="40">
        <v>1633</v>
      </c>
      <c r="S648" s="47">
        <v>0</v>
      </c>
    </row>
    <row r="649" ht="12.9" customHeight="1">
      <c r="R649" t="s" s="40">
        <v>491</v>
      </c>
      <c r="S649" s="47">
        <v>0</v>
      </c>
    </row>
    <row r="650" ht="12.9" customHeight="1">
      <c r="R650" t="s" s="40">
        <v>493</v>
      </c>
      <c r="S650" s="47">
        <v>0</v>
      </c>
    </row>
    <row r="651" ht="12.9" customHeight="1">
      <c r="R651" t="s" s="40">
        <v>59</v>
      </c>
      <c r="S651" s="48">
        <v>6599.945</v>
      </c>
    </row>
    <row r="652" ht="12.9" customHeight="1">
      <c r="R652" t="s" s="40">
        <v>73</v>
      </c>
      <c r="S652" s="48">
        <v>5829.8625</v>
      </c>
    </row>
    <row r="653" ht="12.9" customHeight="1">
      <c r="R653" t="s" s="40">
        <v>27</v>
      </c>
      <c r="S653" s="48">
        <v>2949.7575</v>
      </c>
    </row>
    <row r="654" ht="12.9" customHeight="1">
      <c r="R654" t="s" s="40">
        <v>15</v>
      </c>
      <c r="S654" s="48">
        <v>339.65</v>
      </c>
    </row>
    <row r="655" ht="12.9" customHeight="1">
      <c r="R655" t="s" s="40">
        <v>2960</v>
      </c>
      <c r="S655" s="47">
        <v>0</v>
      </c>
    </row>
    <row r="656" ht="12.9" customHeight="1">
      <c r="R656" t="s" s="40">
        <v>207</v>
      </c>
      <c r="S656" s="47">
        <v>0</v>
      </c>
    </row>
    <row r="657" ht="12.9" customHeight="1">
      <c r="R657" t="s" s="40">
        <v>772</v>
      </c>
      <c r="S657" s="48">
        <v>160</v>
      </c>
    </row>
    <row r="658" ht="12.9" customHeight="1">
      <c r="R658" t="s" s="40">
        <v>1044</v>
      </c>
      <c r="S658" s="47">
        <v>0</v>
      </c>
    </row>
    <row r="659" ht="12.9" customHeight="1">
      <c r="R659" t="s" s="40">
        <v>2969</v>
      </c>
      <c r="S659" s="48">
        <v>360</v>
      </c>
    </row>
    <row r="660" ht="12.9" customHeight="1">
      <c r="R660" t="s" s="40">
        <v>442</v>
      </c>
      <c r="S660" s="48">
        <v>-318.874</v>
      </c>
    </row>
    <row r="661" ht="12.9" customHeight="1">
      <c r="R661" t="s" s="40">
        <v>892</v>
      </c>
      <c r="S661" s="48">
        <v>29.99</v>
      </c>
    </row>
    <row r="662" ht="12.9" customHeight="1">
      <c r="R662" t="s" s="40">
        <v>2868</v>
      </c>
      <c r="S662" s="48">
        <v>145</v>
      </c>
    </row>
    <row r="663" ht="12.9" customHeight="1">
      <c r="R663" t="s" s="40">
        <v>1550</v>
      </c>
      <c r="S663" s="48">
        <v>3999.99</v>
      </c>
    </row>
    <row r="664" ht="12.9" customHeight="1">
      <c r="R664" t="s" s="40">
        <v>2932</v>
      </c>
      <c r="S664" s="48">
        <v>320</v>
      </c>
    </row>
    <row r="665" ht="12.9" customHeight="1">
      <c r="R665" t="s" s="40">
        <v>1914</v>
      </c>
      <c r="S665" s="47">
        <v>0</v>
      </c>
    </row>
    <row r="666" ht="12.9" customHeight="1">
      <c r="R666" t="s" s="40">
        <v>1048</v>
      </c>
      <c r="S666" s="47">
        <v>0</v>
      </c>
    </row>
    <row r="667" ht="12.9" customHeight="1">
      <c r="R667" t="s" s="40">
        <v>691</v>
      </c>
      <c r="S667" s="48">
        <v>334.99</v>
      </c>
    </row>
    <row r="668" ht="12.9" customHeight="1">
      <c r="R668" t="s" s="40">
        <v>254</v>
      </c>
      <c r="S668" s="48">
        <v>470</v>
      </c>
    </row>
    <row r="669" ht="12.9" customHeight="1">
      <c r="R669" t="s" s="40">
        <v>63</v>
      </c>
      <c r="S669" s="48">
        <v>2674.87</v>
      </c>
    </row>
    <row r="670" ht="12.9" customHeight="1">
      <c r="R670" t="s" s="40">
        <v>47</v>
      </c>
      <c r="S670" s="48">
        <v>1367.89</v>
      </c>
    </row>
    <row r="671" ht="12.9" customHeight="1">
      <c r="R671" t="s" s="40">
        <v>2512</v>
      </c>
      <c r="S671" s="47">
        <v>0</v>
      </c>
    </row>
    <row r="672" ht="12.9" customHeight="1">
      <c r="R672" t="s" s="40">
        <v>1236</v>
      </c>
      <c r="S672" s="47">
        <v>0</v>
      </c>
    </row>
    <row r="673" ht="12.9" customHeight="1">
      <c r="R673" t="s" s="40">
        <v>2949</v>
      </c>
      <c r="S673" s="47">
        <v>0</v>
      </c>
    </row>
    <row r="674" ht="12.9" customHeight="1">
      <c r="R674" t="s" s="40">
        <v>762</v>
      </c>
      <c r="S674" s="47">
        <v>0</v>
      </c>
    </row>
    <row r="675" ht="13.1" customHeight="1">
      <c r="R675" t="s" s="42">
        <v>3009</v>
      </c>
      <c r="S675" s="49">
        <v>0</v>
      </c>
    </row>
    <row r="676" ht="13.1" customHeight="1">
      <c r="R676" t="s" s="44">
        <v>620</v>
      </c>
      <c r="S676" s="50">
        <v>166970.072</v>
      </c>
    </row>
  </sheetData>
  <mergeCells count="4">
    <mergeCell ref="A1:H1"/>
    <mergeCell ref="I345:O345"/>
    <mergeCell ref="P464:Q464"/>
    <mergeCell ref="R571:S57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9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85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139" customWidth="1"/>
    <col min="9" max="9" width="31.5938" style="140" customWidth="1"/>
    <col min="10" max="15" width="13.3516" style="140" customWidth="1"/>
    <col min="16" max="16" width="49.4531" style="144" customWidth="1"/>
    <col min="17" max="17" width="13.3516" style="144" customWidth="1"/>
    <col min="18" max="18" width="43.6641" style="148" customWidth="1"/>
    <col min="19" max="19" width="13.3516" style="148" customWidth="1"/>
    <col min="20" max="16384" width="16.3516" style="148" customWidth="1"/>
  </cols>
  <sheetData>
    <row r="1" ht="15.55" customHeight="1">
      <c r="A1" t="s" s="2">
        <v>3014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3015</v>
      </c>
      <c r="B3" t="s" s="5">
        <v>1557</v>
      </c>
      <c r="C3" s="6">
        <v>45322.903473333332</v>
      </c>
      <c r="D3" t="s" s="7">
        <v>15</v>
      </c>
      <c r="E3" t="s" s="7">
        <v>16</v>
      </c>
      <c r="F3" s="8">
        <v>1</v>
      </c>
      <c r="G3" s="9">
        <v>9.99</v>
      </c>
      <c r="H3" s="9">
        <v>9.99</v>
      </c>
    </row>
    <row r="4" ht="12.9" customHeight="1">
      <c r="A4" t="s" s="10">
        <v>3016</v>
      </c>
      <c r="B4" t="s" s="11">
        <v>3017</v>
      </c>
      <c r="C4" s="12">
        <v>45322.739411342591</v>
      </c>
      <c r="D4" t="s" s="13">
        <v>133</v>
      </c>
      <c r="E4" t="s" s="13">
        <v>134</v>
      </c>
      <c r="F4" s="14">
        <v>1</v>
      </c>
      <c r="G4" s="15">
        <v>199.99</v>
      </c>
      <c r="H4" s="15">
        <v>199.99</v>
      </c>
    </row>
    <row r="5" ht="12.9" customHeight="1">
      <c r="A5" t="s" s="10">
        <v>3018</v>
      </c>
      <c r="B5" t="s" s="11">
        <v>3019</v>
      </c>
      <c r="C5" s="12">
        <v>45322.585258125</v>
      </c>
      <c r="D5" t="s" s="13">
        <v>73</v>
      </c>
      <c r="E5" t="s" s="13">
        <v>74</v>
      </c>
      <c r="F5" s="14">
        <v>1</v>
      </c>
      <c r="G5" s="15">
        <v>399.99</v>
      </c>
      <c r="H5" s="15">
        <v>399.99</v>
      </c>
    </row>
    <row r="6" ht="12.9" customHeight="1">
      <c r="A6" t="s" s="10">
        <v>3020</v>
      </c>
      <c r="B6" t="s" s="11">
        <v>2761</v>
      </c>
      <c r="C6" s="12">
        <v>45322.119844629633</v>
      </c>
      <c r="D6" t="s" s="13">
        <v>19</v>
      </c>
      <c r="E6" t="s" s="13">
        <v>20</v>
      </c>
      <c r="F6" s="14">
        <v>4</v>
      </c>
      <c r="G6" s="15">
        <v>119.99</v>
      </c>
      <c r="H6" s="15">
        <v>479.96</v>
      </c>
    </row>
    <row r="7" ht="12.9" customHeight="1">
      <c r="A7" t="s" s="10">
        <v>3020</v>
      </c>
      <c r="B7" t="s" s="11">
        <v>2761</v>
      </c>
      <c r="C7" s="12">
        <v>45322.119844629633</v>
      </c>
      <c r="D7" t="s" s="13">
        <v>15</v>
      </c>
      <c r="E7" t="s" s="13">
        <v>16</v>
      </c>
      <c r="F7" s="14">
        <v>4</v>
      </c>
      <c r="G7" s="15">
        <v>9.99</v>
      </c>
      <c r="H7" s="15">
        <v>39.96</v>
      </c>
    </row>
    <row r="8" ht="12.9" customHeight="1">
      <c r="A8" t="s" s="10">
        <v>3020</v>
      </c>
      <c r="B8" t="s" s="11">
        <v>2761</v>
      </c>
      <c r="C8" s="12">
        <v>45322.119844629633</v>
      </c>
      <c r="D8" t="s" s="13">
        <v>54</v>
      </c>
      <c r="E8" t="s" s="13">
        <v>93</v>
      </c>
      <c r="F8" s="14">
        <v>4</v>
      </c>
      <c r="G8" s="15">
        <v>9.99</v>
      </c>
      <c r="H8" s="15">
        <v>39.96</v>
      </c>
    </row>
    <row r="9" ht="12.9" customHeight="1">
      <c r="A9" t="s" s="10">
        <v>3021</v>
      </c>
      <c r="B9" t="s" s="11">
        <v>3022</v>
      </c>
      <c r="C9" s="12">
        <v>45322.0557821412</v>
      </c>
      <c r="D9" t="s" s="13">
        <v>589</v>
      </c>
      <c r="E9" t="s" s="13">
        <v>590</v>
      </c>
      <c r="F9" s="14">
        <v>1</v>
      </c>
      <c r="G9" s="15">
        <v>7.49</v>
      </c>
      <c r="H9" s="15">
        <v>7.49</v>
      </c>
    </row>
    <row r="10" ht="12.9" customHeight="1">
      <c r="A10" t="s" s="10">
        <v>3023</v>
      </c>
      <c r="B10" t="s" s="11">
        <v>3024</v>
      </c>
      <c r="C10" s="12">
        <v>45322</v>
      </c>
      <c r="D10" t="s" s="13">
        <v>254</v>
      </c>
      <c r="E10" t="s" s="13">
        <v>3025</v>
      </c>
      <c r="F10" s="14">
        <v>1</v>
      </c>
      <c r="G10" s="15">
        <v>0</v>
      </c>
      <c r="H10" s="15">
        <v>0</v>
      </c>
    </row>
    <row r="11" ht="12.9" customHeight="1">
      <c r="A11" t="s" s="10">
        <v>3026</v>
      </c>
      <c r="B11" t="s" s="11">
        <v>1874</v>
      </c>
      <c r="C11" s="12">
        <v>45322</v>
      </c>
      <c r="D11" t="s" s="13">
        <v>254</v>
      </c>
      <c r="E11" t="s" s="13">
        <v>3027</v>
      </c>
      <c r="F11" s="14">
        <v>1</v>
      </c>
      <c r="G11" s="15">
        <v>0</v>
      </c>
      <c r="H11" s="15">
        <v>0</v>
      </c>
    </row>
    <row r="12" ht="12.9" customHeight="1">
      <c r="A12" t="s" s="10">
        <v>3028</v>
      </c>
      <c r="B12" t="s" s="11">
        <v>3029</v>
      </c>
      <c r="C12" s="12">
        <v>45321.8085783912</v>
      </c>
      <c r="D12" t="s" s="13">
        <v>977</v>
      </c>
      <c r="E12" t="s" s="13">
        <v>978</v>
      </c>
      <c r="F12" s="14">
        <v>4</v>
      </c>
      <c r="G12" s="15">
        <v>54.99</v>
      </c>
      <c r="H12" s="15">
        <v>219.96</v>
      </c>
    </row>
    <row r="13" ht="12.9" customHeight="1">
      <c r="A13" t="s" s="10">
        <v>3030</v>
      </c>
      <c r="B13" t="s" s="11">
        <v>3031</v>
      </c>
      <c r="C13" s="12">
        <v>45321.014772974537</v>
      </c>
      <c r="D13" t="s" s="13">
        <v>95</v>
      </c>
      <c r="E13" t="s" s="13">
        <v>12</v>
      </c>
      <c r="F13" s="14">
        <v>2</v>
      </c>
      <c r="G13" s="15">
        <v>349.99</v>
      </c>
      <c r="H13" s="15">
        <v>699.98</v>
      </c>
    </row>
    <row r="14" ht="12.9" customHeight="1">
      <c r="A14" t="s" s="10">
        <v>3032</v>
      </c>
      <c r="B14" t="s" s="11">
        <v>3001</v>
      </c>
      <c r="C14" s="12">
        <v>45320.944693611113</v>
      </c>
      <c r="D14" t="s" s="13">
        <v>341</v>
      </c>
      <c r="E14" t="s" s="13">
        <v>342</v>
      </c>
      <c r="F14" s="14">
        <v>2</v>
      </c>
      <c r="G14" s="15">
        <v>29.99</v>
      </c>
      <c r="H14" s="15">
        <v>59.98</v>
      </c>
    </row>
    <row r="15" ht="12.9" customHeight="1">
      <c r="A15" t="s" s="10">
        <v>3033</v>
      </c>
      <c r="B15" t="s" s="11">
        <v>3034</v>
      </c>
      <c r="C15" s="12">
        <v>45320.934718310185</v>
      </c>
      <c r="D15" t="s" s="13">
        <v>1695</v>
      </c>
      <c r="E15" t="s" s="13">
        <v>140</v>
      </c>
      <c r="F15" s="14">
        <v>1</v>
      </c>
      <c r="G15" s="15">
        <v>49.99</v>
      </c>
      <c r="H15" s="15">
        <v>49.99</v>
      </c>
    </row>
    <row r="16" ht="12.9" customHeight="1">
      <c r="A16" t="s" s="10">
        <v>3033</v>
      </c>
      <c r="B16" t="s" s="11">
        <v>3034</v>
      </c>
      <c r="C16" s="12">
        <v>45320.934718310185</v>
      </c>
      <c r="D16" t="s" s="13">
        <v>15</v>
      </c>
      <c r="E16" t="s" s="13">
        <v>16</v>
      </c>
      <c r="F16" s="14">
        <v>1</v>
      </c>
      <c r="G16" s="15">
        <v>9.99</v>
      </c>
      <c r="H16" s="15">
        <v>9.99</v>
      </c>
    </row>
    <row r="17" ht="12.9" customHeight="1">
      <c r="A17" t="s" s="10">
        <v>3033</v>
      </c>
      <c r="B17" t="s" s="11">
        <v>3034</v>
      </c>
      <c r="C17" s="12">
        <v>45320.934718310185</v>
      </c>
      <c r="D17" t="s" s="13">
        <v>119</v>
      </c>
      <c r="E17" t="s" s="13">
        <v>120</v>
      </c>
      <c r="F17" s="14">
        <v>1</v>
      </c>
      <c r="G17" s="15">
        <v>1.99</v>
      </c>
      <c r="H17" s="15">
        <v>1.99</v>
      </c>
    </row>
    <row r="18" ht="12.9" customHeight="1">
      <c r="A18" t="s" s="10">
        <v>3033</v>
      </c>
      <c r="B18" t="s" s="11">
        <v>3034</v>
      </c>
      <c r="C18" s="12">
        <v>45320.934718310185</v>
      </c>
      <c r="D18" t="s" s="13">
        <v>15</v>
      </c>
      <c r="E18" t="s" s="13">
        <v>16</v>
      </c>
      <c r="F18" s="14">
        <v>1</v>
      </c>
      <c r="G18" s="15">
        <v>9.99</v>
      </c>
      <c r="H18" s="15">
        <v>9.99</v>
      </c>
    </row>
    <row r="19" ht="12.9" customHeight="1">
      <c r="A19" t="s" s="10">
        <v>3035</v>
      </c>
      <c r="B19" t="s" s="11">
        <v>3036</v>
      </c>
      <c r="C19" s="12">
        <v>45320.822660578706</v>
      </c>
      <c r="D19" t="s" s="13">
        <v>225</v>
      </c>
      <c r="E19" t="s" s="13">
        <v>226</v>
      </c>
      <c r="F19" s="14">
        <v>7</v>
      </c>
      <c r="G19" s="15">
        <v>499.99</v>
      </c>
      <c r="H19" s="15">
        <v>3499.93</v>
      </c>
    </row>
    <row r="20" ht="12.9" customHeight="1">
      <c r="A20" t="s" s="10">
        <v>3035</v>
      </c>
      <c r="B20" t="s" s="11">
        <v>3036</v>
      </c>
      <c r="C20" s="12">
        <v>45320.822660578706</v>
      </c>
      <c r="D20" t="s" s="13">
        <v>227</v>
      </c>
      <c r="E20" t="s" s="13">
        <v>228</v>
      </c>
      <c r="F20" s="14">
        <v>7</v>
      </c>
      <c r="G20" s="15">
        <v>29.99</v>
      </c>
      <c r="H20" s="15">
        <v>209.93</v>
      </c>
    </row>
    <row r="21" ht="12.9" customHeight="1">
      <c r="A21" t="s" s="10">
        <v>3035</v>
      </c>
      <c r="B21" t="s" s="11">
        <v>3036</v>
      </c>
      <c r="C21" s="12">
        <v>45320.822660578706</v>
      </c>
      <c r="D21" t="s" s="13">
        <v>227</v>
      </c>
      <c r="E21" t="s" s="13">
        <v>228</v>
      </c>
      <c r="F21" s="14">
        <v>7</v>
      </c>
      <c r="G21" s="15">
        <v>0</v>
      </c>
      <c r="H21" s="15">
        <v>0</v>
      </c>
    </row>
    <row r="22" ht="12.9" customHeight="1">
      <c r="A22" t="s" s="10">
        <v>3037</v>
      </c>
      <c r="B22" t="s" s="11">
        <v>3038</v>
      </c>
      <c r="C22" s="12">
        <v>45320.351416307873</v>
      </c>
      <c r="D22" t="s" s="13">
        <v>133</v>
      </c>
      <c r="E22" t="s" s="13">
        <v>134</v>
      </c>
      <c r="F22" s="14">
        <v>2</v>
      </c>
      <c r="G22" s="15">
        <v>199.99</v>
      </c>
      <c r="H22" s="15">
        <v>399.98</v>
      </c>
    </row>
    <row r="23" ht="12.9" customHeight="1">
      <c r="A23" t="s" s="10">
        <v>3039</v>
      </c>
      <c r="B23" t="s" s="11">
        <v>3040</v>
      </c>
      <c r="C23" s="12">
        <v>45320</v>
      </c>
      <c r="D23" t="s" s="13">
        <v>3041</v>
      </c>
      <c r="E23" t="s" s="13">
        <v>3042</v>
      </c>
      <c r="F23" s="14">
        <v>1</v>
      </c>
      <c r="G23" s="15">
        <v>0</v>
      </c>
      <c r="H23" s="15">
        <v>0</v>
      </c>
    </row>
    <row r="24" ht="12.9" customHeight="1">
      <c r="A24" t="s" s="10">
        <v>3043</v>
      </c>
      <c r="B24" t="s" s="11">
        <v>2931</v>
      </c>
      <c r="C24" s="12">
        <v>45320</v>
      </c>
      <c r="D24" t="s" s="13">
        <v>59</v>
      </c>
      <c r="E24" t="s" s="13">
        <v>60</v>
      </c>
      <c r="F24" s="14">
        <v>1</v>
      </c>
      <c r="G24" s="15">
        <v>899.9924999999999</v>
      </c>
      <c r="H24" s="15">
        <v>899.9924999999999</v>
      </c>
    </row>
    <row r="25" ht="12.9" customHeight="1">
      <c r="A25" t="s" s="10">
        <v>3043</v>
      </c>
      <c r="B25" t="s" s="11">
        <v>2931</v>
      </c>
      <c r="C25" s="12">
        <v>45320</v>
      </c>
      <c r="D25" t="s" s="13">
        <v>63</v>
      </c>
      <c r="E25" s="16"/>
      <c r="F25" s="14">
        <v>1</v>
      </c>
      <c r="G25" s="15">
        <v>16.55</v>
      </c>
      <c r="H25" s="15">
        <v>16.55</v>
      </c>
    </row>
    <row r="26" ht="12.9" customHeight="1">
      <c r="A26" t="s" s="10">
        <v>3044</v>
      </c>
      <c r="B26" t="s" s="11">
        <v>2630</v>
      </c>
      <c r="C26" s="12">
        <v>45319.294946412039</v>
      </c>
      <c r="D26" t="s" s="13">
        <v>225</v>
      </c>
      <c r="E26" t="s" s="13">
        <v>226</v>
      </c>
      <c r="F26" s="14">
        <v>1</v>
      </c>
      <c r="G26" s="15">
        <v>499.99</v>
      </c>
      <c r="H26" s="15">
        <v>499.99</v>
      </c>
    </row>
    <row r="27" ht="12.9" customHeight="1">
      <c r="A27" t="s" s="10">
        <v>3044</v>
      </c>
      <c r="B27" t="s" s="11">
        <v>2630</v>
      </c>
      <c r="C27" s="12">
        <v>45319.294946412039</v>
      </c>
      <c r="D27" t="s" s="13">
        <v>165</v>
      </c>
      <c r="E27" t="s" s="13">
        <v>392</v>
      </c>
      <c r="F27" s="14">
        <v>1</v>
      </c>
      <c r="G27" s="15">
        <v>0</v>
      </c>
      <c r="H27" s="15">
        <v>0</v>
      </c>
    </row>
    <row r="28" ht="12.9" customHeight="1">
      <c r="A28" t="s" s="10">
        <v>3044</v>
      </c>
      <c r="B28" t="s" s="11">
        <v>2630</v>
      </c>
      <c r="C28" s="12">
        <v>45319.294946412039</v>
      </c>
      <c r="D28" t="s" s="13">
        <v>470</v>
      </c>
      <c r="E28" t="s" s="13">
        <v>517</v>
      </c>
      <c r="F28" s="14">
        <v>1</v>
      </c>
      <c r="G28" s="15">
        <v>249.99</v>
      </c>
      <c r="H28" s="15">
        <v>249.99</v>
      </c>
    </row>
    <row r="29" ht="12.9" customHeight="1">
      <c r="A29" t="s" s="10">
        <v>3044</v>
      </c>
      <c r="B29" t="s" s="11">
        <v>2630</v>
      </c>
      <c r="C29" s="12">
        <v>45319.294946412039</v>
      </c>
      <c r="D29" t="s" s="13">
        <v>84</v>
      </c>
      <c r="E29" t="s" s="13">
        <v>2685</v>
      </c>
      <c r="F29" s="14">
        <v>1</v>
      </c>
      <c r="G29" s="15">
        <v>15</v>
      </c>
      <c r="H29" s="15">
        <v>15</v>
      </c>
    </row>
    <row r="30" ht="12.9" customHeight="1">
      <c r="A30" t="s" s="10">
        <v>3045</v>
      </c>
      <c r="B30" t="s" s="11">
        <v>1697</v>
      </c>
      <c r="C30" s="12">
        <v>45319</v>
      </c>
      <c r="D30" t="s" s="13">
        <v>95</v>
      </c>
      <c r="E30" t="s" s="13">
        <v>3046</v>
      </c>
      <c r="F30" s="14">
        <v>12</v>
      </c>
      <c r="G30" s="15">
        <v>262.4925</v>
      </c>
      <c r="H30" s="15">
        <v>3149.91</v>
      </c>
    </row>
    <row r="31" ht="12.9" customHeight="1">
      <c r="A31" t="s" s="10">
        <v>3047</v>
      </c>
      <c r="B31" t="s" s="11">
        <v>3048</v>
      </c>
      <c r="C31" s="12">
        <v>45317.821064942131</v>
      </c>
      <c r="D31" t="s" s="13">
        <v>73</v>
      </c>
      <c r="E31" t="s" s="13">
        <v>74</v>
      </c>
      <c r="F31" s="14">
        <v>1</v>
      </c>
      <c r="G31" s="15">
        <v>399.99</v>
      </c>
      <c r="H31" s="15">
        <v>399.99</v>
      </c>
    </row>
    <row r="32" ht="12.9" customHeight="1">
      <c r="A32" t="s" s="10">
        <v>3049</v>
      </c>
      <c r="B32" t="s" s="11">
        <v>3050</v>
      </c>
      <c r="C32" s="12">
        <v>45317.707772777780</v>
      </c>
      <c r="D32" t="s" s="13">
        <v>345</v>
      </c>
      <c r="E32" t="s" s="13">
        <v>346</v>
      </c>
      <c r="F32" s="14">
        <v>1</v>
      </c>
      <c r="G32" s="15">
        <v>194.99</v>
      </c>
      <c r="H32" s="15">
        <v>194.99</v>
      </c>
    </row>
    <row r="33" ht="12.9" customHeight="1">
      <c r="A33" t="s" s="10">
        <v>3051</v>
      </c>
      <c r="B33" t="s" s="11">
        <v>476</v>
      </c>
      <c r="C33" s="12">
        <v>45317</v>
      </c>
      <c r="D33" t="s" s="13">
        <v>3052</v>
      </c>
      <c r="E33" s="16"/>
      <c r="F33" s="14">
        <v>1</v>
      </c>
      <c r="G33" s="15">
        <v>218.88</v>
      </c>
      <c r="H33" s="15">
        <v>218.88</v>
      </c>
    </row>
    <row r="34" ht="12.9" customHeight="1">
      <c r="A34" t="s" s="10">
        <v>3053</v>
      </c>
      <c r="B34" t="s" s="11">
        <v>3054</v>
      </c>
      <c r="C34" s="12">
        <v>45317</v>
      </c>
      <c r="D34" t="s" s="13">
        <v>50</v>
      </c>
      <c r="E34" t="s" s="13">
        <v>83</v>
      </c>
      <c r="F34" s="14">
        <v>4</v>
      </c>
      <c r="G34" s="15">
        <v>0</v>
      </c>
      <c r="H34" s="15">
        <v>0</v>
      </c>
    </row>
    <row r="35" ht="12.9" customHeight="1">
      <c r="A35" t="s" s="10">
        <v>3053</v>
      </c>
      <c r="B35" t="s" s="11">
        <v>3054</v>
      </c>
      <c r="C35" s="12">
        <v>45317</v>
      </c>
      <c r="D35" t="s" s="13">
        <v>81</v>
      </c>
      <c r="E35" t="s" s="13">
        <v>3055</v>
      </c>
      <c r="F35" s="14">
        <v>4</v>
      </c>
      <c r="G35" s="15">
        <v>637.4924999999999</v>
      </c>
      <c r="H35" s="15">
        <v>2549.97</v>
      </c>
    </row>
    <row r="36" ht="12.9" customHeight="1">
      <c r="A36" t="s" s="10">
        <v>3053</v>
      </c>
      <c r="B36" t="s" s="11">
        <v>3054</v>
      </c>
      <c r="C36" s="12">
        <v>45317</v>
      </c>
      <c r="D36" t="s" s="13">
        <v>47</v>
      </c>
      <c r="E36" s="16"/>
      <c r="F36" s="14">
        <v>1</v>
      </c>
      <c r="G36" s="15">
        <v>62</v>
      </c>
      <c r="H36" s="15">
        <v>62</v>
      </c>
    </row>
    <row r="37" ht="12.9" customHeight="1">
      <c r="A37" t="s" s="10">
        <v>3056</v>
      </c>
      <c r="B37" t="s" s="11">
        <v>2895</v>
      </c>
      <c r="C37" s="12">
        <v>45316.765704444442</v>
      </c>
      <c r="D37" t="s" s="13">
        <v>95</v>
      </c>
      <c r="E37" t="s" s="13">
        <v>12</v>
      </c>
      <c r="F37" s="14">
        <v>2</v>
      </c>
      <c r="G37" s="15">
        <v>343.74</v>
      </c>
      <c r="H37" s="15">
        <v>687.48</v>
      </c>
    </row>
    <row r="38" ht="12.9" customHeight="1">
      <c r="A38" t="s" s="10">
        <v>3056</v>
      </c>
      <c r="B38" t="s" s="11">
        <v>2895</v>
      </c>
      <c r="C38" s="12">
        <v>45316.765704444442</v>
      </c>
      <c r="D38" t="s" s="13">
        <v>35</v>
      </c>
      <c r="E38" t="s" s="13">
        <v>36</v>
      </c>
      <c r="F38" s="14">
        <v>2</v>
      </c>
      <c r="G38" s="15">
        <v>43.74</v>
      </c>
      <c r="H38" s="15">
        <v>87.48</v>
      </c>
    </row>
    <row r="39" ht="12.9" customHeight="1">
      <c r="A39" t="s" s="10">
        <v>3057</v>
      </c>
      <c r="B39" t="s" s="11">
        <v>3058</v>
      </c>
      <c r="C39" s="12">
        <v>45316.118667314811</v>
      </c>
      <c r="D39" t="s" s="13">
        <v>171</v>
      </c>
      <c r="E39" t="s" s="13">
        <v>172</v>
      </c>
      <c r="F39" s="14">
        <v>1</v>
      </c>
      <c r="G39" s="15">
        <v>549.99</v>
      </c>
      <c r="H39" s="15">
        <v>549.99</v>
      </c>
    </row>
    <row r="40" ht="12.9" customHeight="1">
      <c r="A40" t="s" s="10">
        <v>3059</v>
      </c>
      <c r="B40" t="s" s="11">
        <v>3060</v>
      </c>
      <c r="C40" s="12">
        <v>45316.101462314815</v>
      </c>
      <c r="D40" t="s" s="13">
        <v>95</v>
      </c>
      <c r="E40" t="s" s="13">
        <v>12</v>
      </c>
      <c r="F40" s="14">
        <v>1</v>
      </c>
      <c r="G40" s="15">
        <v>349.99</v>
      </c>
      <c r="H40" s="15">
        <v>349.99</v>
      </c>
    </row>
    <row r="41" ht="12.9" customHeight="1">
      <c r="A41" t="s" s="10">
        <v>3061</v>
      </c>
      <c r="B41" t="s" s="11">
        <v>42</v>
      </c>
      <c r="C41" s="12">
        <v>45316</v>
      </c>
      <c r="D41" t="s" s="13">
        <v>48</v>
      </c>
      <c r="E41" t="s" s="13">
        <v>49</v>
      </c>
      <c r="F41" s="14">
        <v>12</v>
      </c>
      <c r="G41" s="15">
        <v>900</v>
      </c>
      <c r="H41" s="15">
        <v>10800</v>
      </c>
    </row>
    <row r="42" ht="12.9" customHeight="1">
      <c r="A42" t="s" s="10">
        <v>3061</v>
      </c>
      <c r="B42" t="s" s="11">
        <v>42</v>
      </c>
      <c r="C42" s="12">
        <v>45316</v>
      </c>
      <c r="D42" t="s" s="13">
        <v>50</v>
      </c>
      <c r="E42" t="s" s="13">
        <v>83</v>
      </c>
      <c r="F42" s="14">
        <v>12</v>
      </c>
      <c r="G42" s="15">
        <v>0</v>
      </c>
      <c r="H42" s="15">
        <v>0</v>
      </c>
    </row>
    <row r="43" ht="12.9" customHeight="1">
      <c r="A43" t="s" s="10">
        <v>3061</v>
      </c>
      <c r="B43" t="s" s="11">
        <v>42</v>
      </c>
      <c r="C43" s="12">
        <v>45316</v>
      </c>
      <c r="D43" t="s" s="13">
        <v>52</v>
      </c>
      <c r="E43" t="s" s="13">
        <v>321</v>
      </c>
      <c r="F43" s="14">
        <v>12</v>
      </c>
      <c r="G43" s="15">
        <v>0</v>
      </c>
      <c r="H43" s="15">
        <v>0</v>
      </c>
    </row>
    <row r="44" ht="12.9" customHeight="1">
      <c r="A44" t="s" s="10">
        <v>3061</v>
      </c>
      <c r="B44" t="s" s="11">
        <v>42</v>
      </c>
      <c r="C44" s="12">
        <v>45316</v>
      </c>
      <c r="D44" t="s" s="13">
        <v>607</v>
      </c>
      <c r="E44" t="s" s="13">
        <v>608</v>
      </c>
      <c r="F44" s="14">
        <v>24</v>
      </c>
      <c r="G44" s="15">
        <v>22.4925</v>
      </c>
      <c r="H44" s="15">
        <v>539.8200000000001</v>
      </c>
    </row>
    <row r="45" ht="12.9" customHeight="1">
      <c r="A45" t="s" s="10">
        <v>3061</v>
      </c>
      <c r="B45" t="s" s="11">
        <v>42</v>
      </c>
      <c r="C45" s="12">
        <v>45316</v>
      </c>
      <c r="D45" t="s" s="13">
        <v>489</v>
      </c>
      <c r="E45" t="s" s="13">
        <v>490</v>
      </c>
      <c r="F45" s="14">
        <v>2</v>
      </c>
      <c r="G45" s="15">
        <v>1199.9925</v>
      </c>
      <c r="H45" s="15">
        <v>2399.985</v>
      </c>
    </row>
    <row r="46" ht="12.9" customHeight="1">
      <c r="A46" t="s" s="10">
        <v>3061</v>
      </c>
      <c r="B46" t="s" s="11">
        <v>42</v>
      </c>
      <c r="C46" s="12">
        <v>45316</v>
      </c>
      <c r="D46" t="s" s="13">
        <v>491</v>
      </c>
      <c r="E46" t="s" s="13">
        <v>2680</v>
      </c>
      <c r="F46" s="14">
        <v>6</v>
      </c>
      <c r="G46" s="15">
        <v>0</v>
      </c>
      <c r="H46" s="15">
        <v>0</v>
      </c>
    </row>
    <row r="47" ht="12.9" customHeight="1">
      <c r="A47" t="s" s="10">
        <v>3061</v>
      </c>
      <c r="B47" t="s" s="11">
        <v>42</v>
      </c>
      <c r="C47" s="12">
        <v>45316</v>
      </c>
      <c r="D47" t="s" s="13">
        <v>493</v>
      </c>
      <c r="E47" t="s" s="13">
        <v>2681</v>
      </c>
      <c r="F47" s="14">
        <v>2</v>
      </c>
      <c r="G47" s="15">
        <v>0</v>
      </c>
      <c r="H47" s="15">
        <v>0</v>
      </c>
    </row>
    <row r="48" ht="12.9" customHeight="1">
      <c r="A48" t="s" s="10">
        <v>3061</v>
      </c>
      <c r="B48" t="s" s="11">
        <v>42</v>
      </c>
      <c r="C48" s="12">
        <v>45316</v>
      </c>
      <c r="D48" t="s" s="13">
        <v>315</v>
      </c>
      <c r="E48" t="s" s="13">
        <v>316</v>
      </c>
      <c r="F48" s="14">
        <v>300</v>
      </c>
      <c r="G48" s="15">
        <v>0</v>
      </c>
      <c r="H48" s="15">
        <v>0</v>
      </c>
    </row>
    <row r="49" ht="12.9" customHeight="1">
      <c r="A49" t="s" s="10">
        <v>3061</v>
      </c>
      <c r="B49" t="s" s="11">
        <v>42</v>
      </c>
      <c r="C49" s="12">
        <v>45316</v>
      </c>
      <c r="D49" t="s" s="13">
        <v>47</v>
      </c>
      <c r="E49" s="16"/>
      <c r="F49" s="14">
        <v>1</v>
      </c>
      <c r="G49" s="15">
        <v>246.65</v>
      </c>
      <c r="H49" s="15">
        <v>246.65</v>
      </c>
    </row>
    <row r="50" ht="12.9" customHeight="1">
      <c r="A50" t="s" s="10">
        <v>3062</v>
      </c>
      <c r="B50" t="s" s="11">
        <v>69</v>
      </c>
      <c r="C50" s="12">
        <v>45316</v>
      </c>
      <c r="D50" t="s" s="13">
        <v>3063</v>
      </c>
      <c r="E50" t="s" s="13">
        <v>3064</v>
      </c>
      <c r="F50" s="14">
        <v>10</v>
      </c>
      <c r="G50" s="15">
        <v>0</v>
      </c>
      <c r="H50" s="15">
        <v>0</v>
      </c>
    </row>
    <row r="51" ht="12.9" customHeight="1">
      <c r="A51" t="s" s="10">
        <v>3062</v>
      </c>
      <c r="B51" t="s" s="11">
        <v>69</v>
      </c>
      <c r="C51" s="12">
        <v>45316</v>
      </c>
      <c r="D51" t="s" s="13">
        <v>2512</v>
      </c>
      <c r="E51" t="s" s="13">
        <v>3065</v>
      </c>
      <c r="F51" s="14">
        <v>20</v>
      </c>
      <c r="G51" s="15">
        <v>0</v>
      </c>
      <c r="H51" s="15">
        <v>0</v>
      </c>
    </row>
    <row r="52" ht="12.9" customHeight="1">
      <c r="A52" t="s" s="10">
        <v>3062</v>
      </c>
      <c r="B52" t="s" s="11">
        <v>69</v>
      </c>
      <c r="C52" s="12">
        <v>45316</v>
      </c>
      <c r="D52" t="s" s="13">
        <v>1891</v>
      </c>
      <c r="E52" t="s" s="13">
        <v>1891</v>
      </c>
      <c r="F52" s="14">
        <v>20</v>
      </c>
      <c r="G52" s="15">
        <v>0</v>
      </c>
      <c r="H52" s="15">
        <v>0</v>
      </c>
    </row>
    <row r="53" ht="12.9" customHeight="1">
      <c r="A53" t="s" s="10">
        <v>3066</v>
      </c>
      <c r="B53" t="s" s="11">
        <v>3067</v>
      </c>
      <c r="C53" s="12">
        <v>45315.962912152776</v>
      </c>
      <c r="D53" t="s" s="13">
        <v>31</v>
      </c>
      <c r="E53" t="s" s="13">
        <v>32</v>
      </c>
      <c r="F53" s="14">
        <v>1</v>
      </c>
      <c r="G53" s="15">
        <v>599.99</v>
      </c>
      <c r="H53" s="15">
        <v>599.99</v>
      </c>
    </row>
    <row r="54" ht="12.9" customHeight="1">
      <c r="A54" t="s" s="10">
        <v>3066</v>
      </c>
      <c r="B54" t="s" s="11">
        <v>3067</v>
      </c>
      <c r="C54" s="12">
        <v>45315.962912152776</v>
      </c>
      <c r="D54" t="s" s="13">
        <v>89</v>
      </c>
      <c r="E54" t="s" s="13">
        <v>90</v>
      </c>
      <c r="F54" s="14">
        <v>1</v>
      </c>
      <c r="G54" s="15">
        <v>59.99</v>
      </c>
      <c r="H54" s="15">
        <v>59.99</v>
      </c>
    </row>
    <row r="55" ht="12.9" customHeight="1">
      <c r="A55" t="s" s="10">
        <v>3068</v>
      </c>
      <c r="B55" t="s" s="11">
        <v>2916</v>
      </c>
      <c r="C55" s="12">
        <v>45315.730855474540</v>
      </c>
      <c r="D55" t="s" s="13">
        <v>23</v>
      </c>
      <c r="E55" t="s" s="13">
        <v>24</v>
      </c>
      <c r="F55" s="14">
        <v>4</v>
      </c>
      <c r="G55" s="15">
        <v>149.99</v>
      </c>
      <c r="H55" s="15">
        <v>599.96</v>
      </c>
    </row>
    <row r="56" ht="12.9" customHeight="1">
      <c r="A56" t="s" s="10">
        <v>3068</v>
      </c>
      <c r="B56" t="s" s="11">
        <v>2916</v>
      </c>
      <c r="C56" s="12">
        <v>45315.730855474540</v>
      </c>
      <c r="D56" t="s" s="13">
        <v>19</v>
      </c>
      <c r="E56" t="s" s="13">
        <v>20</v>
      </c>
      <c r="F56" s="14">
        <v>4</v>
      </c>
      <c r="G56" s="15">
        <v>119.99</v>
      </c>
      <c r="H56" s="15">
        <v>479.96</v>
      </c>
    </row>
    <row r="57" ht="12.9" customHeight="1">
      <c r="A57" t="s" s="10">
        <v>3068</v>
      </c>
      <c r="B57" t="s" s="11">
        <v>2916</v>
      </c>
      <c r="C57" s="12">
        <v>45315.730855474540</v>
      </c>
      <c r="D57" t="s" s="13">
        <v>15</v>
      </c>
      <c r="E57" t="s" s="13">
        <v>16</v>
      </c>
      <c r="F57" s="14">
        <v>4</v>
      </c>
      <c r="G57" s="15">
        <v>9.99</v>
      </c>
      <c r="H57" s="15">
        <v>39.96</v>
      </c>
    </row>
    <row r="58" ht="12.9" customHeight="1">
      <c r="A58" t="s" s="10">
        <v>3069</v>
      </c>
      <c r="B58" t="s" s="11">
        <v>3070</v>
      </c>
      <c r="C58" s="12">
        <v>45315.213826238425</v>
      </c>
      <c r="D58" t="s" s="13">
        <v>35</v>
      </c>
      <c r="E58" t="s" s="13">
        <v>36</v>
      </c>
      <c r="F58" s="14">
        <v>2</v>
      </c>
      <c r="G58" s="15">
        <v>49.99</v>
      </c>
      <c r="H58" s="15">
        <v>99.98</v>
      </c>
    </row>
    <row r="59" ht="12.9" customHeight="1">
      <c r="A59" t="s" s="10">
        <v>3071</v>
      </c>
      <c r="B59" t="s" s="11">
        <v>3072</v>
      </c>
      <c r="C59" s="12">
        <v>45315.207554259257</v>
      </c>
      <c r="D59" t="s" s="13">
        <v>77</v>
      </c>
      <c r="E59" t="s" s="13">
        <v>78</v>
      </c>
      <c r="F59" s="14">
        <v>4</v>
      </c>
      <c r="G59" s="15">
        <v>19.99</v>
      </c>
      <c r="H59" s="15">
        <v>79.95999999999999</v>
      </c>
    </row>
    <row r="60" ht="12.9" customHeight="1">
      <c r="A60" t="s" s="10">
        <v>3071</v>
      </c>
      <c r="B60" t="s" s="11">
        <v>3072</v>
      </c>
      <c r="C60" s="12">
        <v>45315.207554259257</v>
      </c>
      <c r="D60" t="s" s="13">
        <v>133</v>
      </c>
      <c r="E60" t="s" s="13">
        <v>134</v>
      </c>
      <c r="F60" s="14">
        <v>2</v>
      </c>
      <c r="G60" s="15">
        <v>199.99</v>
      </c>
      <c r="H60" s="15">
        <v>399.98</v>
      </c>
    </row>
    <row r="61" ht="12.9" customHeight="1">
      <c r="A61" t="s" s="10">
        <v>3073</v>
      </c>
      <c r="B61" t="s" s="11">
        <v>3074</v>
      </c>
      <c r="C61" s="12">
        <v>45315.191075300929</v>
      </c>
      <c r="D61" t="s" s="13">
        <v>95</v>
      </c>
      <c r="E61" t="s" s="13">
        <v>12</v>
      </c>
      <c r="F61" s="14">
        <v>1</v>
      </c>
      <c r="G61" s="15">
        <v>349.99</v>
      </c>
      <c r="H61" s="15">
        <v>349.99</v>
      </c>
    </row>
    <row r="62" ht="12.9" customHeight="1">
      <c r="A62" t="s" s="10">
        <v>3075</v>
      </c>
      <c r="B62" t="s" s="11">
        <v>1669</v>
      </c>
      <c r="C62" s="12">
        <v>45315</v>
      </c>
      <c r="D62" t="s" s="13">
        <v>254</v>
      </c>
      <c r="E62" t="s" s="13">
        <v>3076</v>
      </c>
      <c r="F62" s="14">
        <v>1</v>
      </c>
      <c r="G62" s="15">
        <v>0</v>
      </c>
      <c r="H62" s="15">
        <v>0</v>
      </c>
    </row>
    <row r="63" ht="12.9" customHeight="1">
      <c r="A63" t="s" s="10">
        <v>3075</v>
      </c>
      <c r="B63" t="s" s="11">
        <v>1669</v>
      </c>
      <c r="C63" s="12">
        <v>45315</v>
      </c>
      <c r="D63" t="s" s="13">
        <v>906</v>
      </c>
      <c r="E63" t="s" s="13">
        <v>907</v>
      </c>
      <c r="F63" s="14">
        <v>1</v>
      </c>
      <c r="G63" s="15">
        <v>0</v>
      </c>
      <c r="H63" s="15">
        <v>0</v>
      </c>
    </row>
    <row r="64" ht="12.9" customHeight="1">
      <c r="A64" t="s" s="10">
        <v>3077</v>
      </c>
      <c r="B64" t="s" s="11">
        <v>1110</v>
      </c>
      <c r="C64" s="12">
        <v>45315</v>
      </c>
      <c r="D64" t="s" s="13">
        <v>3078</v>
      </c>
      <c r="E64" t="s" s="13">
        <v>3079</v>
      </c>
      <c r="F64" s="14">
        <v>1</v>
      </c>
      <c r="G64" s="15">
        <v>262.5</v>
      </c>
      <c r="H64" s="15">
        <v>262.5</v>
      </c>
    </row>
    <row r="65" ht="12.9" customHeight="1">
      <c r="A65" t="s" s="10">
        <v>3080</v>
      </c>
      <c r="B65" t="s" s="11">
        <v>473</v>
      </c>
      <c r="C65" s="12">
        <v>45315</v>
      </c>
      <c r="D65" t="s" s="13">
        <v>73</v>
      </c>
      <c r="E65" t="s" s="13">
        <v>74</v>
      </c>
      <c r="F65" s="14">
        <v>2</v>
      </c>
      <c r="G65" s="15">
        <v>299.9925</v>
      </c>
      <c r="H65" s="15">
        <v>599.985</v>
      </c>
    </row>
    <row r="66" ht="12.9" customHeight="1">
      <c r="A66" t="s" s="10">
        <v>3080</v>
      </c>
      <c r="B66" t="s" s="11">
        <v>473</v>
      </c>
      <c r="C66" s="12">
        <v>45315</v>
      </c>
      <c r="D66" t="s" s="13">
        <v>47</v>
      </c>
      <c r="E66" s="16"/>
      <c r="F66" s="14">
        <v>1</v>
      </c>
      <c r="G66" s="15">
        <v>33.54</v>
      </c>
      <c r="H66" s="15">
        <v>33.54</v>
      </c>
    </row>
    <row r="67" ht="12.9" customHeight="1">
      <c r="A67" t="s" s="10">
        <v>3081</v>
      </c>
      <c r="B67" t="s" s="11">
        <v>3082</v>
      </c>
      <c r="C67" s="12">
        <v>45315</v>
      </c>
      <c r="D67" t="s" s="13">
        <v>254</v>
      </c>
      <c r="E67" t="s" s="13">
        <v>3083</v>
      </c>
      <c r="F67" s="14">
        <v>1</v>
      </c>
      <c r="G67" s="15">
        <v>0</v>
      </c>
      <c r="H67" s="15">
        <v>0</v>
      </c>
    </row>
    <row r="68" ht="12.9" customHeight="1">
      <c r="A68" t="s" s="10">
        <v>3084</v>
      </c>
      <c r="B68" t="s" s="11">
        <v>3082</v>
      </c>
      <c r="C68" s="12">
        <v>45315</v>
      </c>
      <c r="D68" t="s" s="13">
        <v>254</v>
      </c>
      <c r="E68" t="s" s="13">
        <v>3085</v>
      </c>
      <c r="F68" s="14">
        <v>1</v>
      </c>
      <c r="G68" s="15">
        <v>0</v>
      </c>
      <c r="H68" s="15">
        <v>0</v>
      </c>
    </row>
    <row r="69" ht="12.9" customHeight="1">
      <c r="A69" t="s" s="10">
        <v>3084</v>
      </c>
      <c r="B69" t="s" s="11">
        <v>3082</v>
      </c>
      <c r="C69" s="12">
        <v>45315</v>
      </c>
      <c r="D69" t="s" s="13">
        <v>63</v>
      </c>
      <c r="E69" s="16"/>
      <c r="F69" s="14">
        <v>1</v>
      </c>
      <c r="G69" s="15">
        <v>24.89</v>
      </c>
      <c r="H69" s="15">
        <v>24.89</v>
      </c>
    </row>
    <row r="70" ht="12.9" customHeight="1">
      <c r="A70" t="s" s="10">
        <v>3086</v>
      </c>
      <c r="B70" t="s" s="11">
        <v>2761</v>
      </c>
      <c r="C70" s="12">
        <v>45314.930220069444</v>
      </c>
      <c r="D70" t="s" s="13">
        <v>1695</v>
      </c>
      <c r="E70" t="s" s="13">
        <v>140</v>
      </c>
      <c r="F70" s="14">
        <v>1</v>
      </c>
      <c r="G70" s="15">
        <v>49.99</v>
      </c>
      <c r="H70" s="15">
        <v>49.99</v>
      </c>
    </row>
    <row r="71" ht="12.9" customHeight="1">
      <c r="A71" t="s" s="10">
        <v>3086</v>
      </c>
      <c r="B71" t="s" s="11">
        <v>2761</v>
      </c>
      <c r="C71" s="12">
        <v>45314.930220069444</v>
      </c>
      <c r="D71" t="s" s="13">
        <v>15</v>
      </c>
      <c r="E71" t="s" s="13">
        <v>16</v>
      </c>
      <c r="F71" s="14">
        <v>1</v>
      </c>
      <c r="G71" s="15">
        <v>9.99</v>
      </c>
      <c r="H71" s="15">
        <v>9.99</v>
      </c>
    </row>
    <row r="72" ht="12.9" customHeight="1">
      <c r="A72" t="s" s="10">
        <v>3086</v>
      </c>
      <c r="B72" t="s" s="11">
        <v>2761</v>
      </c>
      <c r="C72" s="12">
        <v>45314.930220069444</v>
      </c>
      <c r="D72" t="s" s="13">
        <v>89</v>
      </c>
      <c r="E72" t="s" s="13">
        <v>90</v>
      </c>
      <c r="F72" s="14">
        <v>1</v>
      </c>
      <c r="G72" s="15">
        <v>59.99</v>
      </c>
      <c r="H72" s="15">
        <v>59.99</v>
      </c>
    </row>
    <row r="73" ht="12.9" customHeight="1">
      <c r="A73" t="s" s="10">
        <v>3087</v>
      </c>
      <c r="B73" t="s" s="11">
        <v>2795</v>
      </c>
      <c r="C73" s="12">
        <v>45314.673127199072</v>
      </c>
      <c r="D73" t="s" s="13">
        <v>15</v>
      </c>
      <c r="E73" t="s" s="13">
        <v>16</v>
      </c>
      <c r="F73" s="14">
        <v>1</v>
      </c>
      <c r="G73" s="15">
        <v>9.99</v>
      </c>
      <c r="H73" s="15">
        <v>9.99</v>
      </c>
    </row>
    <row r="74" ht="12.9" customHeight="1">
      <c r="A74" t="s" s="10">
        <v>3087</v>
      </c>
      <c r="B74" t="s" s="11">
        <v>2795</v>
      </c>
      <c r="C74" s="12">
        <v>45314.673127199072</v>
      </c>
      <c r="D74" t="s" s="13">
        <v>95</v>
      </c>
      <c r="E74" t="s" s="13">
        <v>12</v>
      </c>
      <c r="F74" s="14">
        <v>1</v>
      </c>
      <c r="G74" s="15">
        <v>349.99</v>
      </c>
      <c r="H74" s="15">
        <v>349.99</v>
      </c>
    </row>
    <row r="75" ht="12.9" customHeight="1">
      <c r="A75" t="s" s="10">
        <v>3088</v>
      </c>
      <c r="B75" t="s" s="11">
        <v>3089</v>
      </c>
      <c r="C75" s="12">
        <v>45314.130968645833</v>
      </c>
      <c r="D75" t="s" s="13">
        <v>73</v>
      </c>
      <c r="E75" t="s" s="13">
        <v>74</v>
      </c>
      <c r="F75" s="14">
        <v>1</v>
      </c>
      <c r="G75" s="15">
        <v>399.99</v>
      </c>
      <c r="H75" s="15">
        <v>399.99</v>
      </c>
    </row>
    <row r="76" ht="12.9" customHeight="1">
      <c r="A76" t="s" s="10">
        <v>3090</v>
      </c>
      <c r="B76" t="s" s="11">
        <v>353</v>
      </c>
      <c r="C76" s="12">
        <v>45314</v>
      </c>
      <c r="D76" t="s" s="13">
        <v>722</v>
      </c>
      <c r="E76" t="s" s="13">
        <v>82</v>
      </c>
      <c r="F76" s="14">
        <v>6</v>
      </c>
      <c r="G76" s="15">
        <v>782.991</v>
      </c>
      <c r="H76" s="15">
        <v>4697.946</v>
      </c>
    </row>
    <row r="77" ht="12.9" customHeight="1">
      <c r="A77" t="s" s="10">
        <v>3090</v>
      </c>
      <c r="B77" t="s" s="11">
        <v>353</v>
      </c>
      <c r="C77" s="12">
        <v>45314</v>
      </c>
      <c r="D77" t="s" s="13">
        <v>50</v>
      </c>
      <c r="E77" t="s" s="13">
        <v>83</v>
      </c>
      <c r="F77" s="14">
        <v>6</v>
      </c>
      <c r="G77" s="15">
        <v>0</v>
      </c>
      <c r="H77" s="15">
        <v>0</v>
      </c>
    </row>
    <row r="78" ht="12.9" customHeight="1">
      <c r="A78" t="s" s="10">
        <v>3090</v>
      </c>
      <c r="B78" t="s" s="11">
        <v>353</v>
      </c>
      <c r="C78" s="12">
        <v>45314</v>
      </c>
      <c r="D78" t="s" s="13">
        <v>23</v>
      </c>
      <c r="E78" t="s" s="13">
        <v>24</v>
      </c>
      <c r="F78" s="14">
        <v>6</v>
      </c>
      <c r="G78" s="15">
        <v>0</v>
      </c>
      <c r="H78" s="15">
        <v>0</v>
      </c>
    </row>
    <row r="79" ht="12.9" customHeight="1">
      <c r="A79" t="s" s="10">
        <v>3090</v>
      </c>
      <c r="B79" t="s" s="11">
        <v>353</v>
      </c>
      <c r="C79" s="12">
        <v>45314</v>
      </c>
      <c r="D79" t="s" s="13">
        <v>15</v>
      </c>
      <c r="E79" t="s" s="13">
        <v>16</v>
      </c>
      <c r="F79" s="14">
        <v>6</v>
      </c>
      <c r="G79" s="15">
        <v>0</v>
      </c>
      <c r="H79" s="15">
        <v>0</v>
      </c>
    </row>
    <row r="80" ht="12.9" customHeight="1">
      <c r="A80" t="s" s="10">
        <v>3090</v>
      </c>
      <c r="B80" t="s" s="11">
        <v>353</v>
      </c>
      <c r="C80" s="12">
        <v>45314</v>
      </c>
      <c r="D80" t="s" s="13">
        <v>54</v>
      </c>
      <c r="E80" t="s" s="13">
        <v>93</v>
      </c>
      <c r="F80" s="14">
        <v>6</v>
      </c>
      <c r="G80" s="15">
        <v>0</v>
      </c>
      <c r="H80" s="15">
        <v>0</v>
      </c>
    </row>
    <row r="81" ht="12.9" customHeight="1">
      <c r="A81" t="s" s="10">
        <v>3090</v>
      </c>
      <c r="B81" t="s" s="11">
        <v>353</v>
      </c>
      <c r="C81" s="12">
        <v>45314</v>
      </c>
      <c r="D81" t="s" s="13">
        <v>354</v>
      </c>
      <c r="E81" t="s" s="13">
        <v>355</v>
      </c>
      <c r="F81" s="14">
        <v>4</v>
      </c>
      <c r="G81" s="15">
        <v>134.991</v>
      </c>
      <c r="H81" s="15">
        <v>539.9640000000001</v>
      </c>
    </row>
    <row r="82" ht="12.9" customHeight="1">
      <c r="A82" t="s" s="10">
        <v>3090</v>
      </c>
      <c r="B82" t="s" s="11">
        <v>353</v>
      </c>
      <c r="C82" s="12">
        <v>45314</v>
      </c>
      <c r="D82" t="s" s="13">
        <v>1875</v>
      </c>
      <c r="E82" t="s" s="13">
        <v>2272</v>
      </c>
      <c r="F82" s="14">
        <v>2</v>
      </c>
      <c r="G82" s="15">
        <v>224.991</v>
      </c>
      <c r="H82" s="15">
        <v>449.982</v>
      </c>
    </row>
    <row r="83" ht="12.9" customHeight="1">
      <c r="A83" t="s" s="10">
        <v>3090</v>
      </c>
      <c r="B83" t="s" s="11">
        <v>353</v>
      </c>
      <c r="C83" s="12">
        <v>45314</v>
      </c>
      <c r="D83" t="s" s="13">
        <v>19</v>
      </c>
      <c r="E83" t="s" s="13">
        <v>20</v>
      </c>
      <c r="F83" s="14">
        <v>8</v>
      </c>
      <c r="G83" s="15">
        <v>107.991</v>
      </c>
      <c r="H83" s="15">
        <v>863.928</v>
      </c>
    </row>
    <row r="84" ht="12.9" customHeight="1">
      <c r="A84" t="s" s="10">
        <v>3090</v>
      </c>
      <c r="B84" t="s" s="11">
        <v>353</v>
      </c>
      <c r="C84" s="12">
        <v>45314</v>
      </c>
      <c r="D84" t="s" s="13">
        <v>119</v>
      </c>
      <c r="E84" t="s" s="13">
        <v>120</v>
      </c>
      <c r="F84" s="14">
        <v>8</v>
      </c>
      <c r="G84" s="15">
        <v>0</v>
      </c>
      <c r="H84" s="15">
        <v>0</v>
      </c>
    </row>
    <row r="85" ht="12.9" customHeight="1">
      <c r="A85" t="s" s="10">
        <v>3090</v>
      </c>
      <c r="B85" t="s" s="11">
        <v>353</v>
      </c>
      <c r="C85" s="12">
        <v>45314</v>
      </c>
      <c r="D85" t="s" s="13">
        <v>412</v>
      </c>
      <c r="E85" t="s" s="13">
        <v>413</v>
      </c>
      <c r="F85" s="14">
        <v>8</v>
      </c>
      <c r="G85" s="15">
        <v>0</v>
      </c>
      <c r="H85" s="15">
        <v>0</v>
      </c>
    </row>
    <row r="86" ht="12.9" customHeight="1">
      <c r="A86" t="s" s="10">
        <v>3090</v>
      </c>
      <c r="B86" t="s" s="11">
        <v>353</v>
      </c>
      <c r="C86" s="12">
        <v>45314</v>
      </c>
      <c r="D86" t="s" s="13">
        <v>47</v>
      </c>
      <c r="E86" s="16"/>
      <c r="F86" s="14">
        <v>1</v>
      </c>
      <c r="G86" s="15">
        <v>256.31</v>
      </c>
      <c r="H86" s="15">
        <v>256.31</v>
      </c>
    </row>
    <row r="87" ht="12.9" customHeight="1">
      <c r="A87" t="s" s="10">
        <v>3091</v>
      </c>
      <c r="B87" t="s" s="11">
        <v>476</v>
      </c>
      <c r="C87" s="12">
        <v>45314</v>
      </c>
      <c r="D87" t="s" s="13">
        <v>248</v>
      </c>
      <c r="E87" t="s" s="13">
        <v>3092</v>
      </c>
      <c r="F87" s="14">
        <v>11</v>
      </c>
      <c r="G87" s="15">
        <v>3500</v>
      </c>
      <c r="H87" s="15">
        <v>38500</v>
      </c>
    </row>
    <row r="88" ht="12.9" customHeight="1">
      <c r="A88" t="s" s="10">
        <v>3091</v>
      </c>
      <c r="B88" t="s" s="11">
        <v>476</v>
      </c>
      <c r="C88" s="12">
        <v>45314</v>
      </c>
      <c r="D88" t="s" s="13">
        <v>248</v>
      </c>
      <c r="E88" t="s" s="13">
        <v>249</v>
      </c>
      <c r="F88" s="14">
        <v>1</v>
      </c>
      <c r="G88" s="15">
        <v>3750</v>
      </c>
      <c r="H88" s="15">
        <v>3750</v>
      </c>
    </row>
    <row r="89" ht="12.9" customHeight="1">
      <c r="A89" t="s" s="10">
        <v>3091</v>
      </c>
      <c r="B89" t="s" s="11">
        <v>476</v>
      </c>
      <c r="C89" s="12">
        <v>45314</v>
      </c>
      <c r="D89" t="s" s="13">
        <v>250</v>
      </c>
      <c r="E89" t="s" s="13">
        <v>251</v>
      </c>
      <c r="F89" s="14">
        <v>3</v>
      </c>
      <c r="G89" s="15">
        <v>800</v>
      </c>
      <c r="H89" s="15">
        <v>2400</v>
      </c>
    </row>
    <row r="90" ht="12.9" customHeight="1">
      <c r="A90" t="s" s="10">
        <v>3091</v>
      </c>
      <c r="B90" t="s" s="11">
        <v>476</v>
      </c>
      <c r="C90" s="12">
        <v>45314</v>
      </c>
      <c r="D90" t="s" s="13">
        <v>63</v>
      </c>
      <c r="E90" s="16"/>
      <c r="F90" s="14">
        <v>1</v>
      </c>
      <c r="G90" s="15">
        <v>855.4</v>
      </c>
      <c r="H90" s="15">
        <v>855.4</v>
      </c>
    </row>
    <row r="91" ht="12.9" customHeight="1">
      <c r="A91" t="s" s="10">
        <v>3093</v>
      </c>
      <c r="B91" t="s" s="11">
        <v>3094</v>
      </c>
      <c r="C91" s="12">
        <v>45314</v>
      </c>
      <c r="D91" t="s" s="13">
        <v>1202</v>
      </c>
      <c r="E91" t="s" s="13">
        <v>1203</v>
      </c>
      <c r="F91" s="14">
        <v>5</v>
      </c>
      <c r="G91" s="15">
        <v>80</v>
      </c>
      <c r="H91" s="15">
        <v>400</v>
      </c>
    </row>
    <row r="92" ht="12.9" customHeight="1">
      <c r="A92" t="s" s="10">
        <v>3093</v>
      </c>
      <c r="B92" t="s" s="11">
        <v>3094</v>
      </c>
      <c r="C92" s="12">
        <v>45314</v>
      </c>
      <c r="D92" t="s" s="13">
        <v>63</v>
      </c>
      <c r="E92" s="16"/>
      <c r="F92" s="14">
        <v>1</v>
      </c>
      <c r="G92" s="15">
        <v>40</v>
      </c>
      <c r="H92" s="15">
        <v>40</v>
      </c>
    </row>
    <row r="93" ht="12.9" customHeight="1">
      <c r="A93" t="s" s="10">
        <v>3095</v>
      </c>
      <c r="B93" t="s" s="11">
        <v>2297</v>
      </c>
      <c r="C93" s="12">
        <v>45313.777312673614</v>
      </c>
      <c r="D93" t="s" s="13">
        <v>35</v>
      </c>
      <c r="E93" t="s" s="13">
        <v>36</v>
      </c>
      <c r="F93" s="14">
        <v>1</v>
      </c>
      <c r="G93" s="15">
        <v>49.99</v>
      </c>
      <c r="H93" s="15">
        <v>49.99</v>
      </c>
    </row>
    <row r="94" ht="12.9" customHeight="1">
      <c r="A94" t="s" s="10">
        <v>3095</v>
      </c>
      <c r="B94" t="s" s="11">
        <v>2297</v>
      </c>
      <c r="C94" s="12">
        <v>45313.777312673614</v>
      </c>
      <c r="D94" t="s" s="13">
        <v>89</v>
      </c>
      <c r="E94" t="s" s="13">
        <v>90</v>
      </c>
      <c r="F94" s="14">
        <v>3</v>
      </c>
      <c r="G94" s="15">
        <v>59.99</v>
      </c>
      <c r="H94" s="15">
        <v>179.97</v>
      </c>
    </row>
    <row r="95" ht="12.9" customHeight="1">
      <c r="A95" t="s" s="10">
        <v>3096</v>
      </c>
      <c r="B95" t="s" s="11">
        <v>3097</v>
      </c>
      <c r="C95" s="12">
        <v>45313.731404270831</v>
      </c>
      <c r="D95" t="s" s="13">
        <v>359</v>
      </c>
      <c r="E95" t="s" s="13">
        <v>360</v>
      </c>
      <c r="F95" s="14">
        <v>2</v>
      </c>
      <c r="G95" s="15">
        <v>29.99</v>
      </c>
      <c r="H95" s="15">
        <v>59.98</v>
      </c>
    </row>
    <row r="96" ht="12.9" customHeight="1">
      <c r="A96" t="s" s="10">
        <v>3096</v>
      </c>
      <c r="B96" t="s" s="11">
        <v>3097</v>
      </c>
      <c r="C96" s="12">
        <v>45313.731404270831</v>
      </c>
      <c r="D96" t="s" s="13">
        <v>77</v>
      </c>
      <c r="E96" t="s" s="13">
        <v>78</v>
      </c>
      <c r="F96" s="14">
        <v>2</v>
      </c>
      <c r="G96" s="15">
        <v>19.99</v>
      </c>
      <c r="H96" s="15">
        <v>39.98</v>
      </c>
    </row>
    <row r="97" ht="12.9" customHeight="1">
      <c r="A97" t="s" s="10">
        <v>3098</v>
      </c>
      <c r="B97" t="s" s="11">
        <v>3099</v>
      </c>
      <c r="C97" s="12">
        <v>45313.115868495370</v>
      </c>
      <c r="D97" t="s" s="13">
        <v>359</v>
      </c>
      <c r="E97" t="s" s="13">
        <v>360</v>
      </c>
      <c r="F97" s="14">
        <v>2</v>
      </c>
      <c r="G97" s="15">
        <v>29.99</v>
      </c>
      <c r="H97" s="15">
        <v>59.98</v>
      </c>
    </row>
    <row r="98" ht="12.9" customHeight="1">
      <c r="A98" t="s" s="10">
        <v>3098</v>
      </c>
      <c r="B98" t="s" s="11">
        <v>3099</v>
      </c>
      <c r="C98" s="12">
        <v>45313.115868495370</v>
      </c>
      <c r="D98" t="s" s="13">
        <v>225</v>
      </c>
      <c r="E98" t="s" s="13">
        <v>226</v>
      </c>
      <c r="F98" s="14">
        <v>2</v>
      </c>
      <c r="G98" s="15">
        <v>499.99</v>
      </c>
      <c r="H98" s="15">
        <v>999.98</v>
      </c>
    </row>
    <row r="99" ht="12.9" customHeight="1">
      <c r="A99" t="s" s="10">
        <v>3098</v>
      </c>
      <c r="B99" t="s" s="11">
        <v>3099</v>
      </c>
      <c r="C99" s="12">
        <v>45313.115868495370</v>
      </c>
      <c r="D99" t="s" s="13">
        <v>167</v>
      </c>
      <c r="E99" t="s" s="13">
        <v>3100</v>
      </c>
      <c r="F99" s="14">
        <v>2</v>
      </c>
      <c r="G99" s="15">
        <v>0</v>
      </c>
      <c r="H99" s="15">
        <v>0</v>
      </c>
    </row>
    <row r="100" ht="12.9" customHeight="1">
      <c r="A100" t="s" s="10">
        <v>3101</v>
      </c>
      <c r="B100" t="s" s="11">
        <v>3102</v>
      </c>
      <c r="C100" s="12">
        <v>45313</v>
      </c>
      <c r="D100" t="s" s="13">
        <v>3103</v>
      </c>
      <c r="E100" s="16"/>
      <c r="F100" s="14">
        <v>1</v>
      </c>
      <c r="G100" s="15">
        <v>640.33</v>
      </c>
      <c r="H100" s="15">
        <v>640.33</v>
      </c>
    </row>
    <row r="101" ht="12.9" customHeight="1">
      <c r="A101" t="s" s="10">
        <v>3101</v>
      </c>
      <c r="B101" t="s" s="11">
        <v>3102</v>
      </c>
      <c r="C101" s="12">
        <v>45313</v>
      </c>
      <c r="D101" t="s" s="13">
        <v>3104</v>
      </c>
      <c r="E101" s="16"/>
      <c r="F101" s="14">
        <v>1</v>
      </c>
      <c r="G101" s="15">
        <v>64</v>
      </c>
      <c r="H101" s="15">
        <v>64</v>
      </c>
    </row>
    <row r="102" ht="12.9" customHeight="1">
      <c r="A102" t="s" s="10">
        <v>3101</v>
      </c>
      <c r="B102" t="s" s="11">
        <v>3102</v>
      </c>
      <c r="C102" s="12">
        <v>45313</v>
      </c>
      <c r="D102" t="s" s="13">
        <v>63</v>
      </c>
      <c r="E102" s="16"/>
      <c r="F102" s="14">
        <v>1</v>
      </c>
      <c r="G102" s="15">
        <v>142.63</v>
      </c>
      <c r="H102" s="15">
        <v>142.63</v>
      </c>
    </row>
    <row r="103" ht="12.9" customHeight="1">
      <c r="A103" t="s" s="10">
        <v>3105</v>
      </c>
      <c r="B103" t="s" s="11">
        <v>3106</v>
      </c>
      <c r="C103" s="12">
        <v>45312.851995601850</v>
      </c>
      <c r="D103" t="s" s="13">
        <v>1695</v>
      </c>
      <c r="E103" t="s" s="13">
        <v>140</v>
      </c>
      <c r="F103" s="14">
        <v>1</v>
      </c>
      <c r="G103" s="15">
        <v>49.99</v>
      </c>
      <c r="H103" s="15">
        <v>49.99</v>
      </c>
    </row>
    <row r="104" ht="12.9" customHeight="1">
      <c r="A104" t="s" s="10">
        <v>3105</v>
      </c>
      <c r="B104" t="s" s="11">
        <v>3106</v>
      </c>
      <c r="C104" s="12">
        <v>45312.851995601850</v>
      </c>
      <c r="D104" t="s" s="13">
        <v>15</v>
      </c>
      <c r="E104" t="s" s="13">
        <v>16</v>
      </c>
      <c r="F104" s="14">
        <v>1</v>
      </c>
      <c r="G104" s="15">
        <v>9.99</v>
      </c>
      <c r="H104" s="15">
        <v>9.99</v>
      </c>
    </row>
    <row r="105" ht="12.9" customHeight="1">
      <c r="A105" t="s" s="10">
        <v>3107</v>
      </c>
      <c r="B105" t="s" s="11">
        <v>2694</v>
      </c>
      <c r="C105" s="12">
        <v>45312.082910104167</v>
      </c>
      <c r="D105" t="s" s="13">
        <v>81</v>
      </c>
      <c r="E105" t="s" s="13">
        <v>82</v>
      </c>
      <c r="F105" s="14">
        <v>2</v>
      </c>
      <c r="G105" s="15">
        <v>849.99</v>
      </c>
      <c r="H105" s="15">
        <v>1699.98</v>
      </c>
    </row>
    <row r="106" ht="12.9" customHeight="1">
      <c r="A106" t="s" s="10">
        <v>3107</v>
      </c>
      <c r="B106" t="s" s="11">
        <v>2694</v>
      </c>
      <c r="C106" s="12">
        <v>45312.082910104167</v>
      </c>
      <c r="D106" t="s" s="13">
        <v>470</v>
      </c>
      <c r="E106" t="s" s="13">
        <v>517</v>
      </c>
      <c r="F106" s="14">
        <v>2</v>
      </c>
      <c r="G106" s="15">
        <v>100</v>
      </c>
      <c r="H106" s="15">
        <v>200</v>
      </c>
    </row>
    <row r="107" ht="12.9" customHeight="1">
      <c r="A107" t="s" s="10">
        <v>3107</v>
      </c>
      <c r="B107" t="s" s="11">
        <v>2694</v>
      </c>
      <c r="C107" s="12">
        <v>45312.082910104167</v>
      </c>
      <c r="D107" t="s" s="13">
        <v>50</v>
      </c>
      <c r="E107" t="s" s="13">
        <v>83</v>
      </c>
      <c r="F107" s="14">
        <v>2</v>
      </c>
      <c r="G107" s="15">
        <v>0</v>
      </c>
      <c r="H107" s="15">
        <v>0</v>
      </c>
    </row>
    <row r="108" ht="12.9" customHeight="1">
      <c r="A108" t="s" s="10">
        <v>3107</v>
      </c>
      <c r="B108" t="s" s="11">
        <v>2694</v>
      </c>
      <c r="C108" s="12">
        <v>45312.082910104167</v>
      </c>
      <c r="D108" t="s" s="13">
        <v>84</v>
      </c>
      <c r="E108" t="s" s="13">
        <v>2685</v>
      </c>
      <c r="F108" s="14">
        <v>2</v>
      </c>
      <c r="G108" s="15">
        <v>0</v>
      </c>
      <c r="H108" s="15">
        <v>0</v>
      </c>
    </row>
    <row r="109" ht="12.9" customHeight="1">
      <c r="A109" t="s" s="10">
        <v>3107</v>
      </c>
      <c r="B109" t="s" s="11">
        <v>2694</v>
      </c>
      <c r="C109" s="12">
        <v>45312.082910104167</v>
      </c>
      <c r="D109" t="s" s="13">
        <v>179</v>
      </c>
      <c r="E109" t="s" s="13">
        <v>180</v>
      </c>
      <c r="F109" s="14">
        <v>1</v>
      </c>
      <c r="G109" s="15">
        <v>49.99</v>
      </c>
      <c r="H109" s="15">
        <v>49.99</v>
      </c>
    </row>
    <row r="110" ht="12.9" customHeight="1">
      <c r="A110" t="s" s="10">
        <v>3108</v>
      </c>
      <c r="B110" t="s" s="11">
        <v>3109</v>
      </c>
      <c r="C110" s="12">
        <v>45311.759480914348</v>
      </c>
      <c r="D110" t="s" s="13">
        <v>81</v>
      </c>
      <c r="E110" t="s" s="13">
        <v>82</v>
      </c>
      <c r="F110" s="14">
        <v>2</v>
      </c>
      <c r="G110" s="15">
        <v>849.99</v>
      </c>
      <c r="H110" s="15">
        <v>1699.98</v>
      </c>
    </row>
    <row r="111" ht="12.9" customHeight="1">
      <c r="A111" t="s" s="10">
        <v>3108</v>
      </c>
      <c r="B111" t="s" s="11">
        <v>3109</v>
      </c>
      <c r="C111" s="12">
        <v>45311.759480914348</v>
      </c>
      <c r="D111" t="s" s="13">
        <v>470</v>
      </c>
      <c r="E111" t="s" s="13">
        <v>517</v>
      </c>
      <c r="F111" s="14">
        <v>2</v>
      </c>
      <c r="G111" s="15">
        <v>100</v>
      </c>
      <c r="H111" s="15">
        <v>200</v>
      </c>
    </row>
    <row r="112" ht="12.9" customHeight="1">
      <c r="A112" t="s" s="10">
        <v>3108</v>
      </c>
      <c r="B112" t="s" s="11">
        <v>3109</v>
      </c>
      <c r="C112" s="12">
        <v>45311.759480914348</v>
      </c>
      <c r="D112" t="s" s="13">
        <v>50</v>
      </c>
      <c r="E112" t="s" s="13">
        <v>83</v>
      </c>
      <c r="F112" s="14">
        <v>2</v>
      </c>
      <c r="G112" s="15">
        <v>0</v>
      </c>
      <c r="H112" s="15">
        <v>0</v>
      </c>
    </row>
    <row r="113" ht="12.9" customHeight="1">
      <c r="A113" t="s" s="10">
        <v>3108</v>
      </c>
      <c r="B113" t="s" s="11">
        <v>3109</v>
      </c>
      <c r="C113" s="12">
        <v>45311.759480914348</v>
      </c>
      <c r="D113" t="s" s="13">
        <v>84</v>
      </c>
      <c r="E113" t="s" s="13">
        <v>2685</v>
      </c>
      <c r="F113" s="14">
        <v>2</v>
      </c>
      <c r="G113" s="15">
        <v>0</v>
      </c>
      <c r="H113" s="15">
        <v>0</v>
      </c>
    </row>
    <row r="114" ht="12.9" customHeight="1">
      <c r="A114" t="s" s="10">
        <v>3108</v>
      </c>
      <c r="B114" t="s" s="11">
        <v>3109</v>
      </c>
      <c r="C114" s="12">
        <v>45311.759480914348</v>
      </c>
      <c r="D114" t="s" s="13">
        <v>179</v>
      </c>
      <c r="E114" t="s" s="13">
        <v>180</v>
      </c>
      <c r="F114" s="14">
        <v>2</v>
      </c>
      <c r="G114" s="15">
        <v>49.99</v>
      </c>
      <c r="H114" s="15">
        <v>99.98</v>
      </c>
    </row>
    <row r="115" ht="12.9" customHeight="1">
      <c r="A115" t="s" s="10">
        <v>3110</v>
      </c>
      <c r="B115" t="s" s="11">
        <v>3111</v>
      </c>
      <c r="C115" s="12">
        <v>45311.754286400464</v>
      </c>
      <c r="D115" t="s" s="13">
        <v>81</v>
      </c>
      <c r="E115" t="s" s="13">
        <v>82</v>
      </c>
      <c r="F115" s="14">
        <v>2</v>
      </c>
      <c r="G115" s="15">
        <v>849.99</v>
      </c>
      <c r="H115" s="15">
        <v>1699.98</v>
      </c>
    </row>
    <row r="116" ht="12.9" customHeight="1">
      <c r="A116" t="s" s="10">
        <v>3110</v>
      </c>
      <c r="B116" t="s" s="11">
        <v>3111</v>
      </c>
      <c r="C116" s="12">
        <v>45311.754286400464</v>
      </c>
      <c r="D116" t="s" s="13">
        <v>470</v>
      </c>
      <c r="E116" t="s" s="13">
        <v>517</v>
      </c>
      <c r="F116" s="14">
        <v>2</v>
      </c>
      <c r="G116" s="15">
        <v>100</v>
      </c>
      <c r="H116" s="15">
        <v>200</v>
      </c>
    </row>
    <row r="117" ht="12.9" customHeight="1">
      <c r="A117" t="s" s="10">
        <v>3110</v>
      </c>
      <c r="B117" t="s" s="11">
        <v>3111</v>
      </c>
      <c r="C117" s="12">
        <v>45311.754286400464</v>
      </c>
      <c r="D117" t="s" s="13">
        <v>50</v>
      </c>
      <c r="E117" t="s" s="13">
        <v>83</v>
      </c>
      <c r="F117" s="14">
        <v>2</v>
      </c>
      <c r="G117" s="15">
        <v>0</v>
      </c>
      <c r="H117" s="15">
        <v>0</v>
      </c>
    </row>
    <row r="118" ht="12.9" customHeight="1">
      <c r="A118" t="s" s="10">
        <v>3110</v>
      </c>
      <c r="B118" t="s" s="11">
        <v>3111</v>
      </c>
      <c r="C118" s="12">
        <v>45311.754286400464</v>
      </c>
      <c r="D118" t="s" s="13">
        <v>84</v>
      </c>
      <c r="E118" t="s" s="13">
        <v>2685</v>
      </c>
      <c r="F118" s="14">
        <v>2</v>
      </c>
      <c r="G118" s="15">
        <v>0</v>
      </c>
      <c r="H118" s="15">
        <v>0</v>
      </c>
    </row>
    <row r="119" ht="12.9" customHeight="1">
      <c r="A119" t="s" s="10">
        <v>3110</v>
      </c>
      <c r="B119" t="s" s="11">
        <v>3111</v>
      </c>
      <c r="C119" s="12">
        <v>45311.754286400464</v>
      </c>
      <c r="D119" t="s" s="13">
        <v>179</v>
      </c>
      <c r="E119" t="s" s="13">
        <v>180</v>
      </c>
      <c r="F119" s="14">
        <v>2</v>
      </c>
      <c r="G119" s="15">
        <v>49.99</v>
      </c>
      <c r="H119" s="15">
        <v>99.98</v>
      </c>
    </row>
    <row r="120" ht="12.9" customHeight="1">
      <c r="A120" t="s" s="10">
        <v>3112</v>
      </c>
      <c r="B120" t="s" s="11">
        <v>2471</v>
      </c>
      <c r="C120" s="12">
        <v>45311.022059004630</v>
      </c>
      <c r="D120" t="s" s="13">
        <v>19</v>
      </c>
      <c r="E120" t="s" s="13">
        <v>20</v>
      </c>
      <c r="F120" s="14">
        <v>2</v>
      </c>
      <c r="G120" s="15">
        <v>119.99</v>
      </c>
      <c r="H120" s="15">
        <v>239.98</v>
      </c>
    </row>
    <row r="121" ht="12.9" customHeight="1">
      <c r="A121" t="s" s="10">
        <v>3112</v>
      </c>
      <c r="B121" t="s" s="11">
        <v>2471</v>
      </c>
      <c r="C121" s="12">
        <v>45311.022059004630</v>
      </c>
      <c r="D121" t="s" s="13">
        <v>15</v>
      </c>
      <c r="E121" t="s" s="13">
        <v>16</v>
      </c>
      <c r="F121" s="14">
        <v>2</v>
      </c>
      <c r="G121" s="15">
        <v>9.99</v>
      </c>
      <c r="H121" s="15">
        <v>19.98</v>
      </c>
    </row>
    <row r="122" ht="12.9" customHeight="1">
      <c r="A122" t="s" s="10">
        <v>3112</v>
      </c>
      <c r="B122" t="s" s="11">
        <v>2471</v>
      </c>
      <c r="C122" s="12">
        <v>45311.022059004630</v>
      </c>
      <c r="D122" t="s" s="13">
        <v>89</v>
      </c>
      <c r="E122" t="s" s="13">
        <v>90</v>
      </c>
      <c r="F122" s="14">
        <v>4</v>
      </c>
      <c r="G122" s="15">
        <v>59.99</v>
      </c>
      <c r="H122" s="15">
        <v>239.96</v>
      </c>
    </row>
    <row r="123" ht="12.9" customHeight="1">
      <c r="A123" t="s" s="10">
        <v>3113</v>
      </c>
      <c r="B123" t="s" s="11">
        <v>3114</v>
      </c>
      <c r="C123" s="12">
        <v>45310.740084895835</v>
      </c>
      <c r="D123" t="s" s="13">
        <v>89</v>
      </c>
      <c r="E123" t="s" s="13">
        <v>90</v>
      </c>
      <c r="F123" s="14">
        <v>2</v>
      </c>
      <c r="G123" s="15">
        <v>59.99</v>
      </c>
      <c r="H123" s="15">
        <v>119.98</v>
      </c>
    </row>
    <row r="124" ht="12.9" customHeight="1">
      <c r="A124" t="s" s="10">
        <v>3115</v>
      </c>
      <c r="B124" t="s" s="11">
        <v>2778</v>
      </c>
      <c r="C124" s="12">
        <v>45310</v>
      </c>
      <c r="D124" t="s" s="13">
        <v>468</v>
      </c>
      <c r="E124" t="s" s="13">
        <v>3116</v>
      </c>
      <c r="F124" s="14">
        <v>2</v>
      </c>
      <c r="G124" s="15">
        <v>0</v>
      </c>
      <c r="H124" s="15">
        <v>0</v>
      </c>
    </row>
    <row r="125" ht="12.9" customHeight="1">
      <c r="A125" t="s" s="10">
        <v>3117</v>
      </c>
      <c r="B125" t="s" s="11">
        <v>896</v>
      </c>
      <c r="C125" s="12">
        <v>45310</v>
      </c>
      <c r="D125" t="s" s="13">
        <v>3118</v>
      </c>
      <c r="E125" t="s" s="13">
        <v>3119</v>
      </c>
      <c r="F125" s="14">
        <v>6</v>
      </c>
      <c r="G125" s="15">
        <v>550</v>
      </c>
      <c r="H125" s="15">
        <v>3300</v>
      </c>
    </row>
    <row r="126" ht="12.9" customHeight="1">
      <c r="A126" t="s" s="10">
        <v>3117</v>
      </c>
      <c r="B126" t="s" s="11">
        <v>896</v>
      </c>
      <c r="C126" s="12">
        <v>45310</v>
      </c>
      <c r="D126" t="s" s="13">
        <v>63</v>
      </c>
      <c r="E126" s="16"/>
      <c r="F126" s="14">
        <v>1</v>
      </c>
      <c r="G126" s="15">
        <v>545</v>
      </c>
      <c r="H126" s="15">
        <v>545</v>
      </c>
    </row>
    <row r="127" ht="12.9" customHeight="1">
      <c r="A127" t="s" s="10">
        <v>3120</v>
      </c>
      <c r="B127" t="s" s="11">
        <v>3121</v>
      </c>
      <c r="C127" s="12">
        <v>45309.580037511572</v>
      </c>
      <c r="D127" t="s" s="13">
        <v>35</v>
      </c>
      <c r="E127" t="s" s="13">
        <v>36</v>
      </c>
      <c r="F127" s="14">
        <v>2</v>
      </c>
      <c r="G127" s="15">
        <v>49.99</v>
      </c>
      <c r="H127" s="15">
        <v>99.98</v>
      </c>
    </row>
    <row r="128" ht="12.9" customHeight="1">
      <c r="A128" t="s" s="10">
        <v>3122</v>
      </c>
      <c r="B128" t="s" s="11">
        <v>1524</v>
      </c>
      <c r="C128" s="12">
        <v>45309.197636030091</v>
      </c>
      <c r="D128" t="s" s="13">
        <v>31</v>
      </c>
      <c r="E128" t="s" s="13">
        <v>32</v>
      </c>
      <c r="F128" s="14">
        <v>1</v>
      </c>
      <c r="G128" s="15">
        <v>574.99</v>
      </c>
      <c r="H128" s="15">
        <v>574.99</v>
      </c>
    </row>
    <row r="129" ht="12.9" customHeight="1">
      <c r="A129" t="s" s="10">
        <v>3123</v>
      </c>
      <c r="B129" t="s" s="11">
        <v>2254</v>
      </c>
      <c r="C129" s="12">
        <v>45309.178873518518</v>
      </c>
      <c r="D129" t="s" s="13">
        <v>89</v>
      </c>
      <c r="E129" t="s" s="13">
        <v>90</v>
      </c>
      <c r="F129" s="14">
        <v>2</v>
      </c>
      <c r="G129" s="15">
        <v>59.99</v>
      </c>
      <c r="H129" s="15">
        <v>119.98</v>
      </c>
    </row>
    <row r="130" ht="12.9" customHeight="1">
      <c r="A130" t="s" s="10">
        <v>3124</v>
      </c>
      <c r="B130" t="s" s="11">
        <v>3125</v>
      </c>
      <c r="C130" s="12">
        <v>45309</v>
      </c>
      <c r="D130" t="s" s="13">
        <v>225</v>
      </c>
      <c r="E130" t="s" s="13">
        <v>226</v>
      </c>
      <c r="F130" s="14">
        <v>4</v>
      </c>
      <c r="G130" s="15">
        <v>499.99</v>
      </c>
      <c r="H130" s="15">
        <v>1999.96</v>
      </c>
    </row>
    <row r="131" ht="12.9" customHeight="1">
      <c r="A131" t="s" s="10">
        <v>3124</v>
      </c>
      <c r="B131" t="s" s="11">
        <v>3125</v>
      </c>
      <c r="C131" s="12">
        <v>45309</v>
      </c>
      <c r="D131" t="s" s="13">
        <v>165</v>
      </c>
      <c r="E131" t="s" s="13">
        <v>392</v>
      </c>
      <c r="F131" s="14">
        <v>4</v>
      </c>
      <c r="G131" s="15">
        <v>0</v>
      </c>
      <c r="H131" s="15">
        <v>0</v>
      </c>
    </row>
    <row r="132" ht="12.9" customHeight="1">
      <c r="A132" t="s" s="10">
        <v>3124</v>
      </c>
      <c r="B132" t="s" s="11">
        <v>3125</v>
      </c>
      <c r="C132" s="12">
        <v>45309</v>
      </c>
      <c r="D132" t="s" s="13">
        <v>602</v>
      </c>
      <c r="E132" t="s" s="13">
        <v>686</v>
      </c>
      <c r="F132" s="14">
        <v>4</v>
      </c>
      <c r="G132" s="15">
        <v>299.99</v>
      </c>
      <c r="H132" s="15">
        <v>1199.96</v>
      </c>
    </row>
    <row r="133" ht="12.9" customHeight="1">
      <c r="A133" t="s" s="10">
        <v>3124</v>
      </c>
      <c r="B133" t="s" s="11">
        <v>3125</v>
      </c>
      <c r="C133" s="12">
        <v>45309</v>
      </c>
      <c r="D133" t="s" s="13">
        <v>84</v>
      </c>
      <c r="E133" t="s" s="13">
        <v>2685</v>
      </c>
      <c r="F133" s="14">
        <v>4</v>
      </c>
      <c r="G133" s="15">
        <v>15</v>
      </c>
      <c r="H133" s="15">
        <v>60</v>
      </c>
    </row>
    <row r="134" ht="12.9" customHeight="1">
      <c r="A134" t="s" s="10">
        <v>3124</v>
      </c>
      <c r="B134" t="s" s="11">
        <v>3125</v>
      </c>
      <c r="C134" s="12">
        <v>45309</v>
      </c>
      <c r="D134" t="s" s="13">
        <v>691</v>
      </c>
      <c r="E134" t="s" s="13">
        <v>692</v>
      </c>
      <c r="F134" s="14">
        <v>2</v>
      </c>
      <c r="G134" s="15">
        <v>334.99</v>
      </c>
      <c r="H134" s="15">
        <v>669.98</v>
      </c>
    </row>
    <row r="135" ht="12.9" customHeight="1">
      <c r="A135" t="s" s="10">
        <v>3126</v>
      </c>
      <c r="B135" t="s" s="11">
        <v>3127</v>
      </c>
      <c r="C135" s="12">
        <v>45308.635988634262</v>
      </c>
      <c r="D135" t="s" s="13">
        <v>146</v>
      </c>
      <c r="E135" t="s" s="13">
        <v>147</v>
      </c>
      <c r="F135" s="14">
        <v>1</v>
      </c>
      <c r="G135" s="15">
        <v>19.99</v>
      </c>
      <c r="H135" s="15">
        <v>19.99</v>
      </c>
    </row>
    <row r="136" ht="12.9" customHeight="1">
      <c r="A136" t="s" s="10">
        <v>3126</v>
      </c>
      <c r="B136" t="s" s="11">
        <v>3127</v>
      </c>
      <c r="C136" s="12">
        <v>45308.635988634262</v>
      </c>
      <c r="D136" t="s" s="13">
        <v>1695</v>
      </c>
      <c r="E136" t="s" s="13">
        <v>140</v>
      </c>
      <c r="F136" s="14">
        <v>3</v>
      </c>
      <c r="G136" s="15">
        <v>49.99</v>
      </c>
      <c r="H136" s="15">
        <v>149.97</v>
      </c>
    </row>
    <row r="137" ht="12.9" customHeight="1">
      <c r="A137" t="s" s="10">
        <v>3126</v>
      </c>
      <c r="B137" t="s" s="11">
        <v>3127</v>
      </c>
      <c r="C137" s="12">
        <v>45308.635988634262</v>
      </c>
      <c r="D137" t="s" s="13">
        <v>15</v>
      </c>
      <c r="E137" t="s" s="13">
        <v>16</v>
      </c>
      <c r="F137" s="14">
        <v>3</v>
      </c>
      <c r="G137" s="15">
        <v>9.99</v>
      </c>
      <c r="H137" s="15">
        <v>29.97</v>
      </c>
    </row>
    <row r="138" ht="12.9" customHeight="1">
      <c r="A138" t="s" s="10">
        <v>3128</v>
      </c>
      <c r="B138" t="s" s="11">
        <v>122</v>
      </c>
      <c r="C138" s="12">
        <v>45308</v>
      </c>
      <c r="D138" t="s" s="13">
        <v>254</v>
      </c>
      <c r="E138" t="s" s="13">
        <v>3129</v>
      </c>
      <c r="F138" s="14">
        <v>1</v>
      </c>
      <c r="G138" s="15">
        <v>40</v>
      </c>
      <c r="H138" s="15">
        <v>40</v>
      </c>
    </row>
    <row r="139" ht="12.9" customHeight="1">
      <c r="A139" t="s" s="10">
        <v>3128</v>
      </c>
      <c r="B139" t="s" s="11">
        <v>122</v>
      </c>
      <c r="C139" s="12">
        <v>45308</v>
      </c>
      <c r="D139" t="s" s="13">
        <v>409</v>
      </c>
      <c r="E139" t="s" s="13">
        <v>409</v>
      </c>
      <c r="F139" s="14">
        <v>1</v>
      </c>
      <c r="G139" s="15">
        <v>100</v>
      </c>
      <c r="H139" s="15">
        <v>100</v>
      </c>
    </row>
    <row r="140" ht="12.9" customHeight="1">
      <c r="A140" t="s" s="10">
        <v>3128</v>
      </c>
      <c r="B140" t="s" s="11">
        <v>122</v>
      </c>
      <c r="C140" s="12">
        <v>45308</v>
      </c>
      <c r="D140" t="s" s="13">
        <v>402</v>
      </c>
      <c r="E140" t="s" s="13">
        <v>403</v>
      </c>
      <c r="F140" s="14">
        <v>1</v>
      </c>
      <c r="G140" s="15">
        <v>0</v>
      </c>
      <c r="H140" s="15">
        <v>0</v>
      </c>
    </row>
    <row r="141" ht="12.9" customHeight="1">
      <c r="A141" t="s" s="10">
        <v>3128</v>
      </c>
      <c r="B141" t="s" s="11">
        <v>122</v>
      </c>
      <c r="C141" s="12">
        <v>45308</v>
      </c>
      <c r="D141" t="s" s="13">
        <v>254</v>
      </c>
      <c r="E141" t="s" s="13">
        <v>3130</v>
      </c>
      <c r="F141" s="14">
        <v>1</v>
      </c>
      <c r="G141" s="15">
        <v>0</v>
      </c>
      <c r="H141" s="15">
        <v>0</v>
      </c>
    </row>
    <row r="142" ht="12.9" customHeight="1">
      <c r="A142" t="s" s="10">
        <v>3128</v>
      </c>
      <c r="B142" t="s" s="11">
        <v>122</v>
      </c>
      <c r="C142" s="12">
        <v>45308</v>
      </c>
      <c r="D142" t="s" s="13">
        <v>402</v>
      </c>
      <c r="E142" t="s" s="13">
        <v>403</v>
      </c>
      <c r="F142" s="14">
        <v>2</v>
      </c>
      <c r="G142" s="15">
        <v>0</v>
      </c>
      <c r="H142" s="15">
        <v>0</v>
      </c>
    </row>
    <row r="143" ht="12.9" customHeight="1">
      <c r="A143" t="s" s="10">
        <v>3128</v>
      </c>
      <c r="B143" t="s" s="11">
        <v>122</v>
      </c>
      <c r="C143" s="12">
        <v>45308</v>
      </c>
      <c r="D143" t="s" s="13">
        <v>764</v>
      </c>
      <c r="E143" t="s" s="13">
        <v>765</v>
      </c>
      <c r="F143" s="14">
        <v>2</v>
      </c>
      <c r="G143" s="15">
        <v>0</v>
      </c>
      <c r="H143" s="15">
        <v>0</v>
      </c>
    </row>
    <row r="144" ht="12.9" customHeight="1">
      <c r="A144" t="s" s="10">
        <v>3128</v>
      </c>
      <c r="B144" t="s" s="11">
        <v>122</v>
      </c>
      <c r="C144" s="12">
        <v>45308</v>
      </c>
      <c r="D144" t="s" s="13">
        <v>63</v>
      </c>
      <c r="E144" s="16"/>
      <c r="F144" s="14">
        <v>1</v>
      </c>
      <c r="G144" s="15">
        <v>18.54</v>
      </c>
      <c r="H144" s="15">
        <v>18.54</v>
      </c>
    </row>
    <row r="145" ht="12.9" customHeight="1">
      <c r="A145" t="s" s="10">
        <v>3131</v>
      </c>
      <c r="B145" t="s" s="11">
        <v>3132</v>
      </c>
      <c r="C145" s="12">
        <v>45308</v>
      </c>
      <c r="D145" t="s" s="13">
        <v>3133</v>
      </c>
      <c r="E145" t="s" s="13">
        <v>3134</v>
      </c>
      <c r="F145" s="14">
        <v>1</v>
      </c>
      <c r="G145" s="15">
        <v>249.99</v>
      </c>
      <c r="H145" s="15">
        <v>249.99</v>
      </c>
    </row>
    <row r="146" ht="12.9" customHeight="1">
      <c r="A146" t="s" s="10">
        <v>3135</v>
      </c>
      <c r="B146" t="s" s="11">
        <v>2874</v>
      </c>
      <c r="C146" s="12">
        <v>45307.783092604164</v>
      </c>
      <c r="D146" t="s" s="13">
        <v>722</v>
      </c>
      <c r="E146" t="s" s="13">
        <v>82</v>
      </c>
      <c r="F146" s="14">
        <v>4</v>
      </c>
      <c r="G146" s="15">
        <v>869.99</v>
      </c>
      <c r="H146" s="15">
        <v>3479.96</v>
      </c>
    </row>
    <row r="147" ht="12.9" customHeight="1">
      <c r="A147" t="s" s="10">
        <v>3135</v>
      </c>
      <c r="B147" t="s" s="11">
        <v>2874</v>
      </c>
      <c r="C147" s="12">
        <v>45307.783092604164</v>
      </c>
      <c r="D147" t="s" s="13">
        <v>23</v>
      </c>
      <c r="E147" t="s" s="13">
        <v>24</v>
      </c>
      <c r="F147" s="14">
        <v>4</v>
      </c>
      <c r="G147" s="15">
        <v>0</v>
      </c>
      <c r="H147" s="15">
        <v>0</v>
      </c>
    </row>
    <row r="148" ht="12.9" customHeight="1">
      <c r="A148" t="s" s="10">
        <v>3135</v>
      </c>
      <c r="B148" t="s" s="11">
        <v>2874</v>
      </c>
      <c r="C148" s="12">
        <v>45307.783092604164</v>
      </c>
      <c r="D148" t="s" s="13">
        <v>50</v>
      </c>
      <c r="E148" t="s" s="13">
        <v>83</v>
      </c>
      <c r="F148" s="14">
        <v>4</v>
      </c>
      <c r="G148" s="15">
        <v>0</v>
      </c>
      <c r="H148" s="15">
        <v>0</v>
      </c>
    </row>
    <row r="149" ht="12.9" customHeight="1">
      <c r="A149" t="s" s="10">
        <v>3135</v>
      </c>
      <c r="B149" t="s" s="11">
        <v>2874</v>
      </c>
      <c r="C149" s="12">
        <v>45307.783092604164</v>
      </c>
      <c r="D149" t="s" s="13">
        <v>84</v>
      </c>
      <c r="E149" t="s" s="13">
        <v>2685</v>
      </c>
      <c r="F149" s="14">
        <v>4</v>
      </c>
      <c r="G149" s="15">
        <v>0</v>
      </c>
      <c r="H149" s="15">
        <v>0</v>
      </c>
    </row>
    <row r="150" ht="12.9" customHeight="1">
      <c r="A150" t="s" s="10">
        <v>3135</v>
      </c>
      <c r="B150" t="s" s="11">
        <v>2874</v>
      </c>
      <c r="C150" s="12">
        <v>45307.783092604164</v>
      </c>
      <c r="D150" t="s" s="13">
        <v>73</v>
      </c>
      <c r="E150" t="s" s="13">
        <v>74</v>
      </c>
      <c r="F150" s="14">
        <v>1</v>
      </c>
      <c r="G150" s="15">
        <v>399.99</v>
      </c>
      <c r="H150" s="15">
        <v>399.99</v>
      </c>
    </row>
    <row r="151" ht="12.9" customHeight="1">
      <c r="A151" t="s" s="10">
        <v>3135</v>
      </c>
      <c r="B151" t="s" s="11">
        <v>2874</v>
      </c>
      <c r="C151" s="12">
        <v>45307.783092604164</v>
      </c>
      <c r="D151" t="s" s="13">
        <v>1695</v>
      </c>
      <c r="E151" t="s" s="13">
        <v>140</v>
      </c>
      <c r="F151" s="14">
        <v>4</v>
      </c>
      <c r="G151" s="15">
        <v>49.99</v>
      </c>
      <c r="H151" s="15">
        <v>199.96</v>
      </c>
    </row>
    <row r="152" ht="12.9" customHeight="1">
      <c r="A152" t="s" s="10">
        <v>3135</v>
      </c>
      <c r="B152" t="s" s="11">
        <v>2874</v>
      </c>
      <c r="C152" s="12">
        <v>45307.783092604164</v>
      </c>
      <c r="D152" t="s" s="13">
        <v>15</v>
      </c>
      <c r="E152" t="s" s="13">
        <v>16</v>
      </c>
      <c r="F152" s="14">
        <v>4</v>
      </c>
      <c r="G152" s="15">
        <v>9.99</v>
      </c>
      <c r="H152" s="15">
        <v>39.96</v>
      </c>
    </row>
    <row r="153" ht="12.9" customHeight="1">
      <c r="A153" t="s" s="10">
        <v>3136</v>
      </c>
      <c r="B153" t="s" s="11">
        <v>3137</v>
      </c>
      <c r="C153" s="12">
        <v>45307</v>
      </c>
      <c r="D153" t="s" s="13">
        <v>317</v>
      </c>
      <c r="E153" t="s" s="13">
        <v>318</v>
      </c>
      <c r="F153" s="14">
        <v>20</v>
      </c>
      <c r="G153" s="15">
        <v>49.99</v>
      </c>
      <c r="H153" s="15">
        <v>999.8</v>
      </c>
    </row>
    <row r="154" ht="12.9" customHeight="1">
      <c r="A154" t="s" s="10">
        <v>3138</v>
      </c>
      <c r="B154" t="s" s="11">
        <v>1410</v>
      </c>
      <c r="C154" s="12">
        <v>45307</v>
      </c>
      <c r="D154" t="s" s="13">
        <v>84</v>
      </c>
      <c r="E154" t="s" s="13">
        <v>2685</v>
      </c>
      <c r="F154" s="14">
        <v>1</v>
      </c>
      <c r="G154" s="15">
        <v>0</v>
      </c>
      <c r="H154" s="15">
        <v>0</v>
      </c>
    </row>
    <row r="155" ht="12.9" customHeight="1">
      <c r="A155" t="s" s="10">
        <v>3139</v>
      </c>
      <c r="B155" t="s" s="11">
        <v>3140</v>
      </c>
      <c r="C155" s="12">
        <v>45306.783597013891</v>
      </c>
      <c r="D155" t="s" s="13">
        <v>89</v>
      </c>
      <c r="E155" t="s" s="13">
        <v>90</v>
      </c>
      <c r="F155" s="14">
        <v>1</v>
      </c>
      <c r="G155" s="15">
        <v>59.99</v>
      </c>
      <c r="H155" s="15">
        <v>59.99</v>
      </c>
    </row>
    <row r="156" ht="12.9" customHeight="1">
      <c r="A156" t="s" s="10">
        <v>3141</v>
      </c>
      <c r="B156" t="s" s="11">
        <v>3142</v>
      </c>
      <c r="C156" s="12">
        <v>45306.743321944443</v>
      </c>
      <c r="D156" t="s" s="13">
        <v>179</v>
      </c>
      <c r="E156" t="s" s="13">
        <v>180</v>
      </c>
      <c r="F156" s="14">
        <v>2</v>
      </c>
      <c r="G156" s="15">
        <v>49.99</v>
      </c>
      <c r="H156" s="15">
        <v>99.98</v>
      </c>
    </row>
    <row r="157" ht="12.9" customHeight="1">
      <c r="A157" t="s" s="10">
        <v>3143</v>
      </c>
      <c r="B157" t="s" s="11">
        <v>2838</v>
      </c>
      <c r="C157" s="12">
        <v>45306.267552152778</v>
      </c>
      <c r="D157" t="s" s="13">
        <v>54</v>
      </c>
      <c r="E157" t="s" s="13">
        <v>93</v>
      </c>
      <c r="F157" s="14">
        <v>1</v>
      </c>
      <c r="G157" s="15">
        <v>9.99</v>
      </c>
      <c r="H157" s="15">
        <v>9.99</v>
      </c>
    </row>
    <row r="158" ht="12.9" customHeight="1">
      <c r="A158" t="s" s="10">
        <v>3144</v>
      </c>
      <c r="B158" t="s" s="11">
        <v>2838</v>
      </c>
      <c r="C158" s="12">
        <v>45306.261628611108</v>
      </c>
      <c r="D158" t="s" s="13">
        <v>19</v>
      </c>
      <c r="E158" t="s" s="13">
        <v>20</v>
      </c>
      <c r="F158" s="14">
        <v>2</v>
      </c>
      <c r="G158" s="15">
        <v>119.99</v>
      </c>
      <c r="H158" s="15">
        <v>239.98</v>
      </c>
    </row>
    <row r="159" ht="12.9" customHeight="1">
      <c r="A159" t="s" s="10">
        <v>3144</v>
      </c>
      <c r="B159" t="s" s="11">
        <v>2838</v>
      </c>
      <c r="C159" s="12">
        <v>45306.261628611108</v>
      </c>
      <c r="D159" t="s" s="13">
        <v>15</v>
      </c>
      <c r="E159" t="s" s="13">
        <v>16</v>
      </c>
      <c r="F159" s="14">
        <v>2</v>
      </c>
      <c r="G159" s="15">
        <v>9.99</v>
      </c>
      <c r="H159" s="15">
        <v>19.98</v>
      </c>
    </row>
    <row r="160" ht="12.9" customHeight="1">
      <c r="A160" t="s" s="10">
        <v>3145</v>
      </c>
      <c r="B160" t="s" s="11">
        <v>3146</v>
      </c>
      <c r="C160" s="12">
        <v>45305.968417002317</v>
      </c>
      <c r="D160" t="s" s="13">
        <v>1695</v>
      </c>
      <c r="E160" t="s" s="13">
        <v>140</v>
      </c>
      <c r="F160" s="14">
        <v>1</v>
      </c>
      <c r="G160" s="15">
        <v>49.99</v>
      </c>
      <c r="H160" s="15">
        <v>49.99</v>
      </c>
    </row>
    <row r="161" ht="12.9" customHeight="1">
      <c r="A161" t="s" s="10">
        <v>3145</v>
      </c>
      <c r="B161" t="s" s="11">
        <v>3146</v>
      </c>
      <c r="C161" s="12">
        <v>45305.968417002317</v>
      </c>
      <c r="D161" t="s" s="13">
        <v>15</v>
      </c>
      <c r="E161" t="s" s="13">
        <v>16</v>
      </c>
      <c r="F161" s="14">
        <v>1</v>
      </c>
      <c r="G161" s="15">
        <v>9.99</v>
      </c>
      <c r="H161" s="15">
        <v>9.99</v>
      </c>
    </row>
    <row r="162" ht="12.9" customHeight="1">
      <c r="A162" t="s" s="10">
        <v>3147</v>
      </c>
      <c r="B162" t="s" s="11">
        <v>3148</v>
      </c>
      <c r="C162" s="12">
        <v>45305.778100902775</v>
      </c>
      <c r="D162" t="s" s="13">
        <v>2787</v>
      </c>
      <c r="E162" t="s" s="13">
        <v>2788</v>
      </c>
      <c r="F162" s="14">
        <v>1</v>
      </c>
      <c r="G162" s="15">
        <v>22.99</v>
      </c>
      <c r="H162" s="15">
        <v>22.99</v>
      </c>
    </row>
    <row r="163" ht="12.9" customHeight="1">
      <c r="A163" t="s" s="10">
        <v>3149</v>
      </c>
      <c r="B163" t="s" s="11">
        <v>3150</v>
      </c>
      <c r="C163" s="12">
        <v>45304.765543020832</v>
      </c>
      <c r="D163" t="s" s="13">
        <v>35</v>
      </c>
      <c r="E163" t="s" s="13">
        <v>36</v>
      </c>
      <c r="F163" s="14">
        <v>4</v>
      </c>
      <c r="G163" s="15">
        <v>49.99</v>
      </c>
      <c r="H163" s="15">
        <v>199.96</v>
      </c>
    </row>
    <row r="164" ht="12.9" customHeight="1">
      <c r="A164" t="s" s="10">
        <v>3151</v>
      </c>
      <c r="B164" t="s" s="11">
        <v>3152</v>
      </c>
      <c r="C164" s="12">
        <v>45304.329329618056</v>
      </c>
      <c r="D164" t="s" s="13">
        <v>19</v>
      </c>
      <c r="E164" t="s" s="13">
        <v>20</v>
      </c>
      <c r="F164" s="14">
        <v>1</v>
      </c>
      <c r="G164" s="15">
        <v>119.99</v>
      </c>
      <c r="H164" s="15">
        <v>119.99</v>
      </c>
    </row>
    <row r="165" ht="12.9" customHeight="1">
      <c r="A165" t="s" s="10">
        <v>3151</v>
      </c>
      <c r="B165" t="s" s="11">
        <v>3152</v>
      </c>
      <c r="C165" s="12">
        <v>45304.329329618056</v>
      </c>
      <c r="D165" t="s" s="13">
        <v>15</v>
      </c>
      <c r="E165" t="s" s="13">
        <v>16</v>
      </c>
      <c r="F165" s="14">
        <v>1</v>
      </c>
      <c r="G165" s="15">
        <v>9.99</v>
      </c>
      <c r="H165" s="15">
        <v>9.99</v>
      </c>
    </row>
    <row r="166" ht="12.9" customHeight="1">
      <c r="A166" t="s" s="10">
        <v>3153</v>
      </c>
      <c r="B166" t="s" s="11">
        <v>3154</v>
      </c>
      <c r="C166" s="12">
        <v>45303.741614305553</v>
      </c>
      <c r="D166" t="s" s="13">
        <v>1695</v>
      </c>
      <c r="E166" t="s" s="13">
        <v>140</v>
      </c>
      <c r="F166" s="14">
        <v>2</v>
      </c>
      <c r="G166" s="15">
        <v>49.99</v>
      </c>
      <c r="H166" s="15">
        <v>99.98</v>
      </c>
    </row>
    <row r="167" ht="12.9" customHeight="1">
      <c r="A167" t="s" s="10">
        <v>3153</v>
      </c>
      <c r="B167" t="s" s="11">
        <v>3154</v>
      </c>
      <c r="C167" s="12">
        <v>45303.741614305553</v>
      </c>
      <c r="D167" t="s" s="13">
        <v>15</v>
      </c>
      <c r="E167" t="s" s="13">
        <v>16</v>
      </c>
      <c r="F167" s="14">
        <v>2</v>
      </c>
      <c r="G167" s="15">
        <v>9.99</v>
      </c>
      <c r="H167" s="15">
        <v>19.98</v>
      </c>
    </row>
    <row r="168" ht="12.9" customHeight="1">
      <c r="A168" t="s" s="10">
        <v>3155</v>
      </c>
      <c r="B168" t="s" s="11">
        <v>3121</v>
      </c>
      <c r="C168" s="12">
        <v>45303.656102488429</v>
      </c>
      <c r="D168" t="s" s="13">
        <v>31</v>
      </c>
      <c r="E168" t="s" s="13">
        <v>32</v>
      </c>
      <c r="F168" s="14">
        <v>1</v>
      </c>
      <c r="G168" s="15">
        <v>599.99</v>
      </c>
      <c r="H168" s="15">
        <v>599.99</v>
      </c>
    </row>
    <row r="169" ht="12.9" customHeight="1">
      <c r="A169" t="s" s="10">
        <v>3156</v>
      </c>
      <c r="B169" t="s" s="11">
        <v>3157</v>
      </c>
      <c r="C169" s="12">
        <v>45303.185903090278</v>
      </c>
      <c r="D169" t="s" s="13">
        <v>89</v>
      </c>
      <c r="E169" t="s" s="13">
        <v>90</v>
      </c>
      <c r="F169" s="14">
        <v>1</v>
      </c>
      <c r="G169" s="15">
        <v>59.99</v>
      </c>
      <c r="H169" s="15">
        <v>59.99</v>
      </c>
    </row>
    <row r="170" ht="12.9" customHeight="1">
      <c r="A170" t="s" s="10">
        <v>3158</v>
      </c>
      <c r="B170" t="s" s="11">
        <v>3159</v>
      </c>
      <c r="C170" s="12">
        <v>45303</v>
      </c>
      <c r="D170" t="s" s="13">
        <v>254</v>
      </c>
      <c r="E170" t="s" s="13">
        <v>3160</v>
      </c>
      <c r="F170" s="14">
        <v>1</v>
      </c>
      <c r="G170" s="15">
        <v>0</v>
      </c>
      <c r="H170" s="15">
        <v>0</v>
      </c>
    </row>
    <row r="171" ht="12.9" customHeight="1">
      <c r="A171" t="s" s="10">
        <v>3161</v>
      </c>
      <c r="B171" t="s" s="11">
        <v>42</v>
      </c>
      <c r="C171" s="12">
        <v>45303</v>
      </c>
      <c r="D171" t="s" s="13">
        <v>254</v>
      </c>
      <c r="E171" t="s" s="13">
        <v>3162</v>
      </c>
      <c r="F171" s="14">
        <v>1</v>
      </c>
      <c r="G171" s="15">
        <v>0</v>
      </c>
      <c r="H171" s="15">
        <v>0</v>
      </c>
    </row>
    <row r="172" ht="12.9" customHeight="1">
      <c r="A172" t="s" s="10">
        <v>3163</v>
      </c>
      <c r="B172" t="s" s="11">
        <v>3164</v>
      </c>
      <c r="C172" s="12">
        <v>45303</v>
      </c>
      <c r="D172" t="s" s="13">
        <v>254</v>
      </c>
      <c r="E172" t="s" s="13">
        <v>3165</v>
      </c>
      <c r="F172" s="14">
        <v>1</v>
      </c>
      <c r="G172" s="15">
        <v>0</v>
      </c>
      <c r="H172" s="15">
        <v>0</v>
      </c>
    </row>
    <row r="173" ht="12.9" customHeight="1">
      <c r="A173" t="s" s="10">
        <v>3166</v>
      </c>
      <c r="B173" t="s" s="11">
        <v>2916</v>
      </c>
      <c r="C173" s="12">
        <v>45302</v>
      </c>
      <c r="D173" t="s" s="13">
        <v>254</v>
      </c>
      <c r="E173" t="s" s="13">
        <v>3167</v>
      </c>
      <c r="F173" s="14">
        <v>1</v>
      </c>
      <c r="G173" s="15">
        <v>0</v>
      </c>
      <c r="H173" s="15">
        <v>0</v>
      </c>
    </row>
    <row r="174" ht="12.9" customHeight="1">
      <c r="A174" t="s" s="10">
        <v>3166</v>
      </c>
      <c r="B174" t="s" s="11">
        <v>2916</v>
      </c>
      <c r="C174" s="12">
        <v>45302</v>
      </c>
      <c r="D174" t="s" s="13">
        <v>3168</v>
      </c>
      <c r="E174" t="s" s="13">
        <v>3169</v>
      </c>
      <c r="F174" s="14">
        <v>1</v>
      </c>
      <c r="G174" s="15">
        <v>0</v>
      </c>
      <c r="H174" s="15">
        <v>0</v>
      </c>
    </row>
    <row r="175" ht="12.9" customHeight="1">
      <c r="A175" t="s" s="10">
        <v>3166</v>
      </c>
      <c r="B175" t="s" s="11">
        <v>2916</v>
      </c>
      <c r="C175" s="12">
        <v>45302</v>
      </c>
      <c r="D175" t="s" s="13">
        <v>207</v>
      </c>
      <c r="E175" t="s" s="13">
        <v>208</v>
      </c>
      <c r="F175" s="14">
        <v>1</v>
      </c>
      <c r="G175" s="15">
        <v>0</v>
      </c>
      <c r="H175" s="15">
        <v>0</v>
      </c>
    </row>
    <row r="176" ht="12.9" customHeight="1">
      <c r="A176" t="s" s="10">
        <v>3166</v>
      </c>
      <c r="B176" t="s" s="11">
        <v>2916</v>
      </c>
      <c r="C176" s="12">
        <v>45302</v>
      </c>
      <c r="D176" t="s" s="13">
        <v>1206</v>
      </c>
      <c r="E176" t="s" s="13">
        <v>1207</v>
      </c>
      <c r="F176" s="14">
        <v>1</v>
      </c>
      <c r="G176" s="15">
        <v>0</v>
      </c>
      <c r="H176" s="15">
        <v>0</v>
      </c>
    </row>
    <row r="177" ht="12.9" customHeight="1">
      <c r="A177" t="s" s="10">
        <v>3170</v>
      </c>
      <c r="B177" t="s" s="11">
        <v>911</v>
      </c>
      <c r="C177" s="12">
        <v>45302</v>
      </c>
      <c r="D177" t="s" s="13">
        <v>585</v>
      </c>
      <c r="E177" t="s" s="13">
        <v>586</v>
      </c>
      <c r="F177" s="14">
        <v>4</v>
      </c>
      <c r="G177" s="15">
        <v>499.99</v>
      </c>
      <c r="H177" s="15">
        <v>1999.96</v>
      </c>
    </row>
    <row r="178" ht="12.9" customHeight="1">
      <c r="A178" t="s" s="10">
        <v>3171</v>
      </c>
      <c r="B178" t="s" s="11">
        <v>473</v>
      </c>
      <c r="C178" s="12">
        <v>45302</v>
      </c>
      <c r="D178" t="s" s="13">
        <v>254</v>
      </c>
      <c r="E178" t="s" s="13">
        <v>3172</v>
      </c>
      <c r="F178" s="14">
        <v>1</v>
      </c>
      <c r="G178" s="15">
        <v>149</v>
      </c>
      <c r="H178" s="15">
        <v>149</v>
      </c>
    </row>
    <row r="179" ht="12.9" customHeight="1">
      <c r="A179" t="s" s="10">
        <v>3171</v>
      </c>
      <c r="B179" t="s" s="11">
        <v>473</v>
      </c>
      <c r="C179" s="12">
        <v>45302</v>
      </c>
      <c r="D179" t="s" s="13">
        <v>63</v>
      </c>
      <c r="E179" s="16"/>
      <c r="F179" s="14">
        <v>1</v>
      </c>
      <c r="G179" s="15">
        <v>19.55</v>
      </c>
      <c r="H179" s="15">
        <v>19.55</v>
      </c>
    </row>
    <row r="180" ht="12.9" customHeight="1">
      <c r="A180" t="s" s="10">
        <v>3173</v>
      </c>
      <c r="B180" t="s" s="11">
        <v>3174</v>
      </c>
      <c r="C180" s="12">
        <v>45301.091756041664</v>
      </c>
      <c r="D180" t="s" s="13">
        <v>11</v>
      </c>
      <c r="E180" t="s" s="13">
        <v>12</v>
      </c>
      <c r="F180" s="14">
        <v>2</v>
      </c>
      <c r="G180" s="15">
        <v>399.99</v>
      </c>
      <c r="H180" s="15">
        <v>799.98</v>
      </c>
    </row>
    <row r="181" ht="12.9" customHeight="1">
      <c r="A181" t="s" s="10">
        <v>3175</v>
      </c>
      <c r="B181" t="s" s="11">
        <v>2598</v>
      </c>
      <c r="C181" s="12">
        <v>45301.083139097223</v>
      </c>
      <c r="D181" t="s" s="13">
        <v>54</v>
      </c>
      <c r="E181" t="s" s="13">
        <v>93</v>
      </c>
      <c r="F181" s="14">
        <v>2</v>
      </c>
      <c r="G181" s="15">
        <v>9.99</v>
      </c>
      <c r="H181" s="15">
        <v>19.98</v>
      </c>
    </row>
    <row r="182" ht="12.9" customHeight="1">
      <c r="A182" t="s" s="10">
        <v>3175</v>
      </c>
      <c r="B182" t="s" s="11">
        <v>2598</v>
      </c>
      <c r="C182" s="12">
        <v>45301.083139097223</v>
      </c>
      <c r="D182" t="s" s="13">
        <v>412</v>
      </c>
      <c r="E182" t="s" s="13">
        <v>413</v>
      </c>
      <c r="F182" s="14">
        <v>2</v>
      </c>
      <c r="G182" s="15">
        <v>1.99</v>
      </c>
      <c r="H182" s="15">
        <v>3.98</v>
      </c>
    </row>
    <row r="183" ht="12.9" customHeight="1">
      <c r="A183" t="s" s="10">
        <v>3175</v>
      </c>
      <c r="B183" t="s" s="11">
        <v>2598</v>
      </c>
      <c r="C183" s="12">
        <v>45301.083139097223</v>
      </c>
      <c r="D183" t="s" s="13">
        <v>15</v>
      </c>
      <c r="E183" t="s" s="13">
        <v>16</v>
      </c>
      <c r="F183" s="14">
        <v>2</v>
      </c>
      <c r="G183" s="15">
        <v>9.99</v>
      </c>
      <c r="H183" s="15">
        <v>19.98</v>
      </c>
    </row>
    <row r="184" ht="12.9" customHeight="1">
      <c r="A184" t="s" s="10">
        <v>3176</v>
      </c>
      <c r="B184" t="s" s="11">
        <v>2935</v>
      </c>
      <c r="C184" s="12">
        <v>45301</v>
      </c>
      <c r="D184" t="s" s="13">
        <v>3177</v>
      </c>
      <c r="E184" t="s" s="13">
        <v>3178</v>
      </c>
      <c r="F184" s="14">
        <v>4</v>
      </c>
      <c r="G184" s="15">
        <v>974.9924999999999</v>
      </c>
      <c r="H184" s="15">
        <v>3899.97</v>
      </c>
    </row>
    <row r="185" ht="12.9" customHeight="1">
      <c r="A185" t="s" s="10">
        <v>3176</v>
      </c>
      <c r="B185" t="s" s="11">
        <v>2935</v>
      </c>
      <c r="C185" s="12">
        <v>45301</v>
      </c>
      <c r="D185" t="s" s="13">
        <v>50</v>
      </c>
      <c r="E185" t="s" s="13">
        <v>83</v>
      </c>
      <c r="F185" s="14">
        <v>4</v>
      </c>
      <c r="G185" s="15">
        <v>0</v>
      </c>
      <c r="H185" s="15">
        <v>0</v>
      </c>
    </row>
    <row r="186" ht="12.9" customHeight="1">
      <c r="A186" t="s" s="10">
        <v>3176</v>
      </c>
      <c r="B186" t="s" s="11">
        <v>2935</v>
      </c>
      <c r="C186" s="12">
        <v>45301</v>
      </c>
      <c r="D186" t="s" s="13">
        <v>23</v>
      </c>
      <c r="E186" t="s" s="13">
        <v>3179</v>
      </c>
      <c r="F186" s="14">
        <v>4</v>
      </c>
      <c r="G186" s="15">
        <v>0</v>
      </c>
      <c r="H186" s="15">
        <v>0</v>
      </c>
    </row>
    <row r="187" ht="12.9" customHeight="1">
      <c r="A187" t="s" s="10">
        <v>3176</v>
      </c>
      <c r="B187" t="s" s="11">
        <v>2935</v>
      </c>
      <c r="C187" s="12">
        <v>45301</v>
      </c>
      <c r="D187" t="s" s="13">
        <v>15</v>
      </c>
      <c r="E187" t="s" s="13">
        <v>16</v>
      </c>
      <c r="F187" s="14">
        <v>4</v>
      </c>
      <c r="G187" s="15">
        <v>0</v>
      </c>
      <c r="H187" s="15">
        <v>0</v>
      </c>
    </row>
    <row r="188" ht="12.9" customHeight="1">
      <c r="A188" t="s" s="10">
        <v>3176</v>
      </c>
      <c r="B188" t="s" s="11">
        <v>2935</v>
      </c>
      <c r="C188" s="12">
        <v>45301</v>
      </c>
      <c r="D188" t="s" s="13">
        <v>54</v>
      </c>
      <c r="E188" t="s" s="13">
        <v>93</v>
      </c>
      <c r="F188" s="14">
        <v>4</v>
      </c>
      <c r="G188" s="15">
        <v>0</v>
      </c>
      <c r="H188" s="15">
        <v>0</v>
      </c>
    </row>
    <row r="189" ht="12.9" customHeight="1">
      <c r="A189" t="s" s="10">
        <v>3176</v>
      </c>
      <c r="B189" t="s" s="11">
        <v>2935</v>
      </c>
      <c r="C189" s="12">
        <v>45301</v>
      </c>
      <c r="D189" t="s" s="13">
        <v>359</v>
      </c>
      <c r="E189" t="s" s="13">
        <v>360</v>
      </c>
      <c r="F189" s="14">
        <v>8</v>
      </c>
      <c r="G189" s="15">
        <v>22.4925</v>
      </c>
      <c r="H189" s="15">
        <v>179.94</v>
      </c>
    </row>
    <row r="190" ht="12.9" customHeight="1">
      <c r="A190" t="s" s="10">
        <v>3176</v>
      </c>
      <c r="B190" t="s" s="11">
        <v>2935</v>
      </c>
      <c r="C190" s="12">
        <v>45301</v>
      </c>
      <c r="D190" t="s" s="13">
        <v>63</v>
      </c>
      <c r="E190" s="16"/>
      <c r="F190" s="14">
        <v>1</v>
      </c>
      <c r="G190" s="15">
        <v>59.65</v>
      </c>
      <c r="H190" s="15">
        <v>59.65</v>
      </c>
    </row>
    <row r="191" ht="12.9" customHeight="1">
      <c r="A191" t="s" s="10">
        <v>3180</v>
      </c>
      <c r="B191" t="s" s="11">
        <v>3181</v>
      </c>
      <c r="C191" s="12">
        <v>45300.9986315625</v>
      </c>
      <c r="D191" t="s" s="13">
        <v>95</v>
      </c>
      <c r="E191" t="s" s="13">
        <v>12</v>
      </c>
      <c r="F191" s="14">
        <v>1</v>
      </c>
      <c r="G191" s="15">
        <v>349.99</v>
      </c>
      <c r="H191" s="15">
        <v>349.99</v>
      </c>
    </row>
    <row r="192" ht="12.9" customHeight="1">
      <c r="A192" t="s" s="10">
        <v>3182</v>
      </c>
      <c r="B192" t="s" s="11">
        <v>2843</v>
      </c>
      <c r="C192" s="12">
        <v>45300.797798287036</v>
      </c>
      <c r="D192" t="s" s="13">
        <v>95</v>
      </c>
      <c r="E192" t="s" s="13">
        <v>12</v>
      </c>
      <c r="F192" s="14">
        <v>1</v>
      </c>
      <c r="G192" s="15">
        <v>349.99</v>
      </c>
      <c r="H192" s="15">
        <v>349.99</v>
      </c>
    </row>
    <row r="193" ht="12.9" customHeight="1">
      <c r="A193" t="s" s="10">
        <v>3183</v>
      </c>
      <c r="B193" t="s" s="11">
        <v>3184</v>
      </c>
      <c r="C193" s="12">
        <v>45300.607637534726</v>
      </c>
      <c r="D193" t="s" s="13">
        <v>19</v>
      </c>
      <c r="E193" t="s" s="13">
        <v>20</v>
      </c>
      <c r="F193" s="14">
        <v>1</v>
      </c>
      <c r="G193" s="15">
        <v>119.99</v>
      </c>
      <c r="H193" s="15">
        <v>119.99</v>
      </c>
    </row>
    <row r="194" ht="12.9" customHeight="1">
      <c r="A194" t="s" s="10">
        <v>3183</v>
      </c>
      <c r="B194" t="s" s="11">
        <v>3184</v>
      </c>
      <c r="C194" s="12">
        <v>45300.607637534726</v>
      </c>
      <c r="D194" t="s" s="13">
        <v>15</v>
      </c>
      <c r="E194" t="s" s="13">
        <v>16</v>
      </c>
      <c r="F194" s="14">
        <v>1</v>
      </c>
      <c r="G194" s="15">
        <v>9.99</v>
      </c>
      <c r="H194" s="15">
        <v>9.99</v>
      </c>
    </row>
    <row r="195" ht="12.9" customHeight="1">
      <c r="A195" t="s" s="10">
        <v>3183</v>
      </c>
      <c r="B195" t="s" s="11">
        <v>3184</v>
      </c>
      <c r="C195" s="12">
        <v>45300.607637534726</v>
      </c>
      <c r="D195" t="s" s="13">
        <v>171</v>
      </c>
      <c r="E195" t="s" s="13">
        <v>172</v>
      </c>
      <c r="F195" s="14">
        <v>1</v>
      </c>
      <c r="G195" s="15">
        <v>549.99</v>
      </c>
      <c r="H195" s="15">
        <v>549.99</v>
      </c>
    </row>
    <row r="196" ht="12.9" customHeight="1">
      <c r="A196" t="s" s="10">
        <v>3185</v>
      </c>
      <c r="B196" t="s" s="11">
        <v>1704</v>
      </c>
      <c r="C196" s="12">
        <v>45300.388380706019</v>
      </c>
      <c r="D196" t="s" s="13">
        <v>487</v>
      </c>
      <c r="E196" t="s" s="13">
        <v>488</v>
      </c>
      <c r="F196" s="14">
        <v>2</v>
      </c>
      <c r="G196" s="15">
        <v>109.99</v>
      </c>
      <c r="H196" s="15">
        <v>219.98</v>
      </c>
    </row>
    <row r="197" ht="12.9" customHeight="1">
      <c r="A197" t="s" s="10">
        <v>3185</v>
      </c>
      <c r="B197" t="s" s="11">
        <v>1704</v>
      </c>
      <c r="C197" s="12">
        <v>45300.388380706019</v>
      </c>
      <c r="D197" t="s" s="13">
        <v>462</v>
      </c>
      <c r="E197" t="s" s="13">
        <v>463</v>
      </c>
      <c r="F197" s="14">
        <v>1</v>
      </c>
      <c r="G197" s="15">
        <v>199.99</v>
      </c>
      <c r="H197" s="15">
        <v>199.99</v>
      </c>
    </row>
    <row r="198" ht="12.9" customHeight="1">
      <c r="A198" t="s" s="10">
        <v>3185</v>
      </c>
      <c r="B198" t="s" s="11">
        <v>1704</v>
      </c>
      <c r="C198" s="12">
        <v>45300.388380706019</v>
      </c>
      <c r="D198" t="s" s="13">
        <v>1875</v>
      </c>
      <c r="E198" t="s" s="13">
        <v>2272</v>
      </c>
      <c r="F198" s="14">
        <v>1</v>
      </c>
      <c r="G198" s="15">
        <v>249.99</v>
      </c>
      <c r="H198" s="15">
        <v>249.99</v>
      </c>
    </row>
    <row r="199" ht="12.9" customHeight="1">
      <c r="A199" t="s" s="10">
        <v>3186</v>
      </c>
      <c r="B199" t="s" s="11">
        <v>3187</v>
      </c>
      <c r="C199" s="12">
        <v>45300.279322604169</v>
      </c>
      <c r="D199" t="s" s="13">
        <v>39</v>
      </c>
      <c r="E199" t="s" s="13">
        <v>40</v>
      </c>
      <c r="F199" s="14">
        <v>1</v>
      </c>
      <c r="G199" s="15">
        <v>109.99</v>
      </c>
      <c r="H199" s="15">
        <v>109.99</v>
      </c>
    </row>
    <row r="200" ht="12.9" customHeight="1">
      <c r="A200" t="s" s="10">
        <v>3186</v>
      </c>
      <c r="B200" t="s" s="11">
        <v>3187</v>
      </c>
      <c r="C200" s="12">
        <v>45300.279322604169</v>
      </c>
      <c r="D200" t="s" s="13">
        <v>84</v>
      </c>
      <c r="E200" t="s" s="13">
        <v>2685</v>
      </c>
      <c r="F200" s="14">
        <v>1</v>
      </c>
      <c r="G200" s="15">
        <v>15</v>
      </c>
      <c r="H200" s="15">
        <v>15</v>
      </c>
    </row>
    <row r="201" ht="12.9" customHeight="1">
      <c r="A201" t="s" s="10">
        <v>3188</v>
      </c>
      <c r="B201" t="s" s="11">
        <v>3189</v>
      </c>
      <c r="C201" s="12">
        <v>45300.127115925927</v>
      </c>
      <c r="D201" t="s" s="13">
        <v>73</v>
      </c>
      <c r="E201" t="s" s="13">
        <v>74</v>
      </c>
      <c r="F201" s="14">
        <v>1</v>
      </c>
      <c r="G201" s="15">
        <v>399.99</v>
      </c>
      <c r="H201" s="15">
        <v>399.99</v>
      </c>
    </row>
    <row r="202" ht="12.9" customHeight="1">
      <c r="A202" t="s" s="10">
        <v>3190</v>
      </c>
      <c r="B202" t="s" s="11">
        <v>2242</v>
      </c>
      <c r="C202" s="12">
        <v>45300.124757407408</v>
      </c>
      <c r="D202" t="s" s="13">
        <v>31</v>
      </c>
      <c r="E202" t="s" s="13">
        <v>32</v>
      </c>
      <c r="F202" s="14">
        <v>2</v>
      </c>
      <c r="G202" s="15">
        <v>587.49</v>
      </c>
      <c r="H202" s="15">
        <v>1174.98</v>
      </c>
    </row>
    <row r="203" ht="12.9" customHeight="1">
      <c r="A203" t="s" s="10">
        <v>3191</v>
      </c>
      <c r="B203" t="s" s="11">
        <v>1053</v>
      </c>
      <c r="C203" s="12">
        <v>45300</v>
      </c>
      <c r="D203" t="s" s="13">
        <v>1896</v>
      </c>
      <c r="E203" t="s" s="13">
        <v>1897</v>
      </c>
      <c r="F203" s="14">
        <v>4</v>
      </c>
      <c r="G203" s="15">
        <v>48.7425</v>
      </c>
      <c r="H203" s="15">
        <v>194.97</v>
      </c>
    </row>
    <row r="204" ht="12.9" customHeight="1">
      <c r="A204" t="s" s="10">
        <v>3191</v>
      </c>
      <c r="B204" t="s" s="11">
        <v>1053</v>
      </c>
      <c r="C204" s="12">
        <v>45300</v>
      </c>
      <c r="D204" t="s" s="13">
        <v>979</v>
      </c>
      <c r="E204" t="s" s="13">
        <v>980</v>
      </c>
      <c r="F204" s="14">
        <v>8</v>
      </c>
      <c r="G204" s="15">
        <v>56.2425</v>
      </c>
      <c r="H204" s="15">
        <v>449.94</v>
      </c>
    </row>
    <row r="205" ht="12.9" customHeight="1">
      <c r="A205" t="s" s="10">
        <v>3191</v>
      </c>
      <c r="B205" t="s" s="11">
        <v>1053</v>
      </c>
      <c r="C205" s="12">
        <v>45300</v>
      </c>
      <c r="D205" t="s" s="13">
        <v>63</v>
      </c>
      <c r="E205" s="16"/>
      <c r="F205" s="14">
        <v>1</v>
      </c>
      <c r="G205" s="15">
        <v>26</v>
      </c>
      <c r="H205" s="15">
        <v>26</v>
      </c>
    </row>
    <row r="206" ht="12.9" customHeight="1">
      <c r="A206" t="s" s="10">
        <v>3192</v>
      </c>
      <c r="B206" t="s" s="11">
        <v>3193</v>
      </c>
      <c r="C206" s="12">
        <v>45299.8286855324</v>
      </c>
      <c r="D206" t="s" s="13">
        <v>50</v>
      </c>
      <c r="E206" t="s" s="13">
        <v>83</v>
      </c>
      <c r="F206" s="14">
        <v>8</v>
      </c>
      <c r="G206" s="15">
        <v>29.99</v>
      </c>
      <c r="H206" s="15">
        <v>239.92</v>
      </c>
    </row>
    <row r="207" ht="12.9" customHeight="1">
      <c r="A207" t="s" s="10">
        <v>3194</v>
      </c>
      <c r="B207" t="s" s="11">
        <v>3195</v>
      </c>
      <c r="C207" s="12">
        <v>45299.620078738422</v>
      </c>
      <c r="D207" t="s" s="13">
        <v>73</v>
      </c>
      <c r="E207" t="s" s="13">
        <v>74</v>
      </c>
      <c r="F207" s="14">
        <v>1</v>
      </c>
      <c r="G207" s="15">
        <v>399.99</v>
      </c>
      <c r="H207" s="15">
        <v>399.99</v>
      </c>
    </row>
    <row r="208" ht="12.9" customHeight="1">
      <c r="A208" t="s" s="10">
        <v>3196</v>
      </c>
      <c r="B208" t="s" s="11">
        <v>3197</v>
      </c>
      <c r="C208" s="12">
        <v>45299.617684097226</v>
      </c>
      <c r="D208" t="s" s="13">
        <v>171</v>
      </c>
      <c r="E208" t="s" s="13">
        <v>172</v>
      </c>
      <c r="F208" s="14">
        <v>1</v>
      </c>
      <c r="G208" s="15">
        <v>549.99</v>
      </c>
      <c r="H208" s="15">
        <v>549.99</v>
      </c>
    </row>
    <row r="209" ht="12.9" customHeight="1">
      <c r="A209" t="s" s="10">
        <v>3198</v>
      </c>
      <c r="B209" t="s" s="11">
        <v>3199</v>
      </c>
      <c r="C209" s="12">
        <v>45299.611817824072</v>
      </c>
      <c r="D209" t="s" s="13">
        <v>35</v>
      </c>
      <c r="E209" t="s" s="13">
        <v>36</v>
      </c>
      <c r="F209" s="14">
        <v>2</v>
      </c>
      <c r="G209" s="15">
        <v>49.99</v>
      </c>
      <c r="H209" s="15">
        <v>99.98</v>
      </c>
    </row>
    <row r="210" ht="12.9" customHeight="1">
      <c r="A210" t="s" s="10">
        <v>3200</v>
      </c>
      <c r="B210" t="s" s="11">
        <v>3201</v>
      </c>
      <c r="C210" s="12">
        <v>45299.263564097222</v>
      </c>
      <c r="D210" t="s" s="13">
        <v>95</v>
      </c>
      <c r="E210" t="s" s="13">
        <v>12</v>
      </c>
      <c r="F210" s="14">
        <v>1</v>
      </c>
      <c r="G210" s="15">
        <v>349.99</v>
      </c>
      <c r="H210" s="15">
        <v>349.99</v>
      </c>
    </row>
    <row r="211" ht="12.9" customHeight="1">
      <c r="A211" t="s" s="10">
        <v>3202</v>
      </c>
      <c r="B211" t="s" s="11">
        <v>3203</v>
      </c>
      <c r="C211" s="12">
        <v>45299.097735451389</v>
      </c>
      <c r="D211" t="s" s="13">
        <v>31</v>
      </c>
      <c r="E211" t="s" s="13">
        <v>32</v>
      </c>
      <c r="F211" s="14">
        <v>1</v>
      </c>
      <c r="G211" s="15">
        <v>599.99</v>
      </c>
      <c r="H211" s="15">
        <v>599.99</v>
      </c>
    </row>
    <row r="212" ht="12.9" customHeight="1">
      <c r="A212" t="s" s="10">
        <v>3204</v>
      </c>
      <c r="B212" t="s" s="11">
        <v>391</v>
      </c>
      <c r="C212" s="12">
        <v>45299</v>
      </c>
      <c r="D212" t="s" s="13">
        <v>904</v>
      </c>
      <c r="E212" t="s" s="13">
        <v>2963</v>
      </c>
      <c r="F212" s="14">
        <v>4</v>
      </c>
      <c r="G212" s="15">
        <v>412.4925</v>
      </c>
      <c r="H212" s="15">
        <v>1649.97</v>
      </c>
    </row>
    <row r="213" ht="12.9" customHeight="1">
      <c r="A213" t="s" s="10">
        <v>3204</v>
      </c>
      <c r="B213" t="s" s="11">
        <v>391</v>
      </c>
      <c r="C213" s="12">
        <v>45299</v>
      </c>
      <c r="D213" t="s" s="13">
        <v>2404</v>
      </c>
      <c r="E213" t="s" s="13">
        <v>2405</v>
      </c>
      <c r="F213" s="14">
        <v>4</v>
      </c>
      <c r="G213" s="15">
        <v>112.4925</v>
      </c>
      <c r="H213" s="15">
        <v>449.97</v>
      </c>
    </row>
    <row r="214" ht="12.9" customHeight="1">
      <c r="A214" t="s" s="10">
        <v>3204</v>
      </c>
      <c r="B214" t="s" s="11">
        <v>391</v>
      </c>
      <c r="C214" s="12">
        <v>45299</v>
      </c>
      <c r="D214" t="s" s="13">
        <v>63</v>
      </c>
      <c r="E214" s="16"/>
      <c r="F214" s="14">
        <v>1</v>
      </c>
      <c r="G214" s="15">
        <v>72</v>
      </c>
      <c r="H214" s="15">
        <v>72</v>
      </c>
    </row>
    <row r="215" ht="12.9" customHeight="1">
      <c r="A215" t="s" s="10">
        <v>3205</v>
      </c>
      <c r="B215" t="s" s="11">
        <v>3206</v>
      </c>
      <c r="C215" s="12">
        <v>45298.945647442131</v>
      </c>
      <c r="D215" t="s" s="13">
        <v>171</v>
      </c>
      <c r="E215" t="s" s="13">
        <v>172</v>
      </c>
      <c r="F215" s="14">
        <v>1</v>
      </c>
      <c r="G215" s="15">
        <v>549.99</v>
      </c>
      <c r="H215" s="15">
        <v>549.99</v>
      </c>
    </row>
    <row r="216" ht="12.9" customHeight="1">
      <c r="A216" t="s" s="10">
        <v>3207</v>
      </c>
      <c r="B216" t="s" s="11">
        <v>1221</v>
      </c>
      <c r="C216" s="12">
        <v>45296.6595749537</v>
      </c>
      <c r="D216" t="s" s="13">
        <v>412</v>
      </c>
      <c r="E216" t="s" s="13">
        <v>413</v>
      </c>
      <c r="F216" s="14">
        <v>4</v>
      </c>
      <c r="G216" s="15">
        <v>1.99</v>
      </c>
      <c r="H216" s="15">
        <v>7.96</v>
      </c>
    </row>
    <row r="217" ht="12.9" customHeight="1">
      <c r="A217" t="s" s="10">
        <v>3207</v>
      </c>
      <c r="B217" t="s" s="11">
        <v>1221</v>
      </c>
      <c r="C217" s="12">
        <v>45296.6595749537</v>
      </c>
      <c r="D217" t="s" s="13">
        <v>119</v>
      </c>
      <c r="E217" t="s" s="13">
        <v>120</v>
      </c>
      <c r="F217" s="14">
        <v>2</v>
      </c>
      <c r="G217" s="15">
        <v>1.99</v>
      </c>
      <c r="H217" s="15">
        <v>3.98</v>
      </c>
    </row>
    <row r="218" ht="12.9" customHeight="1">
      <c r="A218" t="s" s="10">
        <v>3208</v>
      </c>
      <c r="B218" t="s" s="11">
        <v>3209</v>
      </c>
      <c r="C218" s="12">
        <v>45295.806770462965</v>
      </c>
      <c r="D218" t="s" s="13">
        <v>19</v>
      </c>
      <c r="E218" t="s" s="13">
        <v>20</v>
      </c>
      <c r="F218" s="14">
        <v>1</v>
      </c>
      <c r="G218" s="15">
        <v>119.99</v>
      </c>
      <c r="H218" s="15">
        <v>119.99</v>
      </c>
    </row>
    <row r="219" ht="12.9" customHeight="1">
      <c r="A219" t="s" s="10">
        <v>3208</v>
      </c>
      <c r="B219" t="s" s="11">
        <v>3209</v>
      </c>
      <c r="C219" s="12">
        <v>45295.806770462965</v>
      </c>
      <c r="D219" t="s" s="13">
        <v>15</v>
      </c>
      <c r="E219" t="s" s="13">
        <v>16</v>
      </c>
      <c r="F219" s="14">
        <v>1</v>
      </c>
      <c r="G219" s="15">
        <v>9.99</v>
      </c>
      <c r="H219" s="15">
        <v>9.99</v>
      </c>
    </row>
    <row r="220" ht="12.9" customHeight="1">
      <c r="A220" t="s" s="10">
        <v>3210</v>
      </c>
      <c r="B220" t="s" s="11">
        <v>3211</v>
      </c>
      <c r="C220" s="12">
        <v>45295.639927071759</v>
      </c>
      <c r="D220" t="s" s="13">
        <v>35</v>
      </c>
      <c r="E220" t="s" s="13">
        <v>36</v>
      </c>
      <c r="F220" s="14">
        <v>2</v>
      </c>
      <c r="G220" s="15">
        <v>49.99</v>
      </c>
      <c r="H220" s="15">
        <v>99.98</v>
      </c>
    </row>
    <row r="221" ht="12.9" customHeight="1">
      <c r="A221" t="s" s="10">
        <v>3212</v>
      </c>
      <c r="B221" t="s" s="11">
        <v>3213</v>
      </c>
      <c r="C221" s="12">
        <v>45295.160214120369</v>
      </c>
      <c r="D221" t="s" s="13">
        <v>1695</v>
      </c>
      <c r="E221" t="s" s="13">
        <v>140</v>
      </c>
      <c r="F221" s="14">
        <v>1</v>
      </c>
      <c r="G221" s="15">
        <v>49.99</v>
      </c>
      <c r="H221" s="15">
        <v>49.99</v>
      </c>
    </row>
    <row r="222" ht="12.9" customHeight="1">
      <c r="A222" t="s" s="10">
        <v>3212</v>
      </c>
      <c r="B222" t="s" s="11">
        <v>3213</v>
      </c>
      <c r="C222" s="12">
        <v>45295.160214120369</v>
      </c>
      <c r="D222" t="s" s="13">
        <v>15</v>
      </c>
      <c r="E222" t="s" s="13">
        <v>16</v>
      </c>
      <c r="F222" s="14">
        <v>1</v>
      </c>
      <c r="G222" s="15">
        <v>9.99</v>
      </c>
      <c r="H222" s="15">
        <v>9.99</v>
      </c>
    </row>
    <row r="223" ht="12.9" customHeight="1">
      <c r="A223" t="s" s="10">
        <v>3214</v>
      </c>
      <c r="B223" t="s" s="11">
        <v>1586</v>
      </c>
      <c r="C223" s="12">
        <v>45295</v>
      </c>
      <c r="D223" t="s" s="13">
        <v>225</v>
      </c>
      <c r="E223" t="s" s="13">
        <v>226</v>
      </c>
      <c r="F223" s="14">
        <v>4</v>
      </c>
      <c r="G223" s="15">
        <v>374.9925</v>
      </c>
      <c r="H223" s="15">
        <v>1499.97</v>
      </c>
    </row>
    <row r="224" ht="12.9" customHeight="1">
      <c r="A224" t="s" s="10">
        <v>3214</v>
      </c>
      <c r="B224" t="s" s="11">
        <v>1586</v>
      </c>
      <c r="C224" s="12">
        <v>45295</v>
      </c>
      <c r="D224" t="s" s="13">
        <v>167</v>
      </c>
      <c r="E224" t="s" s="13">
        <v>3100</v>
      </c>
      <c r="F224" s="14">
        <v>4</v>
      </c>
      <c r="G224" s="15">
        <v>0</v>
      </c>
      <c r="H224" s="15">
        <v>0</v>
      </c>
    </row>
    <row r="225" ht="12.9" customHeight="1">
      <c r="A225" t="s" s="10">
        <v>3214</v>
      </c>
      <c r="B225" t="s" s="11">
        <v>1586</v>
      </c>
      <c r="C225" s="12">
        <v>45295</v>
      </c>
      <c r="D225" t="s" s="13">
        <v>165</v>
      </c>
      <c r="E225" t="s" s="13">
        <v>392</v>
      </c>
      <c r="F225" s="14">
        <v>4</v>
      </c>
      <c r="G225" s="15">
        <v>22.4925</v>
      </c>
      <c r="H225" s="15">
        <v>89.97</v>
      </c>
    </row>
    <row r="226" ht="12.9" customHeight="1">
      <c r="A226" t="s" s="10">
        <v>3214</v>
      </c>
      <c r="B226" t="s" s="11">
        <v>1586</v>
      </c>
      <c r="C226" s="12">
        <v>45295</v>
      </c>
      <c r="D226" t="s" s="13">
        <v>587</v>
      </c>
      <c r="E226" t="s" s="13">
        <v>588</v>
      </c>
      <c r="F226" s="14">
        <v>4</v>
      </c>
      <c r="G226" s="15">
        <v>14.9925</v>
      </c>
      <c r="H226" s="15">
        <v>59.97</v>
      </c>
    </row>
    <row r="227" ht="12.9" customHeight="1">
      <c r="A227" t="s" s="10">
        <v>3214</v>
      </c>
      <c r="B227" t="s" s="11">
        <v>1586</v>
      </c>
      <c r="C227" s="12">
        <v>45295</v>
      </c>
      <c r="D227" t="s" s="13">
        <v>106</v>
      </c>
      <c r="E227" t="s" s="13">
        <v>502</v>
      </c>
      <c r="F227" s="14">
        <v>4</v>
      </c>
      <c r="G227" s="15">
        <v>48.7425</v>
      </c>
      <c r="H227" s="15">
        <v>194.97</v>
      </c>
    </row>
    <row r="228" ht="12.9" customHeight="1">
      <c r="A228" t="s" s="10">
        <v>3214</v>
      </c>
      <c r="B228" t="s" s="11">
        <v>1586</v>
      </c>
      <c r="C228" s="12">
        <v>45295</v>
      </c>
      <c r="D228" t="s" s="13">
        <v>63</v>
      </c>
      <c r="E228" s="16"/>
      <c r="F228" s="14">
        <v>1</v>
      </c>
      <c r="G228" s="15">
        <v>36</v>
      </c>
      <c r="H228" s="15">
        <v>36</v>
      </c>
    </row>
    <row r="229" ht="12.9" customHeight="1">
      <c r="A229" t="s" s="10">
        <v>3215</v>
      </c>
      <c r="B229" t="s" s="11">
        <v>2196</v>
      </c>
      <c r="C229" s="12">
        <v>45295</v>
      </c>
      <c r="D229" t="s" s="13">
        <v>73</v>
      </c>
      <c r="E229" t="s" s="13">
        <v>74</v>
      </c>
      <c r="F229" s="14">
        <v>1</v>
      </c>
      <c r="G229" s="15">
        <v>0</v>
      </c>
      <c r="H229" s="15">
        <v>0</v>
      </c>
    </row>
    <row r="230" ht="12.9" customHeight="1">
      <c r="A230" t="s" s="10">
        <v>3215</v>
      </c>
      <c r="B230" t="s" s="11">
        <v>2196</v>
      </c>
      <c r="C230" s="12">
        <v>45295</v>
      </c>
      <c r="D230" t="s" s="13">
        <v>3216</v>
      </c>
      <c r="E230" t="s" s="13">
        <v>3217</v>
      </c>
      <c r="F230" s="14">
        <v>1</v>
      </c>
      <c r="G230" s="15">
        <v>0</v>
      </c>
      <c r="H230" s="15">
        <v>0</v>
      </c>
    </row>
    <row r="231" ht="12.9" customHeight="1">
      <c r="A231" t="s" s="10">
        <v>3215</v>
      </c>
      <c r="B231" t="s" s="11">
        <v>2196</v>
      </c>
      <c r="C231" s="12">
        <v>45295</v>
      </c>
      <c r="D231" t="s" s="13">
        <v>57</v>
      </c>
      <c r="E231" t="s" s="13">
        <v>58</v>
      </c>
      <c r="F231" s="14">
        <v>1</v>
      </c>
      <c r="G231" s="15">
        <v>0</v>
      </c>
      <c r="H231" s="15">
        <v>0</v>
      </c>
    </row>
    <row r="232" ht="12.9" customHeight="1">
      <c r="A232" t="s" s="10">
        <v>3215</v>
      </c>
      <c r="B232" t="s" s="11">
        <v>2196</v>
      </c>
      <c r="C232" s="12">
        <v>45295</v>
      </c>
      <c r="D232" t="s" s="13">
        <v>468</v>
      </c>
      <c r="E232" t="s" s="13">
        <v>469</v>
      </c>
      <c r="F232" s="14">
        <v>1</v>
      </c>
      <c r="G232" s="15">
        <v>0</v>
      </c>
      <c r="H232" s="15">
        <v>0</v>
      </c>
    </row>
    <row r="233" ht="12.9" customHeight="1">
      <c r="A233" t="s" s="10">
        <v>3215</v>
      </c>
      <c r="B233" t="s" s="11">
        <v>2196</v>
      </c>
      <c r="C233" s="12">
        <v>45295</v>
      </c>
      <c r="D233" t="s" s="13">
        <v>50</v>
      </c>
      <c r="E233" t="s" s="13">
        <v>83</v>
      </c>
      <c r="F233" s="14">
        <v>1</v>
      </c>
      <c r="G233" s="15">
        <v>0</v>
      </c>
      <c r="H233" s="15">
        <v>0</v>
      </c>
    </row>
    <row r="234" ht="12.9" customHeight="1">
      <c r="A234" t="s" s="10">
        <v>3215</v>
      </c>
      <c r="B234" t="s" s="11">
        <v>2196</v>
      </c>
      <c r="C234" s="12">
        <v>45295</v>
      </c>
      <c r="D234" t="s" s="13">
        <v>23</v>
      </c>
      <c r="E234" t="s" s="13">
        <v>24</v>
      </c>
      <c r="F234" s="14">
        <v>4</v>
      </c>
      <c r="G234" s="15">
        <v>0</v>
      </c>
      <c r="H234" s="15">
        <v>0</v>
      </c>
    </row>
    <row r="235" ht="12.9" customHeight="1">
      <c r="A235" t="s" s="10">
        <v>3215</v>
      </c>
      <c r="B235" t="s" s="11">
        <v>2196</v>
      </c>
      <c r="C235" s="12">
        <v>45295</v>
      </c>
      <c r="D235" t="s" s="13">
        <v>54</v>
      </c>
      <c r="E235" t="s" s="13">
        <v>93</v>
      </c>
      <c r="F235" s="14">
        <v>4</v>
      </c>
      <c r="G235" s="15">
        <v>0</v>
      </c>
      <c r="H235" s="15">
        <v>0</v>
      </c>
    </row>
    <row r="236" ht="12.9" customHeight="1">
      <c r="A236" t="s" s="10">
        <v>3215</v>
      </c>
      <c r="B236" t="s" s="11">
        <v>2196</v>
      </c>
      <c r="C236" s="12">
        <v>45295</v>
      </c>
      <c r="D236" t="s" s="13">
        <v>15</v>
      </c>
      <c r="E236" t="s" s="13">
        <v>16</v>
      </c>
      <c r="F236" s="14">
        <v>4</v>
      </c>
      <c r="G236" s="15">
        <v>0</v>
      </c>
      <c r="H236" s="15">
        <v>0</v>
      </c>
    </row>
    <row r="237" ht="12.9" customHeight="1">
      <c r="A237" t="s" s="10">
        <v>3218</v>
      </c>
      <c r="B237" t="s" s="11">
        <v>3219</v>
      </c>
      <c r="C237" s="12">
        <v>45294.624391331017</v>
      </c>
      <c r="D237" t="s" s="13">
        <v>89</v>
      </c>
      <c r="E237" t="s" s="13">
        <v>90</v>
      </c>
      <c r="F237" s="14">
        <v>1</v>
      </c>
      <c r="G237" s="15">
        <v>59.99</v>
      </c>
      <c r="H237" s="15">
        <v>59.99</v>
      </c>
    </row>
    <row r="238" ht="12.9" customHeight="1">
      <c r="A238" t="s" s="10">
        <v>3220</v>
      </c>
      <c r="B238" t="s" s="11">
        <v>3221</v>
      </c>
      <c r="C238" s="12">
        <v>45294.133271643521</v>
      </c>
      <c r="D238" t="s" s="13">
        <v>73</v>
      </c>
      <c r="E238" t="s" s="13">
        <v>74</v>
      </c>
      <c r="F238" s="14">
        <v>1</v>
      </c>
      <c r="G238" s="15">
        <v>399.99</v>
      </c>
      <c r="H238" s="15">
        <v>399.99</v>
      </c>
    </row>
    <row r="239" ht="12.9" customHeight="1">
      <c r="A239" t="s" s="10">
        <v>3222</v>
      </c>
      <c r="B239" t="s" s="11">
        <v>3223</v>
      </c>
      <c r="C239" s="12">
        <v>45294.016626458331</v>
      </c>
      <c r="D239" t="s" s="13">
        <v>95</v>
      </c>
      <c r="E239" t="s" s="13">
        <v>12</v>
      </c>
      <c r="F239" s="14">
        <v>1</v>
      </c>
      <c r="G239" s="15">
        <v>349.99</v>
      </c>
      <c r="H239" s="15">
        <v>349.99</v>
      </c>
    </row>
    <row r="240" ht="12.9" customHeight="1">
      <c r="A240" t="s" s="10">
        <v>3224</v>
      </c>
      <c r="B240" t="s" s="11">
        <v>1704</v>
      </c>
      <c r="C240" s="12">
        <v>45293.223210324075</v>
      </c>
      <c r="D240" t="s" s="13">
        <v>77</v>
      </c>
      <c r="E240" t="s" s="13">
        <v>78</v>
      </c>
      <c r="F240" s="14">
        <v>7</v>
      </c>
      <c r="G240" s="15">
        <v>19.99</v>
      </c>
      <c r="H240" s="15">
        <v>139.93</v>
      </c>
    </row>
    <row r="241" ht="12.9" customHeight="1">
      <c r="A241" t="s" s="10">
        <v>3224</v>
      </c>
      <c r="B241" t="s" s="11">
        <v>1704</v>
      </c>
      <c r="C241" s="12">
        <v>45293.223210324075</v>
      </c>
      <c r="D241" t="s" s="13">
        <v>123</v>
      </c>
      <c r="E241" t="s" s="13">
        <v>124</v>
      </c>
      <c r="F241" s="14">
        <v>1</v>
      </c>
      <c r="G241" s="15">
        <v>179.99</v>
      </c>
      <c r="H241" s="15">
        <v>179.99</v>
      </c>
    </row>
    <row r="242" ht="12.9" customHeight="1">
      <c r="A242" t="s" s="10">
        <v>3224</v>
      </c>
      <c r="B242" t="s" s="11">
        <v>1704</v>
      </c>
      <c r="C242" s="12">
        <v>45293.223210324075</v>
      </c>
      <c r="D242" t="s" s="13">
        <v>125</v>
      </c>
      <c r="E242" t="s" s="13">
        <v>126</v>
      </c>
      <c r="F242" s="14">
        <v>4</v>
      </c>
      <c r="G242" s="15">
        <v>64.98999999999999</v>
      </c>
      <c r="H242" s="15">
        <v>259.96</v>
      </c>
    </row>
    <row r="243" ht="12.9" customHeight="1">
      <c r="A243" t="s" s="10">
        <v>3224</v>
      </c>
      <c r="B243" t="s" s="11">
        <v>1704</v>
      </c>
      <c r="C243" s="12">
        <v>45293.223210324075</v>
      </c>
      <c r="D243" t="s" s="13">
        <v>487</v>
      </c>
      <c r="E243" t="s" s="13">
        <v>488</v>
      </c>
      <c r="F243" s="14">
        <v>2</v>
      </c>
      <c r="G243" s="15">
        <v>109.99</v>
      </c>
      <c r="H243" s="15">
        <v>219.98</v>
      </c>
    </row>
    <row r="244" ht="12.9" customHeight="1">
      <c r="A244" t="s" s="10">
        <v>3224</v>
      </c>
      <c r="B244" t="s" s="11">
        <v>1704</v>
      </c>
      <c r="C244" s="12">
        <v>45293.223210324075</v>
      </c>
      <c r="D244" t="s" s="13">
        <v>1069</v>
      </c>
      <c r="E244" t="s" s="13">
        <v>1070</v>
      </c>
      <c r="F244" s="14">
        <v>1</v>
      </c>
      <c r="G244" s="15">
        <v>99.98999999999999</v>
      </c>
      <c r="H244" s="15">
        <v>99.98999999999999</v>
      </c>
    </row>
    <row r="245" ht="12.9" customHeight="1">
      <c r="A245" t="s" s="10">
        <v>3224</v>
      </c>
      <c r="B245" t="s" s="11">
        <v>1704</v>
      </c>
      <c r="C245" s="12">
        <v>45293.223210324075</v>
      </c>
      <c r="D245" t="s" s="13">
        <v>123</v>
      </c>
      <c r="E245" t="s" s="13">
        <v>124</v>
      </c>
      <c r="F245" s="14">
        <v>1</v>
      </c>
      <c r="G245" s="15">
        <v>179.99</v>
      </c>
      <c r="H245" s="15">
        <v>179.99</v>
      </c>
    </row>
    <row r="246" ht="12.9" customHeight="1">
      <c r="A246" t="s" s="10">
        <v>3225</v>
      </c>
      <c r="B246" t="s" s="11">
        <v>3226</v>
      </c>
      <c r="C246" s="12">
        <v>45293.2203953588</v>
      </c>
      <c r="D246" t="s" s="13">
        <v>35</v>
      </c>
      <c r="E246" t="s" s="13">
        <v>36</v>
      </c>
      <c r="F246" s="14">
        <v>1</v>
      </c>
      <c r="G246" s="15">
        <v>49.99</v>
      </c>
      <c r="H246" s="15">
        <v>49.99</v>
      </c>
    </row>
    <row r="247" ht="12.9" customHeight="1">
      <c r="A247" t="s" s="10">
        <v>3225</v>
      </c>
      <c r="B247" t="s" s="11">
        <v>3226</v>
      </c>
      <c r="C247" s="12">
        <v>45293.2203953588</v>
      </c>
      <c r="D247" t="s" s="13">
        <v>1695</v>
      </c>
      <c r="E247" t="s" s="13">
        <v>140</v>
      </c>
      <c r="F247" s="14">
        <v>1</v>
      </c>
      <c r="G247" s="15">
        <v>49.99</v>
      </c>
      <c r="H247" s="15">
        <v>49.99</v>
      </c>
    </row>
    <row r="248" ht="12.9" customHeight="1">
      <c r="A248" t="s" s="10">
        <v>3225</v>
      </c>
      <c r="B248" t="s" s="11">
        <v>3226</v>
      </c>
      <c r="C248" s="12">
        <v>45293.2203953588</v>
      </c>
      <c r="D248" t="s" s="13">
        <v>15</v>
      </c>
      <c r="E248" t="s" s="13">
        <v>16</v>
      </c>
      <c r="F248" s="14">
        <v>1</v>
      </c>
      <c r="G248" s="15">
        <v>9.99</v>
      </c>
      <c r="H248" s="15">
        <v>9.99</v>
      </c>
    </row>
    <row r="249" ht="12.9" customHeight="1">
      <c r="A249" t="s" s="10">
        <v>3225</v>
      </c>
      <c r="B249" t="s" s="11">
        <v>3226</v>
      </c>
      <c r="C249" s="12">
        <v>45293.2203953588</v>
      </c>
      <c r="D249" t="s" s="13">
        <v>15</v>
      </c>
      <c r="E249" t="s" s="13">
        <v>16</v>
      </c>
      <c r="F249" s="14">
        <v>1</v>
      </c>
      <c r="G249" s="15">
        <v>9.99</v>
      </c>
      <c r="H249" s="15">
        <v>9.99</v>
      </c>
    </row>
    <row r="250" ht="12.9" customHeight="1">
      <c r="A250" t="s" s="10">
        <v>3227</v>
      </c>
      <c r="B250" t="s" s="11">
        <v>3102</v>
      </c>
      <c r="C250" s="12">
        <v>45293.102885347223</v>
      </c>
      <c r="D250" t="s" s="13">
        <v>81</v>
      </c>
      <c r="E250" t="s" s="13">
        <v>82</v>
      </c>
      <c r="F250" s="14">
        <v>8</v>
      </c>
      <c r="G250" s="15">
        <v>849.99</v>
      </c>
      <c r="H250" s="15">
        <v>6799.92</v>
      </c>
    </row>
    <row r="251" ht="12.9" customHeight="1">
      <c r="A251" t="s" s="10">
        <v>3227</v>
      </c>
      <c r="B251" t="s" s="11">
        <v>3102</v>
      </c>
      <c r="C251" s="12">
        <v>45293.102885347223</v>
      </c>
      <c r="D251" t="s" s="13">
        <v>133</v>
      </c>
      <c r="E251" t="s" s="13">
        <v>134</v>
      </c>
      <c r="F251" s="14">
        <v>8</v>
      </c>
      <c r="G251" s="15">
        <v>50</v>
      </c>
      <c r="H251" s="15">
        <v>400</v>
      </c>
    </row>
    <row r="252" ht="12.9" customHeight="1">
      <c r="A252" t="s" s="10">
        <v>3227</v>
      </c>
      <c r="B252" t="s" s="11">
        <v>3102</v>
      </c>
      <c r="C252" s="12">
        <v>45293.102885347223</v>
      </c>
      <c r="D252" t="s" s="13">
        <v>50</v>
      </c>
      <c r="E252" t="s" s="13">
        <v>83</v>
      </c>
      <c r="F252" s="14">
        <v>8</v>
      </c>
      <c r="G252" s="15">
        <v>0</v>
      </c>
      <c r="H252" s="15">
        <v>0</v>
      </c>
    </row>
    <row r="253" ht="12.9" customHeight="1">
      <c r="A253" t="s" s="10">
        <v>3227</v>
      </c>
      <c r="B253" t="s" s="11">
        <v>3102</v>
      </c>
      <c r="C253" s="12">
        <v>45293.102885347223</v>
      </c>
      <c r="D253" t="s" s="13">
        <v>84</v>
      </c>
      <c r="E253" t="s" s="13">
        <v>2685</v>
      </c>
      <c r="F253" s="14">
        <v>8</v>
      </c>
      <c r="G253" s="15">
        <v>0</v>
      </c>
      <c r="H253" s="15">
        <v>0</v>
      </c>
    </row>
    <row r="254" ht="12.9" customHeight="1">
      <c r="A254" t="s" s="10">
        <v>3227</v>
      </c>
      <c r="B254" t="s" s="11">
        <v>3102</v>
      </c>
      <c r="C254" s="12">
        <v>45293.102885347223</v>
      </c>
      <c r="D254" t="s" s="13">
        <v>95</v>
      </c>
      <c r="E254" t="s" s="13">
        <v>12</v>
      </c>
      <c r="F254" s="14">
        <v>2</v>
      </c>
      <c r="G254" s="15">
        <v>349.99</v>
      </c>
      <c r="H254" s="15">
        <v>699.98</v>
      </c>
    </row>
    <row r="255" ht="12.9" customHeight="1">
      <c r="A255" t="s" s="10">
        <v>3227</v>
      </c>
      <c r="B255" t="s" s="11">
        <v>3102</v>
      </c>
      <c r="C255" s="12">
        <v>45293.102885347223</v>
      </c>
      <c r="D255" t="s" s="13">
        <v>59</v>
      </c>
      <c r="E255" t="s" s="13">
        <v>60</v>
      </c>
      <c r="F255" s="14">
        <v>1</v>
      </c>
      <c r="G255" s="15">
        <v>1199.99</v>
      </c>
      <c r="H255" s="15">
        <v>1199.99</v>
      </c>
    </row>
    <row r="256" ht="12.9" customHeight="1">
      <c r="A256" t="s" s="10">
        <v>3228</v>
      </c>
      <c r="B256" t="s" s="11">
        <v>3229</v>
      </c>
      <c r="C256" s="12">
        <v>45292.522632638887</v>
      </c>
      <c r="D256" t="s" s="13">
        <v>11</v>
      </c>
      <c r="E256" t="s" s="13">
        <v>12</v>
      </c>
      <c r="F256" s="14">
        <v>1</v>
      </c>
      <c r="G256" s="15">
        <v>399.99</v>
      </c>
      <c r="H256" s="15">
        <v>399.99</v>
      </c>
    </row>
    <row r="257" ht="12.9" customHeight="1">
      <c r="A257" t="s" s="10">
        <v>3230</v>
      </c>
      <c r="B257" t="s" s="11">
        <v>3231</v>
      </c>
      <c r="C257" s="12">
        <v>45292.133177199074</v>
      </c>
      <c r="D257" t="s" s="13">
        <v>77</v>
      </c>
      <c r="E257" t="s" s="13">
        <v>78</v>
      </c>
      <c r="F257" s="14">
        <v>4</v>
      </c>
      <c r="G257" s="15">
        <v>19.99</v>
      </c>
      <c r="H257" s="15">
        <v>79.95999999999999</v>
      </c>
    </row>
    <row r="258" ht="12.9" customHeight="1">
      <c r="A258" t="s" s="10">
        <v>3230</v>
      </c>
      <c r="B258" t="s" s="11">
        <v>3231</v>
      </c>
      <c r="C258" s="12">
        <v>45292.133177199074</v>
      </c>
      <c r="D258" t="s" s="13">
        <v>179</v>
      </c>
      <c r="E258" t="s" s="13">
        <v>180</v>
      </c>
      <c r="F258" s="14">
        <v>4</v>
      </c>
      <c r="G258" s="15">
        <v>49.99</v>
      </c>
      <c r="H258" s="15">
        <v>199.96</v>
      </c>
    </row>
    <row r="259" ht="12.9" customHeight="1">
      <c r="A259" t="s" s="10">
        <v>3230</v>
      </c>
      <c r="B259" t="s" s="11">
        <v>3231</v>
      </c>
      <c r="C259" s="12">
        <v>45292.133177199074</v>
      </c>
      <c r="D259" t="s" s="13">
        <v>123</v>
      </c>
      <c r="E259" t="s" s="13">
        <v>124</v>
      </c>
      <c r="F259" s="14">
        <v>2</v>
      </c>
      <c r="G259" s="15">
        <v>179.99</v>
      </c>
      <c r="H259" s="15">
        <v>359.98</v>
      </c>
    </row>
    <row r="260" ht="12.9" customHeight="1">
      <c r="A260" t="s" s="10">
        <v>3230</v>
      </c>
      <c r="B260" t="s" s="11">
        <v>3231</v>
      </c>
      <c r="C260" s="12">
        <v>45292.133177199074</v>
      </c>
      <c r="D260" t="s" s="13">
        <v>299</v>
      </c>
      <c r="E260" t="s" s="13">
        <v>300</v>
      </c>
      <c r="F260" s="14">
        <v>8</v>
      </c>
      <c r="G260" s="15">
        <v>69.98999999999999</v>
      </c>
      <c r="H260" s="15">
        <v>559.92</v>
      </c>
    </row>
    <row r="261" ht="12.9" customHeight="1">
      <c r="A261" t="s" s="10">
        <v>3230</v>
      </c>
      <c r="B261" t="s" s="11">
        <v>3231</v>
      </c>
      <c r="C261" s="12">
        <v>45292.133177199074</v>
      </c>
      <c r="D261" t="s" s="13">
        <v>299</v>
      </c>
      <c r="E261" t="s" s="13">
        <v>300</v>
      </c>
      <c r="F261" s="14">
        <v>1</v>
      </c>
      <c r="G261" s="15">
        <v>69.98999999999999</v>
      </c>
      <c r="H261" s="15">
        <v>69.98999999999999</v>
      </c>
    </row>
    <row r="262" ht="12.9" customHeight="1">
      <c r="A262" t="s" s="10">
        <v>3230</v>
      </c>
      <c r="B262" t="s" s="11">
        <v>3231</v>
      </c>
      <c r="C262" s="12">
        <v>45292.133177199074</v>
      </c>
      <c r="D262" t="s" s="13">
        <v>54</v>
      </c>
      <c r="E262" t="s" s="13">
        <v>93</v>
      </c>
      <c r="F262" s="14">
        <v>9</v>
      </c>
      <c r="G262" s="15">
        <v>9.99</v>
      </c>
      <c r="H262" s="15">
        <v>89.91</v>
      </c>
    </row>
    <row r="264" ht="15.55" customHeight="1">
      <c r="I264" t="s" s="2">
        <v>3232</v>
      </c>
      <c r="J264" s="2"/>
      <c r="K264" s="2"/>
      <c r="L264" s="2"/>
      <c r="M264" s="2"/>
      <c r="N264" s="2"/>
      <c r="O264" s="2"/>
    </row>
    <row r="266" ht="13.1" customHeight="1">
      <c r="I266" t="s" s="20">
        <v>2</v>
      </c>
      <c r="J266" t="s" s="21">
        <v>1</v>
      </c>
      <c r="K266" t="s" s="21">
        <v>616</v>
      </c>
      <c r="L266" t="s" s="22">
        <v>4</v>
      </c>
      <c r="M266" t="s" s="23">
        <v>617</v>
      </c>
      <c r="N266" t="s" s="3">
        <v>618</v>
      </c>
      <c r="O266" t="s" s="3">
        <v>619</v>
      </c>
    </row>
    <row r="267" ht="15.4" customHeight="1">
      <c r="I267" t="s" s="121">
        <v>3213</v>
      </c>
      <c r="J267" s="122"/>
      <c r="K267" s="122"/>
      <c r="L267" s="123"/>
      <c r="M267" s="124">
        <v>2</v>
      </c>
      <c r="N267" s="141">
        <v>59.98</v>
      </c>
      <c r="O267" s="141">
        <v>59.98</v>
      </c>
    </row>
    <row r="268" ht="15.55" customHeight="1">
      <c r="I268" t="s" s="126">
        <v>1110</v>
      </c>
      <c r="J268" s="127"/>
      <c r="K268" s="127"/>
      <c r="L268" s="128"/>
      <c r="M268" s="129">
        <v>1</v>
      </c>
      <c r="N268" s="142">
        <v>262.5</v>
      </c>
      <c r="O268" s="142">
        <v>262.5</v>
      </c>
    </row>
    <row r="269" ht="15.55" customHeight="1">
      <c r="I269" t="s" s="126">
        <v>3140</v>
      </c>
      <c r="J269" s="127"/>
      <c r="K269" s="127"/>
      <c r="L269" s="128"/>
      <c r="M269" s="129">
        <v>1</v>
      </c>
      <c r="N269" s="142">
        <v>59.99</v>
      </c>
      <c r="O269" s="142">
        <v>59.99</v>
      </c>
    </row>
    <row r="270" ht="15.55" customHeight="1">
      <c r="I270" t="s" s="126">
        <v>2196</v>
      </c>
      <c r="J270" s="127"/>
      <c r="K270" s="127"/>
      <c r="L270" s="128"/>
      <c r="M270" s="129">
        <v>17</v>
      </c>
      <c r="N270" s="142">
        <v>0</v>
      </c>
      <c r="O270" s="142">
        <v>0</v>
      </c>
    </row>
    <row r="271" ht="15.55" customHeight="1">
      <c r="I271" t="s" s="126">
        <v>3206</v>
      </c>
      <c r="J271" s="127"/>
      <c r="K271" s="127"/>
      <c r="L271" s="128"/>
      <c r="M271" s="129">
        <v>1</v>
      </c>
      <c r="N271" s="142">
        <v>549.99</v>
      </c>
      <c r="O271" s="142">
        <v>549.99</v>
      </c>
    </row>
    <row r="272" ht="15.55" customHeight="1">
      <c r="I272" t="s" s="126">
        <v>3111</v>
      </c>
      <c r="J272" s="127"/>
      <c r="K272" s="127"/>
      <c r="L272" s="128"/>
      <c r="M272" s="129">
        <v>10</v>
      </c>
      <c r="N272" s="142">
        <v>999.98</v>
      </c>
      <c r="O272" s="142">
        <v>1999.96</v>
      </c>
    </row>
    <row r="273" ht="15.55" customHeight="1">
      <c r="I273" t="s" s="126">
        <v>3114</v>
      </c>
      <c r="J273" s="127"/>
      <c r="K273" s="127"/>
      <c r="L273" s="128"/>
      <c r="M273" s="129">
        <v>2</v>
      </c>
      <c r="N273" s="142">
        <v>59.99</v>
      </c>
      <c r="O273" s="142">
        <v>119.98</v>
      </c>
    </row>
    <row r="274" ht="15.55" customHeight="1">
      <c r="I274" t="s" s="126">
        <v>3099</v>
      </c>
      <c r="J274" s="127"/>
      <c r="K274" s="127"/>
      <c r="L274" s="128"/>
      <c r="M274" s="129">
        <v>6</v>
      </c>
      <c r="N274" s="142">
        <v>529.98</v>
      </c>
      <c r="O274" s="142">
        <v>1059.96</v>
      </c>
    </row>
    <row r="275" ht="15.55" customHeight="1">
      <c r="I275" t="s" s="126">
        <v>3152</v>
      </c>
      <c r="J275" s="127"/>
      <c r="K275" s="127"/>
      <c r="L275" s="128"/>
      <c r="M275" s="129">
        <v>2</v>
      </c>
      <c r="N275" s="142">
        <v>129.98</v>
      </c>
      <c r="O275" s="142">
        <v>129.98</v>
      </c>
    </row>
    <row r="276" ht="15.55" customHeight="1">
      <c r="I276" t="s" s="126">
        <v>3048</v>
      </c>
      <c r="J276" s="127"/>
      <c r="K276" s="127"/>
      <c r="L276" s="128"/>
      <c r="M276" s="129">
        <v>1</v>
      </c>
      <c r="N276" s="142">
        <v>399.99</v>
      </c>
      <c r="O276" s="142">
        <v>399.99</v>
      </c>
    </row>
    <row r="277" ht="15.55" customHeight="1">
      <c r="I277" t="s" s="126">
        <v>3229</v>
      </c>
      <c r="J277" s="127"/>
      <c r="K277" s="127"/>
      <c r="L277" s="128"/>
      <c r="M277" s="129">
        <v>1</v>
      </c>
      <c r="N277" s="142">
        <v>399.99</v>
      </c>
      <c r="O277" s="142">
        <v>399.99</v>
      </c>
    </row>
    <row r="278" ht="15.55" customHeight="1">
      <c r="I278" t="s" s="126">
        <v>3184</v>
      </c>
      <c r="J278" s="127"/>
      <c r="K278" s="127"/>
      <c r="L278" s="128"/>
      <c r="M278" s="129">
        <v>3</v>
      </c>
      <c r="N278" s="142">
        <v>679.97</v>
      </c>
      <c r="O278" s="142">
        <v>679.97</v>
      </c>
    </row>
    <row r="279" ht="15.55" customHeight="1">
      <c r="I279" t="s" s="126">
        <v>3181</v>
      </c>
      <c r="J279" s="127"/>
      <c r="K279" s="127"/>
      <c r="L279" s="128"/>
      <c r="M279" s="129">
        <v>1</v>
      </c>
      <c r="N279" s="142">
        <v>349.99</v>
      </c>
      <c r="O279" s="142">
        <v>349.99</v>
      </c>
    </row>
    <row r="280" ht="15.55" customHeight="1">
      <c r="I280" t="s" s="126">
        <v>2778</v>
      </c>
      <c r="J280" s="127"/>
      <c r="K280" s="127"/>
      <c r="L280" s="128"/>
      <c r="M280" s="129">
        <v>2</v>
      </c>
      <c r="N280" s="142">
        <v>0</v>
      </c>
      <c r="O280" s="142">
        <v>0</v>
      </c>
    </row>
    <row r="281" ht="15.55" customHeight="1">
      <c r="I281" t="s" s="126">
        <v>3209</v>
      </c>
      <c r="J281" s="127"/>
      <c r="K281" s="127"/>
      <c r="L281" s="128"/>
      <c r="M281" s="129">
        <v>2</v>
      </c>
      <c r="N281" s="142">
        <v>129.98</v>
      </c>
      <c r="O281" s="142">
        <v>129.98</v>
      </c>
    </row>
    <row r="282" ht="15.55" customHeight="1">
      <c r="I282" t="s" s="126">
        <v>3197</v>
      </c>
      <c r="J282" s="127"/>
      <c r="K282" s="127"/>
      <c r="L282" s="128"/>
      <c r="M282" s="129">
        <v>1</v>
      </c>
      <c r="N282" s="142">
        <v>549.99</v>
      </c>
      <c r="O282" s="142">
        <v>549.99</v>
      </c>
    </row>
    <row r="283" ht="15.55" customHeight="1">
      <c r="I283" t="s" s="126">
        <v>3121</v>
      </c>
      <c r="J283" s="127"/>
      <c r="K283" s="127"/>
      <c r="L283" s="128"/>
      <c r="M283" s="129">
        <v>3</v>
      </c>
      <c r="N283" s="142">
        <v>649.98</v>
      </c>
      <c r="O283" s="142">
        <v>699.97</v>
      </c>
    </row>
    <row r="284" ht="15.55" customHeight="1">
      <c r="I284" t="s" s="126">
        <v>3022</v>
      </c>
      <c r="J284" s="127"/>
      <c r="K284" s="127"/>
      <c r="L284" s="128"/>
      <c r="M284" s="129">
        <v>1</v>
      </c>
      <c r="N284" s="142">
        <v>7.49</v>
      </c>
      <c r="O284" s="142">
        <v>7.49</v>
      </c>
    </row>
    <row r="285" ht="15.55" customHeight="1">
      <c r="I285" t="s" s="126">
        <v>1704</v>
      </c>
      <c r="J285" s="127"/>
      <c r="K285" s="127"/>
      <c r="L285" s="128"/>
      <c r="M285" s="129">
        <v>20</v>
      </c>
      <c r="N285" s="142">
        <v>1214.91</v>
      </c>
      <c r="O285" s="142">
        <v>1749.8</v>
      </c>
    </row>
    <row r="286" ht="15.55" customHeight="1">
      <c r="I286" t="s" s="126">
        <v>3221</v>
      </c>
      <c r="J286" s="127"/>
      <c r="K286" s="127"/>
      <c r="L286" s="128"/>
      <c r="M286" s="129">
        <v>1</v>
      </c>
      <c r="N286" s="142">
        <v>399.99</v>
      </c>
      <c r="O286" s="142">
        <v>399.99</v>
      </c>
    </row>
    <row r="287" ht="15.55" customHeight="1">
      <c r="I287" t="s" s="126">
        <v>3201</v>
      </c>
      <c r="J287" s="127"/>
      <c r="K287" s="127"/>
      <c r="L287" s="128"/>
      <c r="M287" s="129">
        <v>1</v>
      </c>
      <c r="N287" s="142">
        <v>349.99</v>
      </c>
      <c r="O287" s="142">
        <v>349.99</v>
      </c>
    </row>
    <row r="288" ht="15.55" customHeight="1">
      <c r="I288" t="s" s="126">
        <v>3148</v>
      </c>
      <c r="J288" s="127"/>
      <c r="K288" s="127"/>
      <c r="L288" s="128"/>
      <c r="M288" s="129">
        <v>1</v>
      </c>
      <c r="N288" s="142">
        <v>22.99</v>
      </c>
      <c r="O288" s="142">
        <v>22.99</v>
      </c>
    </row>
    <row r="289" ht="15.55" customHeight="1">
      <c r="I289" t="s" s="126">
        <v>2874</v>
      </c>
      <c r="J289" s="127"/>
      <c r="K289" s="127"/>
      <c r="L289" s="128"/>
      <c r="M289" s="129">
        <v>25</v>
      </c>
      <c r="N289" s="142">
        <v>1329.96</v>
      </c>
      <c r="O289" s="142">
        <v>4119.87</v>
      </c>
    </row>
    <row r="290" ht="15.55" customHeight="1">
      <c r="I290" t="s" s="126">
        <v>3231</v>
      </c>
      <c r="J290" s="127"/>
      <c r="K290" s="127"/>
      <c r="L290" s="128"/>
      <c r="M290" s="129">
        <v>28</v>
      </c>
      <c r="N290" s="142">
        <v>399.94</v>
      </c>
      <c r="O290" s="142">
        <v>1359.72</v>
      </c>
    </row>
    <row r="291" ht="15.55" customHeight="1">
      <c r="I291" t="s" s="126">
        <v>3154</v>
      </c>
      <c r="J291" s="127"/>
      <c r="K291" s="127"/>
      <c r="L291" s="128"/>
      <c r="M291" s="129">
        <v>4</v>
      </c>
      <c r="N291" s="142">
        <v>59.98</v>
      </c>
      <c r="O291" s="142">
        <v>119.96</v>
      </c>
    </row>
    <row r="292" ht="15.55" customHeight="1">
      <c r="I292" t="s" s="126">
        <v>2598</v>
      </c>
      <c r="J292" s="127"/>
      <c r="K292" s="127"/>
      <c r="L292" s="128"/>
      <c r="M292" s="129">
        <v>6</v>
      </c>
      <c r="N292" s="142">
        <v>21.97</v>
      </c>
      <c r="O292" s="142">
        <v>43.94</v>
      </c>
    </row>
    <row r="293" ht="15.55" customHeight="1">
      <c r="I293" t="s" s="126">
        <v>3017</v>
      </c>
      <c r="J293" s="127"/>
      <c r="K293" s="127"/>
      <c r="L293" s="128"/>
      <c r="M293" s="129">
        <v>1</v>
      </c>
      <c r="N293" s="142">
        <v>199.99</v>
      </c>
      <c r="O293" s="142">
        <v>199.99</v>
      </c>
    </row>
    <row r="294" ht="15.55" customHeight="1">
      <c r="I294" t="s" s="126">
        <v>3187</v>
      </c>
      <c r="J294" s="127"/>
      <c r="K294" s="127"/>
      <c r="L294" s="128"/>
      <c r="M294" s="129">
        <v>2</v>
      </c>
      <c r="N294" s="142">
        <v>124.99</v>
      </c>
      <c r="O294" s="142">
        <v>124.99</v>
      </c>
    </row>
    <row r="295" ht="15.55" customHeight="1">
      <c r="I295" t="s" s="126">
        <v>3203</v>
      </c>
      <c r="J295" s="127"/>
      <c r="K295" s="127"/>
      <c r="L295" s="128"/>
      <c r="M295" s="129">
        <v>1</v>
      </c>
      <c r="N295" s="142">
        <v>599.99</v>
      </c>
      <c r="O295" s="142">
        <v>599.99</v>
      </c>
    </row>
    <row r="296" ht="15.55" customHeight="1">
      <c r="I296" t="s" s="126">
        <v>3146</v>
      </c>
      <c r="J296" s="127"/>
      <c r="K296" s="127"/>
      <c r="L296" s="128"/>
      <c r="M296" s="129">
        <v>2</v>
      </c>
      <c r="N296" s="142">
        <v>59.98</v>
      </c>
      <c r="O296" s="142">
        <v>59.98</v>
      </c>
    </row>
    <row r="297" ht="15.55" customHeight="1">
      <c r="I297" t="s" s="126">
        <v>2254</v>
      </c>
      <c r="J297" s="127"/>
      <c r="K297" s="127"/>
      <c r="L297" s="128"/>
      <c r="M297" s="129">
        <v>2</v>
      </c>
      <c r="N297" s="142">
        <v>59.99</v>
      </c>
      <c r="O297" s="142">
        <v>119.98</v>
      </c>
    </row>
    <row r="298" ht="15.55" customHeight="1">
      <c r="I298" t="s" s="126">
        <v>3029</v>
      </c>
      <c r="J298" s="127"/>
      <c r="K298" s="127"/>
      <c r="L298" s="128"/>
      <c r="M298" s="129">
        <v>4</v>
      </c>
      <c r="N298" s="142">
        <v>54.99</v>
      </c>
      <c r="O298" s="142">
        <v>219.96</v>
      </c>
    </row>
    <row r="299" ht="15.55" customHeight="1">
      <c r="I299" t="s" s="126">
        <v>391</v>
      </c>
      <c r="J299" s="127"/>
      <c r="K299" s="127"/>
      <c r="L299" s="128"/>
      <c r="M299" s="129">
        <v>9</v>
      </c>
      <c r="N299" s="142">
        <v>596.985</v>
      </c>
      <c r="O299" s="142">
        <v>2171.94</v>
      </c>
    </row>
    <row r="300" ht="15.55" customHeight="1">
      <c r="I300" t="s" s="126">
        <v>911</v>
      </c>
      <c r="J300" s="127"/>
      <c r="K300" s="127"/>
      <c r="L300" s="128"/>
      <c r="M300" s="129">
        <v>4</v>
      </c>
      <c r="N300" s="142">
        <v>499.99</v>
      </c>
      <c r="O300" s="142">
        <v>1999.96</v>
      </c>
    </row>
    <row r="301" ht="15.55" customHeight="1">
      <c r="I301" t="s" s="126">
        <v>3199</v>
      </c>
      <c r="J301" s="127"/>
      <c r="K301" s="127"/>
      <c r="L301" s="128"/>
      <c r="M301" s="129">
        <v>2</v>
      </c>
      <c r="N301" s="142">
        <v>49.99</v>
      </c>
      <c r="O301" s="142">
        <v>99.98</v>
      </c>
    </row>
    <row r="302" ht="15.55" customHeight="1">
      <c r="I302" t="s" s="126">
        <v>3050</v>
      </c>
      <c r="J302" s="127"/>
      <c r="K302" s="127"/>
      <c r="L302" s="128"/>
      <c r="M302" s="129">
        <v>1</v>
      </c>
      <c r="N302" s="142">
        <v>194.99</v>
      </c>
      <c r="O302" s="142">
        <v>194.99</v>
      </c>
    </row>
    <row r="303" ht="15.55" customHeight="1">
      <c r="I303" t="s" s="126">
        <v>3142</v>
      </c>
      <c r="J303" s="127"/>
      <c r="K303" s="127"/>
      <c r="L303" s="128"/>
      <c r="M303" s="129">
        <v>2</v>
      </c>
      <c r="N303" s="142">
        <v>49.99</v>
      </c>
      <c r="O303" s="142">
        <v>99.98</v>
      </c>
    </row>
    <row r="304" ht="15.55" customHeight="1">
      <c r="I304" t="s" s="126">
        <v>69</v>
      </c>
      <c r="J304" s="127"/>
      <c r="K304" s="127"/>
      <c r="L304" s="128"/>
      <c r="M304" s="129">
        <v>50</v>
      </c>
      <c r="N304" s="142">
        <v>0</v>
      </c>
      <c r="O304" s="142">
        <v>0</v>
      </c>
    </row>
    <row r="305" ht="15.55" customHeight="1">
      <c r="I305" t="s" s="126">
        <v>3189</v>
      </c>
      <c r="J305" s="127"/>
      <c r="K305" s="127"/>
      <c r="L305" s="128"/>
      <c r="M305" s="129">
        <v>1</v>
      </c>
      <c r="N305" s="142">
        <v>399.99</v>
      </c>
      <c r="O305" s="142">
        <v>399.99</v>
      </c>
    </row>
    <row r="306" ht="15.55" customHeight="1">
      <c r="I306" t="s" s="126">
        <v>1874</v>
      </c>
      <c r="J306" s="127"/>
      <c r="K306" s="127"/>
      <c r="L306" s="128"/>
      <c r="M306" s="129">
        <v>1</v>
      </c>
      <c r="N306" s="142">
        <v>0</v>
      </c>
      <c r="O306" s="142">
        <v>0</v>
      </c>
    </row>
    <row r="307" ht="15.55" customHeight="1">
      <c r="I307" t="s" s="126">
        <v>2895</v>
      </c>
      <c r="J307" s="127"/>
      <c r="K307" s="127"/>
      <c r="L307" s="128"/>
      <c r="M307" s="129">
        <v>4</v>
      </c>
      <c r="N307" s="142">
        <v>387.48</v>
      </c>
      <c r="O307" s="142">
        <v>774.96</v>
      </c>
    </row>
    <row r="308" ht="15.55" customHeight="1">
      <c r="I308" t="s" s="126">
        <v>3127</v>
      </c>
      <c r="J308" s="127"/>
      <c r="K308" s="127"/>
      <c r="L308" s="128"/>
      <c r="M308" s="129">
        <v>7</v>
      </c>
      <c r="N308" s="142">
        <v>79.97</v>
      </c>
      <c r="O308" s="142">
        <v>199.93</v>
      </c>
    </row>
    <row r="309" ht="15.55" customHeight="1">
      <c r="I309" t="s" s="126">
        <v>3001</v>
      </c>
      <c r="J309" s="127"/>
      <c r="K309" s="127"/>
      <c r="L309" s="128"/>
      <c r="M309" s="129">
        <v>2</v>
      </c>
      <c r="N309" s="142">
        <v>29.99</v>
      </c>
      <c r="O309" s="142">
        <v>59.98</v>
      </c>
    </row>
    <row r="310" ht="15.55" customHeight="1">
      <c r="I310" t="s" s="126">
        <v>3036</v>
      </c>
      <c r="J310" s="127"/>
      <c r="K310" s="127"/>
      <c r="L310" s="128"/>
      <c r="M310" s="129">
        <v>21</v>
      </c>
      <c r="N310" s="142">
        <v>529.98</v>
      </c>
      <c r="O310" s="142">
        <v>3709.86</v>
      </c>
    </row>
    <row r="311" ht="15.55" customHeight="1">
      <c r="I311" t="s" s="126">
        <v>1557</v>
      </c>
      <c r="J311" s="127"/>
      <c r="K311" s="127"/>
      <c r="L311" s="128"/>
      <c r="M311" s="129">
        <v>1</v>
      </c>
      <c r="N311" s="142">
        <v>9.99</v>
      </c>
      <c r="O311" s="142">
        <v>9.99</v>
      </c>
    </row>
    <row r="312" ht="15.55" customHeight="1">
      <c r="I312" t="s" s="126">
        <v>476</v>
      </c>
      <c r="J312" s="127"/>
      <c r="K312" s="127"/>
      <c r="L312" s="128"/>
      <c r="M312" s="129">
        <v>17</v>
      </c>
      <c r="N312" s="142">
        <v>9124.280000000001</v>
      </c>
      <c r="O312" s="142">
        <v>45724.28</v>
      </c>
    </row>
    <row r="313" ht="15.55" customHeight="1">
      <c r="I313" t="s" s="126">
        <v>896</v>
      </c>
      <c r="J313" s="127"/>
      <c r="K313" s="127"/>
      <c r="L313" s="128"/>
      <c r="M313" s="129">
        <v>7</v>
      </c>
      <c r="N313" s="142">
        <v>1095</v>
      </c>
      <c r="O313" s="142">
        <v>3845</v>
      </c>
    </row>
    <row r="314" ht="15.55" customHeight="1">
      <c r="I314" t="s" s="126">
        <v>2471</v>
      </c>
      <c r="J314" s="127"/>
      <c r="K314" s="127"/>
      <c r="L314" s="128"/>
      <c r="M314" s="129">
        <v>8</v>
      </c>
      <c r="N314" s="142">
        <v>189.97</v>
      </c>
      <c r="O314" s="142">
        <v>499.92</v>
      </c>
    </row>
    <row r="315" ht="15.55" customHeight="1">
      <c r="I315" t="s" s="126">
        <v>2795</v>
      </c>
      <c r="J315" s="127"/>
      <c r="K315" s="127"/>
      <c r="L315" s="128"/>
      <c r="M315" s="129">
        <v>2</v>
      </c>
      <c r="N315" s="142">
        <v>359.98</v>
      </c>
      <c r="O315" s="142">
        <v>359.98</v>
      </c>
    </row>
    <row r="316" ht="15.55" customHeight="1">
      <c r="I316" t="s" s="126">
        <v>1221</v>
      </c>
      <c r="J316" s="127"/>
      <c r="K316" s="127"/>
      <c r="L316" s="128"/>
      <c r="M316" s="129">
        <v>6</v>
      </c>
      <c r="N316" s="142">
        <v>3.98</v>
      </c>
      <c r="O316" s="142">
        <v>11.94</v>
      </c>
    </row>
    <row r="317" ht="15.55" customHeight="1">
      <c r="I317" t="s" s="126">
        <v>2694</v>
      </c>
      <c r="J317" s="127"/>
      <c r="K317" s="127"/>
      <c r="L317" s="128"/>
      <c r="M317" s="129">
        <v>9</v>
      </c>
      <c r="N317" s="142">
        <v>999.98</v>
      </c>
      <c r="O317" s="142">
        <v>1949.97</v>
      </c>
    </row>
    <row r="318" ht="15.55" customHeight="1">
      <c r="I318" t="s" s="126">
        <v>3223</v>
      </c>
      <c r="J318" s="127"/>
      <c r="K318" s="127"/>
      <c r="L318" s="128"/>
      <c r="M318" s="129">
        <v>1</v>
      </c>
      <c r="N318" s="142">
        <v>349.99</v>
      </c>
      <c r="O318" s="142">
        <v>349.99</v>
      </c>
    </row>
    <row r="319" ht="15.55" customHeight="1">
      <c r="I319" t="s" s="126">
        <v>3031</v>
      </c>
      <c r="J319" s="127"/>
      <c r="K319" s="127"/>
      <c r="L319" s="128"/>
      <c r="M319" s="129">
        <v>2</v>
      </c>
      <c r="N319" s="142">
        <v>349.99</v>
      </c>
      <c r="O319" s="142">
        <v>699.98</v>
      </c>
    </row>
    <row r="320" ht="15.55" customHeight="1">
      <c r="I320" t="s" s="126">
        <v>3070</v>
      </c>
      <c r="J320" s="127"/>
      <c r="K320" s="127"/>
      <c r="L320" s="128"/>
      <c r="M320" s="129">
        <v>2</v>
      </c>
      <c r="N320" s="142">
        <v>49.99</v>
      </c>
      <c r="O320" s="142">
        <v>99.98</v>
      </c>
    </row>
    <row r="321" ht="15.55" customHeight="1">
      <c r="I321" t="s" s="126">
        <v>3109</v>
      </c>
      <c r="J321" s="127"/>
      <c r="K321" s="127"/>
      <c r="L321" s="128"/>
      <c r="M321" s="129">
        <v>10</v>
      </c>
      <c r="N321" s="142">
        <v>999.98</v>
      </c>
      <c r="O321" s="142">
        <v>1999.96</v>
      </c>
    </row>
    <row r="322" ht="15.55" customHeight="1">
      <c r="I322" t="s" s="126">
        <v>3024</v>
      </c>
      <c r="J322" s="127"/>
      <c r="K322" s="127"/>
      <c r="L322" s="128"/>
      <c r="M322" s="129">
        <v>1</v>
      </c>
      <c r="N322" s="142">
        <v>0</v>
      </c>
      <c r="O322" s="142">
        <v>0</v>
      </c>
    </row>
    <row r="323" ht="15.55" customHeight="1">
      <c r="I323" t="s" s="126">
        <v>3067</v>
      </c>
      <c r="J323" s="127"/>
      <c r="K323" s="127"/>
      <c r="L323" s="128"/>
      <c r="M323" s="129">
        <v>2</v>
      </c>
      <c r="N323" s="142">
        <v>659.98</v>
      </c>
      <c r="O323" s="142">
        <v>659.98</v>
      </c>
    </row>
    <row r="324" ht="15.55" customHeight="1">
      <c r="I324" t="s" s="126">
        <v>3072</v>
      </c>
      <c r="J324" s="127"/>
      <c r="K324" s="127"/>
      <c r="L324" s="128"/>
      <c r="M324" s="129">
        <v>6</v>
      </c>
      <c r="N324" s="142">
        <v>219.98</v>
      </c>
      <c r="O324" s="142">
        <v>479.94</v>
      </c>
    </row>
    <row r="325" ht="15.55" customHeight="1">
      <c r="I325" t="s" s="126">
        <v>2630</v>
      </c>
      <c r="J325" s="127"/>
      <c r="K325" s="127"/>
      <c r="L325" s="128"/>
      <c r="M325" s="129">
        <v>4</v>
      </c>
      <c r="N325" s="142">
        <v>764.98</v>
      </c>
      <c r="O325" s="142">
        <v>764.98</v>
      </c>
    </row>
    <row r="326" ht="15.55" customHeight="1">
      <c r="I326" t="s" s="126">
        <v>1697</v>
      </c>
      <c r="J326" s="127"/>
      <c r="K326" s="127"/>
      <c r="L326" s="128"/>
      <c r="M326" s="129">
        <v>12</v>
      </c>
      <c r="N326" s="142">
        <v>262.4925</v>
      </c>
      <c r="O326" s="142">
        <v>3149.91</v>
      </c>
    </row>
    <row r="327" ht="15.55" customHeight="1">
      <c r="I327" t="s" s="126">
        <v>3094</v>
      </c>
      <c r="J327" s="127"/>
      <c r="K327" s="127"/>
      <c r="L327" s="128"/>
      <c r="M327" s="129">
        <v>6</v>
      </c>
      <c r="N327" s="142">
        <v>120</v>
      </c>
      <c r="O327" s="142">
        <v>440</v>
      </c>
    </row>
    <row r="328" ht="15.55" customHeight="1">
      <c r="I328" t="s" s="126">
        <v>2242</v>
      </c>
      <c r="J328" s="127"/>
      <c r="K328" s="127"/>
      <c r="L328" s="128"/>
      <c r="M328" s="129">
        <v>2</v>
      </c>
      <c r="N328" s="142">
        <v>587.49</v>
      </c>
      <c r="O328" s="142">
        <v>1174.98</v>
      </c>
    </row>
    <row r="329" ht="15.55" customHeight="1">
      <c r="I329" t="s" s="126">
        <v>3211</v>
      </c>
      <c r="J329" s="127"/>
      <c r="K329" s="127"/>
      <c r="L329" s="128"/>
      <c r="M329" s="129">
        <v>2</v>
      </c>
      <c r="N329" s="142">
        <v>49.99</v>
      </c>
      <c r="O329" s="142">
        <v>99.98</v>
      </c>
    </row>
    <row r="330" ht="15.55" customHeight="1">
      <c r="I330" t="s" s="126">
        <v>353</v>
      </c>
      <c r="J330" s="127"/>
      <c r="K330" s="127"/>
      <c r="L330" s="128"/>
      <c r="M330" s="129">
        <v>61</v>
      </c>
      <c r="N330" s="142">
        <v>1507.274</v>
      </c>
      <c r="O330" s="142">
        <v>6808.13</v>
      </c>
    </row>
    <row r="331" ht="15.55" customHeight="1">
      <c r="I331" t="s" s="126">
        <v>3132</v>
      </c>
      <c r="J331" s="127"/>
      <c r="K331" s="127"/>
      <c r="L331" s="128"/>
      <c r="M331" s="129">
        <v>1</v>
      </c>
      <c r="N331" s="142">
        <v>249.99</v>
      </c>
      <c r="O331" s="142">
        <v>249.99</v>
      </c>
    </row>
    <row r="332" ht="15.55" customHeight="1">
      <c r="I332" t="s" s="126">
        <v>3195</v>
      </c>
      <c r="J332" s="127"/>
      <c r="K332" s="127"/>
      <c r="L332" s="128"/>
      <c r="M332" s="129">
        <v>1</v>
      </c>
      <c r="N332" s="142">
        <v>399.99</v>
      </c>
      <c r="O332" s="142">
        <v>399.99</v>
      </c>
    </row>
    <row r="333" ht="15.55" customHeight="1">
      <c r="I333" t="s" s="126">
        <v>2843</v>
      </c>
      <c r="J333" s="127"/>
      <c r="K333" s="127"/>
      <c r="L333" s="128"/>
      <c r="M333" s="129">
        <v>1</v>
      </c>
      <c r="N333" s="142">
        <v>349.99</v>
      </c>
      <c r="O333" s="142">
        <v>349.99</v>
      </c>
    </row>
    <row r="334" ht="15.55" customHeight="1">
      <c r="I334" t="s" s="126">
        <v>2761</v>
      </c>
      <c r="J334" s="127"/>
      <c r="K334" s="127"/>
      <c r="L334" s="128"/>
      <c r="M334" s="129">
        <v>15</v>
      </c>
      <c r="N334" s="142">
        <v>259.94</v>
      </c>
      <c r="O334" s="142">
        <v>679.85</v>
      </c>
    </row>
    <row r="335" ht="15.55" customHeight="1">
      <c r="I335" t="s" s="126">
        <v>1586</v>
      </c>
      <c r="J335" s="127"/>
      <c r="K335" s="127"/>
      <c r="L335" s="128"/>
      <c r="M335" s="129">
        <v>21</v>
      </c>
      <c r="N335" s="142">
        <v>497.22</v>
      </c>
      <c r="O335" s="142">
        <v>1880.88</v>
      </c>
    </row>
    <row r="336" ht="15.55" customHeight="1">
      <c r="I336" t="s" s="126">
        <v>3060</v>
      </c>
      <c r="J336" s="127"/>
      <c r="K336" s="127"/>
      <c r="L336" s="128"/>
      <c r="M336" s="129">
        <v>1</v>
      </c>
      <c r="N336" s="142">
        <v>349.99</v>
      </c>
      <c r="O336" s="142">
        <v>349.99</v>
      </c>
    </row>
    <row r="337" ht="15.55" customHeight="1">
      <c r="I337" t="s" s="126">
        <v>3159</v>
      </c>
      <c r="J337" s="127"/>
      <c r="K337" s="127"/>
      <c r="L337" s="128"/>
      <c r="M337" s="129">
        <v>1</v>
      </c>
      <c r="N337" s="142">
        <v>0</v>
      </c>
      <c r="O337" s="142">
        <v>0</v>
      </c>
    </row>
    <row r="338" ht="15.55" customHeight="1">
      <c r="I338" t="s" s="126">
        <v>3089</v>
      </c>
      <c r="J338" s="127"/>
      <c r="K338" s="127"/>
      <c r="L338" s="128"/>
      <c r="M338" s="129">
        <v>1</v>
      </c>
      <c r="N338" s="142">
        <v>399.99</v>
      </c>
      <c r="O338" s="142">
        <v>399.99</v>
      </c>
    </row>
    <row r="339" ht="15.55" customHeight="1">
      <c r="I339" t="s" s="126">
        <v>3157</v>
      </c>
      <c r="J339" s="127"/>
      <c r="K339" s="127"/>
      <c r="L339" s="128"/>
      <c r="M339" s="129">
        <v>1</v>
      </c>
      <c r="N339" s="142">
        <v>59.99</v>
      </c>
      <c r="O339" s="142">
        <v>59.99</v>
      </c>
    </row>
    <row r="340" ht="15.55" customHeight="1">
      <c r="I340" t="s" s="126">
        <v>3174</v>
      </c>
      <c r="J340" s="127"/>
      <c r="K340" s="127"/>
      <c r="L340" s="128"/>
      <c r="M340" s="129">
        <v>2</v>
      </c>
      <c r="N340" s="142">
        <v>399.99</v>
      </c>
      <c r="O340" s="142">
        <v>799.98</v>
      </c>
    </row>
    <row r="341" ht="15.55" customHeight="1">
      <c r="I341" t="s" s="126">
        <v>1524</v>
      </c>
      <c r="J341" s="127"/>
      <c r="K341" s="127"/>
      <c r="L341" s="128"/>
      <c r="M341" s="129">
        <v>1</v>
      </c>
      <c r="N341" s="142">
        <v>574.99</v>
      </c>
      <c r="O341" s="142">
        <v>574.99</v>
      </c>
    </row>
    <row r="342" ht="15.55" customHeight="1">
      <c r="I342" t="s" s="126">
        <v>2935</v>
      </c>
      <c r="J342" s="127"/>
      <c r="K342" s="127"/>
      <c r="L342" s="128"/>
      <c r="M342" s="129">
        <v>29</v>
      </c>
      <c r="N342" s="142">
        <v>1057.135</v>
      </c>
      <c r="O342" s="142">
        <v>4139.56</v>
      </c>
    </row>
    <row r="343" ht="15.55" customHeight="1">
      <c r="I343" t="s" s="126">
        <v>3193</v>
      </c>
      <c r="J343" s="127"/>
      <c r="K343" s="127"/>
      <c r="L343" s="128"/>
      <c r="M343" s="129">
        <v>8</v>
      </c>
      <c r="N343" s="142">
        <v>29.99</v>
      </c>
      <c r="O343" s="142">
        <v>239.92</v>
      </c>
    </row>
    <row r="344" ht="15.55" customHeight="1">
      <c r="I344" t="s" s="126">
        <v>1410</v>
      </c>
      <c r="J344" s="127"/>
      <c r="K344" s="127"/>
      <c r="L344" s="128"/>
      <c r="M344" s="129">
        <v>1</v>
      </c>
      <c r="N344" s="142">
        <v>0</v>
      </c>
      <c r="O344" s="142">
        <v>0</v>
      </c>
    </row>
    <row r="345" ht="15.55" customHeight="1">
      <c r="I345" t="s" s="126">
        <v>3097</v>
      </c>
      <c r="J345" s="127"/>
      <c r="K345" s="127"/>
      <c r="L345" s="128"/>
      <c r="M345" s="129">
        <v>4</v>
      </c>
      <c r="N345" s="142">
        <v>49.98</v>
      </c>
      <c r="O345" s="142">
        <v>99.95999999999999</v>
      </c>
    </row>
    <row r="346" ht="15.55" customHeight="1">
      <c r="I346" t="s" s="126">
        <v>2838</v>
      </c>
      <c r="J346" s="127"/>
      <c r="K346" s="127"/>
      <c r="L346" s="128"/>
      <c r="M346" s="129">
        <v>5</v>
      </c>
      <c r="N346" s="142">
        <v>139.97</v>
      </c>
      <c r="O346" s="142">
        <v>269.95</v>
      </c>
    </row>
    <row r="347" ht="15.55" customHeight="1">
      <c r="I347" t="s" s="126">
        <v>3040</v>
      </c>
      <c r="J347" s="127"/>
      <c r="K347" s="127"/>
      <c r="L347" s="128"/>
      <c r="M347" s="129">
        <v>1</v>
      </c>
      <c r="N347" s="142">
        <v>0</v>
      </c>
      <c r="O347" s="142">
        <v>0</v>
      </c>
    </row>
    <row r="348" ht="15.55" customHeight="1">
      <c r="I348" t="s" s="126">
        <v>473</v>
      </c>
      <c r="J348" s="127"/>
      <c r="K348" s="127"/>
      <c r="L348" s="128"/>
      <c r="M348" s="129">
        <v>5</v>
      </c>
      <c r="N348" s="142">
        <v>502.0825</v>
      </c>
      <c r="O348" s="142">
        <v>802.075</v>
      </c>
    </row>
    <row r="349" ht="15.55" customHeight="1">
      <c r="I349" t="s" s="126">
        <v>42</v>
      </c>
      <c r="J349" s="127"/>
      <c r="K349" s="127"/>
      <c r="L349" s="128"/>
      <c r="M349" s="129">
        <v>372</v>
      </c>
      <c r="N349" s="142">
        <v>2369.135</v>
      </c>
      <c r="O349" s="142">
        <v>13986.455</v>
      </c>
    </row>
    <row r="350" ht="15.55" customHeight="1">
      <c r="I350" t="s" s="126">
        <v>3102</v>
      </c>
      <c r="J350" s="127"/>
      <c r="K350" s="127"/>
      <c r="L350" s="128"/>
      <c r="M350" s="129">
        <v>38</v>
      </c>
      <c r="N350" s="142">
        <v>3296.93</v>
      </c>
      <c r="O350" s="142">
        <v>9946.85</v>
      </c>
    </row>
    <row r="351" ht="15.55" customHeight="1">
      <c r="I351" t="s" s="126">
        <v>3082</v>
      </c>
      <c r="J351" s="127"/>
      <c r="K351" s="127"/>
      <c r="L351" s="128"/>
      <c r="M351" s="129">
        <v>3</v>
      </c>
      <c r="N351" s="142">
        <v>24.89</v>
      </c>
      <c r="O351" s="142">
        <v>24.89</v>
      </c>
    </row>
    <row r="352" ht="15.55" customHeight="1">
      <c r="I352" t="s" s="126">
        <v>3226</v>
      </c>
      <c r="J352" s="127"/>
      <c r="K352" s="127"/>
      <c r="L352" s="128"/>
      <c r="M352" s="129">
        <v>4</v>
      </c>
      <c r="N352" s="142">
        <v>119.96</v>
      </c>
      <c r="O352" s="142">
        <v>119.96</v>
      </c>
    </row>
    <row r="353" ht="15.55" customHeight="1">
      <c r="I353" t="s" s="126">
        <v>3038</v>
      </c>
      <c r="J353" s="127"/>
      <c r="K353" s="127"/>
      <c r="L353" s="128"/>
      <c r="M353" s="129">
        <v>2</v>
      </c>
      <c r="N353" s="142">
        <v>199.99</v>
      </c>
      <c r="O353" s="142">
        <v>399.98</v>
      </c>
    </row>
    <row r="354" ht="15.55" customHeight="1">
      <c r="I354" t="s" s="126">
        <v>3219</v>
      </c>
      <c r="J354" s="127"/>
      <c r="K354" s="127"/>
      <c r="L354" s="128"/>
      <c r="M354" s="129">
        <v>1</v>
      </c>
      <c r="N354" s="142">
        <v>59.99</v>
      </c>
      <c r="O354" s="142">
        <v>59.99</v>
      </c>
    </row>
    <row r="355" ht="15.55" customHeight="1">
      <c r="I355" t="s" s="126">
        <v>3019</v>
      </c>
      <c r="J355" s="127"/>
      <c r="K355" s="127"/>
      <c r="L355" s="128"/>
      <c r="M355" s="129">
        <v>1</v>
      </c>
      <c r="N355" s="142">
        <v>399.99</v>
      </c>
      <c r="O355" s="142">
        <v>399.99</v>
      </c>
    </row>
    <row r="356" ht="15.55" customHeight="1">
      <c r="I356" t="s" s="126">
        <v>1053</v>
      </c>
      <c r="J356" s="127"/>
      <c r="K356" s="127"/>
      <c r="L356" s="128"/>
      <c r="M356" s="129">
        <v>13</v>
      </c>
      <c r="N356" s="142">
        <v>130.985</v>
      </c>
      <c r="O356" s="142">
        <v>670.91</v>
      </c>
    </row>
    <row r="357" ht="15.55" customHeight="1">
      <c r="I357" t="s" s="126">
        <v>3058</v>
      </c>
      <c r="J357" s="127"/>
      <c r="K357" s="127"/>
      <c r="L357" s="128"/>
      <c r="M357" s="129">
        <v>1</v>
      </c>
      <c r="N357" s="142">
        <v>549.99</v>
      </c>
      <c r="O357" s="142">
        <v>549.99</v>
      </c>
    </row>
    <row r="358" ht="15.55" customHeight="1">
      <c r="I358" t="s" s="126">
        <v>1669</v>
      </c>
      <c r="J358" s="127"/>
      <c r="K358" s="127"/>
      <c r="L358" s="128"/>
      <c r="M358" s="129">
        <v>2</v>
      </c>
      <c r="N358" s="142">
        <v>0</v>
      </c>
      <c r="O358" s="142">
        <v>0</v>
      </c>
    </row>
    <row r="359" ht="15.55" customHeight="1">
      <c r="I359" t="s" s="126">
        <v>3125</v>
      </c>
      <c r="J359" s="127"/>
      <c r="K359" s="127"/>
      <c r="L359" s="128"/>
      <c r="M359" s="129">
        <v>18</v>
      </c>
      <c r="N359" s="142">
        <v>1149.97</v>
      </c>
      <c r="O359" s="142">
        <v>3929.9</v>
      </c>
    </row>
    <row r="360" ht="15.55" customHeight="1">
      <c r="I360" t="s" s="126">
        <v>3137</v>
      </c>
      <c r="J360" s="127"/>
      <c r="K360" s="127"/>
      <c r="L360" s="128"/>
      <c r="M360" s="129">
        <v>20</v>
      </c>
      <c r="N360" s="142">
        <v>49.99</v>
      </c>
      <c r="O360" s="142">
        <v>999.8</v>
      </c>
    </row>
    <row r="361" ht="15.55" customHeight="1">
      <c r="I361" t="s" s="126">
        <v>122</v>
      </c>
      <c r="J361" s="127"/>
      <c r="K361" s="127"/>
      <c r="L361" s="128"/>
      <c r="M361" s="129">
        <v>9</v>
      </c>
      <c r="N361" s="142">
        <v>158.54</v>
      </c>
      <c r="O361" s="142">
        <v>158.54</v>
      </c>
    </row>
    <row r="362" ht="15.55" customHeight="1">
      <c r="I362" t="s" s="126">
        <v>3150</v>
      </c>
      <c r="J362" s="127"/>
      <c r="K362" s="127"/>
      <c r="L362" s="128"/>
      <c r="M362" s="129">
        <v>4</v>
      </c>
      <c r="N362" s="142">
        <v>49.99</v>
      </c>
      <c r="O362" s="142">
        <v>199.96</v>
      </c>
    </row>
    <row r="363" ht="15.55" customHeight="1">
      <c r="I363" t="s" s="126">
        <v>2931</v>
      </c>
      <c r="J363" s="127"/>
      <c r="K363" s="127"/>
      <c r="L363" s="128"/>
      <c r="M363" s="129">
        <v>2</v>
      </c>
      <c r="N363" s="142">
        <v>916.5425</v>
      </c>
      <c r="O363" s="142">
        <v>916.5425</v>
      </c>
    </row>
    <row r="364" ht="15.55" customHeight="1">
      <c r="I364" t="s" s="126">
        <v>3034</v>
      </c>
      <c r="J364" s="127"/>
      <c r="K364" s="127"/>
      <c r="L364" s="128"/>
      <c r="M364" s="129">
        <v>4</v>
      </c>
      <c r="N364" s="142">
        <v>71.95999999999999</v>
      </c>
      <c r="O364" s="142">
        <v>71.95999999999999</v>
      </c>
    </row>
    <row r="365" ht="15.55" customHeight="1">
      <c r="I365" t="s" s="126">
        <v>3054</v>
      </c>
      <c r="J365" s="127"/>
      <c r="K365" s="127"/>
      <c r="L365" s="128"/>
      <c r="M365" s="129">
        <v>9</v>
      </c>
      <c r="N365" s="142">
        <v>699.4924999999999</v>
      </c>
      <c r="O365" s="142">
        <v>2611.97</v>
      </c>
    </row>
    <row r="366" ht="15.55" customHeight="1">
      <c r="I366" t="s" s="126">
        <v>2297</v>
      </c>
      <c r="J366" s="127"/>
      <c r="K366" s="127"/>
      <c r="L366" s="128"/>
      <c r="M366" s="129">
        <v>4</v>
      </c>
      <c r="N366" s="142">
        <v>109.98</v>
      </c>
      <c r="O366" s="142">
        <v>229.96</v>
      </c>
    </row>
    <row r="367" ht="15.55" customHeight="1">
      <c r="I367" t="s" s="126">
        <v>3106</v>
      </c>
      <c r="J367" s="127"/>
      <c r="K367" s="127"/>
      <c r="L367" s="128"/>
      <c r="M367" s="129">
        <v>2</v>
      </c>
      <c r="N367" s="142">
        <v>59.98</v>
      </c>
      <c r="O367" s="142">
        <v>59.98</v>
      </c>
    </row>
    <row r="368" ht="15.55" customHeight="1">
      <c r="I368" t="s" s="126">
        <v>3074</v>
      </c>
      <c r="J368" s="127"/>
      <c r="K368" s="127"/>
      <c r="L368" s="128"/>
      <c r="M368" s="129">
        <v>1</v>
      </c>
      <c r="N368" s="142">
        <v>349.99</v>
      </c>
      <c r="O368" s="142">
        <v>349.99</v>
      </c>
    </row>
    <row r="369" ht="15.55" customHeight="1">
      <c r="I369" t="s" s="126">
        <v>2916</v>
      </c>
      <c r="J369" s="127"/>
      <c r="K369" s="127"/>
      <c r="L369" s="128"/>
      <c r="M369" s="129">
        <v>16</v>
      </c>
      <c r="N369" s="142">
        <v>279.97</v>
      </c>
      <c r="O369" s="142">
        <v>1119.88</v>
      </c>
    </row>
    <row r="370" ht="15.4" customHeight="1">
      <c r="I370" t="s" s="132">
        <v>3164</v>
      </c>
      <c r="J370" s="133"/>
      <c r="K370" s="133"/>
      <c r="L370" s="134"/>
      <c r="M370" s="135">
        <v>1</v>
      </c>
      <c r="N370" s="143">
        <v>0</v>
      </c>
      <c r="O370" s="143">
        <v>0</v>
      </c>
    </row>
    <row r="371" ht="13.1" customHeight="1">
      <c r="I371" t="s" s="33">
        <v>620</v>
      </c>
      <c r="M371" s="34">
        <v>1046</v>
      </c>
      <c r="N371" s="35">
        <v>47613.604</v>
      </c>
      <c r="O371" s="35">
        <v>143895.9225</v>
      </c>
    </row>
    <row r="373" ht="15.55" customHeight="1">
      <c r="P373" t="s" s="2">
        <v>3233</v>
      </c>
      <c r="Q373" s="2"/>
    </row>
    <row r="374" ht="13.1" customHeight="1">
      <c r="P374" t="s" s="37">
        <v>4</v>
      </c>
      <c r="Q374" t="s" s="145">
        <v>617</v>
      </c>
    </row>
    <row r="375" ht="13.1" customHeight="1">
      <c r="P375" t="s" s="38">
        <v>3041</v>
      </c>
      <c r="Q375" s="34">
        <v>1</v>
      </c>
    </row>
    <row r="376" ht="12.9" customHeight="1">
      <c r="P376" t="s" s="40">
        <v>2512</v>
      </c>
      <c r="Q376" s="146">
        <v>20</v>
      </c>
    </row>
    <row r="377" ht="12.9" customHeight="1">
      <c r="P377" t="s" s="40">
        <v>47</v>
      </c>
      <c r="Q377" s="146">
        <v>4</v>
      </c>
    </row>
    <row r="378" ht="12.9" customHeight="1">
      <c r="P378" t="s" s="40">
        <v>63</v>
      </c>
      <c r="Q378" s="146">
        <v>12</v>
      </c>
    </row>
    <row r="379" ht="12.9" customHeight="1">
      <c r="P379" t="s" s="40">
        <v>3103</v>
      </c>
      <c r="Q379" s="146">
        <v>1</v>
      </c>
    </row>
    <row r="380" ht="12.9" customHeight="1">
      <c r="P380" t="s" s="40">
        <v>254</v>
      </c>
      <c r="Q380" s="146">
        <v>12</v>
      </c>
    </row>
    <row r="381" ht="12.9" customHeight="1">
      <c r="P381" t="s" s="40">
        <v>3104</v>
      </c>
      <c r="Q381" s="146">
        <v>1</v>
      </c>
    </row>
    <row r="382" ht="12.9" customHeight="1">
      <c r="P382" t="s" s="40">
        <v>691</v>
      </c>
      <c r="Q382" s="146">
        <v>2</v>
      </c>
    </row>
    <row r="383" ht="12.9" customHeight="1">
      <c r="P383" t="s" s="40">
        <v>409</v>
      </c>
      <c r="Q383" s="146">
        <v>1</v>
      </c>
    </row>
    <row r="384" ht="12.9" customHeight="1">
      <c r="P384" t="s" s="40">
        <v>248</v>
      </c>
      <c r="Q384" s="146">
        <v>12</v>
      </c>
    </row>
    <row r="385" ht="12.9" customHeight="1">
      <c r="P385" t="s" s="40">
        <v>250</v>
      </c>
      <c r="Q385" s="146">
        <v>3</v>
      </c>
    </row>
    <row r="386" ht="12.9" customHeight="1">
      <c r="P386" t="s" s="40">
        <v>3063</v>
      </c>
      <c r="Q386" s="146">
        <v>10</v>
      </c>
    </row>
    <row r="387" ht="12.9" customHeight="1">
      <c r="P387" t="s" s="40">
        <v>402</v>
      </c>
      <c r="Q387" s="146">
        <v>3</v>
      </c>
    </row>
    <row r="388" ht="12.9" customHeight="1">
      <c r="P388" t="s" s="40">
        <v>3052</v>
      </c>
      <c r="Q388" s="146">
        <v>1</v>
      </c>
    </row>
    <row r="389" ht="12.9" customHeight="1">
      <c r="P389" t="s" s="40">
        <v>764</v>
      </c>
      <c r="Q389" s="146">
        <v>2</v>
      </c>
    </row>
    <row r="390" ht="12.9" customHeight="1">
      <c r="P390" t="s" s="40">
        <v>207</v>
      </c>
      <c r="Q390" s="146">
        <v>1</v>
      </c>
    </row>
    <row r="391" ht="12.9" customHeight="1">
      <c r="P391" t="s" s="40">
        <v>315</v>
      </c>
      <c r="Q391" s="146">
        <v>300</v>
      </c>
    </row>
    <row r="392" ht="12.9" customHeight="1">
      <c r="P392" t="s" s="40">
        <v>15</v>
      </c>
      <c r="Q392" s="146">
        <v>50</v>
      </c>
    </row>
    <row r="393" ht="12.9" customHeight="1">
      <c r="P393" t="s" s="40">
        <v>73</v>
      </c>
      <c r="Q393" s="146">
        <v>10</v>
      </c>
    </row>
    <row r="394" ht="12.9" customHeight="1">
      <c r="P394" t="s" s="40">
        <v>3216</v>
      </c>
      <c r="Q394" s="146">
        <v>1</v>
      </c>
    </row>
    <row r="395" ht="12.9" customHeight="1">
      <c r="P395" t="s" s="40">
        <v>59</v>
      </c>
      <c r="Q395" s="146">
        <v>2</v>
      </c>
    </row>
    <row r="396" ht="12.9" customHeight="1">
      <c r="P396" t="s" s="40">
        <v>493</v>
      </c>
      <c r="Q396" s="146">
        <v>2</v>
      </c>
    </row>
    <row r="397" ht="12.9" customHeight="1">
      <c r="P397" t="s" s="40">
        <v>491</v>
      </c>
      <c r="Q397" s="146">
        <v>6</v>
      </c>
    </row>
    <row r="398" ht="12.9" customHeight="1">
      <c r="P398" t="s" s="40">
        <v>489</v>
      </c>
      <c r="Q398" s="146">
        <v>2</v>
      </c>
    </row>
    <row r="399" ht="12.9" customHeight="1">
      <c r="P399" t="s" s="40">
        <v>468</v>
      </c>
      <c r="Q399" s="146">
        <v>3</v>
      </c>
    </row>
    <row r="400" ht="12.9" customHeight="1">
      <c r="P400" t="s" s="40">
        <v>48</v>
      </c>
      <c r="Q400" s="146">
        <v>12</v>
      </c>
    </row>
    <row r="401" ht="12.9" customHeight="1">
      <c r="P401" t="s" s="40">
        <v>3177</v>
      </c>
      <c r="Q401" s="146">
        <v>4</v>
      </c>
    </row>
    <row r="402" ht="12.9" customHeight="1">
      <c r="P402" t="s" s="40">
        <v>979</v>
      </c>
      <c r="Q402" s="146">
        <v>8</v>
      </c>
    </row>
    <row r="403" ht="12.9" customHeight="1">
      <c r="P403" t="s" s="40">
        <v>1896</v>
      </c>
      <c r="Q403" s="146">
        <v>4</v>
      </c>
    </row>
    <row r="404" ht="12.9" customHeight="1">
      <c r="P404" t="s" s="40">
        <v>977</v>
      </c>
      <c r="Q404" s="146">
        <v>4</v>
      </c>
    </row>
    <row r="405" ht="12.9" customHeight="1">
      <c r="P405" t="s" s="40">
        <v>50</v>
      </c>
      <c r="Q405" s="146">
        <v>53</v>
      </c>
    </row>
    <row r="406" ht="12.9" customHeight="1">
      <c r="P406" t="s" s="40">
        <v>722</v>
      </c>
      <c r="Q406" s="146">
        <v>10</v>
      </c>
    </row>
    <row r="407" ht="12.9" customHeight="1">
      <c r="P407" t="s" s="40">
        <v>81</v>
      </c>
      <c r="Q407" s="146">
        <v>18</v>
      </c>
    </row>
    <row r="408" ht="12.9" customHeight="1">
      <c r="P408" t="s" s="40">
        <v>31</v>
      </c>
      <c r="Q408" s="146">
        <v>6</v>
      </c>
    </row>
    <row r="409" ht="12.9" customHeight="1">
      <c r="P409" t="s" s="40">
        <v>11</v>
      </c>
      <c r="Q409" s="146">
        <v>3</v>
      </c>
    </row>
    <row r="410" ht="12.9" customHeight="1">
      <c r="P410" t="s" s="40">
        <v>171</v>
      </c>
      <c r="Q410" s="146">
        <v>4</v>
      </c>
    </row>
    <row r="411" ht="12.9" customHeight="1">
      <c r="P411" t="s" s="40">
        <v>95</v>
      </c>
      <c r="Q411" s="146">
        <v>25</v>
      </c>
    </row>
    <row r="412" ht="12.9" customHeight="1">
      <c r="P412" t="s" s="40">
        <v>3078</v>
      </c>
      <c r="Q412" s="146">
        <v>1</v>
      </c>
    </row>
    <row r="413" ht="12.9" customHeight="1">
      <c r="P413" t="s" s="40">
        <v>146</v>
      </c>
      <c r="Q413" s="146">
        <v>1</v>
      </c>
    </row>
    <row r="414" ht="12.9" customHeight="1">
      <c r="P414" t="s" s="40">
        <v>77</v>
      </c>
      <c r="Q414" s="146">
        <v>17</v>
      </c>
    </row>
    <row r="415" ht="12.9" customHeight="1">
      <c r="P415" t="s" s="40">
        <v>607</v>
      </c>
      <c r="Q415" s="146">
        <v>24</v>
      </c>
    </row>
    <row r="416" ht="12.9" customHeight="1">
      <c r="P416" t="s" s="40">
        <v>359</v>
      </c>
      <c r="Q416" s="146">
        <v>12</v>
      </c>
    </row>
    <row r="417" ht="12.9" customHeight="1">
      <c r="P417" t="s" s="40">
        <v>52</v>
      </c>
      <c r="Q417" s="146">
        <v>12</v>
      </c>
    </row>
    <row r="418" ht="12.9" customHeight="1">
      <c r="P418" t="s" s="40">
        <v>106</v>
      </c>
      <c r="Q418" s="146">
        <v>4</v>
      </c>
    </row>
    <row r="419" ht="12.9" customHeight="1">
      <c r="P419" t="s" s="40">
        <v>89</v>
      </c>
      <c r="Q419" s="146">
        <v>16</v>
      </c>
    </row>
    <row r="420" ht="12.9" customHeight="1">
      <c r="P420" t="s" s="40">
        <v>35</v>
      </c>
      <c r="Q420" s="146">
        <v>16</v>
      </c>
    </row>
    <row r="421" ht="12.9" customHeight="1">
      <c r="P421" t="s" s="40">
        <v>602</v>
      </c>
      <c r="Q421" s="146">
        <v>4</v>
      </c>
    </row>
    <row r="422" ht="12.9" customHeight="1">
      <c r="P422" t="s" s="40">
        <v>470</v>
      </c>
      <c r="Q422" s="146">
        <v>7</v>
      </c>
    </row>
    <row r="423" ht="12.9" customHeight="1">
      <c r="P423" t="s" s="40">
        <v>3133</v>
      </c>
      <c r="Q423" s="146">
        <v>1</v>
      </c>
    </row>
    <row r="424" ht="12.9" customHeight="1">
      <c r="P424" t="s" s="40">
        <v>1875</v>
      </c>
      <c r="Q424" s="146">
        <v>3</v>
      </c>
    </row>
    <row r="425" ht="12.9" customHeight="1">
      <c r="P425" t="s" s="40">
        <v>133</v>
      </c>
      <c r="Q425" s="146">
        <v>13</v>
      </c>
    </row>
    <row r="426" ht="12.9" customHeight="1">
      <c r="P426" t="s" s="40">
        <v>462</v>
      </c>
      <c r="Q426" s="146">
        <v>1</v>
      </c>
    </row>
    <row r="427" ht="12.9" customHeight="1">
      <c r="P427" t="s" s="40">
        <v>23</v>
      </c>
      <c r="Q427" s="146">
        <v>22</v>
      </c>
    </row>
    <row r="428" ht="12.9" customHeight="1">
      <c r="P428" t="s" s="40">
        <v>354</v>
      </c>
      <c r="Q428" s="146">
        <v>4</v>
      </c>
    </row>
    <row r="429" ht="12.9" customHeight="1">
      <c r="P429" t="s" s="40">
        <v>39</v>
      </c>
      <c r="Q429" s="146">
        <v>1</v>
      </c>
    </row>
    <row r="430" ht="12.9" customHeight="1">
      <c r="P430" t="s" s="40">
        <v>487</v>
      </c>
      <c r="Q430" s="146">
        <v>4</v>
      </c>
    </row>
    <row r="431" ht="12.9" customHeight="1">
      <c r="P431" t="s" s="40">
        <v>1069</v>
      </c>
      <c r="Q431" s="146">
        <v>1</v>
      </c>
    </row>
    <row r="432" ht="12.9" customHeight="1">
      <c r="P432" t="s" s="40">
        <v>299</v>
      </c>
      <c r="Q432" s="146">
        <v>9</v>
      </c>
    </row>
    <row r="433" ht="12.9" customHeight="1">
      <c r="P433" t="s" s="40">
        <v>125</v>
      </c>
      <c r="Q433" s="146">
        <v>4</v>
      </c>
    </row>
    <row r="434" ht="12.9" customHeight="1">
      <c r="P434" t="s" s="40">
        <v>585</v>
      </c>
      <c r="Q434" s="146">
        <v>4</v>
      </c>
    </row>
    <row r="435" ht="12.9" customHeight="1">
      <c r="P435" t="s" s="40">
        <v>225</v>
      </c>
      <c r="Q435" s="146">
        <v>18</v>
      </c>
    </row>
    <row r="436" ht="12.9" customHeight="1">
      <c r="P436" t="s" s="40">
        <v>345</v>
      </c>
      <c r="Q436" s="146">
        <v>1</v>
      </c>
    </row>
    <row r="437" ht="12.9" customHeight="1">
      <c r="P437" t="s" s="40">
        <v>587</v>
      </c>
      <c r="Q437" s="146">
        <v>4</v>
      </c>
    </row>
    <row r="438" ht="12.9" customHeight="1">
      <c r="P438" t="s" s="40">
        <v>589</v>
      </c>
      <c r="Q438" s="146">
        <v>1</v>
      </c>
    </row>
    <row r="439" ht="12.9" customHeight="1">
      <c r="P439" t="s" s="40">
        <v>119</v>
      </c>
      <c r="Q439" s="146">
        <v>11</v>
      </c>
    </row>
    <row r="440" ht="12.9" customHeight="1">
      <c r="P440" t="s" s="40">
        <v>412</v>
      </c>
      <c r="Q440" s="146">
        <v>14</v>
      </c>
    </row>
    <row r="441" ht="12.9" customHeight="1">
      <c r="P441" t="s" s="40">
        <v>179</v>
      </c>
      <c r="Q441" s="146">
        <v>11</v>
      </c>
    </row>
    <row r="442" ht="12.9" customHeight="1">
      <c r="P442" t="s" s="40">
        <v>84</v>
      </c>
      <c r="Q442" s="146">
        <v>25</v>
      </c>
    </row>
    <row r="443" ht="12.9" customHeight="1">
      <c r="P443" t="s" s="40">
        <v>57</v>
      </c>
      <c r="Q443" s="146">
        <v>1</v>
      </c>
    </row>
    <row r="444" ht="12.9" customHeight="1">
      <c r="P444" t="s" s="40">
        <v>1695</v>
      </c>
      <c r="Q444" s="146">
        <v>15</v>
      </c>
    </row>
    <row r="445" ht="12.9" customHeight="1">
      <c r="P445" t="s" s="40">
        <v>54</v>
      </c>
      <c r="Q445" s="146">
        <v>30</v>
      </c>
    </row>
    <row r="446" ht="12.9" customHeight="1">
      <c r="P446" t="s" s="40">
        <v>341</v>
      </c>
      <c r="Q446" s="146">
        <v>2</v>
      </c>
    </row>
    <row r="447" ht="12.9" customHeight="1">
      <c r="P447" t="s" s="40">
        <v>167</v>
      </c>
      <c r="Q447" s="146">
        <v>6</v>
      </c>
    </row>
    <row r="448" ht="12.9" customHeight="1">
      <c r="P448" t="s" s="40">
        <v>227</v>
      </c>
      <c r="Q448" s="146">
        <v>14</v>
      </c>
    </row>
    <row r="449" ht="12.9" customHeight="1">
      <c r="P449" t="s" s="40">
        <v>2787</v>
      </c>
      <c r="Q449" s="146">
        <v>1</v>
      </c>
    </row>
    <row r="450" ht="12.9" customHeight="1">
      <c r="P450" t="s" s="40">
        <v>317</v>
      </c>
      <c r="Q450" s="146">
        <v>20</v>
      </c>
    </row>
    <row r="451" ht="12.9" customHeight="1">
      <c r="P451" t="s" s="40">
        <v>19</v>
      </c>
      <c r="Q451" s="146">
        <v>23</v>
      </c>
    </row>
    <row r="452" ht="12.9" customHeight="1">
      <c r="P452" t="s" s="40">
        <v>165</v>
      </c>
      <c r="Q452" s="146">
        <v>9</v>
      </c>
    </row>
    <row r="453" ht="12.9" customHeight="1">
      <c r="P453" t="s" s="40">
        <v>123</v>
      </c>
      <c r="Q453" s="146">
        <v>4</v>
      </c>
    </row>
    <row r="454" ht="12.9" customHeight="1">
      <c r="P454" t="s" s="40">
        <v>1202</v>
      </c>
      <c r="Q454" s="146">
        <v>5</v>
      </c>
    </row>
    <row r="455" ht="12.9" customHeight="1">
      <c r="P455" t="s" s="40">
        <v>906</v>
      </c>
      <c r="Q455" s="146">
        <v>1</v>
      </c>
    </row>
    <row r="456" ht="12.9" customHeight="1">
      <c r="P456" t="s" s="40">
        <v>3118</v>
      </c>
      <c r="Q456" s="146">
        <v>6</v>
      </c>
    </row>
    <row r="457" ht="12.9" customHeight="1">
      <c r="P457" t="s" s="40">
        <v>3168</v>
      </c>
      <c r="Q457" s="146">
        <v>1</v>
      </c>
    </row>
    <row r="458" ht="12.9" customHeight="1">
      <c r="P458" t="s" s="40">
        <v>2404</v>
      </c>
      <c r="Q458" s="146">
        <v>4</v>
      </c>
    </row>
    <row r="459" ht="12.9" customHeight="1">
      <c r="P459" t="s" s="40">
        <v>904</v>
      </c>
      <c r="Q459" s="146">
        <v>4</v>
      </c>
    </row>
    <row r="460" ht="12.9" customHeight="1">
      <c r="P460" t="s" s="40">
        <v>1891</v>
      </c>
      <c r="Q460" s="146">
        <v>20</v>
      </c>
    </row>
    <row r="461" ht="13.1" customHeight="1">
      <c r="P461" t="s" s="42">
        <v>1206</v>
      </c>
      <c r="Q461" s="147">
        <v>1</v>
      </c>
    </row>
    <row r="462" ht="13.1" customHeight="1">
      <c r="P462" t="s" s="44">
        <v>620</v>
      </c>
      <c r="Q462" s="34">
        <v>1046</v>
      </c>
    </row>
    <row r="464" ht="15.55" customHeight="1">
      <c r="R464" t="s" s="2">
        <v>3234</v>
      </c>
      <c r="S464" s="2"/>
    </row>
    <row r="465" ht="13.1" customHeight="1">
      <c r="R465" t="s" s="37">
        <v>4</v>
      </c>
      <c r="S465" t="s" s="145">
        <v>619</v>
      </c>
    </row>
    <row r="466" ht="13.1" customHeight="1">
      <c r="R466" t="s" s="38">
        <v>3041</v>
      </c>
      <c r="S466" s="104">
        <v>0</v>
      </c>
    </row>
    <row r="467" ht="12.9" customHeight="1">
      <c r="R467" t="s" s="40">
        <v>2512</v>
      </c>
      <c r="S467" s="149">
        <v>0</v>
      </c>
    </row>
    <row r="468" ht="12.9" customHeight="1">
      <c r="R468" t="s" s="40">
        <v>47</v>
      </c>
      <c r="S468" s="150">
        <v>598.5</v>
      </c>
    </row>
    <row r="469" ht="12.9" customHeight="1">
      <c r="R469" t="s" s="40">
        <v>63</v>
      </c>
      <c r="S469" s="150">
        <v>1856.21</v>
      </c>
    </row>
    <row r="470" ht="12.9" customHeight="1">
      <c r="R470" t="s" s="40">
        <v>3103</v>
      </c>
      <c r="S470" s="150">
        <v>640.33</v>
      </c>
    </row>
    <row r="471" ht="12.9" customHeight="1">
      <c r="R471" t="s" s="40">
        <v>254</v>
      </c>
      <c r="S471" s="150">
        <v>189</v>
      </c>
    </row>
    <row r="472" ht="12.9" customHeight="1">
      <c r="R472" t="s" s="40">
        <v>3104</v>
      </c>
      <c r="S472" s="150">
        <v>64</v>
      </c>
    </row>
    <row r="473" ht="12.9" customHeight="1">
      <c r="R473" t="s" s="40">
        <v>691</v>
      </c>
      <c r="S473" s="150">
        <v>669.98</v>
      </c>
    </row>
    <row r="474" ht="12.9" customHeight="1">
      <c r="R474" t="s" s="40">
        <v>409</v>
      </c>
      <c r="S474" s="150">
        <v>100</v>
      </c>
    </row>
    <row r="475" ht="12.9" customHeight="1">
      <c r="R475" t="s" s="40">
        <v>248</v>
      </c>
      <c r="S475" s="150">
        <v>42250</v>
      </c>
    </row>
    <row r="476" ht="12.9" customHeight="1">
      <c r="R476" t="s" s="40">
        <v>250</v>
      </c>
      <c r="S476" s="150">
        <v>2400</v>
      </c>
    </row>
    <row r="477" ht="12.9" customHeight="1">
      <c r="R477" t="s" s="40">
        <v>3063</v>
      </c>
      <c r="S477" s="149">
        <v>0</v>
      </c>
    </row>
    <row r="478" ht="12.9" customHeight="1">
      <c r="R478" t="s" s="40">
        <v>402</v>
      </c>
      <c r="S478" s="149">
        <v>0</v>
      </c>
    </row>
    <row r="479" ht="12.9" customHeight="1">
      <c r="R479" t="s" s="40">
        <v>3052</v>
      </c>
      <c r="S479" s="150">
        <v>218.88</v>
      </c>
    </row>
    <row r="480" ht="12.9" customHeight="1">
      <c r="R480" t="s" s="40">
        <v>764</v>
      </c>
      <c r="S480" s="149">
        <v>0</v>
      </c>
    </row>
    <row r="481" ht="12.9" customHeight="1">
      <c r="R481" t="s" s="40">
        <v>207</v>
      </c>
      <c r="S481" s="149">
        <v>0</v>
      </c>
    </row>
    <row r="482" ht="12.9" customHeight="1">
      <c r="R482" t="s" s="40">
        <v>315</v>
      </c>
      <c r="S482" s="149">
        <v>0</v>
      </c>
    </row>
    <row r="483" ht="12.9" customHeight="1">
      <c r="R483" t="s" s="40">
        <v>15</v>
      </c>
      <c r="S483" s="150">
        <v>359.64</v>
      </c>
    </row>
    <row r="484" ht="12.9" customHeight="1">
      <c r="R484" t="s" s="40">
        <v>73</v>
      </c>
      <c r="S484" s="150">
        <v>3399.915</v>
      </c>
    </row>
    <row r="485" ht="12.9" customHeight="1">
      <c r="R485" t="s" s="40">
        <v>3216</v>
      </c>
      <c r="S485" s="149">
        <v>0</v>
      </c>
    </row>
    <row r="486" ht="12.9" customHeight="1">
      <c r="R486" t="s" s="40">
        <v>59</v>
      </c>
      <c r="S486" s="150">
        <v>2099.9825</v>
      </c>
    </row>
    <row r="487" ht="12.9" customHeight="1">
      <c r="R487" t="s" s="40">
        <v>493</v>
      </c>
      <c r="S487" s="149">
        <v>0</v>
      </c>
    </row>
    <row r="488" ht="12.9" customHeight="1">
      <c r="R488" t="s" s="40">
        <v>491</v>
      </c>
      <c r="S488" s="149">
        <v>0</v>
      </c>
    </row>
    <row r="489" ht="12.9" customHeight="1">
      <c r="R489" t="s" s="40">
        <v>489</v>
      </c>
      <c r="S489" s="150">
        <v>2399.985</v>
      </c>
    </row>
    <row r="490" ht="12.9" customHeight="1">
      <c r="R490" t="s" s="40">
        <v>468</v>
      </c>
      <c r="S490" s="149">
        <v>0</v>
      </c>
    </row>
    <row r="491" ht="12.9" customHeight="1">
      <c r="R491" t="s" s="40">
        <v>48</v>
      </c>
      <c r="S491" s="150">
        <v>10800</v>
      </c>
    </row>
    <row r="492" ht="12.9" customHeight="1">
      <c r="R492" t="s" s="40">
        <v>3177</v>
      </c>
      <c r="S492" s="150">
        <v>3899.97</v>
      </c>
    </row>
    <row r="493" ht="12.9" customHeight="1">
      <c r="R493" t="s" s="40">
        <v>979</v>
      </c>
      <c r="S493" s="150">
        <v>449.94</v>
      </c>
    </row>
    <row r="494" ht="12.9" customHeight="1">
      <c r="R494" t="s" s="40">
        <v>1896</v>
      </c>
      <c r="S494" s="150">
        <v>194.97</v>
      </c>
    </row>
    <row r="495" ht="12.9" customHeight="1">
      <c r="R495" t="s" s="40">
        <v>977</v>
      </c>
      <c r="S495" s="150">
        <v>219.96</v>
      </c>
    </row>
    <row r="496" ht="12.9" customHeight="1">
      <c r="R496" t="s" s="40">
        <v>50</v>
      </c>
      <c r="S496" s="150">
        <v>239.92</v>
      </c>
    </row>
    <row r="497" ht="12.9" customHeight="1">
      <c r="R497" t="s" s="40">
        <v>722</v>
      </c>
      <c r="S497" s="150">
        <v>8177.906</v>
      </c>
    </row>
    <row r="498" ht="12.9" customHeight="1">
      <c r="R498" t="s" s="40">
        <v>81</v>
      </c>
      <c r="S498" s="150">
        <v>14449.83</v>
      </c>
    </row>
    <row r="499" ht="12.9" customHeight="1">
      <c r="R499" t="s" s="40">
        <v>31</v>
      </c>
      <c r="S499" s="150">
        <v>3549.94</v>
      </c>
    </row>
    <row r="500" ht="12.9" customHeight="1">
      <c r="R500" t="s" s="40">
        <v>11</v>
      </c>
      <c r="S500" s="150">
        <v>1199.97</v>
      </c>
    </row>
    <row r="501" ht="12.9" customHeight="1">
      <c r="R501" t="s" s="40">
        <v>171</v>
      </c>
      <c r="S501" s="150">
        <v>2199.96</v>
      </c>
    </row>
    <row r="502" ht="12.9" customHeight="1">
      <c r="R502" t="s" s="40">
        <v>95</v>
      </c>
      <c r="S502" s="150">
        <v>7687.28</v>
      </c>
    </row>
    <row r="503" ht="12.9" customHeight="1">
      <c r="R503" t="s" s="40">
        <v>3078</v>
      </c>
      <c r="S503" s="150">
        <v>262.5</v>
      </c>
    </row>
    <row r="504" ht="12.9" customHeight="1">
      <c r="R504" t="s" s="40">
        <v>146</v>
      </c>
      <c r="S504" s="150">
        <v>19.99</v>
      </c>
    </row>
    <row r="505" ht="12.9" customHeight="1">
      <c r="R505" t="s" s="40">
        <v>77</v>
      </c>
      <c r="S505" s="150">
        <v>339.83</v>
      </c>
    </row>
    <row r="506" ht="12.9" customHeight="1">
      <c r="R506" t="s" s="40">
        <v>607</v>
      </c>
      <c r="S506" s="150">
        <v>539.8200000000001</v>
      </c>
    </row>
    <row r="507" ht="12.9" customHeight="1">
      <c r="R507" t="s" s="40">
        <v>359</v>
      </c>
      <c r="S507" s="150">
        <v>299.9</v>
      </c>
    </row>
    <row r="508" ht="12.9" customHeight="1">
      <c r="R508" t="s" s="40">
        <v>52</v>
      </c>
      <c r="S508" s="149">
        <v>0</v>
      </c>
    </row>
    <row r="509" ht="12.9" customHeight="1">
      <c r="R509" t="s" s="40">
        <v>106</v>
      </c>
      <c r="S509" s="150">
        <v>194.97</v>
      </c>
    </row>
    <row r="510" ht="12.9" customHeight="1">
      <c r="R510" t="s" s="40">
        <v>89</v>
      </c>
      <c r="S510" s="150">
        <v>959.84</v>
      </c>
    </row>
    <row r="511" ht="12.9" customHeight="1">
      <c r="R511" t="s" s="40">
        <v>35</v>
      </c>
      <c r="S511" s="150">
        <v>787.34</v>
      </c>
    </row>
    <row r="512" ht="12.9" customHeight="1">
      <c r="R512" t="s" s="40">
        <v>602</v>
      </c>
      <c r="S512" s="150">
        <v>1199.96</v>
      </c>
    </row>
    <row r="513" ht="12.9" customHeight="1">
      <c r="R513" t="s" s="40">
        <v>470</v>
      </c>
      <c r="S513" s="150">
        <v>849.99</v>
      </c>
    </row>
    <row r="514" ht="12.9" customHeight="1">
      <c r="R514" t="s" s="40">
        <v>3133</v>
      </c>
      <c r="S514" s="150">
        <v>249.99</v>
      </c>
    </row>
    <row r="515" ht="12.9" customHeight="1">
      <c r="R515" t="s" s="40">
        <v>1875</v>
      </c>
      <c r="S515" s="150">
        <v>699.972</v>
      </c>
    </row>
    <row r="516" ht="12.9" customHeight="1">
      <c r="R516" t="s" s="40">
        <v>133</v>
      </c>
      <c r="S516" s="150">
        <v>1399.95</v>
      </c>
    </row>
    <row r="517" ht="12.9" customHeight="1">
      <c r="R517" t="s" s="40">
        <v>462</v>
      </c>
      <c r="S517" s="150">
        <v>199.99</v>
      </c>
    </row>
    <row r="518" ht="12.9" customHeight="1">
      <c r="R518" t="s" s="40">
        <v>23</v>
      </c>
      <c r="S518" s="150">
        <v>599.96</v>
      </c>
    </row>
    <row r="519" ht="12.9" customHeight="1">
      <c r="R519" t="s" s="40">
        <v>354</v>
      </c>
      <c r="S519" s="150">
        <v>539.9640000000001</v>
      </c>
    </row>
    <row r="520" ht="12.9" customHeight="1">
      <c r="R520" t="s" s="40">
        <v>39</v>
      </c>
      <c r="S520" s="150">
        <v>109.99</v>
      </c>
    </row>
    <row r="521" ht="12.9" customHeight="1">
      <c r="R521" t="s" s="40">
        <v>487</v>
      </c>
      <c r="S521" s="150">
        <v>439.96</v>
      </c>
    </row>
    <row r="522" ht="12.9" customHeight="1">
      <c r="R522" t="s" s="40">
        <v>1069</v>
      </c>
      <c r="S522" s="150">
        <v>99.98999999999999</v>
      </c>
    </row>
    <row r="523" ht="12.9" customHeight="1">
      <c r="R523" t="s" s="40">
        <v>299</v>
      </c>
      <c r="S523" s="150">
        <v>629.91</v>
      </c>
    </row>
    <row r="524" ht="12.9" customHeight="1">
      <c r="R524" t="s" s="40">
        <v>125</v>
      </c>
      <c r="S524" s="150">
        <v>259.96</v>
      </c>
    </row>
    <row r="525" ht="12.9" customHeight="1">
      <c r="R525" t="s" s="40">
        <v>585</v>
      </c>
      <c r="S525" s="150">
        <v>1999.96</v>
      </c>
    </row>
    <row r="526" ht="12.9" customHeight="1">
      <c r="R526" t="s" s="40">
        <v>225</v>
      </c>
      <c r="S526" s="150">
        <v>8499.83</v>
      </c>
    </row>
    <row r="527" ht="12.9" customHeight="1">
      <c r="R527" t="s" s="40">
        <v>345</v>
      </c>
      <c r="S527" s="150">
        <v>194.99</v>
      </c>
    </row>
    <row r="528" ht="12.9" customHeight="1">
      <c r="R528" t="s" s="40">
        <v>587</v>
      </c>
      <c r="S528" s="150">
        <v>59.97</v>
      </c>
    </row>
    <row r="529" ht="12.9" customHeight="1">
      <c r="R529" t="s" s="40">
        <v>589</v>
      </c>
      <c r="S529" s="150">
        <v>7.49</v>
      </c>
    </row>
    <row r="530" ht="12.9" customHeight="1">
      <c r="R530" t="s" s="40">
        <v>119</v>
      </c>
      <c r="S530" s="150">
        <v>5.97</v>
      </c>
    </row>
    <row r="531" ht="12.9" customHeight="1">
      <c r="R531" t="s" s="40">
        <v>412</v>
      </c>
      <c r="S531" s="150">
        <v>11.94</v>
      </c>
    </row>
    <row r="532" ht="12.9" customHeight="1">
      <c r="R532" t="s" s="40">
        <v>179</v>
      </c>
      <c r="S532" s="150">
        <v>549.89</v>
      </c>
    </row>
    <row r="533" ht="12.9" customHeight="1">
      <c r="R533" t="s" s="40">
        <v>84</v>
      </c>
      <c r="S533" s="150">
        <v>90</v>
      </c>
    </row>
    <row r="534" ht="12.9" customHeight="1">
      <c r="R534" t="s" s="40">
        <v>57</v>
      </c>
      <c r="S534" s="149">
        <v>0</v>
      </c>
    </row>
    <row r="535" ht="12.9" customHeight="1">
      <c r="R535" t="s" s="40">
        <v>1695</v>
      </c>
      <c r="S535" s="150">
        <v>749.85</v>
      </c>
    </row>
    <row r="536" ht="12.9" customHeight="1">
      <c r="R536" t="s" s="40">
        <v>54</v>
      </c>
      <c r="S536" s="150">
        <v>159.84</v>
      </c>
    </row>
    <row r="537" ht="12.9" customHeight="1">
      <c r="R537" t="s" s="40">
        <v>341</v>
      </c>
      <c r="S537" s="150">
        <v>59.98</v>
      </c>
    </row>
    <row r="538" ht="12.9" customHeight="1">
      <c r="R538" t="s" s="40">
        <v>167</v>
      </c>
      <c r="S538" s="149">
        <v>0</v>
      </c>
    </row>
    <row r="539" ht="12.9" customHeight="1">
      <c r="R539" t="s" s="40">
        <v>227</v>
      </c>
      <c r="S539" s="150">
        <v>209.93</v>
      </c>
    </row>
    <row r="540" ht="12.9" customHeight="1">
      <c r="R540" t="s" s="40">
        <v>2787</v>
      </c>
      <c r="S540" s="150">
        <v>22.99</v>
      </c>
    </row>
    <row r="541" ht="12.9" customHeight="1">
      <c r="R541" t="s" s="40">
        <v>317</v>
      </c>
      <c r="S541" s="150">
        <v>999.8</v>
      </c>
    </row>
    <row r="542" ht="12.9" customHeight="1">
      <c r="R542" t="s" s="40">
        <v>19</v>
      </c>
      <c r="S542" s="150">
        <v>2663.778</v>
      </c>
    </row>
    <row r="543" ht="12.9" customHeight="1">
      <c r="R543" t="s" s="40">
        <v>165</v>
      </c>
      <c r="S543" s="150">
        <v>89.97</v>
      </c>
    </row>
    <row r="544" ht="12.9" customHeight="1">
      <c r="R544" t="s" s="40">
        <v>123</v>
      </c>
      <c r="S544" s="150">
        <v>719.96</v>
      </c>
    </row>
    <row r="545" ht="12.9" customHeight="1">
      <c r="R545" t="s" s="40">
        <v>1202</v>
      </c>
      <c r="S545" s="150">
        <v>400</v>
      </c>
    </row>
    <row r="546" ht="12.9" customHeight="1">
      <c r="R546" t="s" s="40">
        <v>906</v>
      </c>
      <c r="S546" s="149">
        <v>0</v>
      </c>
    </row>
    <row r="547" ht="12.9" customHeight="1">
      <c r="R547" t="s" s="40">
        <v>3118</v>
      </c>
      <c r="S547" s="150">
        <v>3300</v>
      </c>
    </row>
    <row r="548" ht="12.9" customHeight="1">
      <c r="R548" t="s" s="40">
        <v>3168</v>
      </c>
      <c r="S548" s="149">
        <v>0</v>
      </c>
    </row>
    <row r="549" ht="12.9" customHeight="1">
      <c r="R549" t="s" s="40">
        <v>2404</v>
      </c>
      <c r="S549" s="150">
        <v>449.97</v>
      </c>
    </row>
    <row r="550" ht="12.9" customHeight="1">
      <c r="R550" t="s" s="40">
        <v>904</v>
      </c>
      <c r="S550" s="150">
        <v>1649.97</v>
      </c>
    </row>
    <row r="551" ht="12.9" customHeight="1">
      <c r="R551" t="s" s="40">
        <v>1891</v>
      </c>
      <c r="S551" s="149">
        <v>0</v>
      </c>
    </row>
    <row r="552" ht="13.1" customHeight="1">
      <c r="R552" t="s" s="42">
        <v>1206</v>
      </c>
      <c r="S552" s="151">
        <v>0</v>
      </c>
    </row>
    <row r="553" ht="13.1" customHeight="1">
      <c r="R553" t="s" s="44">
        <v>620</v>
      </c>
      <c r="S553" s="50">
        <v>143895.9225</v>
      </c>
    </row>
  </sheetData>
  <mergeCells count="4">
    <mergeCell ref="A1:H1"/>
    <mergeCell ref="I264:O264"/>
    <mergeCell ref="P373:Q373"/>
    <mergeCell ref="R464:S464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1"/>
  </sheetPr>
  <dimension ref="A2:O11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7.8125" style="152" customWidth="1"/>
    <col min="2" max="15" width="16.3516" style="152" customWidth="1"/>
    <col min="16" max="16384" width="16.3516" style="152" customWidth="1"/>
  </cols>
  <sheetData>
    <row r="1" ht="15.55" customHeight="1">
      <c r="A1" t="s" s="2">
        <v>3235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5.1" customHeight="1">
      <c r="A2" t="s" s="153">
        <v>3236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155">
        <v>3237</v>
      </c>
      <c r="O2" s="156"/>
    </row>
    <row r="3" ht="15.1" customHeight="1">
      <c r="A3" t="s" s="157">
        <v>3238</v>
      </c>
      <c r="B3" s="158">
        <f>GETPIVOTDATA("Sum of Order Quantity",'January 2024'!P374,"Line Item Name","CC-AC-CCL")</f>
        <v>23</v>
      </c>
      <c r="C3" s="159">
        <f>GETPIVOTDATA("Sum of Order Quantity",'February 2024'!P465,"Line Item Name","CC-AC-CCL")</f>
        <v>35</v>
      </c>
      <c r="D3" s="159">
        <f>GETPIVOTDATA("Sum of Order Quantity",'March 2024'!P474,"Line Item Name","CC-AC-CCL")</f>
        <v>47</v>
      </c>
      <c r="E3" s="159">
        <f>GETPIVOTDATA("Sum of Order Quantity",'April 2024'!P568,"Line Item Name","CC-AC-CCL")+2</f>
        <v>69</v>
      </c>
      <c r="F3" s="159">
        <f>GETPIVOTDATA("Sum of Order Quantity",'May 2024'!P1279,"Line Item Name","CC-AC-CCL")</f>
        <v>54</v>
      </c>
      <c r="G3" s="159">
        <f>GETPIVOTDATA("Sum of Order Quantity",'June 2024'!P554,"Line Item Name","CC-AC-CCL")</f>
        <v>61</v>
      </c>
      <c r="H3" s="159">
        <f>GETPIVOTDATA("Sum of Order Quantity",'July 2024'!S1330,"Line Item Name","CC-AC-CCL")</f>
        <v>34</v>
      </c>
      <c r="I3" s="159">
        <f>GETPIVOTDATA("Sum of Order Quantity",'August 2024'!Q691,"Line Item Name","CC-AC-CCL")</f>
        <v>40</v>
      </c>
      <c r="J3" s="159">
        <f>GETPIVOTDATA("Sum of Order Quantity",'September 2024'!Q681,"Line Item Name","CC-AC-CCL")</f>
        <v>83</v>
      </c>
      <c r="K3" s="160"/>
      <c r="L3" s="160"/>
      <c r="M3" s="160"/>
      <c r="N3" s="161">
        <f>SUM(B3:M3)</f>
        <v>446</v>
      </c>
      <c r="O3" s="162"/>
    </row>
    <row r="4" ht="15.1" customHeight="1">
      <c r="A4" t="s" s="163">
        <v>3239</v>
      </c>
      <c r="B4" s="164">
        <f>GETPIVOTDATA("Sum of Order Quantity",'January 2024'!P374,"Line Item Name","CC-AC-CTS")</f>
        <v>15</v>
      </c>
      <c r="C4" s="165">
        <f>GETPIVOTDATA("Sum of Order Quantity",'February 2024'!P465,"Line Item Name","CC-AC-CTS")</f>
        <v>11</v>
      </c>
      <c r="D4" s="165">
        <f>GETPIVOTDATA("Sum of Order Quantity",'March 2024'!P474,"Line Item Name","CC-AC-CTS")</f>
        <v>7</v>
      </c>
      <c r="E4" s="165">
        <f>GETPIVOTDATA("Sum of Order Quantity",'April 2024'!P568,"Line Item Name","CC-AC-CTS")</f>
        <v>9</v>
      </c>
      <c r="F4" s="165">
        <f>GETPIVOTDATA("Sum of Order Quantity",'May 2024'!P1279,"Line Item Name","CC-AC-CTS")</f>
        <v>10</v>
      </c>
      <c r="G4" s="165">
        <f>GETPIVOTDATA("Sum of Order Quantity",'June 2024'!P554,"Line Item Name","CC-AC-CTS - 1")+GETPIVOTDATA("Sum of Order Quantity",'June 2024'!P554,"Line Item Name","CC-AC-CTS")</f>
        <v>9</v>
      </c>
      <c r="H4" s="165">
        <f>SUM('July 2024'!T1363:T1364)</f>
        <v>17</v>
      </c>
      <c r="I4" s="165">
        <f>SUM('August 2024'!R712:R713)</f>
        <v>11</v>
      </c>
      <c r="J4" s="165">
        <f>GETPIVOTDATA("Sum of Order Quantity",'September 2024'!Q681,"Line Item Name","CC-AC-CTS - 1")</f>
        <v>35</v>
      </c>
      <c r="K4" s="166"/>
      <c r="L4" s="166"/>
      <c r="M4" s="166"/>
      <c r="N4" s="167">
        <f>SUM(B4:M4)</f>
        <v>124</v>
      </c>
      <c r="O4" s="168"/>
    </row>
    <row r="5" ht="15.1" customHeight="1">
      <c r="A5" t="s" s="163">
        <v>3240</v>
      </c>
      <c r="B5" s="164">
        <f>GETPIVOTDATA("Sum of Order Quantity",'January 2024'!P374,"Line Item Name","CC-F-DCHA")+GETPIVOTDATA("Sum of Order Quantity",'January 2024'!P374,"Line Item Name","CC-F-DCHA-PYROTEK")</f>
        <v>36</v>
      </c>
      <c r="C5" s="165">
        <f>GETPIVOTDATA("Sum of Order Quantity",'February 2024'!P465,"Line Item Name","CC-F-DCHA")</f>
        <v>97</v>
      </c>
      <c r="D5" s="165">
        <f>GETPIVOTDATA("Sum of Order Quantity",'March 2024'!P474,"Line Item Name","CC-F-DCHA")</f>
        <v>39</v>
      </c>
      <c r="E5" s="165">
        <f>GETPIVOTDATA("Sum of Order Quantity",'April 2024'!P568,"Line Item Name","CC-F-DCHA")</f>
        <v>6</v>
      </c>
      <c r="F5" s="165">
        <f>GETPIVOTDATA("Sum of Order Quantity",'May 2024'!P1279,"Line Item Name","CC-F-DCHA")</f>
        <v>20</v>
      </c>
      <c r="G5" s="165">
        <f>GETPIVOTDATA("Sum of Order Quantity",'June 2024'!P554,"Line Item Name","CC-F-DCHA")+GETPIVOTDATA("Sum of Order Quantity",'June 2024'!P554,"Line Item Name","CC-F-DCHA-F")+GETPIVOTDATA("Sum of Order Quantity",'June 2024'!P554,"Line Item Name","CC-F-DCHA-PYROTEK")</f>
        <v>25</v>
      </c>
      <c r="H5" s="165">
        <f t="shared" si="26" ref="H5:J80">0</f>
        <v>0</v>
      </c>
      <c r="I5" s="165">
        <f>GETPIVOTDATA("Sum of Order Quantity",'August 2024'!Q691,"Line Item Name","CC-F-DCHA")</f>
        <v>28</v>
      </c>
      <c r="J5" s="165">
        <f>SUM('September 2024'!R734:R735)</f>
        <v>38</v>
      </c>
      <c r="K5" s="166"/>
      <c r="L5" s="166"/>
      <c r="M5" s="166"/>
      <c r="N5" s="167">
        <f>SUM(B5:M5)</f>
        <v>289</v>
      </c>
      <c r="O5" s="169">
        <f>SUM(N5:N16)-N8</f>
        <v>1486</v>
      </c>
    </row>
    <row r="6" ht="15.1" customHeight="1">
      <c r="A6" t="s" s="163">
        <v>3241</v>
      </c>
      <c r="B6" s="164">
        <f>GETPIVOTDATA("Sum of Order Quantity",'January 2024'!P374,"Line Item Name","CC-F-HEA")</f>
        <v>17</v>
      </c>
      <c r="C6" s="165">
        <f>GETPIVOTDATA("Sum of Order Quantity",'February 2024'!P465,"Line Item Name","CC-F-HEA")</f>
        <v>65</v>
      </c>
      <c r="D6" s="165">
        <f>GETPIVOTDATA("Sum of Order Quantity",'March 2024'!P474,"Line Item Name","CC-F-HEA")</f>
        <v>45</v>
      </c>
      <c r="E6" s="165">
        <f>GETPIVOTDATA("Sum of Order Quantity",'April 2024'!P568,"Line Item Name","CC-F-HEA")</f>
        <v>22</v>
      </c>
      <c r="F6" s="165">
        <f>GETPIVOTDATA("Sum of Order Quantity",'May 2024'!P1279,"Line Item Name","CC-F-HEA")</f>
        <v>24</v>
      </c>
      <c r="G6" s="165">
        <f>GETPIVOTDATA("Sum of Order Quantity",'June 2024'!P554,"Line Item Name","CC-F-HEA")+GETPIVOTDATA("Sum of Order Quantity",'June 2024'!P554,"Line Item Name","CC-F-HEA-F")</f>
        <v>17</v>
      </c>
      <c r="H6" s="165">
        <f>GETPIVOTDATA("Sum of Order Quantity",'July 2024'!S1330,"Line Item Name","CC-F-HEA")</f>
        <v>8</v>
      </c>
      <c r="I6" s="165">
        <f>GETPIVOTDATA("Sum of Order Quantity",'August 2024'!Q691,"Line Item Name","CC-F-HEA")</f>
        <v>26</v>
      </c>
      <c r="J6" s="165">
        <f>GETPIVOTDATA("Sum of Order Quantity",'September 2024'!Q681,"Line Item Name","CC-F-HEA")</f>
        <v>15</v>
      </c>
      <c r="K6" s="166"/>
      <c r="L6" s="166"/>
      <c r="M6" s="166"/>
      <c r="N6" s="167">
        <f>SUM(B6:M6)</f>
        <v>239</v>
      </c>
      <c r="O6" s="170"/>
    </row>
    <row r="7" ht="15.1" customHeight="1">
      <c r="A7" t="s" s="163">
        <v>3242</v>
      </c>
      <c r="B7" s="164">
        <f>GETPIVOTDATA("Sum of Order Quantity",'January 2024'!P374,"Line Item Name","CC-AC-RAA")</f>
        <v>11</v>
      </c>
      <c r="C7" s="165">
        <f>0</f>
        <v>0</v>
      </c>
      <c r="D7" s="165">
        <f>GETPIVOTDATA("Sum of Order Quantity",'March 2024'!P474,"Line Item Name","CC-AC-RAA")</f>
        <v>20</v>
      </c>
      <c r="E7" s="165">
        <f>GETPIVOTDATA("Sum of Order Quantity",'April 2024'!P568,"Line Item Name","CC-AC-RAA")</f>
        <v>2</v>
      </c>
      <c r="F7" s="165">
        <f>GETPIVOTDATA("Sum of Order Quantity",'May 2024'!P1279,"Line Item Name","CC-AC-RAA")</f>
        <v>6</v>
      </c>
      <c r="G7" s="165">
        <f>GETPIVOTDATA("Sum of Order Quantity",'June 2024'!P554,"Line Item Name","CC-AC-RAA")</f>
        <v>4</v>
      </c>
      <c r="H7" s="165">
        <f>GETPIVOTDATA("Sum of Order Quantity",'July 2024'!S1330,"Line Item Name","CC-AC-RAA")</f>
        <v>6</v>
      </c>
      <c r="I7" s="165">
        <f>GETPIVOTDATA("Sum of Order Quantity",'August 2024'!Q691,"Line Item Name","CC-AC-RAA")</f>
        <v>30</v>
      </c>
      <c r="J7" s="165">
        <f>GETPIVOTDATA("Sum of Order Quantity",'September 2024'!Q681,"Line Item Name","CC-AC-RAA")</f>
        <v>14</v>
      </c>
      <c r="K7" s="166"/>
      <c r="L7" s="166"/>
      <c r="M7" s="166"/>
      <c r="N7" s="167">
        <f>SUM(B7:M7)</f>
        <v>93</v>
      </c>
      <c r="O7" s="170"/>
    </row>
    <row r="8" ht="15.1" customHeight="1">
      <c r="A8" t="s" s="163">
        <v>3243</v>
      </c>
      <c r="B8" s="164">
        <f>GETPIVOTDATA("Sum of Order Quantity",'January 2024'!P374,"Line Item Name","CC-AC-4PM")</f>
        <v>4</v>
      </c>
      <c r="C8" s="165">
        <f>GETPIVOTDATA("Sum of Order Quantity",'February 2024'!P465,"Line Item Name","CC-AC-4PM")</f>
        <v>5</v>
      </c>
      <c r="D8" s="165">
        <f>GETPIVOTDATA("Sum of Order Quantity",'March 2024'!P474,"Line Item Name","CC-AC-4PM")</f>
        <v>9</v>
      </c>
      <c r="E8" s="165">
        <f>GETPIVOTDATA("Sum of Order Quantity",'April 2024'!P568,"Line Item Name","CC-AC-4PM")</f>
        <v>2</v>
      </c>
      <c r="F8" s="165">
        <f>SUM('May 2024'!Q1365:Q1366)</f>
        <v>4</v>
      </c>
      <c r="G8" s="165">
        <f>GETPIVOTDATA("Sum of Order Quantity",'June 2024'!P554,"Line Item Name","CC-AC-4PM")+GETPIVOTDATA("Sum of Order Quantity",'June 2024'!P554,"Line Item Name","CC-AC-6PM")</f>
        <v>25</v>
      </c>
      <c r="H8" s="165">
        <f t="shared" si="26"/>
        <v>0</v>
      </c>
      <c r="I8" s="165">
        <f>SUM('August 2024'!R704:R705)</f>
        <v>14</v>
      </c>
      <c r="J8" s="165">
        <f>GETPIVOTDATA("Sum of Order Quantity",'September 2024'!Q681,"Line Item Name","CC-AC-4PM")</f>
        <v>8</v>
      </c>
      <c r="K8" s="166"/>
      <c r="L8" s="166"/>
      <c r="M8" s="166"/>
      <c r="N8" s="167">
        <f>SUM(B8:M8)</f>
        <v>71</v>
      </c>
      <c r="O8" s="170"/>
    </row>
    <row r="9" ht="15.1" customHeight="1">
      <c r="A9" t="s" s="163">
        <v>3244</v>
      </c>
      <c r="B9" s="164">
        <f>GETPIVOTDATA("Sum of Order Quantity",'January 2024'!P374,"Line Item Name","CC-F-MFDCGAJIC")</f>
        <v>1</v>
      </c>
      <c r="C9" s="165">
        <f>GETPIVOTDATA("Sum of Order Quantity",'February 2024'!P465,"Line Item Name","CC-F-MFDCGAJIC")</f>
        <v>8</v>
      </c>
      <c r="D9" s="165">
        <f>GETPIVOTDATA("Sum of Order Quantity",'March 2024'!P474,"Line Item Name","CC-F-MFDCGAJIC")</f>
        <v>6</v>
      </c>
      <c r="E9" s="165">
        <f>GETPIVOTDATA("Sum of Order Quantity",'April 2024'!P568,"Line Item Name","CC-F-MFDCGAJIC")</f>
        <v>5</v>
      </c>
      <c r="F9" s="165">
        <f>GETPIVOTDATA("Sum of Order Quantity",'May 2024'!P1279,"Line Item Name","CC-F-MFDCGAJIC")</f>
        <v>3</v>
      </c>
      <c r="G9" s="165">
        <f>GETPIVOTDATA("Sum of Order Quantity",'June 2024'!P554,"Line Item Name","CC-F-MFDCGAJIC")</f>
        <v>20</v>
      </c>
      <c r="H9" s="165">
        <f>GETPIVOTDATA("Sum of Order Quantity",'July 2024'!S1330,"Line Item Name","CC-F-MFDCGAJIC")</f>
        <v>6</v>
      </c>
      <c r="I9" s="165">
        <f>GETPIVOTDATA("Sum of Order Quantity",'August 2024'!Q691,"Line Item Name","CC-F-MFDCGAJIC")</f>
        <v>12</v>
      </c>
      <c r="J9" s="165">
        <f>GETPIVOTDATA("Sum of Order Quantity",'September 2024'!Q681,"Line Item Name","CC-F-MFDCGAJIC")</f>
        <v>4</v>
      </c>
      <c r="K9" s="166"/>
      <c r="L9" s="166"/>
      <c r="M9" s="166"/>
      <c r="N9" s="167">
        <f>SUM(B9:M9)</f>
        <v>65</v>
      </c>
      <c r="O9" s="170"/>
    </row>
    <row r="10" ht="15.1" customHeight="1">
      <c r="A10" t="s" s="163">
        <v>3245</v>
      </c>
      <c r="B10" s="164">
        <f>0</f>
        <v>0</v>
      </c>
      <c r="C10" s="165">
        <f>0</f>
        <v>0</v>
      </c>
      <c r="D10" s="165">
        <f>0</f>
        <v>0</v>
      </c>
      <c r="E10" s="165">
        <f>SUM(GETPIVOTDATA("Sum of Order Quantity",'April 2024'!P568,"Line Item Name","CC-F-FQCNPTF"),GETPIVOTDATA("Sum of Order Quantity",'April 2024'!P568,"Line Item Name","CC-F-FQCBSPF"))</f>
        <v>13</v>
      </c>
      <c r="F10" s="165">
        <f>0</f>
        <v>0</v>
      </c>
      <c r="G10" s="165">
        <f>GETPIVOTDATA("Sum of Order Quantity",'June 2024'!P554,"Line Item Name","CC-F-FQCNPTF")+GETPIVOTDATA("Sum of Order Quantity",'June 2024'!P554,"Line Item Name","CC-F-FQCBSPF")</f>
        <v>6</v>
      </c>
      <c r="H10" s="165">
        <f>GETPIVOTDATA("Sum of Order Quantity",'July 2024'!S1330,"Line Item Name","CC-F-FQCBSPF")</f>
        <v>20</v>
      </c>
      <c r="I10" s="165">
        <f t="shared" si="26"/>
        <v>0</v>
      </c>
      <c r="J10" s="165">
        <f t="shared" si="26"/>
        <v>0</v>
      </c>
      <c r="K10" s="166"/>
      <c r="L10" s="166"/>
      <c r="M10" s="166"/>
      <c r="N10" s="167">
        <f>SUM(B10:M10)</f>
        <v>39</v>
      </c>
      <c r="O10" s="170"/>
    </row>
    <row r="11" ht="15.1" customHeight="1">
      <c r="A11" t="s" s="163">
        <v>3246</v>
      </c>
      <c r="B11" s="164">
        <v>0</v>
      </c>
      <c r="C11" s="165">
        <f>GETPIVOTDATA("Sum of Order Quantity",'February 2024'!P465,"Line Item Name","CC-F-MQCBSPPF")</f>
        <v>8</v>
      </c>
      <c r="D11" s="165">
        <v>0</v>
      </c>
      <c r="E11" s="165">
        <f>SUM(GETPIVOTDATA("Sum of Order Quantity",'April 2024'!P568,"Line Item Name","CC-F-MQCMQC"),GETPIVOTDATA("Sum of Order Quantity",'April 2024'!P568,"Line Item Name","CC-F-MQCBSPPF"))</f>
        <v>3</v>
      </c>
      <c r="F11" s="165">
        <f>GETPIVOTDATA("Sum of Order Quantity",'May 2024'!P1279,"Line Item Name","CC-F-MQCNPTM")</f>
        <v>2</v>
      </c>
      <c r="G11" s="165">
        <f>GETPIVOTDATA("Sum of Order Quantity",'June 2024'!P554,"Line Item Name","CC-F-MQCNPTM")+GETPIVOTDATA("Sum of Order Quantity",'June 2024'!P554,"Line Item Name","CC-F-MQCMQC")</f>
        <v>2</v>
      </c>
      <c r="H11" s="165">
        <f>GETPIVOTDATA("Sum of Order Quantity",'July 2024'!S1330,"Line Item Name","CC-F-MQCMQC")</f>
        <v>11</v>
      </c>
      <c r="I11" s="165">
        <f>GETPIVOTDATA("Sum of Order Quantity",'August 2024'!Q691,"Line Item Name","CC-F-MQCBSPPF")</f>
        <v>4</v>
      </c>
      <c r="J11" s="165">
        <f>GETPIVOTDATA("Sum of Order Quantity",'September 2024'!Q681,"Line Item Name","CC-F-MQCBSPPF")</f>
        <v>2</v>
      </c>
      <c r="K11" s="166"/>
      <c r="L11" s="166"/>
      <c r="M11" s="166"/>
      <c r="N11" s="167">
        <f>SUM(B11:M11)</f>
        <v>32</v>
      </c>
      <c r="O11" s="170"/>
    </row>
    <row r="12" ht="15.1" customHeight="1">
      <c r="A12" t="s" s="163">
        <v>3247</v>
      </c>
      <c r="B12" s="164">
        <f>GETPIVOTDATA("Sum of Order Quantity",'January 2024'!P374,"Line Item Name","CC-F-CGA-FQC")</f>
        <v>4</v>
      </c>
      <c r="C12" s="165">
        <f>GETPIVOTDATA("Sum of Order Quantity",'February 2024'!P465,"Line Item Name","CC-F-CGA-FQC")</f>
        <v>80</v>
      </c>
      <c r="D12" s="165">
        <v>0</v>
      </c>
      <c r="E12" s="165">
        <f>GETPIVOTDATA("Sum of Order Quantity",'April 2024'!P568,"Line Item Name","CC-F-CGA-FQC")</f>
        <v>12</v>
      </c>
      <c r="F12" s="165">
        <v>0</v>
      </c>
      <c r="G12" s="165">
        <f>0</f>
        <v>0</v>
      </c>
      <c r="H12" s="165">
        <v>0</v>
      </c>
      <c r="I12" s="165">
        <f t="shared" si="26"/>
        <v>0</v>
      </c>
      <c r="J12" s="165">
        <f>GETPIVOTDATA("Sum of Order Quantity",'September 2024'!Q681,"Line Item Name","CC-F-CGA-FQC")</f>
        <v>78</v>
      </c>
      <c r="K12" s="166"/>
      <c r="L12" s="166"/>
      <c r="M12" s="166"/>
      <c r="N12" s="167">
        <f>SUM(B12:M12)</f>
        <v>174</v>
      </c>
      <c r="O12" s="170"/>
    </row>
    <row r="13" ht="15.1" customHeight="1">
      <c r="A13" t="s" s="163">
        <v>3248</v>
      </c>
      <c r="B13" s="164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f>GETPIVOTDATA("Sum of Order Quantity",'July 2024'!S1330,"Line Item Name","CC-F-CGA-MQC")</f>
        <v>16</v>
      </c>
      <c r="I13" s="165">
        <v>0</v>
      </c>
      <c r="J13" s="165">
        <f t="shared" si="26"/>
        <v>0</v>
      </c>
      <c r="K13" s="166"/>
      <c r="L13" s="166"/>
      <c r="M13" s="166"/>
      <c r="N13" s="167">
        <f>SUM(B13:M13)</f>
        <v>16</v>
      </c>
      <c r="O13" s="170"/>
    </row>
    <row r="14" ht="15.1" customHeight="1">
      <c r="A14" t="s" s="163">
        <v>3249</v>
      </c>
      <c r="B14" s="164">
        <f>0</f>
        <v>0</v>
      </c>
      <c r="C14" s="165">
        <v>60</v>
      </c>
      <c r="D14" s="165">
        <f>GETPIVOTDATA("Sum of Order Quantity",'March 2024'!P474,"Line Item Name"," CC-AC-CGAJIC-SET - 1")</f>
        <v>47</v>
      </c>
      <c r="E14" s="165">
        <f>GETPIVOTDATA("Sum of Order Quantity",'April 2024'!P568,"Line Item Name","CC-AC-CGAJIC - 1")+1</f>
        <v>6</v>
      </c>
      <c r="F14" s="165">
        <f>GETPIVOTDATA("Sum of Order Quantity",'May 2024'!P1279,"Line Item Name"," CC-AC-CGAJIC-SET - 1")</f>
        <v>60</v>
      </c>
      <c r="G14" s="165">
        <f>0</f>
        <v>0</v>
      </c>
      <c r="H14" s="165">
        <f>GETPIVOTDATA("Sum of Order Quantity",'July 2024'!S1330,"Line Item Name","CC-AC-CGAJIC - 1")+GETPIVOTDATA("Sum of Order Quantity",'July 2024'!S1330,"Line Item Name","CC-AC-CGA6JIC")+GETPIVOTDATA("Sum of Order Quantity",'July 2024'!S1330,"Line Item Name"," CC-AC-CGAJIC-SET - 1")</f>
        <v>11</v>
      </c>
      <c r="I14" s="165">
        <f>GETPIVOTDATA("Sum of Order Quantity",'August 2024'!Q691,"Line Item Name"," CC-AC-CGAJIC-SET - 1")</f>
        <v>23</v>
      </c>
      <c r="J14" s="165">
        <f>GETPIVOTDATA("Sum of Order Quantity",'September 2024'!Q681,"Line Item Name"," CC-AC-CGAJIC-SET - 1")</f>
        <v>8</v>
      </c>
      <c r="K14" s="166"/>
      <c r="L14" s="166"/>
      <c r="M14" s="166"/>
      <c r="N14" s="167">
        <f>SUM(B14:M14)</f>
        <v>215</v>
      </c>
      <c r="O14" s="170"/>
    </row>
    <row r="15" ht="15.1" customHeight="1">
      <c r="A15" t="s" s="163">
        <v>3250</v>
      </c>
      <c r="B15" s="164">
        <f>SUM('January 2024'!Q449:Q450)</f>
        <v>21</v>
      </c>
      <c r="C15" s="165">
        <f>GETPIVOTDATA("Sum of Order Quantity",'February 2024'!P465,"Line Item Name","CC-AC-CGANPT-SET")</f>
        <v>2</v>
      </c>
      <c r="D15" s="165">
        <f>0</f>
        <v>0</v>
      </c>
      <c r="E15" s="165">
        <f>0</f>
        <v>0</v>
      </c>
      <c r="F15" s="165">
        <f>GETPIVOTDATA("Sum of Order Quantity",'May 2024'!P1279,"Line Item Name","CC-AC-CGANPT-INT-SET")</f>
        <v>14</v>
      </c>
      <c r="G15" s="165">
        <f>GETPIVOTDATA("Sum of Order Quantity",'June 2024'!P554,"Line Item Name","CC-AC-CGANPT-INT-SET")</f>
        <v>20</v>
      </c>
      <c r="H15" s="165">
        <f>SUM('July 2024'!T1358:T1359)</f>
        <v>17</v>
      </c>
      <c r="I15" s="165">
        <v>0</v>
      </c>
      <c r="J15" s="165">
        <f>GETPIVOTDATA("Sum of Order Quantity",'September 2024'!Q681,"Line Item Name","CC-AC-CGANPT-INT-SET")</f>
        <v>6</v>
      </c>
      <c r="K15" s="166"/>
      <c r="L15" s="166"/>
      <c r="M15" s="166"/>
      <c r="N15" s="167">
        <f>SUM(B15:M15)</f>
        <v>80</v>
      </c>
      <c r="O15" s="170"/>
    </row>
    <row r="16" ht="15.1" customHeight="1">
      <c r="A16" t="s" s="163">
        <v>3251</v>
      </c>
      <c r="B16" s="164">
        <f>GETPIVOTDATA("Sum of Order Quantity",'January 2024'!P374,"Line Item Name","CC-F-COT")</f>
        <v>12</v>
      </c>
      <c r="C16" s="165">
        <f>GETPIVOTDATA("Sum of Order Quantity",'February 2024'!P465,"Line Item Name","CC-F-COT")</f>
        <v>30</v>
      </c>
      <c r="D16" s="165">
        <f>GETPIVOTDATA("Sum of Order Quantity",'March 2024'!P474,"Line Item Name","CC-F-COT")</f>
        <v>33</v>
      </c>
      <c r="E16" s="165">
        <f>GETPIVOTDATA("Sum of Order Quantity",'April 2024'!P568,"Line Item Name","CC-F-COT")</f>
        <v>28</v>
      </c>
      <c r="F16" s="165">
        <f>GETPIVOTDATA("Sum of Order Quantity",'May 2024'!P1279,"Line Item Name","CC-F-COT")</f>
        <v>48</v>
      </c>
      <c r="G16" s="165">
        <f>GETPIVOTDATA("Sum of Order Quantity",'June 2024'!P554,"Line Item Name","CC-F-COT")</f>
        <v>16</v>
      </c>
      <c r="H16" s="165">
        <f>GETPIVOTDATA("Sum of Order Quantity",'July 2024'!S1330,"Line Item Name","CC-F-COT")</f>
        <v>20</v>
      </c>
      <c r="I16" s="165">
        <f>GETPIVOTDATA("Sum of Order Quantity",'August 2024'!Q691,"Line Item Name","CC-F-COT")</f>
        <v>22</v>
      </c>
      <c r="J16" s="165">
        <f>GETPIVOTDATA("Sum of Order Quantity",'September 2024'!Q681,"Line Item Name","CC-F-COT")</f>
        <v>35</v>
      </c>
      <c r="K16" s="166"/>
      <c r="L16" s="166"/>
      <c r="M16" s="166"/>
      <c r="N16" s="167">
        <f>SUM(B16:M16)</f>
        <v>244</v>
      </c>
      <c r="O16" s="170"/>
    </row>
    <row r="17" ht="15.1" customHeight="1">
      <c r="A17" t="s" s="163">
        <v>3252</v>
      </c>
      <c r="B17" s="164">
        <f>GETPIVOTDATA("Sum of Order Quantity",'January 2024'!P374,"Line Item Name","CC-AC-ROR")</f>
        <v>14</v>
      </c>
      <c r="C17" s="165">
        <f>GETPIVOTDATA("Sum of Order Quantity",'February 2024'!P465,"Line Item Name","CC-AC-ROR")</f>
        <v>4</v>
      </c>
      <c r="D17" s="165">
        <f>GETPIVOTDATA("Sum of Order Quantity",'March 2024'!P474,"Line Item Name","CC-AC-ROR")</f>
        <v>29</v>
      </c>
      <c r="E17" s="165">
        <f>GETPIVOTDATA("Sum of Order Quantity",'April 2024'!P568,"Line Item Name","CC-AC-ROR")</f>
        <v>22</v>
      </c>
      <c r="F17" s="165">
        <f>0</f>
        <v>0</v>
      </c>
      <c r="G17" s="165">
        <f>GETPIVOTDATA("Sum of Order Quantity",'June 2024'!P554,"Line Item Name","CC-AC-ROR")</f>
        <v>6</v>
      </c>
      <c r="H17" s="165">
        <v>0</v>
      </c>
      <c r="I17" s="165">
        <f>GETPIVOTDATA("Sum of Order Quantity",'August 2024'!Q691,"Line Item Name","CC-AC-ROR")</f>
        <v>20</v>
      </c>
      <c r="J17" s="165">
        <f>GETPIVOTDATA("Sum of Order Quantity",'September 2024'!Q681,"Line Item Name","CC-AC-ROR")</f>
        <v>2</v>
      </c>
      <c r="K17" s="166"/>
      <c r="L17" s="166"/>
      <c r="M17" s="166"/>
      <c r="N17" s="167">
        <f>SUM(B17:M17)</f>
        <v>97</v>
      </c>
      <c r="O17" s="168"/>
    </row>
    <row r="18" ht="15.1" customHeight="1">
      <c r="A18" t="s" s="163">
        <v>3253</v>
      </c>
      <c r="B18" s="164">
        <f>GETPIVOTDATA("Sum of Order Quantity",'January 2024'!P374,"Line Item Name","CC-AC-ROR2")</f>
        <v>11</v>
      </c>
      <c r="C18" s="165">
        <f>GETPIVOTDATA("Sum of Order Quantity",'February 2024'!P465,"Line Item Name","CC-AC-ROR2")</f>
        <v>12</v>
      </c>
      <c r="D18" s="165">
        <f>GETPIVOTDATA("Sum of Order Quantity",'March 2024'!P474,"Line Item Name","CC-AC-ROR2")</f>
        <v>23</v>
      </c>
      <c r="E18" s="165">
        <f>GETPIVOTDATA("Sum of Order Quantity",'April 2024'!P568,"Line Item Name","CC-AC-ROR2")</f>
        <v>11</v>
      </c>
      <c r="F18" s="165">
        <f>GETPIVOTDATA("Sum of Order Quantity",'May 2024'!P1279,"Line Item Name","CC-AC-ROR2")</f>
        <v>10</v>
      </c>
      <c r="G18" s="165">
        <f>GETPIVOTDATA("Sum of Order Quantity",'June 2024'!P554,"Line Item Name","CC-AC-ROR2")</f>
        <v>2</v>
      </c>
      <c r="H18" s="165">
        <f>GETPIVOTDATA("Sum of Order Quantity",'July 2024'!S1330,"Line Item Name","CC-AC-ROR2")</f>
        <v>3</v>
      </c>
      <c r="I18" s="165">
        <f>GETPIVOTDATA("Sum of Order Quantity",'August 2024'!Q691,"Line Item Name","CC-AC-ROR2")</f>
        <v>67</v>
      </c>
      <c r="J18" s="165">
        <f>GETPIVOTDATA("Sum of Order Quantity",'September 2024'!Q681,"Line Item Name","CC-AC-ROR2")</f>
        <v>57</v>
      </c>
      <c r="K18" s="166"/>
      <c r="L18" s="166"/>
      <c r="M18" s="166"/>
      <c r="N18" s="167">
        <f>SUM(B18:M18)</f>
        <v>196</v>
      </c>
      <c r="O18" s="168"/>
    </row>
    <row r="19" ht="15.1" customHeight="1">
      <c r="A19" t="s" s="163">
        <v>3254</v>
      </c>
      <c r="B19" s="164">
        <f>GETPIVOTDATA("Sum of Order Quantity",'January 2024'!P374,"Line Item Name","CC-AC-CTAT")</f>
        <v>30</v>
      </c>
      <c r="C19" s="165">
        <f>GETPIVOTDATA("Sum of Order Quantity",'February 2024'!P465,"Line Item Name","CC-AC-CTAT")</f>
        <v>46</v>
      </c>
      <c r="D19" s="165">
        <f>GETPIVOTDATA("Sum of Order Quantity",'March 2024'!P474,"Line Item Name","CC-AC-CTAT")</f>
        <v>55</v>
      </c>
      <c r="E19" s="165">
        <f>GETPIVOTDATA("Sum of Order Quantity",'April 2024'!P568,"Line Item Name","CC-AC-CTAT")+1</f>
        <v>37</v>
      </c>
      <c r="F19" s="165">
        <f>GETPIVOTDATA("Sum of Order Quantity",'May 2024'!P1279,"Line Item Name","CC-AC-CTAT")</f>
        <v>59</v>
      </c>
      <c r="G19" s="165">
        <f>GETPIVOTDATA("Sum of Order Quantity",'June 2024'!P554,"Line Item Name","CC-AC-CTAT")</f>
        <v>44</v>
      </c>
      <c r="H19" s="165">
        <f>GETPIVOTDATA("Sum of Order Quantity",'July 2024'!S1330,"Line Item Name","CC-AC-CTAT")</f>
        <v>16</v>
      </c>
      <c r="I19" s="165">
        <f>GETPIVOTDATA("Sum of Order Quantity",'August 2024'!Q691,"Line Item Name","CC-AC-CTAT")</f>
        <v>82</v>
      </c>
      <c r="J19" s="165">
        <f>GETPIVOTDATA("Sum of Order Quantity",'September 2024'!Q681,"Line Item Name","CC-AC-CTAT")</f>
        <v>41</v>
      </c>
      <c r="K19" s="166"/>
      <c r="L19" s="166"/>
      <c r="M19" s="166"/>
      <c r="N19" s="167">
        <f>SUM(B19:M19)</f>
        <v>410</v>
      </c>
      <c r="O19" s="168"/>
    </row>
    <row r="20" ht="15.1" customHeight="1">
      <c r="A20" t="s" s="163">
        <v>3255</v>
      </c>
      <c r="B20" s="164">
        <f>GETPIVOTDATA("Sum of Order Quantity",'January 2024'!P374,"Line Item Name","CC-WASH-INT-01")+GETPIVOTDATA("Sum of Order Quantity",'January 2024'!P374,"Line Item Name","CC-WASH-10")*10</f>
        <v>800</v>
      </c>
      <c r="C20" s="165">
        <f>GETPIVOTDATA("Sum of Order Quantity",'February 2024'!P465,"Line Item Name","CC-WASH-10")*10</f>
        <v>770</v>
      </c>
      <c r="D20" s="165">
        <f>GETPIVOTDATA("Sum of Order Quantity",'March 2024'!P474,"Line Item Name","CC-WASH-INT-01")+(10*GETPIVOTDATA("Sum of Order Quantity",'March 2024'!P474,"Line Item Name","CC-WASH-10"))</f>
        <v>1330</v>
      </c>
      <c r="E20" s="165">
        <f>GETPIVOTDATA("Sum of Order Quantity",'April 2024'!P568,"Line Item Name","CC-WASH-01")+(10*GETPIVOTDATA("Sum of Order Quantity",'April 2024'!P568,"Line Item Name","CC-WASH-10"))</f>
        <v>420</v>
      </c>
      <c r="F20" s="165">
        <f>GETPIVOTDATA("Sum of Order Quantity",'May 2024'!P1279,"Line Item Name","CC-WASH-01")+GETPIVOTDATA("Sum of Order Quantity",'May 2024'!P1279,"Line Item Name","CC-WASH-INT-01")+(GETPIVOTDATA("Sum of Order Quantity",'May 2024'!P1279,"Line Item Name","CC-WASH-10")*10)</f>
        <v>710</v>
      </c>
      <c r="G20" s="165">
        <f>GETPIVOTDATA("Sum of Order Quantity",'June 2024'!P554,"Line Item Name","CC-WASH-01")+GETPIVOTDATA("Sum of Order Quantity",'June 2024'!P554,"Line Item Name","CC-WASH-INT-01")+(10*GETPIVOTDATA("Sum of Order Quantity",'June 2024'!P554,"Line Item Name","CC-WASH-10"))</f>
        <v>520</v>
      </c>
      <c r="H20" s="165">
        <f>GETPIVOTDATA("Sum of Order Quantity",'July 2024'!S1330,"Line Item Name","CC-WASH-01")+60</f>
        <v>3076</v>
      </c>
      <c r="I20" s="165">
        <f>GETPIVOTDATA("Sum of Order Quantity",'August 2024'!Q691,"Line Item Name","CC-WASH-10")</f>
        <v>34</v>
      </c>
      <c r="J20" s="165">
        <f>GETPIVOTDATA("Sum of Order Quantity",'September 2024'!Q681,"Line Item Name","CC-WASH-INT-01")+GETPIVOTDATA("Sum of Order Quantity",'September 2024'!Q681,"Line Item Name","CC-WASH-01")+(10*GETPIVOTDATA("Sum of Order Quantity",'September 2024'!Q681,"Line Item Name","CC-WASH-10"))</f>
        <v>231</v>
      </c>
      <c r="K20" s="166"/>
      <c r="L20" s="166"/>
      <c r="M20" s="166"/>
      <c r="N20" s="167">
        <f>SUM(B20:M20)</f>
        <v>7891</v>
      </c>
      <c r="O20" s="168"/>
    </row>
    <row r="21" ht="15.1" customHeight="1">
      <c r="A21" t="s" s="163">
        <v>3256</v>
      </c>
      <c r="B21" s="164">
        <f>GETPIVOTDATA("Sum of Order Quantity",'January 2024'!P374,"Line Item Name","CC-AC-OP")</f>
        <v>25</v>
      </c>
      <c r="C21" s="165">
        <f>GETPIVOTDATA("Sum of Order Quantity",'February 2024'!P465,"Line Item Name","CC-AC-OP")</f>
        <v>13</v>
      </c>
      <c r="D21" s="165">
        <f>GETPIVOTDATA("Sum of Order Quantity",'March 2024'!P474,"Line Item Name","CC-AC-OP")</f>
        <v>25</v>
      </c>
      <c r="E21" s="165">
        <f>GETPIVOTDATA("Sum of Order Quantity",'April 2024'!P568,"Line Item Name","CC-AC-OP")</f>
        <v>30</v>
      </c>
      <c r="F21" s="165">
        <v>19</v>
      </c>
      <c r="G21" s="165">
        <f>GETPIVOTDATA("Sum of Order Quantity",'June 2024'!P554,"Line Item Name","CC-AC-OP")</f>
        <v>17</v>
      </c>
      <c r="H21" s="165">
        <f>GETPIVOTDATA("Sum of Order Quantity",'July 2024'!S1330,"Line Item Name","CC-AC-OP")</f>
        <v>31</v>
      </c>
      <c r="I21" s="165">
        <f>GETPIVOTDATA("Sum of Order Quantity",'August 2024'!Q691,"Line Item Name","CC-AC-OP")</f>
        <v>36</v>
      </c>
      <c r="J21" s="165">
        <f>GETPIVOTDATA("Sum of Order Quantity",'September 2024'!Q681,"Line Item Name","CC-AC-OP")</f>
        <v>37</v>
      </c>
      <c r="K21" s="166"/>
      <c r="L21" s="166"/>
      <c r="M21" s="166"/>
      <c r="N21" s="167">
        <f>SUM(B21:M21)</f>
        <v>233</v>
      </c>
      <c r="O21" s="168"/>
    </row>
    <row r="22" ht="15.1" customHeight="1">
      <c r="A22" t="s" s="163">
        <v>3257</v>
      </c>
      <c r="B22" s="164">
        <f>GETPIVOTDATA("Sum of Order Quantity",'January 2024'!P374,"Line Item Name","CC-AC-TB-KIT")+GETPIVOTDATA("Sum of Order Quantity",'January 2024'!P374,"Line Item Name","CC-AC-CLAMP-MJMKII-KIT")+GETPIVOTDATA("Sum of Order Quantity",'January 2024'!P374,"Line Item Name","CC-AC-CLAMP-CC2-KIT")+GETPIVOTDATA("Sum of Order Quantity",'January 2024'!P374,"Line Item Name","CC-AC-CLAMP")+GETPIVOTDATA("Sum of Order Quantity",'January 2024'!P374,"Line Item Name","CC-AC-BM-KIT")</f>
        <v>35</v>
      </c>
      <c r="C22" s="165">
        <f>SUM(GETPIVOTDATA("Sum of Order Quantity",'February 2024'!P465,"Line Item Name","CC-AC-TB-KIT"),GETPIVOTDATA("Sum of Order Quantity",'February 2024'!P465,"Line Item Name","CC-AC-BM-KIT"),GETPIVOTDATA("Sum of Order Quantity",'February 2024'!P465,"Line Item Name","CC-AC-CLAMP-MJMKII-KIT"),GETPIVOTDATA("Sum of Order Quantity",'February 2024'!P465,"Line Item Name","CC-AC-CLAMP-CC2-KIT"),GETPIVOTDATA("Sum of Order Quantity",'February 2024'!P465,"Line Item Name","CC-AC-CLAMP"))</f>
        <v>19</v>
      </c>
      <c r="D22" s="165">
        <f>GETPIVOTDATA("Sum of Order Quantity",'March 2024'!P474,"Line Item Name","CC-AC-BM-KIT")+GETPIVOTDATA("Sum of Order Quantity",'March 2024'!P474,"Line Item Name","CC-AC-CLAMP")+GETPIVOTDATA("Sum of Order Quantity",'March 2024'!P474,"Line Item Name","CC-AC-CLAMP-MJMKII-KIT")</f>
        <v>32</v>
      </c>
      <c r="E22" s="165">
        <f>SUM(GETPIVOTDATA("Sum of Order Quantity",'April 2024'!P568,"Line Item Name","CC-AC-CLAMP"),GETPIVOTDATA("Sum of Order Quantity",'April 2024'!P568,"Line Item Name","CC-AC-CLAMP-CC2-KIT"),GETPIVOTDATA("Sum of Order Quantity",'April 2024'!P568,"Line Item Name","CC-AC-CLAMP-MJMKII-KIT"),GETPIVOTDATA("Sum of Order Quantity",'April 2024'!P568,"Line Item Name","CC-AC-BM-KIT"))</f>
        <v>41</v>
      </c>
      <c r="F22" s="165">
        <f>GETPIVOTDATA("Sum of Order Quantity",'May 2024'!P1279,"Line Item Name","CC-AC-CLAMP-MJMKII-KIT")+GETPIVOTDATA("Sum of Order Quantity",'May 2024'!P1279,"Line Item Name","CC-AC-CLAMP-CC2-KIT")+GETPIVOTDATA("Sum of Order Quantity",'May 2024'!P1279,"Line Item Name","CC-AC-CLAMP")+GETPIVOTDATA("Sum of Order Quantity",'May 2024'!P1279,"Line Item Name","CC-AC-TB-KIT")</f>
        <v>29</v>
      </c>
      <c r="G22" s="165">
        <f>GETPIVOTDATA("Sum of Order Quantity",'June 2024'!P554,"Line Item Name","CC-AC-CLAMP-CC2-KIT")+GETPIVOTDATA("Sum of Order Quantity",'June 2024'!P554,"Line Item Name","CC-AC-TB-KIT")</f>
        <v>42</v>
      </c>
      <c r="H22" s="165">
        <f>GETPIVOTDATA("Sum of Order Quantity",'July 2024'!S1330,"Line Item Name","CC-AC-CLAMP-MJMKII-KIT")+GETPIVOTDATA("Sum of Order Quantity",'July 2024'!S1330,"Line Item Name","CC-AC-CLAMP-CC2-KIT")+GETPIVOTDATA("Sum of Order Quantity",'July 2024'!S1330,"Line Item Name","CC-AC-BM-KIT")</f>
        <v>32</v>
      </c>
      <c r="I22" s="165">
        <f>GETPIVOTDATA("Sum of Order Quantity",'August 2024'!Q691,"Line Item Name","CC-AC-BM-KIT")+GETPIVOTDATA("Sum of Order Quantity",'August 2024'!Q691,"Line Item Name","CC-AC-CLAMP")+GETPIVOTDATA("Sum of Order Quantity",'August 2024'!Q691,"Line Item Name","CC-AC-CLAMP-CC2-KIT")+GETPIVOTDATA("Sum of Order Quantity",'August 2024'!Q691,"Line Item Name","CC-AC-CLAMP-MJMKII-KIT")</f>
        <v>43</v>
      </c>
      <c r="J22" s="165">
        <f>SUM('September 2024'!R697:R699,GETPIVOTDATA("Sum of Order Quantity",'September 2024'!Q681,"Line Item Name","CC-AC-BM-KIT"))+8</f>
        <v>38</v>
      </c>
      <c r="K22" s="166"/>
      <c r="L22" s="166"/>
      <c r="M22" s="166"/>
      <c r="N22" s="167">
        <f>SUM(B22:M22)</f>
        <v>311</v>
      </c>
      <c r="O22" s="168"/>
    </row>
    <row r="23" ht="15.1" customHeight="1">
      <c r="A23" t="s" s="163">
        <v>3258</v>
      </c>
      <c r="B23" s="164">
        <f>GETPIVOTDATA("Sum of Order Quantity",'January 2024'!P374,"Line Item Name","CC-CTC-20")</f>
        <v>16</v>
      </c>
      <c r="C23" s="165">
        <f>GETPIVOTDATA("Sum of Order Quantity",'February 2024'!P465,"Line Item Name","CC-CTC-20")</f>
        <v>29</v>
      </c>
      <c r="D23" s="165">
        <f>GETPIVOTDATA("Sum of Order Quantity",'March 2024'!P474,"Line Item Name","CC-CTC-20")</f>
        <v>27</v>
      </c>
      <c r="E23" s="165">
        <f>GETPIVOTDATA("Sum of Order Quantity",'April 2024'!P568,"Line Item Name","CC-CTC-20")</f>
        <v>25</v>
      </c>
      <c r="F23" s="165">
        <f>GETPIVOTDATA("Sum of Order Quantity",'May 2024'!P1279,"Line Item Name","CC-CTC-20")</f>
        <v>35</v>
      </c>
      <c r="G23" s="165">
        <f>GETPIVOTDATA("Sum of Order Quantity",'June 2024'!P554,"Line Item Name","CC-CTC-20")</f>
        <v>53</v>
      </c>
      <c r="H23" s="165">
        <f>GETPIVOTDATA("Sum of Order Quantity",'July 2024'!S1330,"Line Item Name","CC-CTC-20")</f>
        <v>26</v>
      </c>
      <c r="I23" s="165">
        <f>GETPIVOTDATA("Sum of Order Quantity",'August 2024'!Q691,"Line Item Name","CC-CTC-20")</f>
        <v>52</v>
      </c>
      <c r="J23" s="165">
        <f>GETPIVOTDATA("Sum of Order Quantity",'September 2024'!Q681,"Line Item Name","CC-CTC-20")</f>
        <v>39</v>
      </c>
      <c r="K23" s="166"/>
      <c r="L23" s="166"/>
      <c r="M23" s="166"/>
      <c r="N23" s="167">
        <f>SUM(B23:M23)</f>
        <v>302</v>
      </c>
      <c r="O23" s="169">
        <f>SUM(N23:N24)</f>
        <v>489</v>
      </c>
    </row>
    <row r="24" ht="15.1" customHeight="1">
      <c r="A24" t="s" s="163">
        <v>3259</v>
      </c>
      <c r="B24" s="164">
        <f>GETPIVOTDATA("Sum of Order Quantity",'January 2024'!P374,"Line Item Name","CC-CTC-50")</f>
        <v>16</v>
      </c>
      <c r="C24" s="165">
        <f>GETPIVOTDATA("Sum of Order Quantity",'February 2024'!P465,"Line Item Name","CC-CTC-50")</f>
        <v>11</v>
      </c>
      <c r="D24" s="165">
        <f>GETPIVOTDATA("Sum of Order Quantity",'March 2024'!P474,"Line Item Name","CC-CTC-50")</f>
        <v>29</v>
      </c>
      <c r="E24" s="165">
        <f>GETPIVOTDATA("Sum of Order Quantity",'April 2024'!P568,"Line Item Name","CC-CTC-50")</f>
        <v>49</v>
      </c>
      <c r="F24" s="165">
        <f>GETPIVOTDATA("Sum of Order Quantity",'May 2024'!P1279,"Line Item Name","CC-CTC-50")</f>
        <v>7</v>
      </c>
      <c r="G24" s="165">
        <f>GETPIVOTDATA("Sum of Order Quantity",'June 2024'!P554,"Line Item Name","CC-CTC-50")</f>
        <v>14</v>
      </c>
      <c r="H24" s="165">
        <f>GETPIVOTDATA("Sum of Order Quantity",'July 2024'!S1330,"Line Item Name","CC-CTC-50")</f>
        <v>18</v>
      </c>
      <c r="I24" s="165">
        <f>GETPIVOTDATA("Sum of Order Quantity",'August 2024'!Q691,"Line Item Name","CC-CTC-50")</f>
        <v>16</v>
      </c>
      <c r="J24" s="165">
        <f>GETPIVOTDATA("Sum of Order Quantity",'September 2024'!Q681,"Line Item Name","CC-CTC-50")</f>
        <v>27</v>
      </c>
      <c r="K24" s="166"/>
      <c r="L24" s="166"/>
      <c r="M24" s="166"/>
      <c r="N24" s="167">
        <f>SUM(B24:M24)</f>
        <v>187</v>
      </c>
      <c r="O24" s="170"/>
    </row>
    <row r="25" ht="15.1" customHeight="1">
      <c r="A25" t="s" s="163">
        <v>346</v>
      </c>
      <c r="B25" s="164">
        <f>GETPIVOTDATA("Sum of Order Quantity",'January 2024'!P374,"Line Item Name","CC-AC-TC")</f>
        <v>1</v>
      </c>
      <c r="C25" s="165">
        <f>GETPIVOTDATA("Sum of Order Quantity",'February 2024'!P465,"Line Item Name","CC-AC-TC")</f>
        <v>2</v>
      </c>
      <c r="D25" s="165">
        <f>0</f>
        <v>0</v>
      </c>
      <c r="E25" s="165">
        <f>GETPIVOTDATA("Sum of Order Quantity",'April 2024'!P568,"Line Item Name","CC-AC-TC")</f>
        <v>1</v>
      </c>
      <c r="F25" s="165">
        <f>0</f>
        <v>0</v>
      </c>
      <c r="G25" s="165">
        <f>GETPIVOTDATA("Sum of Order Quantity",'June 2024'!P554,"Line Item Name","CC-AC-TC")</f>
        <v>5</v>
      </c>
      <c r="H25" s="165">
        <f>GETPIVOTDATA("Sum of Order Quantity",'July 2024'!S1330,"Line Item Name","CC-AC-TC")</f>
        <v>5</v>
      </c>
      <c r="I25" s="165">
        <f>GETPIVOTDATA("Sum of Order Quantity",'August 2024'!Q691,"Line Item Name","CC-AC-TC")</f>
        <v>3</v>
      </c>
      <c r="J25" s="165">
        <f>GETPIVOTDATA("Sum of Order Quantity",'September 2024'!Q681,"Line Item Name","CC-AC-TC")</f>
        <v>5</v>
      </c>
      <c r="K25" s="166"/>
      <c r="L25" s="166"/>
      <c r="M25" s="166"/>
      <c r="N25" s="167">
        <f>SUM(B25:M25)</f>
        <v>22</v>
      </c>
      <c r="O25" s="168"/>
    </row>
    <row r="26" ht="15.1" customHeight="1">
      <c r="A26" t="s" s="163">
        <v>3260</v>
      </c>
      <c r="B26" s="164">
        <v>0</v>
      </c>
      <c r="C26" s="165">
        <f>GETPIVOTDATA("Sum of Order Quantity",'February 2024'!P465,"Line Item Name","CC-VV-KIT")</f>
        <v>51</v>
      </c>
      <c r="D26" s="165">
        <f>GETPIVOTDATA("Sum of Order Quantity",'March 2024'!P474,"Line Item Name","CC-VV-KIT")</f>
        <v>15</v>
      </c>
      <c r="E26" s="165">
        <f>GETPIVOTDATA("Sum of Order Quantity",'April 2024'!P568,"Line Item Name","CC-VV-KIT")</f>
        <v>25</v>
      </c>
      <c r="F26" s="165">
        <f>GETPIVOTDATA("Sum of Order Quantity",'May 2024'!P1279,"Line Item Name","CC-VV-KIT")</f>
        <v>40</v>
      </c>
      <c r="G26" s="165">
        <f>GETPIVOTDATA("Sum of Order Quantity",'June 2024'!P554,"Line Item Name","CC-VV-KIT")</f>
        <v>14</v>
      </c>
      <c r="H26" s="165">
        <f>GETPIVOTDATA("Sum of Order Quantity",'July 2024'!S1330,"Line Item Name","CC-VV-KIT")</f>
        <v>20</v>
      </c>
      <c r="I26" s="165">
        <f>GETPIVOTDATA("Sum of Order Quantity",'August 2024'!Q691,"Line Item Name","CC-VV-KIT")</f>
        <v>11</v>
      </c>
      <c r="J26" s="165">
        <f>GETPIVOTDATA("Sum of Order Quantity",'September 2024'!Q681,"Line Item Name","CC-VV-KIT")</f>
        <v>14</v>
      </c>
      <c r="K26" s="166"/>
      <c r="L26" s="166"/>
      <c r="M26" s="166"/>
      <c r="N26" s="167">
        <f>SUM(B26:M26)</f>
        <v>190</v>
      </c>
      <c r="O26" s="168"/>
    </row>
    <row r="27" ht="15.1" customHeight="1">
      <c r="A27" t="s" s="163">
        <v>3261</v>
      </c>
      <c r="B27" s="164">
        <f>GETPIVOTDATA("Sum of Order Quantity",'January 2024'!P374,"Line Item Name","CC-RC-2430")</f>
        <v>2</v>
      </c>
      <c r="C27" s="165">
        <f>GETPIVOTDATA("Sum of Order Quantity",'February 2024'!P465,"Line Item Name","CC-RC-2430")</f>
        <v>1</v>
      </c>
      <c r="D27" s="165">
        <f>GETPIVOTDATA("Sum of Order Quantity",'March 2024'!P474,"Line Item Name","CC-RC-2430")</f>
        <v>4</v>
      </c>
      <c r="E27" s="165">
        <f>GETPIVOTDATA("Sum of Order Quantity",'April 2024'!P568,"Line Item Name","CC-RC-2430")</f>
        <v>7</v>
      </c>
      <c r="F27" s="165">
        <f>GETPIVOTDATA("Sum of Order Quantity",'May 2024'!P1279,"Line Item Name","CC-RC-2430")</f>
        <v>5</v>
      </c>
      <c r="G27" s="165">
        <f>GETPIVOTDATA("Sum of Order Quantity",'June 2024'!P554,"Line Item Name","CC-RC-2430")</f>
        <v>1</v>
      </c>
      <c r="H27" s="165">
        <f>GETPIVOTDATA("Sum of Order Quantity",'July 2024'!S1330,"Line Item Name","CC-RC-2430")</f>
        <v>1</v>
      </c>
      <c r="I27" s="165">
        <f>GETPIVOTDATA("Sum of Order Quantity",'August 2024'!Q691,"Line Item Name","CC-RC-2430")</f>
        <v>4</v>
      </c>
      <c r="J27" s="165">
        <f>GETPIVOTDATA("Sum of Order Quantity",'September 2024'!Q681,"Line Item Name","CC-RC-2430")</f>
        <v>1</v>
      </c>
      <c r="K27" s="166"/>
      <c r="L27" s="166"/>
      <c r="M27" s="166"/>
      <c r="N27" s="167">
        <f>SUM(B27:M27)</f>
        <v>26</v>
      </c>
      <c r="O27" s="168"/>
    </row>
    <row r="28" ht="15.1" customHeight="1">
      <c r="A28" t="s" s="163">
        <v>3262</v>
      </c>
      <c r="B28" s="164">
        <f>GETPIVOTDATA("Sum of Order Quantity",'January 2024'!P374,"Line Item Name","CC-AC-LA2")</f>
        <v>1</v>
      </c>
      <c r="C28" s="165">
        <f>GETPIVOTDATA("Sum of Order Quantity",'February 2024'!P465,"Line Item Name","CC-AC-LA2")</f>
        <v>9</v>
      </c>
      <c r="D28" s="165">
        <f>GETPIVOTDATA("Sum of Order Quantity",'March 2024'!P474,"Line Item Name","CC-AC-LA2")</f>
        <v>8</v>
      </c>
      <c r="E28" s="165">
        <f>GETPIVOTDATA("Sum of Order Quantity",'April 2024'!P568,"Line Item Name","CC-AC-LA2")</f>
        <v>11</v>
      </c>
      <c r="F28" s="165">
        <f>GETPIVOTDATA("Sum of Order Quantity",'May 2024'!P1279,"Line Item Name","CC-AC-LA2")</f>
        <v>16</v>
      </c>
      <c r="G28" s="165">
        <f>SUM('June 2024'!Q570:Q571)</f>
        <v>23</v>
      </c>
      <c r="H28" s="165">
        <f>SUM('July 2024'!T1365:T1366)</f>
        <v>12</v>
      </c>
      <c r="I28" s="165">
        <f>GETPIVOTDATA("Sum of Order Quantity",'August 2024'!Q691,"Line Item Name","CC-AC-LA2")</f>
        <v>17</v>
      </c>
      <c r="J28" s="165">
        <f>GETPIVOTDATA("Sum of Order Quantity",'September 2024'!Q681,"Line Item Name","CC-AC-LA2")</f>
        <v>26</v>
      </c>
      <c r="K28" s="166"/>
      <c r="L28" s="166"/>
      <c r="M28" s="166"/>
      <c r="N28" s="167">
        <f>SUM(B28:M28)</f>
        <v>123</v>
      </c>
      <c r="O28" s="168"/>
    </row>
    <row r="29" ht="15.1" customHeight="1">
      <c r="A29" t="s" s="163">
        <v>63</v>
      </c>
      <c r="B29" s="164">
        <f>SUM('January 2024'!Q377:Q379)</f>
        <v>17</v>
      </c>
      <c r="C29" s="165">
        <f>SUM('February 2024'!Q562:Q563)</f>
        <v>29</v>
      </c>
      <c r="D29" s="165">
        <f>SUM('March 2024'!Q557:Q558)</f>
        <v>15</v>
      </c>
      <c r="E29" s="165">
        <f>SUM('April 2024'!Q576:Q577)</f>
        <v>31</v>
      </c>
      <c r="F29" s="165">
        <f>GETPIVOTDATA("Sum of Order Quantity",'May 2024'!P1279,"Line Item Name","Shipping Charges")+GETPIVOTDATA("Sum of Order Quantity",'May 2024'!P1279,"Line Item Name","Shipping Fees")</f>
        <v>26</v>
      </c>
      <c r="G29" s="165">
        <f>GETPIVOTDATA("Sum of Order Quantity",'June 2024'!P554,"Line Item Name","Shipping Fees")+GETPIVOTDATA("Sum of Order Quantity",'June 2024'!P554,"Line Item Name","Shipping Charges")+GETPIVOTDATA("Sum of Order Quantity",'June 2024'!P554,"Line Item Name","Air Freight")</f>
        <v>33</v>
      </c>
      <c r="H29" s="165">
        <f>SUM('July 2024'!T1445:T1446)</f>
        <v>23</v>
      </c>
      <c r="I29" s="165">
        <f>GETPIVOTDATA("Sum of Order Quantity",'August 2024'!Q691,"Line Item Name","Shipping Charges")+GETPIVOTDATA("Sum of Order Quantity",'August 2024'!Q691,"Line Item Name","Shipping Fees")</f>
        <v>30</v>
      </c>
      <c r="J29" s="165">
        <f>SUM('September 2024'!R782:R783)</f>
        <v>20</v>
      </c>
      <c r="K29" s="166"/>
      <c r="L29" s="166"/>
      <c r="M29" s="166"/>
      <c r="N29" s="167">
        <f>SUM(B29:M29)</f>
        <v>224</v>
      </c>
      <c r="O29" s="168"/>
    </row>
    <row r="30" ht="15.1" customHeight="1">
      <c r="A30" t="s" s="163">
        <v>3263</v>
      </c>
      <c r="B30" s="164">
        <f>GETPIVOTDATA("Sum of Order Quantity",'January 2024'!P374,"Line Item Name","CC-RC-2430-PJI")</f>
        <v>6</v>
      </c>
      <c r="C30" s="165">
        <f>GETPIVOTDATA("Sum of Order Quantity",'February 2024'!P465,"Line Item Name","CC-RC-2430-PJI")</f>
        <v>2</v>
      </c>
      <c r="D30" s="165">
        <f>GETPIVOTDATA("Sum of Order Quantity",'March 2024'!P474,"Line Item Name","CC-RC-2430-PJI")</f>
        <v>6</v>
      </c>
      <c r="E30" s="165">
        <f>GETPIVOTDATA("Sum of Order Quantity",'April 2024'!P568,"Line Item Name","CC-RC-2430-PJI")</f>
        <v>14</v>
      </c>
      <c r="F30" s="165">
        <f>GETPIVOTDATA("Sum of Order Quantity",'May 2024'!P1279,"Line Item Name","CC-RC-2430-PJI")</f>
        <v>8</v>
      </c>
      <c r="G30" s="165">
        <f>GETPIVOTDATA("Sum of Order Quantity",'June 2024'!P554,"Line Item Name","CC-RC-2430-PJI")</f>
        <v>2</v>
      </c>
      <c r="H30" s="165">
        <f>GETPIVOTDATA("Sum of Order Quantity",'July 2024'!S1330,"Line Item Name","CC-RC-2430-PJI")</f>
        <v>3</v>
      </c>
      <c r="I30" s="165">
        <f>GETPIVOTDATA("Sum of Order Quantity",'August 2024'!Q691,"Line Item Name","CC-RC-2430-PJI")</f>
        <v>6</v>
      </c>
      <c r="J30" s="165">
        <f>GETPIVOTDATA("Sum of Order Quantity",'September 2024'!Q681,"Line Item Name","CC-RC-2430-PJI")</f>
        <v>3</v>
      </c>
      <c r="K30" s="166"/>
      <c r="L30" s="166"/>
      <c r="M30" s="166"/>
      <c r="N30" s="167">
        <f>SUM(B30:M30)</f>
        <v>50</v>
      </c>
      <c r="O30" s="168"/>
    </row>
    <row r="31" ht="15.1" customHeight="1">
      <c r="A31" t="s" s="163">
        <v>3264</v>
      </c>
      <c r="B31" s="164">
        <v>0</v>
      </c>
      <c r="C31" s="165">
        <f>GETPIVOTDATA("Sum of Order Quantity",'February 2024'!P465,"Line Item Name","CC-RC-2430-LAI")</f>
        <v>1</v>
      </c>
      <c r="D31" s="165">
        <v>0</v>
      </c>
      <c r="E31" s="165">
        <f>GETPIVOTDATA("Sum of Order Quantity",'April 2024'!P568,"Line Item Name","CC-RC-2430-LAI")</f>
        <v>7</v>
      </c>
      <c r="F31" s="165">
        <f>GETPIVOTDATA("Sum of Order Quantity",'May 2024'!P1279,"Line Item Name","CC-RC-2430-LAI")</f>
        <v>4</v>
      </c>
      <c r="G31" s="165">
        <f>GETPIVOTDATA("Sum of Order Quantity",'June 2024'!P554,"Line Item Name","CC-RC-2430-LAI")</f>
        <v>1</v>
      </c>
      <c r="H31" s="165">
        <f t="shared" si="26"/>
        <v>0</v>
      </c>
      <c r="I31" s="165">
        <f t="shared" si="26"/>
        <v>0</v>
      </c>
      <c r="J31" s="165">
        <v>0</v>
      </c>
      <c r="K31" s="166"/>
      <c r="L31" s="166"/>
      <c r="M31" s="166"/>
      <c r="N31" s="167">
        <f>SUM(B31:M31)</f>
        <v>13</v>
      </c>
      <c r="O31" s="168"/>
    </row>
    <row r="32" ht="15.1" customHeight="1">
      <c r="A32" t="s" s="163">
        <v>3265</v>
      </c>
      <c r="B32" s="164">
        <v>0</v>
      </c>
      <c r="C32" s="165">
        <v>0</v>
      </c>
      <c r="D32" s="165">
        <v>0</v>
      </c>
      <c r="E32" s="165">
        <v>0</v>
      </c>
      <c r="F32" s="165">
        <f>GETPIVOTDATA("Sum of Order Quantity",'May 2024'!P1279,"Line Item Name","CC-RC-2430-QJF")</f>
        <v>1</v>
      </c>
      <c r="G32" s="165">
        <f>GETPIVOTDATA("Sum of Order Quantity",'June 2024'!P554,"Line Item Name","CC-RC-2430-QJF")</f>
        <v>2</v>
      </c>
      <c r="H32" s="165">
        <f>GETPIVOTDATA("Sum of Order Quantity",'July 2024'!S1330,"Line Item Name","CC-RC-2430-QJF")</f>
        <v>1</v>
      </c>
      <c r="I32" s="165">
        <f>GETPIVOTDATA("Sum of Order Quantity",'August 2024'!Q691,"Line Item Name","CC-RC-2430-QJF")</f>
        <v>2</v>
      </c>
      <c r="J32" s="165">
        <v>0</v>
      </c>
      <c r="K32" s="166"/>
      <c r="L32" s="166"/>
      <c r="M32" s="166"/>
      <c r="N32" s="167">
        <f>SUM(B32:M32)</f>
        <v>6</v>
      </c>
      <c r="O32" s="168"/>
    </row>
    <row r="33" ht="15.1" customHeight="1">
      <c r="A33" s="171"/>
      <c r="B33" s="172"/>
      <c r="C33" s="173"/>
      <c r="D33" s="173"/>
      <c r="E33" s="173"/>
      <c r="F33" t="s" s="174">
        <v>3266</v>
      </c>
      <c r="G33" s="16"/>
      <c r="H33" s="16"/>
      <c r="I33" s="16"/>
      <c r="J33" s="173"/>
      <c r="K33" s="173"/>
      <c r="L33" s="173"/>
      <c r="M33" s="173"/>
      <c r="N33" s="175"/>
      <c r="O33" s="176"/>
    </row>
    <row r="34" ht="15.1" customHeight="1">
      <c r="A34" s="177"/>
      <c r="B34" t="s" s="178">
        <v>3267</v>
      </c>
      <c r="C34" s="179"/>
      <c r="D34" s="180"/>
      <c r="E34" s="179"/>
      <c r="F34" s="166"/>
      <c r="G34" s="166"/>
      <c r="H34" s="166"/>
      <c r="I34" s="166"/>
      <c r="J34" s="166"/>
      <c r="K34" s="166"/>
      <c r="L34" s="166"/>
      <c r="M34" s="166"/>
      <c r="N34" s="181"/>
      <c r="O34" s="182"/>
    </row>
    <row r="35" ht="15.1" customHeight="1">
      <c r="A35" t="s" s="183">
        <v>3238</v>
      </c>
      <c r="B35" s="184"/>
      <c r="C35" s="185"/>
      <c r="D35" s="186"/>
      <c r="E35" s="187"/>
      <c r="F35" s="188"/>
      <c r="G35" s="189"/>
      <c r="H35" s="189"/>
      <c r="I35" s="189"/>
      <c r="J35" s="189"/>
      <c r="K35" s="189"/>
      <c r="L35" s="189"/>
      <c r="M35" s="189"/>
      <c r="N35" s="190"/>
      <c r="O35" s="191"/>
    </row>
    <row r="36" ht="15.1" customHeight="1">
      <c r="A36" t="s" s="183">
        <v>3239</v>
      </c>
      <c r="B36" s="184"/>
      <c r="C36" s="192"/>
      <c r="D36" s="186"/>
      <c r="E36" s="192"/>
      <c r="F36" s="193"/>
      <c r="G36" s="189"/>
      <c r="H36" s="189"/>
      <c r="I36" s="189"/>
      <c r="J36" s="189"/>
      <c r="K36" s="189"/>
      <c r="L36" s="189"/>
      <c r="M36" s="189"/>
      <c r="N36" s="190"/>
      <c r="O36" s="191"/>
    </row>
    <row r="37" ht="15.1" customHeight="1">
      <c r="A37" t="s" s="183">
        <v>3240</v>
      </c>
      <c r="B37" s="184">
        <f>N5/O5</f>
        <v>0.194481830417227</v>
      </c>
      <c r="C37" s="192"/>
      <c r="D37" s="194"/>
      <c r="E37" s="192"/>
      <c r="F37" s="192"/>
      <c r="G37" s="195"/>
      <c r="H37" s="189"/>
      <c r="I37" s="189"/>
      <c r="J37" s="189"/>
      <c r="K37" s="189"/>
      <c r="L37" s="189"/>
      <c r="M37" s="189"/>
      <c r="N37" s="190"/>
      <c r="O37" s="191"/>
    </row>
    <row r="38" ht="15.1" customHeight="1">
      <c r="A38" t="s" s="183">
        <v>3268</v>
      </c>
      <c r="B38" s="184">
        <f>N6/O5</f>
        <v>0.160834454912517</v>
      </c>
      <c r="C38" s="185"/>
      <c r="D38" s="196"/>
      <c r="E38" s="187"/>
      <c r="F38" s="197"/>
      <c r="G38" s="189"/>
      <c r="H38" s="189"/>
      <c r="I38" s="189"/>
      <c r="J38" s="189"/>
      <c r="K38" s="189"/>
      <c r="L38" s="189"/>
      <c r="M38" s="189"/>
      <c r="N38" s="190"/>
      <c r="O38" s="191"/>
    </row>
    <row r="39" ht="15.1" customHeight="1">
      <c r="A39" t="s" s="183">
        <v>3242</v>
      </c>
      <c r="B39" s="198">
        <f>N7/O5</f>
        <v>0.0625841184387618</v>
      </c>
      <c r="C39" s="192"/>
      <c r="D39" s="196"/>
      <c r="E39" s="192"/>
      <c r="F39" s="193"/>
      <c r="G39" s="189"/>
      <c r="H39" s="189"/>
      <c r="I39" s="189"/>
      <c r="J39" s="189"/>
      <c r="K39" s="189"/>
      <c r="L39" s="189"/>
      <c r="M39" s="189"/>
      <c r="N39" s="190"/>
      <c r="O39" s="191"/>
    </row>
    <row r="40" ht="15.1" customHeight="1">
      <c r="A40" t="s" s="183">
        <v>3243</v>
      </c>
      <c r="B40" s="199"/>
      <c r="C40" s="192"/>
      <c r="D40" s="196"/>
      <c r="E40" s="192"/>
      <c r="F40" s="192"/>
      <c r="G40" s="195"/>
      <c r="H40" s="189"/>
      <c r="I40" s="189"/>
      <c r="J40" s="189"/>
      <c r="K40" s="189"/>
      <c r="L40" s="189"/>
      <c r="M40" s="189"/>
      <c r="N40" s="190"/>
      <c r="O40" s="191"/>
    </row>
    <row r="41" ht="15.1" customHeight="1">
      <c r="A41" t="s" s="183">
        <v>3244</v>
      </c>
      <c r="B41" s="199">
        <f>N9/O5</f>
        <v>0.0437415881561238</v>
      </c>
      <c r="C41" s="185"/>
      <c r="D41" s="196"/>
      <c r="E41" s="187"/>
      <c r="F41" s="200"/>
      <c r="G41" s="195"/>
      <c r="H41" s="189"/>
      <c r="I41" s="189"/>
      <c r="J41" s="189"/>
      <c r="K41" s="189"/>
      <c r="L41" s="189"/>
      <c r="M41" s="189"/>
      <c r="N41" s="190"/>
      <c r="O41" s="191"/>
    </row>
    <row r="42" ht="15.1" customHeight="1">
      <c r="A42" t="s" s="183">
        <v>3245</v>
      </c>
      <c r="B42" s="199">
        <f>N10/O5</f>
        <v>0.0262449528936743</v>
      </c>
      <c r="C42" s="185"/>
      <c r="D42" s="196"/>
      <c r="E42" s="187"/>
      <c r="F42" s="200"/>
      <c r="G42" s="195"/>
      <c r="H42" s="189"/>
      <c r="I42" s="189"/>
      <c r="J42" s="189"/>
      <c r="K42" s="189"/>
      <c r="L42" s="189"/>
      <c r="M42" s="189"/>
      <c r="N42" s="190"/>
      <c r="O42" s="191"/>
    </row>
    <row r="43" ht="15.1" customHeight="1">
      <c r="A43" t="s" s="183">
        <v>3246</v>
      </c>
      <c r="B43" s="201">
        <f>N11/O5</f>
        <v>0.0215343203230148</v>
      </c>
      <c r="C43" s="185"/>
      <c r="D43" s="202"/>
      <c r="E43" s="187"/>
      <c r="F43" s="203"/>
      <c r="G43" s="195"/>
      <c r="H43" s="189"/>
      <c r="I43" s="189"/>
      <c r="J43" s="189"/>
      <c r="K43" s="189"/>
      <c r="L43" s="189"/>
      <c r="M43" s="189"/>
      <c r="N43" s="190"/>
      <c r="O43" s="191"/>
    </row>
    <row r="44" ht="15.1" customHeight="1">
      <c r="A44" t="s" s="204">
        <v>3247</v>
      </c>
      <c r="B44" s="184">
        <f>N12/O5</f>
        <v>0.117092866756393</v>
      </c>
      <c r="C44" s="192"/>
      <c r="D44" s="194"/>
      <c r="E44" s="192"/>
      <c r="F44" s="205"/>
      <c r="G44" s="195"/>
      <c r="H44" s="189"/>
      <c r="I44" s="189"/>
      <c r="J44" s="189"/>
      <c r="K44" s="189"/>
      <c r="L44" s="189"/>
      <c r="M44" s="189"/>
      <c r="N44" s="190"/>
      <c r="O44" s="191"/>
    </row>
    <row r="45" ht="15.1" customHeight="1">
      <c r="A45" t="s" s="206">
        <v>3248</v>
      </c>
      <c r="B45" s="184">
        <f>N13/O5</f>
        <v>0.0107671601615074</v>
      </c>
      <c r="C45" s="192"/>
      <c r="D45" s="196"/>
      <c r="E45" s="192"/>
      <c r="F45" s="192"/>
      <c r="G45" s="195"/>
      <c r="H45" s="189"/>
      <c r="I45" s="189"/>
      <c r="J45" s="189"/>
      <c r="K45" s="189"/>
      <c r="L45" s="189"/>
      <c r="M45" s="189"/>
      <c r="N45" s="190"/>
      <c r="O45" s="191"/>
    </row>
    <row r="46" ht="15.1" customHeight="1">
      <c r="A46" t="s" s="207">
        <v>3249</v>
      </c>
      <c r="B46" s="184">
        <f>N14/O5</f>
        <v>0.144683714670256</v>
      </c>
      <c r="C46" s="185"/>
      <c r="D46" s="196"/>
      <c r="E46" s="187"/>
      <c r="F46" s="200"/>
      <c r="G46" s="195"/>
      <c r="H46" s="189"/>
      <c r="I46" s="189"/>
      <c r="J46" s="189"/>
      <c r="K46" s="189"/>
      <c r="L46" s="189"/>
      <c r="M46" s="189"/>
      <c r="N46" s="190"/>
      <c r="O46" s="191"/>
    </row>
    <row r="47" ht="15.1" customHeight="1">
      <c r="A47" t="s" s="183">
        <v>3250</v>
      </c>
      <c r="B47" s="184">
        <f>N15/O5</f>
        <v>0.053835800807537</v>
      </c>
      <c r="C47" s="192"/>
      <c r="D47" s="196"/>
      <c r="E47" s="192"/>
      <c r="F47" s="208"/>
      <c r="G47" s="189"/>
      <c r="H47" s="189"/>
      <c r="I47" s="189"/>
      <c r="J47" s="189"/>
      <c r="K47" s="189"/>
      <c r="L47" s="189"/>
      <c r="M47" s="189"/>
      <c r="N47" s="190"/>
      <c r="O47" s="191"/>
    </row>
    <row r="48" ht="15.1" customHeight="1">
      <c r="A48" t="s" s="183">
        <v>3251</v>
      </c>
      <c r="B48" s="184">
        <f>N16/O5</f>
        <v>0.164199192462988</v>
      </c>
      <c r="C48" s="192"/>
      <c r="D48" s="196"/>
      <c r="E48" s="192"/>
      <c r="F48" s="193"/>
      <c r="G48" s="189"/>
      <c r="H48" s="189"/>
      <c r="I48" s="189"/>
      <c r="J48" s="189"/>
      <c r="K48" s="189"/>
      <c r="L48" s="189"/>
      <c r="M48" s="189"/>
      <c r="N48" s="190"/>
      <c r="O48" s="191"/>
    </row>
    <row r="49" ht="15.1" customHeight="1">
      <c r="A49" t="s" s="183">
        <v>3252</v>
      </c>
      <c r="B49" s="198"/>
      <c r="C49" s="192"/>
      <c r="D49" s="202"/>
      <c r="E49" s="192"/>
      <c r="F49" s="192"/>
      <c r="G49" s="195"/>
      <c r="H49" s="189"/>
      <c r="I49" s="189"/>
      <c r="J49" s="189"/>
      <c r="K49" s="189"/>
      <c r="L49" s="189"/>
      <c r="M49" s="189"/>
      <c r="N49" s="190"/>
      <c r="O49" s="191"/>
    </row>
    <row r="50" ht="15.1" customHeight="1">
      <c r="A50" t="s" s="183">
        <v>3253</v>
      </c>
      <c r="B50" s="199"/>
      <c r="C50" s="192"/>
      <c r="D50" s="194"/>
      <c r="E50" s="192"/>
      <c r="F50" s="192"/>
      <c r="G50" s="195"/>
      <c r="H50" s="189"/>
      <c r="I50" s="189"/>
      <c r="J50" s="189"/>
      <c r="K50" s="189"/>
      <c r="L50" s="189"/>
      <c r="M50" s="189"/>
      <c r="N50" s="190"/>
      <c r="O50" s="191"/>
    </row>
    <row r="51" ht="15.1" customHeight="1">
      <c r="A51" t="s" s="183">
        <v>3269</v>
      </c>
      <c r="B51" s="199"/>
      <c r="C51" s="209"/>
      <c r="D51" s="196"/>
      <c r="E51" s="210"/>
      <c r="F51" s="200"/>
      <c r="G51" s="195"/>
      <c r="H51" s="189"/>
      <c r="I51" s="189"/>
      <c r="J51" s="189"/>
      <c r="K51" s="189"/>
      <c r="L51" s="189"/>
      <c r="M51" s="189"/>
      <c r="N51" s="190"/>
      <c r="O51" s="191"/>
    </row>
    <row r="52" ht="15.1" customHeight="1">
      <c r="A52" t="s" s="183">
        <v>3255</v>
      </c>
      <c r="B52" s="199"/>
      <c r="C52" s="170"/>
      <c r="D52" s="196"/>
      <c r="E52" s="170"/>
      <c r="F52" s="192"/>
      <c r="G52" s="195"/>
      <c r="H52" s="189"/>
      <c r="I52" s="189"/>
      <c r="J52" s="189"/>
      <c r="K52" s="189"/>
      <c r="L52" s="189"/>
      <c r="M52" s="189"/>
      <c r="N52" s="190"/>
      <c r="O52" s="191"/>
    </row>
    <row r="53" ht="15.1" customHeight="1">
      <c r="A53" t="s" s="183">
        <v>3257</v>
      </c>
      <c r="B53" s="199"/>
      <c r="C53" s="205"/>
      <c r="D53" s="196"/>
      <c r="E53" s="205"/>
      <c r="F53" s="192"/>
      <c r="G53" s="195"/>
      <c r="H53" s="189"/>
      <c r="I53" s="189"/>
      <c r="J53" s="189"/>
      <c r="K53" s="189"/>
      <c r="L53" s="189"/>
      <c r="M53" s="189"/>
      <c r="N53" s="190"/>
      <c r="O53" s="191"/>
    </row>
    <row r="54" ht="15.1" customHeight="1">
      <c r="A54" t="s" s="183">
        <v>3258</v>
      </c>
      <c r="B54" s="201">
        <f>N23/O23</f>
        <v>0.61758691206544</v>
      </c>
      <c r="C54" s="185"/>
      <c r="D54" s="196"/>
      <c r="E54" s="187"/>
      <c r="F54" s="200"/>
      <c r="G54" s="195"/>
      <c r="H54" s="189"/>
      <c r="I54" s="189"/>
      <c r="J54" s="189"/>
      <c r="K54" s="189"/>
      <c r="L54" s="189"/>
      <c r="M54" s="189"/>
      <c r="N54" s="190"/>
      <c r="O54" s="191"/>
    </row>
    <row r="55" ht="15.1" customHeight="1">
      <c r="A55" t="s" s="204">
        <v>3259</v>
      </c>
      <c r="B55" s="184">
        <f>N24/O23</f>
        <v>0.38241308793456</v>
      </c>
      <c r="C55" s="192"/>
      <c r="D55" s="202"/>
      <c r="E55" s="192"/>
      <c r="F55" s="208"/>
      <c r="G55" s="189"/>
      <c r="H55" s="189"/>
      <c r="I55" s="189"/>
      <c r="J55" s="189"/>
      <c r="K55" s="189"/>
      <c r="L55" s="189"/>
      <c r="M55" s="189"/>
      <c r="N55" s="190"/>
      <c r="O55" s="191"/>
    </row>
    <row r="56" ht="15.1" customHeight="1">
      <c r="A56" t="s" s="206">
        <v>346</v>
      </c>
      <c r="B56" s="184"/>
      <c r="C56" s="192"/>
      <c r="D56" s="186"/>
      <c r="E56" s="192"/>
      <c r="F56" s="211"/>
      <c r="G56" s="189"/>
      <c r="H56" s="189"/>
      <c r="I56" s="189"/>
      <c r="J56" s="189"/>
      <c r="K56" s="189"/>
      <c r="L56" s="189"/>
      <c r="M56" s="189"/>
      <c r="N56" s="190"/>
      <c r="O56" s="191"/>
    </row>
    <row r="57" ht="15.1" customHeight="1">
      <c r="A57" t="s" s="206">
        <v>3260</v>
      </c>
      <c r="B57" s="184"/>
      <c r="C57" s="192"/>
      <c r="D57" s="186"/>
      <c r="E57" s="192"/>
      <c r="F57" s="211"/>
      <c r="G57" s="189"/>
      <c r="H57" s="189"/>
      <c r="I57" s="189"/>
      <c r="J57" s="189"/>
      <c r="K57" s="189"/>
      <c r="L57" s="189"/>
      <c r="M57" s="189"/>
      <c r="N57" s="190"/>
      <c r="O57" s="191"/>
    </row>
    <row r="58" ht="15.1" customHeight="1">
      <c r="A58" t="s" s="206">
        <v>3261</v>
      </c>
      <c r="B58" s="184"/>
      <c r="C58" s="192"/>
      <c r="D58" s="186"/>
      <c r="E58" s="192"/>
      <c r="F58" s="211"/>
      <c r="G58" s="189"/>
      <c r="H58" s="189"/>
      <c r="I58" s="189"/>
      <c r="J58" s="189"/>
      <c r="K58" s="189"/>
      <c r="L58" s="189"/>
      <c r="M58" s="189"/>
      <c r="N58" s="190"/>
      <c r="O58" s="191"/>
    </row>
    <row r="59" ht="15.1" customHeight="1">
      <c r="A59" t="s" s="206">
        <v>3262</v>
      </c>
      <c r="B59" s="184"/>
      <c r="C59" s="192"/>
      <c r="D59" s="186"/>
      <c r="E59" s="192"/>
      <c r="F59" s="211"/>
      <c r="G59" s="189"/>
      <c r="H59" s="189"/>
      <c r="I59" s="189"/>
      <c r="J59" s="189"/>
      <c r="K59" s="189"/>
      <c r="L59" s="189"/>
      <c r="M59" s="189"/>
      <c r="N59" s="190"/>
      <c r="O59" s="191"/>
    </row>
    <row r="60" ht="17.25" customHeight="1">
      <c r="A60" s="212"/>
      <c r="B60" s="213"/>
      <c r="C60" s="214"/>
      <c r="D60" s="215"/>
      <c r="E60" s="214"/>
      <c r="F60" t="s" s="216">
        <v>3270</v>
      </c>
      <c r="G60" s="16"/>
      <c r="H60" s="16"/>
      <c r="I60" s="16"/>
      <c r="J60" s="215"/>
      <c r="K60" s="215"/>
      <c r="L60" s="215"/>
      <c r="M60" s="215"/>
      <c r="N60" s="217"/>
      <c r="O60" s="218"/>
    </row>
    <row r="61" ht="15.1" customHeight="1">
      <c r="A61" s="219"/>
      <c r="B61" s="220">
        <v>45292</v>
      </c>
      <c r="C61" s="221">
        <v>45323</v>
      </c>
      <c r="D61" s="221">
        <v>45352</v>
      </c>
      <c r="E61" s="221">
        <v>45383</v>
      </c>
      <c r="F61" s="221">
        <v>45413</v>
      </c>
      <c r="G61" s="221">
        <v>45444</v>
      </c>
      <c r="H61" s="221">
        <v>45474</v>
      </c>
      <c r="I61" s="221">
        <v>45505</v>
      </c>
      <c r="J61" s="221">
        <v>45536</v>
      </c>
      <c r="K61" s="221">
        <v>45566</v>
      </c>
      <c r="L61" s="221">
        <v>45597</v>
      </c>
      <c r="M61" s="221">
        <v>45627</v>
      </c>
      <c r="N61" t="s" s="222">
        <v>3237</v>
      </c>
      <c r="O61" s="223"/>
    </row>
    <row r="62" ht="15.1" customHeight="1">
      <c r="A62" t="s" s="163">
        <v>3238</v>
      </c>
      <c r="B62" s="224">
        <f>GETPIVOTDATA("Sum of Total Line Item $",'January 2024'!R465,"Line Item Name","CC-AC-CCL")</f>
        <v>2663.778</v>
      </c>
      <c r="C62" s="225">
        <f>GETPIVOTDATA("Sum of Total Line Item $",'February 2024'!R572,"Line Item Name","CC-AC-CCL")</f>
        <v>3959.67</v>
      </c>
      <c r="D62" s="225">
        <f>GETPIVOTDATA("Sum of Total Line Item $",'March 2024'!R573,"Line Item Name","CC-AC-CCL")</f>
        <v>5639.53</v>
      </c>
      <c r="E62" s="225">
        <f>GETPIVOTDATA("Sum of Total Line Item $",'April 2024'!R692,"Line Item Name","CC-AC-CCL")+239.98</f>
        <v>7919.34</v>
      </c>
      <c r="F62" s="225">
        <f>GETPIVOTDATA("Sum of Total Line Item $",'May 2024'!R1387,"Line Item Name","CC-AC-CCL")</f>
        <v>5994.5</v>
      </c>
      <c r="G62" s="225">
        <f>GETPIVOTDATA("Sum of Total Line Item $",'June 2024'!R658,"Line Item Name","CC-AC-CCL")</f>
        <v>5959.5</v>
      </c>
      <c r="H62" s="225">
        <f>GETPIVOTDATA("Sum of Total Line Item $",'July 2024'!Q1204,"Line Item Name","CC-AC-CCL")</f>
        <v>3635.697</v>
      </c>
      <c r="I62" s="225">
        <f>GETPIVOTDATA("Sum of Total Line Item $",'August 2024'!S811,"Line Item Name","CC-AC-CCL")</f>
        <v>4739.605</v>
      </c>
      <c r="J62" s="225">
        <f>GETPIVOTDATA("Sum of Total Line Item $",'September 2024'!S793,"Line Item Name","CC-AC-CCL")</f>
        <v>9507.206</v>
      </c>
      <c r="K62" s="225"/>
      <c r="L62" s="225"/>
      <c r="M62" s="225"/>
      <c r="N62" s="226">
        <f>SUM(B62:M62)</f>
        <v>50018.826</v>
      </c>
      <c r="O62" s="227"/>
    </row>
    <row r="63" ht="15.1" customHeight="1">
      <c r="A63" t="s" s="163">
        <v>3239</v>
      </c>
      <c r="B63" s="224">
        <f>GETPIVOTDATA("Sum of Total Line Item $",'January 2024'!R465,"Line Item Name","CC-AC-CTS")</f>
        <v>749.85</v>
      </c>
      <c r="C63" s="225">
        <f>GETPIVOTDATA("Sum of Total Line Item $",'February 2024'!R572,"Line Item Name","CC-AC-CTS")</f>
        <v>499.9</v>
      </c>
      <c r="D63" s="225">
        <f>GETPIVOTDATA("Sum of Total Line Item $",'March 2024'!R573,"Line Item Name","CC-AC-CTS")</f>
        <v>299.94</v>
      </c>
      <c r="E63" s="225">
        <f>GETPIVOTDATA("Sum of Total Line Item $",'April 2024'!R692,"Line Item Name","CC-AC-CTS")</f>
        <v>449.91</v>
      </c>
      <c r="F63" s="225">
        <f>GETPIVOTDATA("Sum of Total Line Item $",'May 2024'!R1387,"Line Item Name","CC-AC-CTS")</f>
        <v>487.4025</v>
      </c>
      <c r="G63" s="225">
        <f>SUM('June 2024'!S671:S672)</f>
        <v>374.925</v>
      </c>
      <c r="H63" s="225">
        <f>SUM('July 2024'!R1237:R1238)</f>
        <v>824.835</v>
      </c>
      <c r="I63" s="225">
        <f>SUM('August 2024'!T832:T833)</f>
        <v>524.895</v>
      </c>
      <c r="J63" s="225">
        <f>GETPIVOTDATA("Sum of Total Line Item $",'September 2024'!S793,"Line Item Name","CC-AC-CTS - 1")</f>
        <v>1599.6775</v>
      </c>
      <c r="K63" s="225"/>
      <c r="L63" s="225"/>
      <c r="M63" s="225"/>
      <c r="N63" s="226">
        <f>SUM(B63:M63)</f>
        <v>5811.335</v>
      </c>
      <c r="O63" s="227"/>
    </row>
    <row r="64" ht="15.1" customHeight="1">
      <c r="A64" t="s" s="163">
        <v>3240</v>
      </c>
      <c r="B64" s="228">
        <f>SUM('January 2024'!S506:S507)</f>
        <v>839.72</v>
      </c>
      <c r="C64" s="225">
        <f>GETPIVOTDATA("Sum of Total Line Item $",'February 2024'!R572,"Line Item Name","CC-F-DCHA")</f>
        <v>2699.1</v>
      </c>
      <c r="D64" s="225">
        <f>GETPIVOTDATA("Sum of Total Line Item $",'March 2024'!R573,"Line Item Name","CC-F-DCHA")</f>
        <v>959.6799999999999</v>
      </c>
      <c r="E64" s="225">
        <f>GETPIVOTDATA("Sum of Total Line Item $",'April 2024'!R692,"Line Item Name","CC-F-DCHA")</f>
        <v>149.95</v>
      </c>
      <c r="F64" s="225">
        <f>GETPIVOTDATA("Sum of Total Line Item $",'May 2024'!R1387,"Line Item Name","CC-F-DCHA")</f>
        <v>292.4025</v>
      </c>
      <c r="G64" s="225">
        <f>GETPIVOTDATA("Sum of Total Line Item $",'June 2024'!R658,"Line Item Name","CC-F-DCHA")+GETPIVOTDATA("Sum of Total Line Item $",'June 2024'!R658,"Line Item Name","CC-F-DCHA-F")+GETPIVOTDATA("Sum of Total Line Item $",'June 2024'!R658,"Line Item Name","CC-F-DCHA-PYROTEK")</f>
        <v>569.8099999999999</v>
      </c>
      <c r="H64" s="225">
        <f t="shared" si="26"/>
        <v>0</v>
      </c>
      <c r="I64" s="225">
        <f>GETPIVOTDATA("Sum of Total Line Item $",'August 2024'!S811,"Line Item Name","CC-F-DCHA")</f>
        <v>839.72</v>
      </c>
      <c r="J64" s="225">
        <f>SUM('September 2024'!T846:T847)</f>
        <v>869.71</v>
      </c>
      <c r="K64" s="225"/>
      <c r="L64" s="225"/>
      <c r="M64" s="225"/>
      <c r="N64" s="226">
        <f>SUM(B64:M64)</f>
        <v>7220.0925</v>
      </c>
      <c r="O64" s="227"/>
    </row>
    <row r="65" ht="15.1" customHeight="1">
      <c r="A65" t="s" s="163">
        <v>3268</v>
      </c>
      <c r="B65" s="224">
        <f>GETPIVOTDATA("Sum of Total Line Item $",'January 2024'!R465,"Line Item Name","CC-F-HEA")</f>
        <v>339.83</v>
      </c>
      <c r="C65" s="225">
        <f>GETPIVOTDATA("Sum of Total Line Item $",'February 2024'!R572,"Line Item Name","CC-F-HEA")</f>
        <v>1299.35</v>
      </c>
      <c r="D65" s="225">
        <f>GETPIVOTDATA("Sum of Total Line Item $",'March 2024'!R573,"Line Item Name","CC-F-HEA")</f>
        <v>739.63</v>
      </c>
      <c r="E65" s="225">
        <f>GETPIVOTDATA("Sum of Total Line Item $",'April 2024'!R692,"Line Item Name","CC-F-HEA")</f>
        <v>620.8099999999999</v>
      </c>
      <c r="F65" s="225">
        <f>GETPIVOTDATA("Sum of Total Line Item $",'May 2024'!R1387,"Line Item Name","CC-F-HEA")</f>
        <v>389.805</v>
      </c>
      <c r="G65" s="225">
        <f>GETPIVOTDATA("Sum of Total Line Item $",'June 2024'!R658,"Line Item Name","CC-F-HEA")+GETPIVOTDATA("Sum of Total Line Item $",'June 2024'!R658,"Line Item Name","CC-F-HEA-F")</f>
        <v>324.845</v>
      </c>
      <c r="H65" s="225">
        <f>GETPIVOTDATA("Sum of Total Line Item $",'July 2024'!Q1204,"Line Item Name","CC-F-HEA")</f>
        <v>139.93</v>
      </c>
      <c r="I65" s="225">
        <f>GETPIVOTDATA("Sum of Total Line Item $",'August 2024'!S811,"Line Item Name","CC-F-HEA")</f>
        <v>415.792</v>
      </c>
      <c r="J65" s="225">
        <f>GETPIVOTDATA("Sum of Total Line Item $",'September 2024'!S793,"Line Item Name","CC-F-HEA")</f>
        <v>510.865</v>
      </c>
      <c r="K65" s="225"/>
      <c r="L65" s="225"/>
      <c r="M65" s="225"/>
      <c r="N65" s="226">
        <f>SUM(B65:M65)</f>
        <v>4780.857</v>
      </c>
      <c r="O65" s="227"/>
    </row>
    <row r="66" ht="15.1" customHeight="1">
      <c r="A66" t="s" s="163">
        <v>3242</v>
      </c>
      <c r="B66" s="224">
        <f>GETPIVOTDATA("Sum of Total Line Item $",'January 2024'!R465,"Line Item Name","CC-AC-RAA")</f>
        <v>549.89</v>
      </c>
      <c r="C66" s="225">
        <f>0</f>
        <v>0</v>
      </c>
      <c r="D66" s="225">
        <f>GETPIVOTDATA("Sum of Total Line Item $",'March 2024'!R573,"Line Item Name","CC-AC-RAA")</f>
        <v>749.85</v>
      </c>
      <c r="E66" s="225">
        <f>GETPIVOTDATA("Sum of Total Line Item $",'April 2024'!R692,"Line Item Name","CC-AC-RAA")</f>
        <v>99.98</v>
      </c>
      <c r="F66" s="225">
        <f>GETPIVOTDATA("Sum of Total Line Item $",'May 2024'!R1387,"Line Item Name","CC-AC-RAA")</f>
        <v>299.94</v>
      </c>
      <c r="G66" s="225">
        <f>GETPIVOTDATA("Sum of Total Line Item $",'June 2024'!R658,"Line Item Name","CC-AC-RAA")</f>
        <v>199.96</v>
      </c>
      <c r="H66" s="225">
        <f>GETPIVOTDATA("Sum of Total Line Item $",'July 2024'!Q1204,"Line Item Name","CC-AC-RAA")</f>
        <v>259.948</v>
      </c>
      <c r="I66" s="225">
        <f>GETPIVOTDATA("Sum of Total Line Item $",'August 2024'!S811,"Line Item Name","CC-AC-RAA")</f>
        <v>1199.76</v>
      </c>
      <c r="J66" s="225">
        <f>GETPIVOTDATA("Sum of Total Line Item $",'September 2024'!S793,"Line Item Name","CC-AC-RAA")</f>
        <v>599.88</v>
      </c>
      <c r="K66" s="225"/>
      <c r="L66" s="225"/>
      <c r="M66" s="225"/>
      <c r="N66" s="226">
        <f>SUM(B66:M66)</f>
        <v>3959.208</v>
      </c>
      <c r="O66" s="227"/>
    </row>
    <row r="67" ht="15.1" customHeight="1">
      <c r="A67" t="s" s="163">
        <v>3243</v>
      </c>
      <c r="B67" s="224">
        <f>GETPIVOTDATA("Sum of Total Line Item $",'January 2024'!R465,"Line Item Name","CC-AC-4PM")</f>
        <v>719.96</v>
      </c>
      <c r="C67" s="225">
        <f>GETPIVOTDATA("Sum of Total Line Item $",'February 2024'!R572,"Line Item Name","CC-AC-4PM")</f>
        <v>809.955</v>
      </c>
      <c r="D67" s="225">
        <f>GETPIVOTDATA("Sum of Total Line Item $",'March 2024'!R573,"Line Item Name","CC-AC-4PM")</f>
        <v>1259.93</v>
      </c>
      <c r="E67" s="225">
        <f>GETPIVOTDATA("Sum of Total Line Item $",'April 2024'!R692,"Line Item Name","CC-AC-4PM")</f>
        <v>269.985</v>
      </c>
      <c r="F67" s="225">
        <f>GETPIVOTDATA("Sum of Total Line Item $",'May 2024'!R1387,"Line Item Name","CC-AC-4PM-QC")+GETPIVOTDATA("Sum of Total Line Item $",'May 2024'!R1387,"Line Item Name","CC-AC-4PM")</f>
        <v>629.9692</v>
      </c>
      <c r="G67" s="225">
        <f>GETPIVOTDATA("Sum of Total Line Item $",'June 2024'!R658,"Line Item Name","CC-AC-4PM")+GETPIVOTDATA("Sum of Total Line Item $",'June 2024'!R658,"Line Item Name","CC-AC-6PM")</f>
        <v>4109.78</v>
      </c>
      <c r="H67" s="225">
        <f t="shared" si="26"/>
        <v>0</v>
      </c>
      <c r="I67" s="225">
        <f>SUM('August 2024'!T824:T825)</f>
        <v>2279.885</v>
      </c>
      <c r="J67" s="225">
        <f>GETPIVOTDATA("Sum of Total Line Item $",'September 2024'!S793,"Line Item Name","CC-AC-4PM")</f>
        <v>1349.925</v>
      </c>
      <c r="K67" s="225"/>
      <c r="L67" s="225"/>
      <c r="M67" s="225"/>
      <c r="N67" s="226">
        <f>SUM(B67:M67)</f>
        <v>11429.3892</v>
      </c>
      <c r="O67" s="227"/>
    </row>
    <row r="68" ht="15.1" customHeight="1">
      <c r="A68" t="s" s="163">
        <v>3244</v>
      </c>
      <c r="B68" s="224">
        <f>GETPIVOTDATA("Sum of Total Line Item $",'January 2024'!R465,"Line Item Name","CC-F-MFDCGAJIC")</f>
        <v>19.99</v>
      </c>
      <c r="C68" s="225">
        <f>GETPIVOTDATA("Sum of Total Line Item $",'February 2024'!R572,"Line Item Name","CC-F-MFDCGAJIC")</f>
        <v>159.92</v>
      </c>
      <c r="D68" s="225">
        <f>GETPIVOTDATA("Sum of Total Line Item $",'March 2024'!R573,"Line Item Name","CC-F-MFDCGAJIC")</f>
        <v>119.94</v>
      </c>
      <c r="E68" s="225">
        <f>GETPIVOTDATA("Sum of Total Line Item $",'April 2024'!R692,"Line Item Name","CC-F-MFDCGAJIC")</f>
        <v>84.9575</v>
      </c>
      <c r="F68" s="225">
        <f>GETPIVOTDATA("Sum of Total Line Item $",'May 2024'!R1387,"Line Item Name","CC-F-MFDCGAJIC")</f>
        <v>59.97</v>
      </c>
      <c r="G68" s="225">
        <f>GETPIVOTDATA("Sum of Total Line Item $",'June 2024'!R658,"Line Item Name","CC-F-MFDCGAJIC")</f>
        <v>399.8</v>
      </c>
      <c r="H68" s="225">
        <f>GETPIVOTDATA("Sum of Total Line Item $",'July 2024'!Q1204,"Line Item Name","CC-F-MFDCGAJIC")</f>
        <v>119.94</v>
      </c>
      <c r="I68" s="225">
        <f>GETPIVOTDATA("Sum of Total Line Item $",'August 2024'!S811,"Line Item Name","CC-F-MFDCGAJIC")</f>
        <v>199.9</v>
      </c>
      <c r="J68" s="225">
        <f>GETPIVOTDATA("Sum of Total Line Item $",'September 2024'!S793,"Line Item Name","CC-F-MFDCGAJIC")</f>
        <v>79.95999999999999</v>
      </c>
      <c r="K68" s="225"/>
      <c r="L68" s="225"/>
      <c r="M68" s="225"/>
      <c r="N68" s="226">
        <f>SUM(B68:M68)</f>
        <v>1244.3775</v>
      </c>
      <c r="O68" s="227"/>
    </row>
    <row r="69" ht="15.1" customHeight="1">
      <c r="A69" t="s" s="163">
        <v>3245</v>
      </c>
      <c r="B69" s="224">
        <f>0</f>
        <v>0</v>
      </c>
      <c r="C69" s="225">
        <f>0</f>
        <v>0</v>
      </c>
      <c r="D69" s="225">
        <f>0</f>
        <v>0</v>
      </c>
      <c r="E69" s="225">
        <f>GETPIVOTDATA("Sum of Total Line Item $",'April 2024'!R692,"Line Item Name","CC-F-FQCBSPF")+GETPIVOTDATA("Sum of Total Line Item $",'April 2024'!R692,"Line Item Name","CC-F-FQCNPTF")</f>
        <v>319.87</v>
      </c>
      <c r="F69" s="225">
        <v>0</v>
      </c>
      <c r="G69" s="225">
        <f>GETPIVOTDATA("Sum of Total Line Item $",'June 2024'!R658,"Line Item Name","CC-F-FQCBSPF")+GETPIVOTDATA("Sum of Total Line Item $",'June 2024'!R658,"Line Item Name","CC-F-FQCNPTF")</f>
        <v>139.95</v>
      </c>
      <c r="H69" s="225">
        <f>GETPIVOTDATA("Sum of Total Line Item $",'July 2024'!Q1204,"Line Item Name","CC-F-FQCBSPF")</f>
        <v>149.94</v>
      </c>
      <c r="I69" s="225">
        <v>0</v>
      </c>
      <c r="J69" s="225">
        <v>0</v>
      </c>
      <c r="K69" s="225"/>
      <c r="L69" s="225"/>
      <c r="M69" s="225"/>
      <c r="N69" s="226">
        <f>SUM(B69:M69)</f>
        <v>609.76</v>
      </c>
      <c r="O69" s="227"/>
    </row>
    <row r="70" ht="15.1" customHeight="1">
      <c r="A70" t="s" s="163">
        <v>3246</v>
      </c>
      <c r="B70" s="224">
        <v>0</v>
      </c>
      <c r="C70" s="225">
        <f>GETPIVOTDATA("Sum of Total Line Item $",'February 2024'!R572,"Line Item Name","CC-F-MQCBSPPF")</f>
        <v>0</v>
      </c>
      <c r="D70" s="225">
        <v>0</v>
      </c>
      <c r="E70" s="225">
        <f>SUM('April 2024'!S740:S741)</f>
        <v>0</v>
      </c>
      <c r="F70" s="225">
        <v>0</v>
      </c>
      <c r="G70" s="225">
        <f>GETPIVOTDATA("Sum of Total Line Item $",'June 2024'!R658,"Line Item Name","CC-F-MQCNPTM")</f>
        <v>19.99</v>
      </c>
      <c r="H70" s="225">
        <f>GETPIVOTDATA("Sum of Total Line Item $",'July 2024'!Q1204,"Line Item Name","CC-F-MQCMQC")</f>
        <v>195.944</v>
      </c>
      <c r="I70" s="225">
        <f>GETPIVOTDATA("Sum of Total Line Item $",'August 2024'!S811,"Line Item Name","CC-F-MQCBSPPF")</f>
        <v>59.96</v>
      </c>
      <c r="J70" s="225">
        <f>GETPIVOTDATA("Sum of Total Line Item $",'September 2024'!S793,"Line Item Name","CC-F-MQCBSPPF")</f>
        <v>0</v>
      </c>
      <c r="K70" s="225"/>
      <c r="L70" s="225"/>
      <c r="M70" s="225"/>
      <c r="N70" s="226">
        <f>SUM(B70:M70)</f>
        <v>275.894</v>
      </c>
      <c r="O70" s="227"/>
    </row>
    <row r="71" ht="15.1" customHeight="1">
      <c r="A71" t="s" s="163">
        <v>3247</v>
      </c>
      <c r="B71" s="224">
        <f>GETPIVOTDATA("Sum of Total Line Item $",'January 2024'!R465,"Line Item Name","CC-F-CGA-FQC")</f>
        <v>194.97</v>
      </c>
      <c r="C71" s="225">
        <f>GETPIVOTDATA("Sum of Total Line Item $",'February 2024'!R572,"Line Item Name","CC-F-CGA-FQC")</f>
        <v>3899.4</v>
      </c>
      <c r="D71" s="225">
        <v>0</v>
      </c>
      <c r="E71" s="225">
        <f>GETPIVOTDATA("Sum of Total Line Item $",'April 2024'!R692,"Line Item Name","CC-F-CGA-FQC")</f>
        <v>1067.405</v>
      </c>
      <c r="F71" s="225">
        <v>0</v>
      </c>
      <c r="G71" s="225">
        <v>0</v>
      </c>
      <c r="H71" s="225">
        <v>0</v>
      </c>
      <c r="I71" s="225">
        <v>0</v>
      </c>
      <c r="J71" s="189">
        <f>GETPIVOTDATA("Sum of Total Line Item $",'September 2024'!S793,"Line Item Name","CC-F-CGA-FQC")</f>
        <v>4284.41</v>
      </c>
      <c r="K71" s="225"/>
      <c r="L71" s="225"/>
      <c r="M71" s="225"/>
      <c r="N71" s="226">
        <f>SUM(B71:M71)</f>
        <v>9446.184999999999</v>
      </c>
      <c r="O71" s="227"/>
    </row>
    <row r="72" ht="15.1" customHeight="1">
      <c r="A72" t="s" s="163">
        <v>3248</v>
      </c>
      <c r="B72" s="224">
        <v>0</v>
      </c>
      <c r="C72" s="225">
        <v>0</v>
      </c>
      <c r="D72" s="225">
        <v>0</v>
      </c>
      <c r="E72" s="225">
        <f>0</f>
        <v>0</v>
      </c>
      <c r="F72" s="225">
        <v>0</v>
      </c>
      <c r="G72" s="225">
        <v>0</v>
      </c>
      <c r="H72" s="225">
        <f>GETPIVOTDATA("Sum of Total Line Item $",'July 2024'!Q1204,"Line Item Name","CC-F-CGA-MQC")</f>
        <v>519.92</v>
      </c>
      <c r="I72" s="225">
        <v>0</v>
      </c>
      <c r="J72" s="189">
        <v>0</v>
      </c>
      <c r="K72" s="225"/>
      <c r="L72" s="225"/>
      <c r="M72" s="225"/>
      <c r="N72" s="226">
        <f>SUM(B72:M72)</f>
        <v>519.92</v>
      </c>
      <c r="O72" s="227"/>
    </row>
    <row r="73" ht="15.1" customHeight="1">
      <c r="A73" t="s" s="163">
        <v>3249</v>
      </c>
      <c r="B73" s="224">
        <v>0</v>
      </c>
      <c r="C73" s="225">
        <f>SUM('February 2024'!S573:S574)</f>
        <v>837.9400000000001</v>
      </c>
      <c r="D73" s="225">
        <f>GETPIVOTDATA("Sum of Total Line Item $",'March 2024'!R573,"Line Item Name"," CC-AC-CGAJIC-SET - 1")</f>
        <v>810.3975</v>
      </c>
      <c r="E73" s="225">
        <f>SUM(GETPIVOTDATA("Sum of Total Line Item $",'April 2024'!R692,"Line Item Name"," CC-AC-CGAJIC-SET - 1"),GETPIVOTDATA("Sum of Total Line Item $",'April 2024'!R692,"Line Item Name","CC-AC-CGAJIC - 1"))</f>
        <v>17.2425</v>
      </c>
      <c r="F73" s="225">
        <f>GETPIVOTDATA("Sum of Total Line Item $",'May 2024'!R1387,"Line Item Name"," CC-AC-CGAJIC-SET - 1")</f>
        <v>906.91</v>
      </c>
      <c r="G73" s="225">
        <v>0</v>
      </c>
      <c r="H73" s="225">
        <f>GETPIVOTDATA("Sum of Total Line Item $",'July 2024'!Q1204,"Line Item Name"," CC-AC-CGAJIC-SET - 1")</f>
        <v>96.55800000000001</v>
      </c>
      <c r="I73" s="225">
        <f>GETPIVOTDATA("Sum of Total Line Item $",'August 2024'!S811,"Line Item Name"," CC-AC-CGAJIC-SET - 1")</f>
        <v>494.285</v>
      </c>
      <c r="J73" s="225">
        <f>GETPIVOTDATA("Sum of Total Line Item $",'September 2024'!S793,"Line Item Name"," CC-AC-CGAJIC-SET - 1")</f>
        <v>160.93</v>
      </c>
      <c r="K73" s="225"/>
      <c r="L73" s="225"/>
      <c r="M73" s="225"/>
      <c r="N73" s="226">
        <f>SUM(B73:M73)</f>
        <v>3324.263</v>
      </c>
      <c r="O73" s="227"/>
    </row>
    <row r="74" ht="15.1" customHeight="1">
      <c r="A74" t="s" s="163">
        <v>3250</v>
      </c>
      <c r="B74" s="224">
        <f>SUM('January 2024'!S540:S541)</f>
        <v>1022.79</v>
      </c>
      <c r="C74" s="225">
        <f>GETPIVOTDATA("Sum of Total Line Item $",'February 2024'!R572,"Line Item Name","CC-AC-CGANPT-SET")</f>
        <v>45.98</v>
      </c>
      <c r="D74" s="225">
        <v>0</v>
      </c>
      <c r="E74" s="225">
        <v>0</v>
      </c>
      <c r="F74" s="225">
        <f>GETPIVOTDATA("Sum of Total Line Item $",'May 2024'!R1387,"Line Item Name","CC-AC-CGANPT-INT-SET")</f>
        <v>524.895</v>
      </c>
      <c r="G74" s="225">
        <f>GETPIVOTDATA("Sum of Total Line Item $",'June 2024'!R658,"Line Item Name","CC-AC-CGANPT-INT-SET")</f>
        <v>749.85</v>
      </c>
      <c r="H74" s="225">
        <f>SUM('July 2024'!R1232:R1233)</f>
        <v>438.83</v>
      </c>
      <c r="I74" s="225">
        <v>0</v>
      </c>
      <c r="J74" s="225">
        <f>GETPIVOTDATA("Sum of Total Line Item $",'September 2024'!S793,"Line Item Name","CC-AC-CGANPT-INT-SET")</f>
        <v>224.955</v>
      </c>
      <c r="K74" s="225"/>
      <c r="L74" s="225"/>
      <c r="M74" s="225"/>
      <c r="N74" s="226">
        <f>SUM(B74:M74)</f>
        <v>3007.3</v>
      </c>
      <c r="O74" s="227"/>
    </row>
    <row r="75" ht="15.1" customHeight="1">
      <c r="A75" t="s" s="163">
        <v>3251</v>
      </c>
      <c r="B75" s="224">
        <f>GETPIVOTDATA("Sum of Total Line Item $",'January 2024'!R465,"Line Item Name","CC-F-COT")</f>
        <v>0</v>
      </c>
      <c r="C75" s="225">
        <f>GETPIVOTDATA("Sum of Total Line Item $",'February 2024'!R572,"Line Item Name","CC-F-COT")</f>
        <v>0</v>
      </c>
      <c r="D75" s="225">
        <f>GETPIVOTDATA("Sum of Total Line Item $",'March 2024'!R573,"Line Item Name","CC-F-COT")</f>
        <v>59.97</v>
      </c>
      <c r="E75" s="225">
        <f>GETPIVOTDATA("Sum of Total Line Item $",'April 2024'!R692,"Line Item Name","CC-F-COT")</f>
        <v>239.88</v>
      </c>
      <c r="F75" s="225">
        <f>0</f>
        <v>0</v>
      </c>
      <c r="G75" s="225">
        <f>GETPIVOTDATA("Sum of Total Line Item $",'June 2024'!R658,"Line Item Name","CC-F-COT")</f>
        <v>0</v>
      </c>
      <c r="H75" s="225">
        <f>GETPIVOTDATA("Sum of Total Line Item $",'July 2024'!Q1204,"Line Item Name","CC-F-COT")</f>
        <v>71.95999999999999</v>
      </c>
      <c r="I75" s="225">
        <f>GETPIVOTDATA("Sum of Total Line Item $",'August 2024'!S811,"Line Item Name","CC-F-COT")</f>
        <v>79.95999999999999</v>
      </c>
      <c r="J75" s="225">
        <f>GETPIVOTDATA("Sum of Total Line Item $",'September 2024'!S793,"Line Item Name","CC-F-COT")</f>
        <v>139.93</v>
      </c>
      <c r="K75" s="225"/>
      <c r="L75" s="225"/>
      <c r="M75" s="225"/>
      <c r="N75" s="226">
        <f>SUM(B75:M75)</f>
        <v>591.7</v>
      </c>
      <c r="O75" s="227"/>
    </row>
    <row r="76" ht="15.1" customHeight="1">
      <c r="A76" t="s" s="163">
        <v>3252</v>
      </c>
      <c r="B76" s="224">
        <f>GETPIVOTDATA("Sum of Total Line Item $",'January 2024'!R465,"Line Item Name","CC-AC-ROR")</f>
        <v>11.94</v>
      </c>
      <c r="C76" s="225">
        <f>GETPIVOTDATA("Sum of Total Line Item $",'February 2024'!R572,"Line Item Name","CC-AC-ROR")</f>
        <v>7.96</v>
      </c>
      <c r="D76" s="225">
        <f>GETPIVOTDATA("Sum of Total Line Item $",'March 2024'!R573,"Line Item Name","CC-AC-ROR")</f>
        <v>39.8</v>
      </c>
      <c r="E76" s="225">
        <f>GETPIVOTDATA("Sum of Total Line Item $",'April 2024'!R692,"Line Item Name","CC-AC-ROR")</f>
        <v>33.83</v>
      </c>
      <c r="F76" s="225">
        <v>0</v>
      </c>
      <c r="G76" s="225">
        <f>GETPIVOTDATA("Sum of Total Line Item $",'June 2024'!R658,"Line Item Name","CC-AC-ROR")</f>
        <v>11.94</v>
      </c>
      <c r="H76" s="225">
        <v>0</v>
      </c>
      <c r="I76" s="225">
        <f t="shared" si="26"/>
        <v>0</v>
      </c>
      <c r="J76" s="225">
        <f>GETPIVOTDATA("Sum of Total Line Item $",'September 2024'!S793,"Line Item Name","CC-AC-ROR")</f>
        <v>3.98</v>
      </c>
      <c r="K76" s="225"/>
      <c r="L76" s="225"/>
      <c r="M76" s="225"/>
      <c r="N76" s="226">
        <f>SUM(B76:M76)</f>
        <v>109.45</v>
      </c>
      <c r="O76" s="227"/>
    </row>
    <row r="77" ht="15.1" customHeight="1">
      <c r="A77" t="s" s="163">
        <v>3253</v>
      </c>
      <c r="B77" s="224">
        <f>GETPIVOTDATA("Sum of Total Line Item $",'January 2024'!R465,"Line Item Name","CC-AC-ROR2")</f>
        <v>5.97</v>
      </c>
      <c r="C77" s="225">
        <f>GETPIVOTDATA("Sum of Total Line Item $",'February 2024'!R572,"Line Item Name","CC-AC-ROR2")</f>
        <v>23.88</v>
      </c>
      <c r="D77" s="225">
        <f>GETPIVOTDATA("Sum of Total Line Item $",'March 2024'!R573,"Line Item Name","CC-AC-ROR2")</f>
        <v>27.86</v>
      </c>
      <c r="E77" s="225">
        <f>GETPIVOTDATA("Sum of Total Line Item $",'April 2024'!R692,"Line Item Name","CC-AC-ROR2")</f>
        <v>16.915</v>
      </c>
      <c r="F77" s="225">
        <f>GETPIVOTDATA("Sum of Total Line Item $",'May 2024'!R1387,"Line Item Name","CC-AC-ROR2")</f>
        <v>17.91</v>
      </c>
      <c r="G77" s="225">
        <f>GETPIVOTDATA("Sum of Total Line Item $",'June 2024'!R658,"Line Item Name","CC-AC-ROR2")</f>
        <v>3.98</v>
      </c>
      <c r="H77" s="225">
        <f>GETPIVOTDATA("Sum of Total Line Item $",'July 2024'!Q1204,"Line Item Name","CC-AC-ROR2")</f>
        <v>0</v>
      </c>
      <c r="I77" s="225">
        <f>GETPIVOTDATA("Sum of Total Line Item $",'August 2024'!S811,"Line Item Name","CC-AC-ROR2")</f>
        <v>67.66</v>
      </c>
      <c r="J77" s="225">
        <f>GETPIVOTDATA("Sum of Total Line Item $",'September 2024'!S793,"Line Item Name","CC-AC-ROR2")</f>
        <v>11.94</v>
      </c>
      <c r="K77" s="225"/>
      <c r="L77" s="225"/>
      <c r="M77" s="225"/>
      <c r="N77" s="226">
        <f>SUM(B77:M77)</f>
        <v>176.115</v>
      </c>
      <c r="O77" s="227"/>
    </row>
    <row r="78" ht="15.1" customHeight="1">
      <c r="A78" t="s" s="163">
        <v>3269</v>
      </c>
      <c r="B78" s="224">
        <f>GETPIVOTDATA("Sum of Total Line Item $",'January 2024'!R465,"Line Item Name","CC-AC-CTAT")</f>
        <v>159.84</v>
      </c>
      <c r="C78" s="225">
        <f>GETPIVOTDATA("Sum of Total Line Item $",'February 2024'!R572,"Line Item Name","CC-AC-CTAT")</f>
        <v>179.82</v>
      </c>
      <c r="D78" s="225">
        <f>GETPIVOTDATA("Sum of Total Line Item $",'March 2024'!R573,"Line Item Name","CC-AC-CTAT")</f>
        <v>69.93000000000001</v>
      </c>
      <c r="E78" s="225">
        <f>GETPIVOTDATA("Sum of Total Line Item $",'April 2024'!R692,"Line Item Name","CC-AC-OP")+GETPIVOTDATA("Sum of Total Line Item $",'April 2024'!R692,"Line Item Name","CC-AC-CTAT")+9.99</f>
        <v>239.76</v>
      </c>
      <c r="F78" s="225">
        <f>GETPIVOTDATA("Sum of Total Line Item $",'May 2024'!R1387,"Line Item Name","CC-AC-CTAT")</f>
        <v>144.855</v>
      </c>
      <c r="G78" s="225">
        <f>GETPIVOTDATA("Sum of Total Line Item $",'June 2024'!R658,"Line Item Name","CC-AC-CTAT")</f>
        <v>199.8</v>
      </c>
      <c r="H78" s="225">
        <f>GETPIVOTDATA("Sum of Total Line Item $",'July 2024'!Q1204,"Line Item Name","CC-AC-CTAT")</f>
        <v>39.96</v>
      </c>
      <c r="I78" s="225">
        <f>GETPIVOTDATA("Sum of Total Line Item $",'August 2024'!S811,"Line Item Name","CC-AC-CTAT")</f>
        <v>299.66</v>
      </c>
      <c r="J78" s="225">
        <f>GETPIVOTDATA("Sum of Total Line Item $",'September 2024'!S793,"Line Item Name","CC-AC-CTAT")</f>
        <v>307.69</v>
      </c>
      <c r="K78" s="225"/>
      <c r="L78" s="225"/>
      <c r="M78" s="225"/>
      <c r="N78" s="226">
        <f>SUM(B78:M78)</f>
        <v>1641.315</v>
      </c>
      <c r="O78" s="227"/>
    </row>
    <row r="79" ht="15.1" customHeight="1">
      <c r="A79" t="s" s="163">
        <v>3255</v>
      </c>
      <c r="B79" s="224">
        <f>GETPIVOTDATA("Sum of Total Line Item $",'January 2024'!R465,"Line Item Name","CC-WASH-10")</f>
        <v>359.64</v>
      </c>
      <c r="C79" s="225">
        <f>GETPIVOTDATA("Sum of Total Line Item $",'February 2024'!R572,"Line Item Name","CC-WASH-10")</f>
        <v>339.65</v>
      </c>
      <c r="D79" s="225">
        <f>GETPIVOTDATA("Sum of Total Line Item $",'March 2024'!R573,"Line Item Name","CC-WASH-10")+GETPIVOTDATA("Sum of Total Line Item $",'March 2024'!R573,"Line Item Name","CC-WASH-INT-01")</f>
        <v>1139.86</v>
      </c>
      <c r="E79" s="225">
        <f>GETPIVOTDATA("Sum of Total Line Item $",'April 2024'!R692,"Line Item Name","CC-WASH-10")</f>
        <v>49.95</v>
      </c>
      <c r="F79" s="225">
        <f>GETPIVOTDATA("Sum of Total Line Item $",'May 2024'!R1387,"Line Item Name","CC-WASH-INT-01")+GETPIVOTDATA("Sum of Total Line Item $",'May 2024'!R1387,"Line Item Name","CC-WASH-10")</f>
        <v>411.83</v>
      </c>
      <c r="G79" s="225">
        <f>GETPIVOTDATA("Sum of Total Line Item $",'June 2024'!R658,"Line Item Name","CC-WASH-10")</f>
        <v>124.875</v>
      </c>
      <c r="H79" s="225">
        <f>SUM('July 2024'!R1292:R1293)</f>
        <v>622.4400000000001</v>
      </c>
      <c r="I79" s="225">
        <f>GETPIVOTDATA("Sum of Total Line Item $",'August 2024'!S811,"Line Item Name","CC-WASH-10")</f>
        <v>329.67</v>
      </c>
      <c r="J79" s="225">
        <f>SUM('September 2024'!T869:T871)</f>
        <v>206.035</v>
      </c>
      <c r="K79" s="225"/>
      <c r="L79" s="225"/>
      <c r="M79" s="225"/>
      <c r="N79" s="226">
        <f>SUM(B79:M79)</f>
        <v>3583.95</v>
      </c>
      <c r="O79" s="227"/>
    </row>
    <row r="80" ht="15.1" customHeight="1">
      <c r="A80" t="s" s="163">
        <v>3256</v>
      </c>
      <c r="B80" s="224">
        <f>GETPIVOTDATA("Sum of Total Line Item $",'January 2024'!R465,"Line Item Name","CC-AC-OP")</f>
        <v>90</v>
      </c>
      <c r="C80" s="225">
        <f>GETPIVOTDATA("Sum of Total Line Item $",'February 2024'!R572,"Line Item Name","CC-AC-OP")</f>
        <v>0</v>
      </c>
      <c r="D80" s="225">
        <f>GETPIVOTDATA("Sum of Total Line Item $",'March 2024'!R573,"Line Item Name","CC-AC-OP")</f>
        <v>69.95999999999999</v>
      </c>
      <c r="E80" s="225">
        <v>0</v>
      </c>
      <c r="F80" s="225">
        <f>0</f>
        <v>0</v>
      </c>
      <c r="G80" s="225">
        <f>GETPIVOTDATA("Sum of Total Line Item $",'June 2024'!R658,"Line Item Name","CC-AC-OP")</f>
        <v>0</v>
      </c>
      <c r="H80" s="225">
        <v>0</v>
      </c>
      <c r="I80" s="225">
        <f t="shared" si="26"/>
        <v>0</v>
      </c>
      <c r="J80" s="225">
        <f>GETPIVOTDATA("Sum of Total Line Item $",'September 2024'!S793,"Line Item Name","CC-AC-OP")</f>
        <v>0</v>
      </c>
      <c r="K80" s="225"/>
      <c r="L80" s="225"/>
      <c r="M80" s="225"/>
      <c r="N80" s="226">
        <f>SUM(B80:M80)</f>
        <v>159.96</v>
      </c>
      <c r="O80" s="227"/>
    </row>
    <row r="81" ht="15.1" customHeight="1">
      <c r="A81" t="s" s="163">
        <v>3257</v>
      </c>
      <c r="B81" s="224">
        <f>GETPIVOTDATA("Sum of Total Line Item $",'January 2024'!R465,"Line Item Name","CC-AC-BM-KIT")+GETPIVOTDATA("Sum of Total Line Item $",'January 2024'!R465,"Line Item Name","CC-AC-CLAMP")+GETPIVOTDATA("Sum of Total Line Item $",'January 2024'!R465,"Line Item Name","CC-AC-CLAMP-CC2-KIT")+GETPIVOTDATA("Sum of Total Line Item $",'January 2024'!R465,"Line Item Name","CC-AC-CLAMP-MJMKII-KIT")+GETPIVOTDATA("Sum of Total Line Item $",'January 2024'!R465,"Line Item Name","CC-AC-TB-KIT")</f>
        <v>419.85</v>
      </c>
      <c r="C81" s="225">
        <f>SUM(GETPIVOTDATA("Sum of Total Line Item $",'February 2024'!R572,"Line Item Name","CC-AC-BM-KIT"),GETPIVOTDATA("Sum of Total Line Item $",'February 2024'!R572,"Line Item Name","CC-AC-CLAMP"),GETPIVOTDATA("Sum of Total Line Item $",'February 2024'!R572,"Line Item Name","CC-AC-CLAMP-CC2-KIT"),GETPIVOTDATA("Sum of Total Line Item $",'February 2024'!R572,"Line Item Name","CC-AC-CLAMP-MJMKII-KIT"),GETPIVOTDATA("Sum of Total Line Item $",'February 2024'!R572,"Line Item Name","CC-AC-TB-KIT"))</f>
        <v>319.88</v>
      </c>
      <c r="D81" s="225">
        <f>GETPIVOTDATA("Sum of Total Line Item $",'March 2024'!R573,"Line Item Name","CC-AC-BM-KIT")+GETPIVOTDATA("Sum of Total Line Item $",'March 2024'!R573,"Line Item Name","CC-AC-CLAMP")+GETPIVOTDATA("Sum of Total Line Item $",'March 2024'!R573,"Line Item Name","CC-AC-CLAMP-MJMKII-KIT")</f>
        <v>689.77</v>
      </c>
      <c r="E81" s="225">
        <f>GETPIVOTDATA("Sum of Total Line Item $",'April 2024'!R692,"Line Item Name","CC-AC-CLAMP-MJMKII-KIT")+GETPIVOTDATA("Sum of Total Line Item $",'April 2024'!R692,"Line Item Name","CC-AC-CLAMP-CC2-KIT")+GETPIVOTDATA("Sum of Total Line Item $",'April 2024'!R692,"Line Item Name","CC-AC-CLAMP")+GETPIVOTDATA("Sum of Total Line Item $",'April 2024'!R692,"Line Item Name","CC-AC-BM-KIT")</f>
        <v>899.7</v>
      </c>
      <c r="F81" s="225">
        <f>GETPIVOTDATA("Sum of Total Line Item $",'May 2024'!R1387,"Line Item Name","CC-AC-CLAMP")+GETPIVOTDATA("Sum of Total Line Item $",'May 2024'!R1387,"Line Item Name","CC-AC-CLAMP-CC2-KIT")+GETPIVOTDATA("Sum of Total Line Item $",'May 2024'!R1387,"Line Item Name","CC-AC-CLAMP-MJMKII-KIT")</f>
        <v>329.89</v>
      </c>
      <c r="G81" s="225">
        <f>GETPIVOTDATA("Sum of Total Line Item $",'June 2024'!R658,"Line Item Name","CC-AC-TB-KIT")</f>
        <v>194.85</v>
      </c>
      <c r="H81" s="225">
        <f>GETPIVOTDATA("Sum of Total Line Item $",'July 2024'!Q1204,"Line Item Name","CC-AC-CLAMP-MJMKII-KIT")+GETPIVOTDATA("Sum of Total Line Item $",'July 2024'!Q1204,"Line Item Name","CC-AC-BM-KIT")</f>
        <v>434.855</v>
      </c>
      <c r="I81" s="225">
        <f>GETPIVOTDATA("Sum of Total Line Item $",'August 2024'!S811,"Line Item Name","CC-AC-BM-KIT")+GETPIVOTDATA("Sum of Total Line Item $",'August 2024'!S811,"Line Item Name","CC-AC-CLAMP-CC2-KIT")+GETPIVOTDATA("Sum of Total Line Item $",'August 2024'!S811,"Line Item Name","CC-AC-CLAMP-MJMKII-KIT")</f>
        <v>449.85</v>
      </c>
      <c r="J81" s="225">
        <f>GETPIVOTDATA("Sum of Total Line Item $",'September 2024'!S793,"Line Item Name","CC-AC-CLAMP-MJMKII-KIT")+GETPIVOTDATA("Sum of Total Line Item $",'September 2024'!S793,"Line Item Name","CC-AC-BM-KIT")</f>
        <v>209.93</v>
      </c>
      <c r="K81" s="225"/>
      <c r="L81" s="225"/>
      <c r="M81" s="225"/>
      <c r="N81" s="226">
        <f>SUM(B81:M81)</f>
        <v>3948.575</v>
      </c>
      <c r="O81" s="227"/>
    </row>
    <row r="82" ht="15.1" customHeight="1">
      <c r="A82" t="s" s="163">
        <v>3258</v>
      </c>
      <c r="B82" s="224">
        <f>GETPIVOTDATA("Sum of Total Line Item $",'January 2024'!R465,"Line Item Name","CC-CTC-20")</f>
        <v>787.34</v>
      </c>
      <c r="C82" s="225">
        <f>GETPIVOTDATA("Sum of Total Line Item $",'February 2024'!R572,"Line Item Name","CC-CTC-20")</f>
        <v>1408.055</v>
      </c>
      <c r="D82" s="225">
        <f>GETPIVOTDATA("Sum of Total Line Item $",'March 2024'!R573,"Line Item Name","CC-CTC-20")</f>
        <v>1287.24</v>
      </c>
      <c r="E82" s="225">
        <f>GETPIVOTDATA("Sum of Total Line Item $",'April 2024'!R692,"Line Item Name","CC-CTC-20")</f>
        <v>1188.66</v>
      </c>
      <c r="F82" s="225">
        <f>GETPIVOTDATA("Sum of Total Line Item $",'May 2024'!R1387,"Line Item Name","CC-CTC-20")</f>
        <v>1739.65</v>
      </c>
      <c r="G82" s="225">
        <f>GETPIVOTDATA("Sum of Total Line Item $",'June 2024'!R658,"Line Item Name","CC-CTC-20")</f>
        <v>2470.3425</v>
      </c>
      <c r="H82" s="225">
        <f>GETPIVOTDATA("Sum of Total Line Item $",'July 2024'!Q1204,"Line Item Name","CC-CTC-20")</f>
        <v>1199.75</v>
      </c>
      <c r="I82" s="225">
        <f>GETPIVOTDATA("Sum of Total Line Item $",'August 2024'!S811,"Line Item Name","CC-CTC-20")</f>
        <v>2459.49</v>
      </c>
      <c r="J82" s="225">
        <f>GETPIVOTDATA("Sum of Total Line Item $",'September 2024'!S793,"Line Item Name","CC-CTC-20")</f>
        <v>1878.78</v>
      </c>
      <c r="K82" s="225"/>
      <c r="L82" s="225"/>
      <c r="M82" s="225"/>
      <c r="N82" s="226">
        <f>SUM(B82:M82)</f>
        <v>14419.3075</v>
      </c>
      <c r="O82" s="227"/>
    </row>
    <row r="83" ht="15.1" customHeight="1">
      <c r="A83" t="s" s="163">
        <v>3259</v>
      </c>
      <c r="B83" s="224">
        <f>GETPIVOTDATA("Sum of Total Line Item $",'January 2024'!R465,"Line Item Name","CC-CTC-50")</f>
        <v>959.84</v>
      </c>
      <c r="C83" s="225">
        <f>GETPIVOTDATA("Sum of Total Line Item $",'February 2024'!R572,"Line Item Name","CC-CTC-50")</f>
        <v>659.89</v>
      </c>
      <c r="D83" s="225">
        <f>GETPIVOTDATA("Sum of Total Line Item $",'March 2024'!R573,"Line Item Name","CC-CTC-50")</f>
        <v>1739.71</v>
      </c>
      <c r="E83" s="225">
        <f>GETPIVOTDATA("Sum of Total Line Item $",'April 2024'!R692,"Line Item Name","CC-CTC-50")</f>
        <v>2658.435</v>
      </c>
      <c r="F83" s="225">
        <f>GETPIVOTDATA("Sum of Total Line Item $",'May 2024'!R1387,"Line Item Name","CC-CTC-50")</f>
        <v>374.9375</v>
      </c>
      <c r="G83" s="225">
        <f>GETPIVOTDATA("Sum of Total Line Item $",'June 2024'!R658,"Line Item Name","CC-CTC-50")</f>
        <v>779.87</v>
      </c>
      <c r="H83" s="225">
        <f>GETPIVOTDATA("Sum of Total Line Item $",'July 2024'!Q1204,"Line Item Name","CC-CTC-50")</f>
        <v>1019.83</v>
      </c>
      <c r="I83" s="225">
        <f>GETPIVOTDATA("Sum of Total Line Item $",'August 2024'!S811,"Line Item Name","CC-CTC-50")</f>
        <v>899.85</v>
      </c>
      <c r="J83" s="225">
        <f>GETPIVOTDATA("Sum of Total Line Item $",'September 2024'!S793,"Line Item Name","CC-CTC-50")</f>
        <v>1598.9</v>
      </c>
      <c r="K83" s="225"/>
      <c r="L83" s="225"/>
      <c r="M83" s="225"/>
      <c r="N83" s="226">
        <f>SUM(B83:M83)</f>
        <v>10691.2625</v>
      </c>
      <c r="O83" s="227"/>
    </row>
    <row r="84" ht="15.1" customHeight="1">
      <c r="A84" t="s" s="163">
        <v>346</v>
      </c>
      <c r="B84" s="224">
        <f>GETPIVOTDATA("Sum of Total Line Item $",'January 2024'!R465,"Line Item Name","CC-AC-TC")</f>
        <v>194.99</v>
      </c>
      <c r="C84" s="225">
        <f>GETPIVOTDATA("Sum of Total Line Item $",'February 2024'!R572,"Line Item Name","CC-AC-TC")</f>
        <v>439.98</v>
      </c>
      <c r="D84" s="225">
        <f>0</f>
        <v>0</v>
      </c>
      <c r="E84" s="225">
        <f>GETPIVOTDATA("Sum of Total Line Item $",'April 2024'!R692,"Line Item Name","CC-AC-TC")</f>
        <v>219.99</v>
      </c>
      <c r="F84" s="225">
        <f>0</f>
        <v>0</v>
      </c>
      <c r="G84" s="225">
        <f>GETPIVOTDATA("Sum of Total Line Item $",'June 2024'!R658,"Line Item Name","CC-AC-TC")</f>
        <v>989.955</v>
      </c>
      <c r="H84" s="225">
        <f>GETPIVOTDATA("Sum of Total Line Item $",'July 2024'!Q1204,"Line Item Name","CC-AC-TC")</f>
        <v>1099.95</v>
      </c>
      <c r="I84" s="225">
        <f>GETPIVOTDATA("Sum of Total Line Item $",'August 2024'!S811,"Line Item Name","CC-AC-TC")</f>
        <v>659.97</v>
      </c>
      <c r="J84" s="225">
        <f>GETPIVOTDATA("Sum of Total Line Item $",'September 2024'!S793,"Line Item Name","CC-AC-TC")</f>
        <v>1049.95</v>
      </c>
      <c r="K84" s="225"/>
      <c r="L84" s="225"/>
      <c r="M84" s="225"/>
      <c r="N84" s="226">
        <f>SUM(B84:M84)</f>
        <v>4654.785</v>
      </c>
      <c r="O84" s="227"/>
    </row>
    <row r="85" ht="15.1" customHeight="1">
      <c r="A85" t="s" s="163">
        <v>3260</v>
      </c>
      <c r="B85" s="224">
        <v>0</v>
      </c>
      <c r="C85" s="225">
        <f>GETPIVOTDATA("Sum of Total Line Item $",'February 2024'!R572,"Line Item Name","CC-VV-KIT")</f>
        <v>2949.7575</v>
      </c>
      <c r="D85" s="225">
        <f>GETPIVOTDATA("Sum of Total Line Item $",'March 2024'!R573,"Line Item Name","CC-VV-KIT")</f>
        <v>759.905</v>
      </c>
      <c r="E85" s="225">
        <f>GETPIVOTDATA("Sum of Total Line Item $",'April 2024'!R692,"Line Item Name","CC-VV-KIT")</f>
        <v>1639.795</v>
      </c>
      <c r="F85" s="225">
        <f>GETPIVOTDATA("Sum of Total Line Item $",'May 2024'!R1387,"Line Item Name","CC-VV-KIT")</f>
        <v>2647.669</v>
      </c>
      <c r="G85" s="225">
        <f>GETPIVOTDATA("Sum of Total Line Item $",'June 2024'!R658,"Line Item Name","CC-VV-KIT")</f>
        <v>1039.87</v>
      </c>
      <c r="H85" s="225">
        <f>GETPIVOTDATA("Sum of Total Line Item $",'July 2024'!Q1204,"Line Item Name","CC-VV-KIT")</f>
        <v>1499.8125</v>
      </c>
      <c r="I85" s="225">
        <f>GETPIVOTDATA("Sum of Total Line Item $",'August 2024'!S811,"Line Item Name","CC-VV-KIT")</f>
        <v>799.9</v>
      </c>
      <c r="J85" s="225">
        <f>GETPIVOTDATA("Sum of Total Line Item $",'September 2024'!S793,"Line Item Name","CC-VV-KIT")</f>
        <v>1039.87</v>
      </c>
      <c r="K85" s="225"/>
      <c r="L85" s="225"/>
      <c r="M85" s="225"/>
      <c r="N85" s="226">
        <f>SUM(B85:M85)</f>
        <v>12376.579</v>
      </c>
      <c r="O85" s="227"/>
    </row>
    <row r="86" ht="15.1" customHeight="1">
      <c r="A86" t="s" s="163">
        <v>3261</v>
      </c>
      <c r="B86" s="224">
        <f>GETPIVOTDATA("Sum of Total Line Item $",'January 2024'!R465,"Line Item Name","CC-RC-2430")</f>
        <v>2399.985</v>
      </c>
      <c r="C86" s="225">
        <f>GETPIVOTDATA("Sum of Total Line Item $",'February 2024'!R572,"Line Item Name","CC-RC-2430")</f>
        <v>1199.9925</v>
      </c>
      <c r="D86" s="225">
        <f>GETPIVOTDATA("Sum of Total Line Item $",'March 2024'!R573,"Line Item Name","CC-RC-2430")</f>
        <v>4249.965</v>
      </c>
      <c r="E86" s="225">
        <f>GETPIVOTDATA("Sum of Total Line Item $",'April 2024'!R692,"Line Item Name","CC-RC-2430")</f>
        <v>8799.945</v>
      </c>
      <c r="F86" s="225">
        <f>GETPIVOTDATA("Sum of Total Line Item $",'May 2024'!R1387,"Line Item Name","CC-RC-2430")</f>
        <v>5999.9625</v>
      </c>
      <c r="G86" s="225">
        <f>GETPIVOTDATA("Sum of Total Line Item $",'June 2024'!R658,"Line Item Name","CC-RC-2430")</f>
        <v>1439.991</v>
      </c>
      <c r="H86" s="225">
        <f>GETPIVOTDATA("Sum of Total Line Item $",'July 2024'!Q1204,"Line Item Name","CC-RC-2430")</f>
        <v>1199.9925</v>
      </c>
      <c r="I86" s="225">
        <f>GETPIVOTDATA("Sum of Total Line Item $",'August 2024'!S811,"Line Item Name","CC-RC-2430")</f>
        <v>4799.97</v>
      </c>
      <c r="J86" s="225">
        <f>GETPIVOTDATA("Sum of Total Line Item $",'September 2024'!S793,"Line Item Name","CC-RC-2430")</f>
        <v>1199.9925</v>
      </c>
      <c r="K86" s="225"/>
      <c r="L86" s="225"/>
      <c r="M86" s="225"/>
      <c r="N86" s="226">
        <f>SUM(B86:M86)</f>
        <v>31289.796</v>
      </c>
      <c r="O86" s="227"/>
    </row>
    <row r="87" ht="15.1" customHeight="1">
      <c r="A87" t="s" s="163">
        <v>3262</v>
      </c>
      <c r="B87" s="224">
        <f>GETPIVOTDATA("Sum of Total Line Item $",'January 2024'!R465,"Line Item Name","CC-AC-LA2")</f>
        <v>0</v>
      </c>
      <c r="C87" s="225">
        <f>GETPIVOTDATA("Sum of Total Line Item $",'February 2024'!R572,"Line Item Name","CC-AC-LA2")</f>
        <v>5587.4325</v>
      </c>
      <c r="D87" s="225">
        <f>GETPIVOTDATA("Sum of Total Line Item $",'March 2024'!R573,"Line Item Name","CC-AC-LA2")</f>
        <v>4399.945</v>
      </c>
      <c r="E87" s="225">
        <f>GETPIVOTDATA("Sum of Total Line Item $",'April 2024'!R692,"Line Item Name","CC-AC-LA2")</f>
        <v>7199.9075</v>
      </c>
      <c r="F87" s="225">
        <f>GETPIVOTDATA("Sum of Total Line Item $",'May 2024'!R1387,"Line Item Name","CC-AC-LA2")</f>
        <v>9599.879999999999</v>
      </c>
      <c r="G87" s="225">
        <f>SUM('June 2024'!S674:S675)</f>
        <v>14399.8175</v>
      </c>
      <c r="H87" s="225">
        <f>SUM('July 2024'!R1239:R1240)</f>
        <v>8399.895</v>
      </c>
      <c r="I87" s="225">
        <f>GETPIVOTDATA("Sum of Total Line Item $",'August 2024'!S811,"Line Item Name","CC-AC-LA2")</f>
        <v>12719.841</v>
      </c>
      <c r="J87" s="225">
        <f>GETPIVOTDATA("Sum of Total Line Item $",'September 2024'!S793,"Line Item Name","CC-AC-LA2")</f>
        <v>15599.805</v>
      </c>
      <c r="K87" s="225"/>
      <c r="L87" s="225"/>
      <c r="M87" s="225"/>
      <c r="N87" s="226">
        <f>SUM(B87:M87)</f>
        <v>77906.5235</v>
      </c>
      <c r="O87" s="227"/>
    </row>
    <row r="88" ht="15.1" customHeight="1">
      <c r="A88" t="s" s="163">
        <v>63</v>
      </c>
      <c r="B88" s="224">
        <f>SUM('January 2024'!S468:S470)</f>
        <v>3095.04</v>
      </c>
      <c r="C88" s="225">
        <f>SUM('February 2024'!S669:S670)</f>
        <v>4042.76</v>
      </c>
      <c r="D88" s="225">
        <f>GETPIVOTDATA("Sum of Total Line Item $",'March 2024'!R573,"Line Item Name","Shipping Charges")+GETPIVOTDATA("Sum of Total Line Item $",'March 2024'!R573,"Line Item Name","Shipping Fees")</f>
        <v>4500.67</v>
      </c>
      <c r="E88" s="225">
        <f>SUM('April 2024'!S700:S701)</f>
        <v>2483.98</v>
      </c>
      <c r="F88" s="225">
        <f>GETPIVOTDATA("Sum of Total Line Item $",'May 2024'!R1387,"Line Item Name","Shipping Fees")+GETPIVOTDATA("Sum of Total Line Item $",'May 2024'!R1387,"Line Item Name","Shipping Charges")</f>
        <v>7135.88</v>
      </c>
      <c r="G88" s="225">
        <f>GETPIVOTDATA("Sum of Total Line Item $",'June 2024'!R658,"Line Item Name","Air Freight")+GETPIVOTDATA("Sum of Total Line Item $",'June 2024'!R658,"Line Item Name","Shipping Charges")+GETPIVOTDATA("Sum of Total Line Item $",'June 2024'!R658,"Line Item Name","Shipping Fees")+GETPIVOTDATA("Sum of Total Line Item $",'June 2024'!R658,"Line Item Name","Shipping Label")</f>
        <v>10257.99</v>
      </c>
      <c r="H88" s="225">
        <f>SUM('July 2024'!R1319:R1320)</f>
        <v>2273.27</v>
      </c>
      <c r="I88" s="225">
        <f>GETPIVOTDATA("Sum of Total Line Item $",'August 2024'!S811,"Line Item Name","Shipping Fees")+GETPIVOTDATA("Sum of Total Line Item $",'August 2024'!S811,"Line Item Name","Shipping Charges")</f>
        <v>3288.39</v>
      </c>
      <c r="J88" s="225">
        <f>SUM('September 2024'!T894:T895)</f>
        <v>2047.8</v>
      </c>
      <c r="K88" s="225"/>
      <c r="L88" s="225"/>
      <c r="M88" s="225"/>
      <c r="N88" s="226">
        <f>SUM(B88:M88)</f>
        <v>39125.78</v>
      </c>
      <c r="O88" s="227"/>
    </row>
    <row r="89" ht="15.1" customHeight="1">
      <c r="A89" t="s" s="229">
        <v>3237</v>
      </c>
      <c r="B89" s="230">
        <f>SUM(B62:B84)</f>
        <v>10090.188</v>
      </c>
      <c r="C89" s="231">
        <f>SUM(C62:C84)</f>
        <v>17590.33</v>
      </c>
      <c r="D89" s="231">
        <f>SUM(D62:D84)</f>
        <v>15702.9975</v>
      </c>
      <c r="E89" s="231">
        <f>SUM(E62:E84)</f>
        <v>16546.57</v>
      </c>
      <c r="F89" s="231">
        <f>SUM(F62:F84)</f>
        <v>12604.8667</v>
      </c>
      <c r="G89" s="231">
        <f>SUM(G62:G84)</f>
        <v>17624.0225</v>
      </c>
      <c r="H89" s="231">
        <f>SUM(H62:H84)</f>
        <v>10870.287</v>
      </c>
      <c r="I89" s="231">
        <f>SUM(I62:I84)</f>
        <v>15999.912</v>
      </c>
      <c r="J89" s="231">
        <f>SUM(J62:J84)</f>
        <v>24594.6535</v>
      </c>
      <c r="K89" s="231">
        <f>SUM(K62:K84)</f>
        <v>0</v>
      </c>
      <c r="L89" s="231">
        <f>SUM(L62:L84)</f>
        <v>0</v>
      </c>
      <c r="M89" s="231">
        <f>SUM(M62:M84)</f>
        <v>0</v>
      </c>
      <c r="N89" s="231">
        <f>SUM(N62:N84)</f>
        <v>141623.8272</v>
      </c>
      <c r="O89" t="s" s="232">
        <v>3271</v>
      </c>
    </row>
    <row r="90" ht="15.1" customHeight="1">
      <c r="A90" s="233"/>
      <c r="B90" s="234"/>
      <c r="C90" s="235"/>
      <c r="D90" s="235"/>
      <c r="E90" s="235"/>
      <c r="F90" s="235"/>
      <c r="G90" s="235"/>
      <c r="H90" s="235"/>
      <c r="I90" s="235"/>
      <c r="J90" s="235"/>
      <c r="K90" s="235"/>
      <c r="L90" s="235"/>
      <c r="M90" s="235"/>
      <c r="N90" s="235"/>
      <c r="O90" s="235"/>
    </row>
    <row r="91" ht="15.1" customHeight="1">
      <c r="A91" t="s" s="236">
        <v>3272</v>
      </c>
      <c r="B91" t="s" s="237">
        <v>3273</v>
      </c>
      <c r="C91" s="166"/>
      <c r="D91" t="s" s="238">
        <v>3274</v>
      </c>
      <c r="E91" t="s" s="238">
        <v>3275</v>
      </c>
      <c r="F91" t="s" s="238">
        <v>3276</v>
      </c>
      <c r="G91" t="s" s="238">
        <v>3277</v>
      </c>
      <c r="H91" s="166"/>
      <c r="I91" t="s" s="239">
        <v>3278</v>
      </c>
      <c r="J91" s="240">
        <f>SUM(G92:G115)</f>
        <v>106679.386722436</v>
      </c>
      <c r="K91" s="166"/>
      <c r="L91" s="166"/>
      <c r="M91" s="166"/>
      <c r="N91" s="166"/>
      <c r="O91" s="166"/>
    </row>
    <row r="92" ht="15.1" customHeight="1">
      <c r="A92" t="s" s="241">
        <v>3238</v>
      </c>
      <c r="B92" s="213">
        <f>N62/N89</f>
        <v>0.353180866446744</v>
      </c>
      <c r="C92" s="189"/>
      <c r="D92" s="242">
        <v>29.17</v>
      </c>
      <c r="E92" s="242">
        <f>N62/N3</f>
        <v>112.149834080717</v>
      </c>
      <c r="F92" s="242">
        <f>IF((E92-D92)&lt;0,0,E92-D92)</f>
        <v>82.979834080717</v>
      </c>
      <c r="G92" s="242">
        <f>F92*N3</f>
        <v>37009.0059999998</v>
      </c>
      <c r="H92" s="166"/>
      <c r="I92" t="s" s="239">
        <v>3238</v>
      </c>
      <c r="J92" s="243">
        <f>G92/$G$119</f>
        <v>0.346918061089831</v>
      </c>
      <c r="K92" s="166"/>
      <c r="L92" s="166"/>
      <c r="M92" s="166"/>
      <c r="N92" s="166"/>
      <c r="O92" s="166"/>
    </row>
    <row r="93" ht="15.1" customHeight="1">
      <c r="A93" t="s" s="241">
        <v>3239</v>
      </c>
      <c r="B93" s="213">
        <f>N63/N89</f>
        <v>0.0410335966404388</v>
      </c>
      <c r="C93" s="189"/>
      <c r="D93" s="242">
        <v>6.7</v>
      </c>
      <c r="E93" s="242">
        <f>N63/N4</f>
        <v>46.8656048387097</v>
      </c>
      <c r="F93" s="242">
        <f>IF((E93-D93)&lt;0,0,E93-D93)</f>
        <v>40.1656048387097</v>
      </c>
      <c r="G93" s="242">
        <f>F93*N4</f>
        <v>4980.535</v>
      </c>
      <c r="H93" s="166"/>
      <c r="I93" t="s" s="239">
        <v>3239</v>
      </c>
      <c r="J93" s="243">
        <f>G93/$G$119</f>
        <v>0.0466869481820196</v>
      </c>
      <c r="K93" s="166"/>
      <c r="L93" s="166"/>
      <c r="M93" s="166"/>
      <c r="N93" s="166"/>
      <c r="O93" s="166"/>
    </row>
    <row r="94" ht="15.1" customHeight="1">
      <c r="A94" t="s" s="241">
        <v>3240</v>
      </c>
      <c r="B94" s="213">
        <f>N64/N89</f>
        <v>0.0509807752180277</v>
      </c>
      <c r="C94" s="189"/>
      <c r="D94" s="242">
        <v>7.74</v>
      </c>
      <c r="E94" s="242">
        <f>N64/N5</f>
        <v>24.9830190311419</v>
      </c>
      <c r="F94" s="242">
        <f>IF((E94-D94)&lt;0,0,E94-D94)</f>
        <v>17.2430190311419</v>
      </c>
      <c r="G94" s="242">
        <f>F94*N5</f>
        <v>4983.232500000010</v>
      </c>
      <c r="H94" s="166"/>
      <c r="I94" t="s" s="239">
        <v>3240</v>
      </c>
      <c r="J94" s="243">
        <f>G94/$G$119</f>
        <v>0.0467122342291454</v>
      </c>
      <c r="K94" s="166"/>
      <c r="L94" s="166"/>
      <c r="M94" s="166"/>
      <c r="N94" s="166"/>
      <c r="O94" s="166"/>
    </row>
    <row r="95" ht="15.1" customHeight="1">
      <c r="A95" t="s" s="241">
        <v>3268</v>
      </c>
      <c r="B95" s="213">
        <f>N65/N89</f>
        <v>0.0337574340033087</v>
      </c>
      <c r="C95" s="189"/>
      <c r="D95" s="242">
        <v>6.86</v>
      </c>
      <c r="E95" s="242">
        <f>N65/N6</f>
        <v>20.0035857740586</v>
      </c>
      <c r="F95" s="242">
        <f>IF((E95-D95)&lt;0,0,E95-D95)</f>
        <v>13.1435857740586</v>
      </c>
      <c r="G95" s="242">
        <f>F95*N6</f>
        <v>3141.317000000010</v>
      </c>
      <c r="H95" s="166"/>
      <c r="I95" t="s" s="239">
        <v>3279</v>
      </c>
      <c r="J95" s="243">
        <f>G95/$G$119</f>
        <v>0.0294463353841099</v>
      </c>
      <c r="K95" s="166"/>
      <c r="L95" s="166"/>
      <c r="M95" s="166"/>
      <c r="N95" s="166"/>
      <c r="O95" s="166"/>
    </row>
    <row r="96" ht="15.1" customHeight="1">
      <c r="A96" t="s" s="241">
        <v>3242</v>
      </c>
      <c r="B96" s="213">
        <f>N66/N89</f>
        <v>0.0279558043182157</v>
      </c>
      <c r="C96" s="189"/>
      <c r="D96" s="242">
        <v>11.94</v>
      </c>
      <c r="E96" s="242">
        <f>N66/N7</f>
        <v>42.5721290322581</v>
      </c>
      <c r="F96" s="242">
        <f>IF((E96-D96)&lt;0,0,E96-D96)</f>
        <v>30.6321290322581</v>
      </c>
      <c r="G96" s="242">
        <f>F96*N7</f>
        <v>2848.788</v>
      </c>
      <c r="H96" s="166"/>
      <c r="I96" t="s" s="239">
        <v>3242</v>
      </c>
      <c r="J96" s="243">
        <f>G96/$G$119</f>
        <v>0.0267042030098291</v>
      </c>
      <c r="K96" s="166"/>
      <c r="L96" s="166"/>
      <c r="M96" s="166"/>
      <c r="N96" s="166"/>
      <c r="O96" s="166"/>
    </row>
    <row r="97" ht="15.1" customHeight="1">
      <c r="A97" t="s" s="241">
        <v>3243</v>
      </c>
      <c r="B97" s="213">
        <f>N67/N89</f>
        <v>0.0807024455274712</v>
      </c>
      <c r="C97" s="189"/>
      <c r="D97" s="242">
        <v>48.12</v>
      </c>
      <c r="E97" s="242">
        <f>N67/N8</f>
        <v>160.977312676056</v>
      </c>
      <c r="F97" s="242">
        <f>IF((E97-D97)&lt;0,0,E97-D97)</f>
        <v>112.857312676056</v>
      </c>
      <c r="G97" s="242">
        <f>F97*N8</f>
        <v>8012.869199999980</v>
      </c>
      <c r="H97" s="166"/>
      <c r="I97" t="s" s="239">
        <v>3243</v>
      </c>
      <c r="J97" s="243">
        <f>G97/$G$119</f>
        <v>0.0751116916415004</v>
      </c>
      <c r="K97" s="166"/>
      <c r="L97" s="166"/>
      <c r="M97" s="166"/>
      <c r="N97" s="166"/>
      <c r="O97" s="166"/>
    </row>
    <row r="98" ht="15.1" customHeight="1">
      <c r="A98" t="s" s="241">
        <v>3244</v>
      </c>
      <c r="B98" s="213">
        <f>N68/N89</f>
        <v>0.008786498180441769</v>
      </c>
      <c r="C98" s="189"/>
      <c r="D98" s="242">
        <v>7.83</v>
      </c>
      <c r="E98" s="242">
        <f>N68/N9</f>
        <v>19.1442692307692</v>
      </c>
      <c r="F98" s="242">
        <f>IF((E98-D98)&lt;0,0,E98-D98)</f>
        <v>11.3142692307692</v>
      </c>
      <c r="G98" s="242">
        <f>F98*N9</f>
        <v>735.427499999998</v>
      </c>
      <c r="H98" s="166"/>
      <c r="I98" t="s" s="239">
        <v>3244</v>
      </c>
      <c r="J98" s="243">
        <f>G98/$G$119</f>
        <v>0.00689381072196704</v>
      </c>
      <c r="K98" s="166"/>
      <c r="L98" s="166"/>
      <c r="M98" s="166"/>
      <c r="N98" s="166"/>
      <c r="O98" s="166"/>
    </row>
    <row r="99" ht="15.1" customHeight="1">
      <c r="A99" t="s" s="241">
        <v>3245</v>
      </c>
      <c r="B99" s="213">
        <f>N69/N89</f>
        <v>0.00430549019932149</v>
      </c>
      <c r="C99" s="189"/>
      <c r="D99" s="242">
        <v>3.75</v>
      </c>
      <c r="E99" s="242">
        <f>_xlfn.IFERROR(N69/N10,0)</f>
        <v>15.6348717948718</v>
      </c>
      <c r="F99" s="242">
        <f>IF((E99-D99)&lt;0,0,E99-D99)</f>
        <v>11.8848717948718</v>
      </c>
      <c r="G99" s="242">
        <f>F99*N11</f>
        <v>380.315897435898</v>
      </c>
      <c r="H99" s="166"/>
      <c r="I99" t="s" s="239">
        <v>3245</v>
      </c>
      <c r="J99" s="243">
        <f>G99/$G$119</f>
        <v>0.00356503640600619</v>
      </c>
      <c r="K99" s="166"/>
      <c r="L99" s="166"/>
      <c r="M99" s="166"/>
      <c r="N99" s="166"/>
      <c r="O99" s="166"/>
    </row>
    <row r="100" ht="15.1" customHeight="1">
      <c r="A100" t="s" s="241">
        <v>3246</v>
      </c>
      <c r="B100" s="213">
        <f>N69/N89</f>
        <v>0.00430549019932149</v>
      </c>
      <c r="C100" s="189"/>
      <c r="D100" s="242">
        <v>1.5</v>
      </c>
      <c r="E100" s="242">
        <f>_xlfn.IFERROR(N70/N11,0)</f>
        <v>8.6216875</v>
      </c>
      <c r="F100" s="242">
        <f>IF((E100-D100)&lt;0,0,E100-D100)</f>
        <v>7.1216875</v>
      </c>
      <c r="G100" s="242">
        <f>F100*N12</f>
        <v>1239.173625</v>
      </c>
      <c r="H100" s="166"/>
      <c r="I100" t="s" s="239">
        <v>3246</v>
      </c>
      <c r="J100" s="243">
        <f>G100/$G$119</f>
        <v>0.0116158675360981</v>
      </c>
      <c r="K100" s="166"/>
      <c r="L100" s="166"/>
      <c r="M100" s="166"/>
      <c r="N100" s="166"/>
      <c r="O100" s="166"/>
    </row>
    <row r="101" ht="15.1" customHeight="1">
      <c r="A101" t="s" s="241">
        <v>3247</v>
      </c>
      <c r="B101" s="213">
        <f>N71/N89</f>
        <v>0.06669912250471929</v>
      </c>
      <c r="C101" s="189"/>
      <c r="D101" s="242">
        <v>16.19</v>
      </c>
      <c r="E101" s="242">
        <f>N71/N12</f>
        <v>54.2884195402299</v>
      </c>
      <c r="F101" s="242">
        <f>IF((E101-D101)&lt;0,0,E101-D101)</f>
        <v>38.0984195402299</v>
      </c>
      <c r="G101" s="242">
        <f>F101*N12</f>
        <v>6629.125</v>
      </c>
      <c r="H101" s="166"/>
      <c r="I101" t="s" s="239">
        <v>3247</v>
      </c>
      <c r="J101" s="243">
        <f>G101/$G$119</f>
        <v>0.0621406365715994</v>
      </c>
      <c r="K101" s="166"/>
      <c r="L101" s="166"/>
      <c r="M101" s="166"/>
      <c r="N101" s="166"/>
      <c r="O101" s="166"/>
    </row>
    <row r="102" ht="15.1" customHeight="1">
      <c r="A102" t="s" s="241">
        <v>3248</v>
      </c>
      <c r="B102" s="213">
        <f>N72/N89</f>
        <v>0.00367113366641175</v>
      </c>
      <c r="C102" s="189"/>
      <c r="D102" s="242">
        <v>15.94</v>
      </c>
      <c r="E102" s="242">
        <f>_xlfn.IFERROR(N72/N13,0)</f>
        <v>32.495</v>
      </c>
      <c r="F102" s="242">
        <f>IF((E102-D102)&lt;0,0,E102-D102)</f>
        <v>16.555</v>
      </c>
      <c r="G102" s="242">
        <f>F102*N13</f>
        <v>264.88</v>
      </c>
      <c r="H102" s="166"/>
      <c r="I102" t="s" s="239">
        <v>3248</v>
      </c>
      <c r="J102" s="243">
        <f>G102/$G$119</f>
        <v>0.00248295390644847</v>
      </c>
      <c r="K102" s="166"/>
      <c r="L102" s="166"/>
      <c r="M102" s="166"/>
      <c r="N102" s="166"/>
      <c r="O102" s="166"/>
    </row>
    <row r="103" ht="15.1" customHeight="1">
      <c r="A103" t="s" s="241">
        <v>3249</v>
      </c>
      <c r="B103" s="213">
        <f>N73/N89</f>
        <v>0.0234724838731092</v>
      </c>
      <c r="C103" s="189"/>
      <c r="D103" s="242">
        <v>7.24</v>
      </c>
      <c r="E103" s="242">
        <f>_xlfn.IFERROR(N73/N14,0)</f>
        <v>15.461688372093</v>
      </c>
      <c r="F103" s="242">
        <f>IF((E103-D103)&lt;0,0,E103-D103)</f>
        <v>8.221688372093</v>
      </c>
      <c r="G103" s="242">
        <f>F103*N14</f>
        <v>1767.663</v>
      </c>
      <c r="H103" s="166"/>
      <c r="I103" t="s" s="239">
        <v>3249</v>
      </c>
      <c r="J103" s="243">
        <f>G103/$G$119</f>
        <v>0.016569864659976</v>
      </c>
      <c r="K103" s="166"/>
      <c r="L103" s="166"/>
      <c r="M103" s="166"/>
      <c r="N103" s="166"/>
      <c r="O103" s="166"/>
    </row>
    <row r="104" ht="15.1" customHeight="1">
      <c r="A104" t="s" s="241">
        <v>3250</v>
      </c>
      <c r="B104" s="213">
        <f>N74/N89</f>
        <v>0.0212344212090323</v>
      </c>
      <c r="C104" s="189"/>
      <c r="D104" s="242">
        <v>5.67</v>
      </c>
      <c r="E104" s="242">
        <f>N74/N15</f>
        <v>37.59125</v>
      </c>
      <c r="F104" s="242">
        <f>IF((E104-D104)&lt;0,0,E104-D104)</f>
        <v>31.92125</v>
      </c>
      <c r="G104" s="242">
        <f>F104*N15</f>
        <v>2553.7</v>
      </c>
      <c r="H104" s="166"/>
      <c r="I104" t="s" s="239">
        <v>3250</v>
      </c>
      <c r="J104" s="243">
        <f>G104/$G$119</f>
        <v>0.0239380828711019</v>
      </c>
      <c r="K104" s="166"/>
      <c r="L104" s="166"/>
      <c r="M104" s="166"/>
      <c r="N104" s="166"/>
      <c r="O104" s="166"/>
    </row>
    <row r="105" ht="15.1" customHeight="1">
      <c r="A105" t="s" s="241">
        <v>3251</v>
      </c>
      <c r="B105" s="213">
        <f>N75/N89</f>
        <v>0.00417796928453576</v>
      </c>
      <c r="C105" s="16"/>
      <c r="D105" s="235">
        <v>3.16</v>
      </c>
      <c r="E105" s="242">
        <f>N75/N16</f>
        <v>2.425</v>
      </c>
      <c r="F105" s="242">
        <f>IF((E105-D105)&lt;0,0,E105-D105)</f>
        <v>0</v>
      </c>
      <c r="G105" s="242">
        <f>F105*N17</f>
        <v>0</v>
      </c>
      <c r="H105" s="16"/>
      <c r="I105" t="s" s="239">
        <v>3251</v>
      </c>
      <c r="J105" s="243">
        <f>G105/$G$119</f>
        <v>0</v>
      </c>
      <c r="K105" s="166"/>
      <c r="L105" s="166"/>
      <c r="M105" s="166"/>
      <c r="N105" s="166"/>
      <c r="O105" s="166"/>
    </row>
    <row r="106" ht="15.1" customHeight="1">
      <c r="A106" t="s" s="241">
        <v>3252</v>
      </c>
      <c r="B106" s="213">
        <f>N76/N89</f>
        <v>0.000772821933737433</v>
      </c>
      <c r="C106" s="189"/>
      <c r="D106" s="242">
        <v>0.04</v>
      </c>
      <c r="E106" s="242">
        <f>N76/N17</f>
        <v>1.12835051546392</v>
      </c>
      <c r="F106" s="242">
        <f>IF((E106-D106)&lt;0,0,E106-D106)</f>
        <v>1.08835051546392</v>
      </c>
      <c r="G106" s="242">
        <f>F106*N17</f>
        <v>105.57</v>
      </c>
      <c r="H106" s="166"/>
      <c r="I106" t="s" s="239">
        <v>3252</v>
      </c>
      <c r="J106" s="243">
        <f>G106/$G$119</f>
        <v>0.0009896007395944031</v>
      </c>
      <c r="K106" s="166"/>
      <c r="L106" s="166"/>
      <c r="M106" s="166"/>
      <c r="N106" s="166"/>
      <c r="O106" s="166"/>
    </row>
    <row r="107" ht="15.1" customHeight="1">
      <c r="A107" t="s" s="241">
        <v>3253</v>
      </c>
      <c r="B107" s="213">
        <f>N77/N89</f>
        <v>0.00124354074792296</v>
      </c>
      <c r="C107" s="189"/>
      <c r="D107" s="242">
        <v>0.1</v>
      </c>
      <c r="E107" s="242">
        <f>N77/N18</f>
        <v>0.898545918367347</v>
      </c>
      <c r="F107" s="242">
        <f>IF((E107-D107)&lt;0,0,E107-D107)</f>
        <v>0.798545918367347</v>
      </c>
      <c r="G107" s="242">
        <f>F107*N18</f>
        <v>156.515</v>
      </c>
      <c r="H107" s="166"/>
      <c r="I107" t="s" s="239">
        <v>3253</v>
      </c>
      <c r="J107" s="243">
        <f>G107/$G$119</f>
        <v>0.00146715316621785</v>
      </c>
      <c r="K107" s="166"/>
      <c r="L107" s="166"/>
      <c r="M107" s="166"/>
      <c r="N107" s="166"/>
      <c r="O107" s="166"/>
    </row>
    <row r="108" ht="15.1" customHeight="1">
      <c r="A108" t="s" s="241">
        <v>3269</v>
      </c>
      <c r="B108" s="213">
        <f>N78/N89</f>
        <v>0.011589257489011</v>
      </c>
      <c r="C108" s="189"/>
      <c r="D108" s="242">
        <v>1.59</v>
      </c>
      <c r="E108" s="242">
        <f>N78/N19</f>
        <v>4.00320731707317</v>
      </c>
      <c r="F108" s="242">
        <f>IF((E108-D108)&lt;0,0,E108-D108)</f>
        <v>2.41320731707317</v>
      </c>
      <c r="G108" s="242">
        <f>F108*N19</f>
        <v>989.415</v>
      </c>
      <c r="H108" s="166"/>
      <c r="I108" t="s" s="239">
        <v>3269</v>
      </c>
      <c r="J108" s="243">
        <f>G108/$G$119</f>
        <v>0.00927465961699153</v>
      </c>
      <c r="K108" s="166"/>
      <c r="L108" s="166"/>
      <c r="M108" s="166"/>
      <c r="N108" s="166"/>
      <c r="O108" s="166"/>
    </row>
    <row r="109" ht="15.1" customHeight="1">
      <c r="A109" t="s" s="241">
        <v>3280</v>
      </c>
      <c r="B109" s="213">
        <f>N79/N89</f>
        <v>0.0253061230645799</v>
      </c>
      <c r="C109" s="189"/>
      <c r="D109" s="242">
        <v>0.05</v>
      </c>
      <c r="E109" s="242">
        <f>N79/N20</f>
        <v>0.454181979470283</v>
      </c>
      <c r="F109" s="242">
        <f>IF((E109-D109)&lt;0,0,E109-D109)</f>
        <v>0.404181979470283</v>
      </c>
      <c r="G109" s="242">
        <f>F109*N20</f>
        <v>3189.4</v>
      </c>
      <c r="H109" s="166"/>
      <c r="I109" t="s" s="239">
        <v>3255</v>
      </c>
      <c r="J109" s="243">
        <f>G109/$G$119</f>
        <v>0.0298970597599923</v>
      </c>
      <c r="K109" s="166"/>
      <c r="L109" s="166"/>
      <c r="M109" s="166"/>
      <c r="N109" s="166"/>
      <c r="O109" s="166"/>
    </row>
    <row r="110" ht="15.1" customHeight="1">
      <c r="A110" t="s" s="241">
        <v>3256</v>
      </c>
      <c r="B110" s="213">
        <f>N80/N89</f>
        <v>0.00112947095953074</v>
      </c>
      <c r="C110" s="189"/>
      <c r="D110" s="242">
        <v>4.7</v>
      </c>
      <c r="E110" s="242">
        <f>N80/N21</f>
        <v>0.686523605150215</v>
      </c>
      <c r="F110" s="242">
        <f>IF((E110-D110)&lt;0,0,E110-D110)</f>
        <v>0</v>
      </c>
      <c r="G110" s="242">
        <f>F110*N21</f>
        <v>0</v>
      </c>
      <c r="H110" s="166"/>
      <c r="I110" t="s" s="239">
        <v>3256</v>
      </c>
      <c r="J110" s="243">
        <f>G110/$G$119</f>
        <v>0</v>
      </c>
      <c r="K110" s="166"/>
      <c r="L110" s="166"/>
      <c r="M110" s="166"/>
      <c r="N110" s="166"/>
      <c r="O110" s="166"/>
    </row>
    <row r="111" ht="15.1" customHeight="1">
      <c r="A111" t="s" s="241">
        <v>3257</v>
      </c>
      <c r="B111" s="213">
        <f>N80/N89</f>
        <v>0.00112947095953074</v>
      </c>
      <c r="C111" s="189"/>
      <c r="D111" s="242">
        <v>19.37</v>
      </c>
      <c r="E111" s="242">
        <f>N81/N22</f>
        <v>12.6963826366559</v>
      </c>
      <c r="F111" s="242">
        <f>IF((E111-D111)&lt;0,0,E111-D111)</f>
        <v>0</v>
      </c>
      <c r="G111" s="242">
        <f>F111*N22</f>
        <v>0</v>
      </c>
      <c r="H111" s="166"/>
      <c r="I111" t="s" s="239">
        <v>3257</v>
      </c>
      <c r="J111" s="243">
        <f>G111/$G$119</f>
        <v>0</v>
      </c>
      <c r="K111" s="166"/>
      <c r="L111" s="166"/>
      <c r="M111" s="166"/>
      <c r="N111" s="166"/>
      <c r="O111" s="166"/>
    </row>
    <row r="112" ht="15.1" customHeight="1">
      <c r="A112" t="s" s="241">
        <v>3258</v>
      </c>
      <c r="B112" s="213">
        <f>N82/N89</f>
        <v>0.101814135270029</v>
      </c>
      <c r="C112" s="189"/>
      <c r="D112" s="242">
        <v>10.92</v>
      </c>
      <c r="E112" s="242">
        <f>N82/N23</f>
        <v>47.7460513245033</v>
      </c>
      <c r="F112" s="242">
        <f>IF((E112-D112)&lt;0,0,E112-D112)</f>
        <v>36.8260513245033</v>
      </c>
      <c r="G112" s="242">
        <f>F112*N23</f>
        <v>11121.4675</v>
      </c>
      <c r="H112" s="166"/>
      <c r="I112" t="s" s="239">
        <v>3258</v>
      </c>
      <c r="J112" s="243">
        <f>G112/$G$119</f>
        <v>0.104251325787393</v>
      </c>
      <c r="K112" s="166"/>
      <c r="L112" s="166"/>
      <c r="M112" s="166"/>
      <c r="N112" s="166"/>
      <c r="O112" s="166"/>
    </row>
    <row r="113" ht="15.1" customHeight="1">
      <c r="A113" t="s" s="241">
        <v>3259</v>
      </c>
      <c r="B113" s="213">
        <f>N83/N89</f>
        <v>0.0754905633562768</v>
      </c>
      <c r="C113" s="189"/>
      <c r="D113" s="242">
        <v>19.36</v>
      </c>
      <c r="E113" s="242">
        <f>N83/N24</f>
        <v>57.1725267379679</v>
      </c>
      <c r="F113" s="242">
        <f>IF((E113-D113)&lt;0,0,E113-D113)</f>
        <v>37.8125267379679</v>
      </c>
      <c r="G113" s="242">
        <f>F113*N24</f>
        <v>7070.9425</v>
      </c>
      <c r="H113" s="166"/>
      <c r="I113" t="s" s="239">
        <v>3259</v>
      </c>
      <c r="J113" s="243">
        <f>G113/$G$119</f>
        <v>0.0662821817526712</v>
      </c>
      <c r="K113" s="166"/>
      <c r="L113" s="166"/>
      <c r="M113" s="166"/>
      <c r="N113" s="166"/>
      <c r="O113" s="166"/>
    </row>
    <row r="114" ht="15.1" customHeight="1">
      <c r="A114" t="s" s="241">
        <v>346</v>
      </c>
      <c r="B114" s="213">
        <f>N84/N89</f>
        <v>0.032867244813449</v>
      </c>
      <c r="C114" s="189"/>
      <c r="D114" s="242">
        <v>89.45999999999999</v>
      </c>
      <c r="E114" s="242">
        <f>N84/N25</f>
        <v>211.581136363636</v>
      </c>
      <c r="F114" s="242">
        <f>IF((E114-D114)&lt;0,0,E114-D114)</f>
        <v>122.121136363636</v>
      </c>
      <c r="G114" s="242">
        <f>F114*N25</f>
        <v>2686.664999999990</v>
      </c>
      <c r="H114" s="166"/>
      <c r="I114" t="s" s="239">
        <v>346</v>
      </c>
      <c r="J114" s="243">
        <f>G114/$G$119</f>
        <v>0.0251844811124599</v>
      </c>
      <c r="K114" s="166"/>
      <c r="L114" s="166"/>
      <c r="M114" s="166"/>
      <c r="N114" s="166"/>
      <c r="O114" s="166"/>
    </row>
    <row r="115" ht="15.1" customHeight="1">
      <c r="A115" t="s" s="241">
        <v>3260</v>
      </c>
      <c r="B115" s="213">
        <f>N85/N89</f>
        <v>0.087390513621143</v>
      </c>
      <c r="C115" s="189"/>
      <c r="D115" s="242">
        <v>29.28</v>
      </c>
      <c r="E115" s="242">
        <f>_xlfn.IFERROR(N85/N26,0)</f>
        <v>65.13988947368421</v>
      </c>
      <c r="F115" s="242">
        <f>IF((E115-D115)&lt;0,0,E115-D115)</f>
        <v>35.8598894736842</v>
      </c>
      <c r="G115" s="242">
        <f>F115*N26</f>
        <v>6813.379</v>
      </c>
      <c r="H115" s="166"/>
      <c r="I115" t="s" s="239">
        <v>3260</v>
      </c>
      <c r="J115" s="243">
        <f>G115/$G$119</f>
        <v>0.0638678118550438</v>
      </c>
      <c r="K115" s="166"/>
      <c r="L115" s="166"/>
      <c r="M115" s="166"/>
      <c r="N115" s="166"/>
      <c r="O115" s="166"/>
    </row>
    <row r="116" ht="15.1" customHeight="1">
      <c r="A116" t="s" s="241">
        <v>3261</v>
      </c>
      <c r="B116" s="213"/>
      <c r="C116" s="189"/>
      <c r="D116" s="242">
        <v>847</v>
      </c>
      <c r="E116" s="242">
        <f>N86/N27</f>
        <v>1203.453692307690</v>
      </c>
      <c r="F116" s="242">
        <f>IF((E116-D116)&lt;0,0,E116-D116)</f>
        <v>356.453692307690</v>
      </c>
      <c r="G116" s="242">
        <f>F116*N27</f>
        <v>9267.795999999940</v>
      </c>
      <c r="H116" s="166"/>
      <c r="I116" t="s" s="239">
        <v>3261</v>
      </c>
      <c r="J116" s="243">
        <f>G116/$G$119</f>
        <v>0.0868752275836885</v>
      </c>
      <c r="K116" s="166"/>
      <c r="L116" s="166"/>
      <c r="M116" s="166"/>
      <c r="N116" s="166"/>
      <c r="O116" s="166"/>
    </row>
    <row r="117" ht="15.1" customHeight="1">
      <c r="A117" t="s" s="241">
        <v>3262</v>
      </c>
      <c r="B117" s="213"/>
      <c r="C117" s="189"/>
      <c r="D117" s="242">
        <v>248.1</v>
      </c>
      <c r="E117" s="242">
        <f>N87/N28</f>
        <v>633.386369918699</v>
      </c>
      <c r="F117" s="242">
        <f>IF((E117-D117)&lt;0,0,E117-D117)</f>
        <v>385.286369918699</v>
      </c>
      <c r="G117" s="242">
        <f>F117*N28</f>
        <v>47390.2235</v>
      </c>
      <c r="H117" s="166"/>
      <c r="I117" t="s" s="239">
        <v>3262</v>
      </c>
      <c r="J117" s="243">
        <f>G117/$G$119</f>
        <v>0.444230370608545</v>
      </c>
      <c r="K117" s="166"/>
      <c r="L117" s="166"/>
      <c r="M117" s="166"/>
      <c r="N117" s="166"/>
      <c r="O117" s="166"/>
    </row>
    <row r="118" ht="15.1" customHeight="1">
      <c r="A118" t="s" s="244">
        <v>3281</v>
      </c>
      <c r="B118" s="245">
        <f>N88/(N89+N88)</f>
        <v>0.216463983552159</v>
      </c>
      <c r="C118" s="189"/>
      <c r="D118" s="242"/>
      <c r="E118" s="242">
        <f>N88/N29</f>
        <v>174.668660714286</v>
      </c>
      <c r="F118" s="242"/>
      <c r="G118" s="242"/>
      <c r="H118" s="166"/>
      <c r="I118" s="246"/>
      <c r="J118" s="243"/>
      <c r="K118" s="166"/>
      <c r="L118" s="166"/>
      <c r="M118" s="166"/>
      <c r="N118" s="166"/>
      <c r="O118" s="166"/>
    </row>
    <row r="119" ht="15.1" customHeight="1">
      <c r="A119" s="247"/>
      <c r="B119" s="213"/>
      <c r="C119" s="189"/>
      <c r="D119" s="242"/>
      <c r="E119" s="242"/>
      <c r="F119" t="s" s="248">
        <v>3282</v>
      </c>
      <c r="G119" s="240">
        <f>SUM(G92:G115)</f>
        <v>106679.386722436</v>
      </c>
      <c r="H119" s="166"/>
      <c r="I119" s="246"/>
      <c r="J119" s="243"/>
      <c r="K119" s="166"/>
      <c r="L119" s="166"/>
      <c r="M119" s="166"/>
      <c r="N119" s="166"/>
      <c r="O119" s="166"/>
    </row>
  </sheetData>
  <mergeCells count="5">
    <mergeCell ref="A1:O1"/>
    <mergeCell ref="F60:I60"/>
    <mergeCell ref="F33:I33"/>
    <mergeCell ref="O23:O24"/>
    <mergeCell ref="O5:O16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98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249" customWidth="1"/>
    <col min="15" max="16384" width="16.3516" style="249" customWidth="1"/>
  </cols>
  <sheetData>
    <row r="1" ht="15.55" customHeight="1">
      <c r="A1" t="s" s="2">
        <v>3283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0">
        <v>3284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251">
        <v>3237</v>
      </c>
    </row>
    <row r="3" ht="15.1" customHeight="1">
      <c r="A3" t="s" s="157">
        <v>3285</v>
      </c>
      <c r="B3" s="158">
        <f>GETPIVOTDATA("Sum of Order Quantity",'January 2024'!P374,"Line Item Name","CC-CH-02-MFD")</f>
        <v>4</v>
      </c>
      <c r="C3" s="159">
        <f>GETPIVOTDATA("Sum of Order Quantity",'February 2024'!P465,"Line Item Name","CC-CH-02-MFD")</f>
        <v>8</v>
      </c>
      <c r="D3" s="159">
        <f t="shared" si="2" ref="D3:J22">0</f>
        <v>0</v>
      </c>
      <c r="E3" s="159">
        <f>GETPIVOTDATA("Sum of Order Quantity",'April 2024'!P568,"Line Item Name","CC-CH-02-MFD")</f>
        <v>8</v>
      </c>
      <c r="F3" s="159">
        <f t="shared" si="2"/>
        <v>0</v>
      </c>
      <c r="G3" s="159">
        <f>GETPIVOTDATA("Sum of Order Quantity",'June 2024'!P554,"Line Item Name","CC-CH-02-MFD")</f>
        <v>4</v>
      </c>
      <c r="H3" s="159">
        <f t="shared" si="2"/>
        <v>0</v>
      </c>
      <c r="I3" s="159">
        <f>GETPIVOTDATA("Sum of Order Quantity",'August 2024'!Q691,"Line Item Name","CC-CH-02-MFD")</f>
        <v>2</v>
      </c>
      <c r="J3" s="159">
        <f>GETPIVOTDATA("Sum of Order Quantity",'September 2024'!Q681,"Line Item Name","CC-CH-02-MFD")</f>
        <v>8</v>
      </c>
      <c r="K3" s="160"/>
      <c r="L3" s="160"/>
      <c r="M3" s="160"/>
      <c r="N3" s="252">
        <f>SUM(B3:M3)</f>
        <v>34</v>
      </c>
    </row>
    <row r="4" ht="15.1" customHeight="1">
      <c r="A4" t="s" s="163">
        <v>3286</v>
      </c>
      <c r="B4" s="164">
        <f>GETPIVOTDATA("Sum of Order Quantity",'January 2024'!P374,"Line Item Name","CC-CH-03.5-MFD")</f>
        <v>9</v>
      </c>
      <c r="C4" s="165">
        <f>0</f>
        <v>0</v>
      </c>
      <c r="D4" s="165">
        <f>GETPIVOTDATA("Sum of Order Quantity",'March 2024'!P474,"Line Item Name","CC-CH-03.5-MFD")</f>
        <v>40</v>
      </c>
      <c r="E4" s="165">
        <f>GETPIVOTDATA("Sum of Order Quantity",'April 2024'!P568,"Line Item Name","CC-CH-03.5-MFD")</f>
        <v>5</v>
      </c>
      <c r="F4" s="165">
        <f>GETPIVOTDATA("Sum of Order Quantity",'May 2024'!P1279,"Line Item Name","CC-CH-03.5-MFD")</f>
        <v>14</v>
      </c>
      <c r="G4" s="165">
        <f>GETPIVOTDATA("Sum of Order Quantity",'June 2024'!P554,"Line Item Name","CC-CH-03.5-MFD")</f>
        <v>4</v>
      </c>
      <c r="H4" s="165">
        <v>0</v>
      </c>
      <c r="I4" s="165">
        <f>GETPIVOTDATA("Sum of Order Quantity",'August 2024'!Q691,"Line Item Name","CC-CH-03.5-MFD")</f>
        <v>8</v>
      </c>
      <c r="J4" s="165">
        <f>GETPIVOTDATA("Sum of Order Quantity",'September 2024'!Q681,"Line Item Name","CC-CH-03.5-MFD")+40</f>
        <v>76</v>
      </c>
      <c r="K4" s="166"/>
      <c r="L4" s="166"/>
      <c r="M4" s="166"/>
      <c r="N4" s="253">
        <f>SUM(B4:M4)</f>
        <v>156</v>
      </c>
    </row>
    <row r="5" ht="15.1" customHeight="1">
      <c r="A5" t="s" s="163">
        <v>3287</v>
      </c>
      <c r="B5" s="164">
        <f>0</f>
        <v>0</v>
      </c>
      <c r="C5" s="165">
        <f>GETPIVOTDATA("Sum of Order Quantity",'February 2024'!P465,"Line Item Name","CC-CH-05-MFD")</f>
        <v>9</v>
      </c>
      <c r="D5" s="165">
        <f>GETPIVOTDATA("Sum of Order Quantity",'March 2024'!P474,"Line Item Name","CC-CH-05-MFD")</f>
        <v>12</v>
      </c>
      <c r="E5" s="165">
        <f>GETPIVOTDATA("Sum of Order Quantity",'April 2024'!P568,"Line Item Name","CC-CH-05-MFD")</f>
        <v>1</v>
      </c>
      <c r="F5" s="165">
        <f>GETPIVOTDATA("Sum of Order Quantity",'May 2024'!P1279,"Line Item Name","CC-CH-05-MFD")</f>
        <v>14</v>
      </c>
      <c r="G5" s="165">
        <f>GETPIVOTDATA("Sum of Order Quantity",'June 2024'!P554,"Line Item Name","CC-CH-05-MFD")</f>
        <v>20</v>
      </c>
      <c r="H5" s="165">
        <f t="shared" si="2"/>
        <v>0</v>
      </c>
      <c r="I5" s="165">
        <f>GETPIVOTDATA("Sum of Order Quantity",'August 2024'!Q691,"Line Item Name","CC-CH-05-MFD")</f>
        <v>11</v>
      </c>
      <c r="J5" s="165">
        <f t="shared" si="2"/>
        <v>0</v>
      </c>
      <c r="K5" s="166"/>
      <c r="L5" s="166"/>
      <c r="M5" s="166"/>
      <c r="N5" s="253">
        <f>SUM(B5:M5)</f>
        <v>67</v>
      </c>
    </row>
    <row r="6" ht="15.1" customHeight="1">
      <c r="A6" t="s" s="163">
        <v>3288</v>
      </c>
      <c r="B6" s="164">
        <f>0</f>
        <v>0</v>
      </c>
      <c r="C6" s="165">
        <f>GETPIVOTDATA("Sum of Order Quantity",'February 2024'!P465,"Line Item Name","CC-CH-05-STD - 01")</f>
        <v>1</v>
      </c>
      <c r="D6" s="165">
        <f>GETPIVOTDATA("Sum of Order Quantity",'March 2024'!P474,"Line Item Name","CC-CH-05-STD - 01")</f>
        <v>3</v>
      </c>
      <c r="E6" s="165">
        <f>GETPIVOTDATA("Sum of Order Quantity",'April 2024'!P568,"Line Item Name","CC-CH-05-STD - 01")</f>
        <v>2</v>
      </c>
      <c r="F6" s="165">
        <f>GETPIVOTDATA("Sum of Order Quantity",'May 2024'!P1279,"Line Item Name","5FT CO2 Hose - JIC  x JIC")</f>
        <v>5</v>
      </c>
      <c r="G6" s="165">
        <f>GETPIVOTDATA("Sum of Order Quantity",'June 2024'!P554,"Line Item Name","CC-CH-05-STD")</f>
        <v>4</v>
      </c>
      <c r="H6" s="165">
        <f>GETPIVOTDATA("Sum of Order Quantity",'July 2024'!S1330,"Line Item Name","CC-CH-05-STD - 01")</f>
        <v>1</v>
      </c>
      <c r="I6" s="165">
        <f>GETPIVOTDATA("Sum of Order Quantity",'August 2024'!Q691,"Line Item Name","CC-CH-05-STD - 01")</f>
        <v>4</v>
      </c>
      <c r="J6" s="165">
        <f>GETPIVOTDATA("Sum of Order Quantity",'September 2024'!Q681,"Line Item Name","CC-CH-05-STD - 01")</f>
        <v>3</v>
      </c>
      <c r="K6" s="166"/>
      <c r="L6" s="166"/>
      <c r="M6" s="166"/>
      <c r="N6" s="253">
        <f>SUM(B6:M6)</f>
        <v>23</v>
      </c>
    </row>
    <row r="7" ht="15.1" customHeight="1">
      <c r="A7" t="s" s="163">
        <v>3289</v>
      </c>
      <c r="B7" s="164">
        <f>GETPIVOTDATA("Sum of Order Quantity",'January 2024'!P374,"Line Item Name","CC-CH-05-DSY")</f>
        <v>1</v>
      </c>
      <c r="C7" s="165">
        <v>0</v>
      </c>
      <c r="D7" s="165">
        <f t="shared" si="2"/>
        <v>0</v>
      </c>
      <c r="E7" s="165">
        <f>GETPIVOTDATA("Sum of Order Quantity",'April 2024'!P568,"Line Item Name","CC-CH-05-DSY")</f>
        <v>2</v>
      </c>
      <c r="F7" s="165">
        <f t="shared" si="2"/>
        <v>0</v>
      </c>
      <c r="G7" s="165">
        <v>0</v>
      </c>
      <c r="H7" s="165">
        <f>GETPIVOTDATA("Sum of Order Quantity",'July 2024'!S1330,"Line Item Name","CC-CH-05-DSY")</f>
        <v>1</v>
      </c>
      <c r="I7" s="165">
        <f>GETPIVOTDATA("Sum of Order Quantity",'August 2024'!Q691,"Line Item Name","CC-CH-05-DSY")</f>
        <v>1</v>
      </c>
      <c r="J7" s="165">
        <f t="shared" si="2"/>
        <v>0</v>
      </c>
      <c r="K7" s="166"/>
      <c r="L7" s="166"/>
      <c r="M7" s="166"/>
      <c r="N7" s="253">
        <f>SUM(B7:M7)</f>
        <v>5</v>
      </c>
    </row>
    <row r="8" ht="15.1" customHeight="1">
      <c r="A8" t="s" s="163">
        <v>3290</v>
      </c>
      <c r="B8" s="164">
        <v>0</v>
      </c>
      <c r="C8" s="165">
        <v>0</v>
      </c>
      <c r="D8" s="165">
        <f>GETPIVOTDATA("Sum of Order Quantity",'March 2024'!P474,"Line Item Name","CC-CH-05-EXT")</f>
        <v>1</v>
      </c>
      <c r="E8" s="165">
        <f t="shared" si="2"/>
        <v>0</v>
      </c>
      <c r="F8" s="165">
        <v>0</v>
      </c>
      <c r="G8" s="165">
        <f>GETPIVOTDATA("Sum of Order Quantity",'June 2024'!P554,"Line Item Name","CC-CH-05-EXT")</f>
        <v>1</v>
      </c>
      <c r="H8" s="165">
        <f t="shared" si="2"/>
        <v>0</v>
      </c>
      <c r="I8" s="165">
        <v>0</v>
      </c>
      <c r="J8" s="165">
        <v>0</v>
      </c>
      <c r="K8" s="166"/>
      <c r="L8" s="166"/>
      <c r="M8" s="166"/>
      <c r="N8" s="253">
        <f>SUM(B8:M8)</f>
        <v>2</v>
      </c>
    </row>
    <row r="9" ht="15.1" customHeight="1">
      <c r="A9" t="s" s="163">
        <v>3291</v>
      </c>
      <c r="B9" s="164">
        <f>SUM(GETPIVOTDATA("Sum of Order Quantity",'January 2024'!P374,"Line Item Name","CC-CH-08-STD"),'January 2024'!Q410:Q411)</f>
        <v>30</v>
      </c>
      <c r="C9" s="165">
        <f>SUM(GETPIVOTDATA("Sum of Order Quantity",'February 2024'!P465,"Line Item Name","CC-CH-08-STD"),GETPIVOTDATA("Sum of Order Quantity",'February 2024'!P465,"Line Item Name","CC-HCCMKII-08-NC"),GETPIVOTDATA("Sum of Order Quantity",'February 2024'!P465,"Line Item Name","CC-HCCMKII-08-TC"))</f>
        <v>23</v>
      </c>
      <c r="D9" s="165">
        <f>GETPIVOTDATA("Sum of Order Quantity",'March 2024'!P474,"Line Item Name","CC-CH-08-STD")+GETPIVOTDATA("Sum of Order Quantity",'March 2024'!P474,"Line Item Name","CC-HCCMKII-08-NC")+GETPIVOTDATA("Sum of Order Quantity",'March 2024'!P474,"Line Item Name","CC-HCCMKII-08-TC")</f>
        <v>21</v>
      </c>
      <c r="E9" s="165">
        <f>SUM(GETPIVOTDATA("Sum of Order Quantity",'April 2024'!P568,"Line Item Name","CC-HCCMKII-08-TC"),GETPIVOTDATA("Sum of Order Quantity",'April 2024'!P568,"Line Item Name","CC-HCCMKII-08-NC"),GETPIVOTDATA("Sum of Order Quantity",'April 2024'!P568,"Line Item Name","CC-CH-08-STD"))</f>
        <v>29</v>
      </c>
      <c r="F9" s="165">
        <f>GETPIVOTDATA("Sum of Order Quantity",'May 2024'!P1279,"Line Item Name","CC-HCCMKII-08-NC")+GETPIVOTDATA("Sum of Order Quantity",'May 2024'!P1279,"Line Item Name","CC-HCCMKII-08-TC")+GETPIVOTDATA("Sum of Order Quantity",'May 2024'!P1279,"Line Item Name","CC-CH-08-STD")</f>
        <v>21</v>
      </c>
      <c r="G9" s="165">
        <f>GETPIVOTDATA("Sum of Order Quantity",'June 2024'!P554,"Line Item Name","CC-HCCMKII-08-NC")+GETPIVOTDATA("Sum of Order Quantity",'June 2024'!P554,"Line Item Name","CC-HCCMKII-08-TC")+GETPIVOTDATA("Sum of Order Quantity",'June 2024'!P554,"Line Item Name","CC-CH-08-STD")</f>
        <v>24</v>
      </c>
      <c r="H9" s="165">
        <f>GETPIVOTDATA("Sum of Order Quantity",'July 2024'!S1330,"Line Item Name","CC-CH-08-STD")+GETPIVOTDATA("Sum of Order Quantity",'July 2024'!S1330,"Line Item Name","CC-HCCMKII-08-NC")+GETPIVOTDATA("Sum of Order Quantity",'July 2024'!S1330,"Line Item Name","CC-HCCMKII-08-TC")</f>
        <v>24</v>
      </c>
      <c r="I9" s="165">
        <f>GETPIVOTDATA("Sum of Order Quantity",'August 2024'!Q691,"Line Item Name","CC-CH-08-STD")+GETPIVOTDATA("Sum of Order Quantity",'August 2024'!Q691,"Line Item Name","CC-HCCMKII-08-NC")+GETPIVOTDATA("Sum of Order Quantity",'August 2024'!Q691,"Line Item Name","CC-HCCMKII-08-TC")</f>
        <v>50</v>
      </c>
      <c r="J9" s="165">
        <f>GETPIVOTDATA("Sum of Order Quantity",'September 2024'!Q681,"Line Item Name","CC-CH-08-STD")+GETPIVOTDATA("Sum of Order Quantity",'September 2024'!Q681,"Line Item Name","CC-HCCMKII-08-NC")+GETPIVOTDATA("Sum of Order Quantity",'September 2024'!Q681,"Line Item Name","CC-HCCMKII-08-TC")</f>
        <v>20</v>
      </c>
      <c r="K9" s="166"/>
      <c r="L9" s="166"/>
      <c r="M9" s="166"/>
      <c r="N9" s="253">
        <f>SUM(B9:M9)</f>
        <v>242</v>
      </c>
    </row>
    <row r="10" ht="15.1" customHeight="1">
      <c r="A10" t="s" s="163">
        <v>3292</v>
      </c>
      <c r="B10" s="164">
        <f>GETPIVOTDATA("Sum of Order Quantity",'January 2024'!P374,"Line Item Name","CC-CH-08-DSY")</f>
        <v>4</v>
      </c>
      <c r="C10" s="165">
        <f>GETPIVOTDATA("Sum of Order Quantity",'February 2024'!P465,"Line Item Name","CC-CH-08-DSY")</f>
        <v>3</v>
      </c>
      <c r="D10" s="165">
        <f>GETPIVOTDATA("Sum of Order Quantity",'March 2024'!P474,"Line Item Name","CC-CH-08-DSY")</f>
        <v>7</v>
      </c>
      <c r="E10" s="165">
        <f t="shared" si="2"/>
        <v>0</v>
      </c>
      <c r="F10" s="165">
        <f>GETPIVOTDATA("Sum of Order Quantity",'May 2024'!P1279,"Line Item Name","CC-CH-08-DSY")</f>
        <v>14</v>
      </c>
      <c r="G10" s="165">
        <f>GETPIVOTDATA("Sum of Order Quantity",'June 2024'!P554,"Line Item Name","CC-CH-08-DSY")</f>
        <v>2</v>
      </c>
      <c r="H10" s="165">
        <f t="shared" si="2"/>
        <v>0</v>
      </c>
      <c r="I10" s="165">
        <f>GETPIVOTDATA("Sum of Order Quantity",'August 2024'!Q691,"Line Item Name","CC-CH-08-DSY")</f>
        <v>1</v>
      </c>
      <c r="J10" s="165">
        <f>GETPIVOTDATA("Sum of Order Quantity",'September 2024'!Q681,"Line Item Name","CC-CH-08-DSY")</f>
        <v>5</v>
      </c>
      <c r="K10" s="166"/>
      <c r="L10" s="166"/>
      <c r="M10" s="166"/>
      <c r="N10" s="253">
        <f>SUM(B10:M10)</f>
        <v>36</v>
      </c>
    </row>
    <row r="11" ht="15.1" customHeight="1">
      <c r="A11" t="s" s="163">
        <v>3293</v>
      </c>
      <c r="B11" s="164">
        <f>0</f>
        <v>0</v>
      </c>
      <c r="C11" s="165">
        <f>GETPIVOTDATA("Sum of Order Quantity",'February 2024'!P465,"Line Item Name","CC-CH-08-EXT")</f>
        <v>1</v>
      </c>
      <c r="D11" s="165">
        <f>GETPIVOTDATA("Sum of Order Quantity",'March 2024'!P474,"Line Item Name","CC-CH-08-EXT")</f>
        <v>1</v>
      </c>
      <c r="E11" s="165">
        <v>0</v>
      </c>
      <c r="F11" s="165">
        <f>GETPIVOTDATA("Sum of Order Quantity",'May 2024'!P1279,"Line Item Name","CC-CH-08-EXT")</f>
        <v>2</v>
      </c>
      <c r="G11" s="165">
        <f t="shared" si="2"/>
        <v>0</v>
      </c>
      <c r="H11" s="165">
        <v>0</v>
      </c>
      <c r="I11" s="165">
        <f t="shared" si="2"/>
        <v>0</v>
      </c>
      <c r="J11" s="165">
        <v>0</v>
      </c>
      <c r="K11" s="166"/>
      <c r="L11" s="166"/>
      <c r="M11" s="166"/>
      <c r="N11" s="253">
        <f>SUM(B11:M11)</f>
        <v>4</v>
      </c>
    </row>
    <row r="12" ht="15.1" customHeight="1">
      <c r="A12" t="s" s="163">
        <v>3294</v>
      </c>
      <c r="B12" s="164">
        <f>SUM('January 2024'!Q408:Q409,GETPIVOTDATA("Sum of Order Quantity",'January 2024'!P374,"Line Item Name","CC-CH-15-STD"))</f>
        <v>31</v>
      </c>
      <c r="C12" s="165">
        <f>SUM(GETPIVOTDATA("Sum of Order Quantity",'February 2024'!P465,"Line Item Name","CC-CH-15-STD"),'February 2024'!Q532:Q533)</f>
        <v>42</v>
      </c>
      <c r="D12" s="165">
        <f>GETPIVOTDATA("Sum of Order Quantity",'March 2024'!P474,"Line Item Name","CC-HCCMKII-15-TC")+GETPIVOTDATA("Sum of Order Quantity",'March 2024'!P474,"Line Item Name","CC-HCCMKII-15-NC")+GETPIVOTDATA("Sum of Order Quantity",'March 2024'!P474,"Line Item Name","CC-CH-15-STD")</f>
        <v>93</v>
      </c>
      <c r="E12" s="165">
        <f>SUM(GETPIVOTDATA("Sum of Order Quantity",'April 2024'!P568,"Line Item Name","CC-HCCMKII-15-TC"),GETPIVOTDATA("Sum of Order Quantity",'April 2024'!P568,"Line Item Name","CC-HCCMKII-15-NC"),GETPIVOTDATA("Sum of Order Quantity",'April 2024'!P568,"Line Item Name","CC-CH-15-STD"))</f>
        <v>47</v>
      </c>
      <c r="F12" s="165">
        <f>GETPIVOTDATA("Sum of Order Quantity",'May 2024'!P1279,"Line Item Name","CC-HCCMKII-15-TC")+GETPIVOTDATA("Sum of Order Quantity",'May 2024'!P1279,"Line Item Name","CC-HCCMKII-15-NC")+GETPIVOTDATA("Sum of Order Quantity",'May 2024'!P1279,"Line Item Name","CC-CH-15-STD")+GETPIVOTDATA("Sum of Order Quantity",'May 2024'!P1279,"Line Item Name","15FT CO2 Hose - 1/4" ID (JIC #6 x JIC #6)")</f>
        <v>73</v>
      </c>
      <c r="G12" s="165">
        <f>GETPIVOTDATA("Sum of Order Quantity",'June 2024'!P554,"Line Item Name","CC-HCCMKII-15-TC")+GETPIVOTDATA("Sum of Order Quantity",'June 2024'!P554,"Line Item Name","CC-HCCMKII-15-NC")+GETPIVOTDATA("Sum of Order Quantity",'June 2024'!P554,"Line Item Name","CC-CH-15-STD")</f>
        <v>31</v>
      </c>
      <c r="H12" s="165">
        <f>GETPIVOTDATA("Sum of Order Quantity",'July 2024'!S1330,"Line Item Name","CC-CH-15-STD")+GETPIVOTDATA("Sum of Order Quantity",'July 2024'!S1330,"Line Item Name","CC-HCCMKII-15-TC")+GETPIVOTDATA("Sum of Order Quantity",'July 2024'!S1330,"Line Item Name","CC-HCCMKII-15-NC")</f>
        <v>44</v>
      </c>
      <c r="I12" s="165">
        <f>GETPIVOTDATA("Sum of Order Quantity",'August 2024'!Q691,"Line Item Name","CC-CH-15-STD")+GETPIVOTDATA("Sum of Order Quantity",'August 2024'!Q691,"Line Item Name","CC-HCCMKII-15-NC")+GETPIVOTDATA("Sum of Order Quantity",'August 2024'!Q691,"Line Item Name","CC-HCCMKII-15-TC")</f>
        <v>116</v>
      </c>
      <c r="J12" s="165">
        <f>GETPIVOTDATA("Sum of Order Quantity",'September 2024'!Q681,"Line Item Name","CC-HCCMKII-15-TC")+GETPIVOTDATA("Sum of Order Quantity",'September 2024'!Q681,"Line Item Name","CC-HCCMKII-15-NC")+GETPIVOTDATA("Sum of Order Quantity",'September 2024'!Q681,"Line Item Name","CC-CH-15-STD")</f>
        <v>68</v>
      </c>
      <c r="K12" s="166"/>
      <c r="L12" s="166"/>
      <c r="M12" s="166"/>
      <c r="N12" s="253">
        <f>SUM(B12:M12)</f>
        <v>545</v>
      </c>
    </row>
    <row r="13" ht="15.1" customHeight="1">
      <c r="A13" t="s" s="163">
        <v>3295</v>
      </c>
      <c r="B13" s="164">
        <f>0</f>
        <v>0</v>
      </c>
      <c r="C13" s="165">
        <f>GETPIVOTDATA("Sum of Order Quantity",'February 2024'!P465,"Line Item Name","CC-CH-15-DSY")</f>
        <v>3</v>
      </c>
      <c r="D13" s="165">
        <f>GETPIVOTDATA("Sum of Order Quantity",'March 2024'!P474,"Line Item Name","CC-CH-15-DSY")</f>
        <v>3</v>
      </c>
      <c r="E13" s="165">
        <f>GETPIVOTDATA("Sum of Order Quantity",'April 2024'!P568,"Line Item Name","CC-CH-15-DSY")</f>
        <v>4</v>
      </c>
      <c r="F13" s="165">
        <f t="shared" si="2"/>
        <v>0</v>
      </c>
      <c r="G13" s="165">
        <f>GETPIVOTDATA("Sum of Order Quantity",'June 2024'!P554,"Line Item Name","CC-CH-15-DSY")</f>
        <v>5</v>
      </c>
      <c r="H13" s="165">
        <f>GETPIVOTDATA("Sum of Order Quantity",'July 2024'!S1330,"Line Item Name","CC-CH-15-DSY")</f>
        <v>9</v>
      </c>
      <c r="I13" s="165">
        <f>GETPIVOTDATA("Sum of Order Quantity",'August 2024'!Q691,"Line Item Name","CC-CH-15-DSY")</f>
        <v>7</v>
      </c>
      <c r="J13" s="165">
        <f t="shared" si="2"/>
        <v>0</v>
      </c>
      <c r="K13" s="166"/>
      <c r="L13" s="166"/>
      <c r="M13" s="166"/>
      <c r="N13" s="253">
        <f>SUM(B13:M13)</f>
        <v>31</v>
      </c>
    </row>
    <row r="14" ht="15.1" customHeight="1">
      <c r="A14" t="s" s="163">
        <v>3296</v>
      </c>
      <c r="B14" s="164">
        <f>GETPIVOTDATA("Sum of Order Quantity",'January 2024'!P374,"Line Item Name","CC-CH-15-EXT")</f>
        <v>4</v>
      </c>
      <c r="C14" s="165">
        <f>GETPIVOTDATA("Sum of Order Quantity",'February 2024'!P465,"Line Item Name","CC-CH-15-EXT")</f>
        <v>7</v>
      </c>
      <c r="D14" s="165">
        <f>GETPIVOTDATA("Sum of Order Quantity",'March 2024'!P474,"Line Item Name","CC-CH-15-EXT")</f>
        <v>227</v>
      </c>
      <c r="E14" s="165">
        <f>GETPIVOTDATA("Sum of Order Quantity",'April 2024'!P568,"Line Item Name","CC-CH-15-EXT")</f>
        <v>10</v>
      </c>
      <c r="F14" s="165">
        <f>GETPIVOTDATA("Sum of Order Quantity",'May 2024'!P1279,"Line Item Name","CC-CH-15-EXT")</f>
        <v>4</v>
      </c>
      <c r="G14" s="165">
        <v>0</v>
      </c>
      <c r="H14" s="165">
        <f>GETPIVOTDATA("Sum of Order Quantity",'July 2024'!S1330,"Line Item Name","CC-CH-15-EXT")</f>
        <v>3</v>
      </c>
      <c r="I14" s="165">
        <f>GETPIVOTDATA("Sum of Order Quantity",'August 2024'!Q691,"Line Item Name","CC-CH-15-EXT")</f>
        <v>4</v>
      </c>
      <c r="J14" s="165">
        <f>GETPIVOTDATA("Sum of Order Quantity",'September 2024'!Q681,"Line Item Name","CC-CH-15-EXT")</f>
        <v>4</v>
      </c>
      <c r="K14" s="166"/>
      <c r="L14" s="166"/>
      <c r="M14" s="166"/>
      <c r="N14" s="253">
        <f>SUM(B14:M14)</f>
        <v>263</v>
      </c>
    </row>
    <row r="15" ht="15.1" customHeight="1">
      <c r="A15" t="s" s="163">
        <v>3297</v>
      </c>
      <c r="B15" s="164">
        <f>GETPIVOTDATA("Sum of Order Quantity",'January 2024'!P374,"Line Item Name","CC-CH-25-STD")</f>
        <v>13</v>
      </c>
      <c r="C15" s="165">
        <f>GETPIVOTDATA("Sum of Order Quantity",'February 2024'!P465,"Line Item Name","CC-CH-25-STD")</f>
        <v>3</v>
      </c>
      <c r="D15" s="165">
        <f>GETPIVOTDATA("Sum of Order Quantity",'March 2024'!P474,"Line Item Name","CC-CH-25-STD")</f>
        <v>49</v>
      </c>
      <c r="E15" s="165">
        <f>GETPIVOTDATA("Sum of Order Quantity",'April 2024'!P568,"Line Item Name","CC-CH-25-STD")</f>
        <v>16</v>
      </c>
      <c r="F15" s="165">
        <f>GETPIVOTDATA("Sum of Order Quantity",'May 2024'!P1279,"Line Item Name","CC-CH-25-STD")</f>
        <v>12</v>
      </c>
      <c r="G15" s="165">
        <f>GETPIVOTDATA("Sum of Order Quantity",'June 2024'!P554,"Line Item Name","CC-CH-25-STD")</f>
        <v>4</v>
      </c>
      <c r="H15" s="165">
        <f>GETPIVOTDATA("Sum of Order Quantity",'July 2024'!S1330,"Line Item Name","CC-HCCMKII-25-NC")+GETPIVOTDATA("Sum of Order Quantity",'July 2024'!S1330,"Line Item Name","CC-CH-25-STD")</f>
        <v>24</v>
      </c>
      <c r="I15" s="165">
        <f>GETPIVOTDATA("Sum of Order Quantity",'August 2024'!Q691,"Line Item Name","CC-CH-25-STD")</f>
        <v>7</v>
      </c>
      <c r="J15" s="165">
        <f>GETPIVOTDATA("Sum of Order Quantity",'September 2024'!Q681,"Line Item Name","CC-HCCMKII-25-TC")+GETPIVOTDATA("Sum of Order Quantity",'September 2024'!Q681,"Line Item Name","CC-CH-25-STD")</f>
        <v>10</v>
      </c>
      <c r="K15" s="166"/>
      <c r="L15" s="166"/>
      <c r="M15" s="166"/>
      <c r="N15" s="253">
        <f>SUM(B15:M15)</f>
        <v>138</v>
      </c>
    </row>
    <row r="16" ht="15.1" customHeight="1">
      <c r="A16" t="s" s="163">
        <v>3298</v>
      </c>
      <c r="B16" s="164">
        <f>0</f>
        <v>0</v>
      </c>
      <c r="C16" s="165">
        <f>0</f>
        <v>0</v>
      </c>
      <c r="D16" s="165">
        <f t="shared" si="2"/>
        <v>0</v>
      </c>
      <c r="E16" s="165">
        <f>GETPIVOTDATA("Sum of Order Quantity",'April 2024'!P568,"Line Item Name","CC-CH-25-DSY")</f>
        <v>1</v>
      </c>
      <c r="F16" s="165">
        <f t="shared" si="2"/>
        <v>0</v>
      </c>
      <c r="G16" s="165">
        <f t="shared" si="2"/>
        <v>0</v>
      </c>
      <c r="H16" s="165">
        <f t="shared" si="2"/>
        <v>0</v>
      </c>
      <c r="I16" s="165">
        <f t="shared" si="2"/>
        <v>0</v>
      </c>
      <c r="J16" s="165">
        <f t="shared" si="2"/>
        <v>0</v>
      </c>
      <c r="K16" s="166"/>
      <c r="L16" s="166"/>
      <c r="M16" s="166"/>
      <c r="N16" s="253">
        <f>SUM(B16:M16)</f>
        <v>1</v>
      </c>
    </row>
    <row r="17" ht="15.1" customHeight="1">
      <c r="A17" t="s" s="163">
        <v>3299</v>
      </c>
      <c r="B17" s="164">
        <f>GETPIVOTDATA("Sum of Order Quantity",'January 2024'!P374,"Line Item Name","CC-CH-25-EXT")</f>
        <v>1</v>
      </c>
      <c r="C17" s="165">
        <f>GETPIVOTDATA("Sum of Order Quantity",'February 2024'!P465,"Line Item Name","CC-CH-25-EXT")</f>
        <v>3</v>
      </c>
      <c r="D17" s="165">
        <f>GETPIVOTDATA("Sum of Order Quantity",'March 2024'!P474,"Line Item Name","CC-CH-25-EXT")</f>
        <v>3</v>
      </c>
      <c r="E17" s="165">
        <f t="shared" si="2"/>
        <v>0</v>
      </c>
      <c r="F17" s="165">
        <v>0</v>
      </c>
      <c r="G17" s="165">
        <v>0</v>
      </c>
      <c r="H17" s="165">
        <f>GETPIVOTDATA("Sum of Order Quantity",'July 2024'!S1330,"Line Item Name","CC-CH-25-EXT")</f>
        <v>1</v>
      </c>
      <c r="I17" s="165">
        <f>GETPIVOTDATA("Sum of Order Quantity",'August 2024'!Q691,"Line Item Name","CC-CH-25-EXT")</f>
        <v>25</v>
      </c>
      <c r="J17" s="165">
        <f>GETPIVOTDATA("Sum of Order Quantity",'September 2024'!Q681,"Line Item Name","CC-CH-25-EXT")</f>
        <v>6</v>
      </c>
      <c r="K17" s="166"/>
      <c r="L17" s="166"/>
      <c r="M17" s="166"/>
      <c r="N17" s="253">
        <f>SUM(B17:M17)</f>
        <v>39</v>
      </c>
    </row>
    <row r="18" ht="15.1" customHeight="1">
      <c r="A18" t="s" s="163">
        <v>3300</v>
      </c>
      <c r="B18" s="164">
        <f>SUM('January 2024'!Q422:Q423)</f>
        <v>8</v>
      </c>
      <c r="C18" s="165">
        <f>GETPIVOTDATA("Sum of Order Quantity",'February 2024'!P465,"Line Item Name","CC-CH-35-STD")</f>
        <v>8</v>
      </c>
      <c r="D18" s="165">
        <f t="shared" si="2"/>
        <v>0</v>
      </c>
      <c r="E18" s="165">
        <f>GETPIVOTDATA("Sum of Order Quantity",'April 2024'!P568,"Line Item Name","CC-CH-35-STD")</f>
        <v>10</v>
      </c>
      <c r="F18" s="165">
        <f>GETPIVOTDATA("Sum of Order Quantity",'May 2024'!P1279,"Line Item Name","CC-CH-35-STD")</f>
        <v>2</v>
      </c>
      <c r="G18" s="165">
        <v>0</v>
      </c>
      <c r="H18" s="165">
        <f>GETPIVOTDATA("Sum of Order Quantity",'July 2024'!S1330,"Line Item Name","CC-CH-35-STD")</f>
        <v>9</v>
      </c>
      <c r="I18" s="165">
        <f>GETPIVOTDATA("Sum of Order Quantity",'August 2024'!Q691,"Line Item Name","CC-CH-35-STD")</f>
        <v>11</v>
      </c>
      <c r="J18" s="165">
        <f>GETPIVOTDATA("Sum of Order Quantity",'September 2024'!Q681,"Line Item Name","CC-CH-35-STD")</f>
        <v>5</v>
      </c>
      <c r="K18" s="166"/>
      <c r="L18" s="166"/>
      <c r="M18" s="166"/>
      <c r="N18" s="253">
        <f>SUM(B18:M18)</f>
        <v>53</v>
      </c>
    </row>
    <row r="19" ht="15.1" customHeight="1">
      <c r="A19" t="s" s="163">
        <v>3301</v>
      </c>
      <c r="B19" s="164">
        <f>0</f>
        <v>0</v>
      </c>
      <c r="C19" s="165">
        <f>GETPIVOTDATA("Sum of Order Quantity",'February 2024'!P465,"Line Item Name","CC-CH-35-DSY")</f>
        <v>1</v>
      </c>
      <c r="D19" s="165">
        <f t="shared" si="2"/>
        <v>0</v>
      </c>
      <c r="E19" s="165">
        <f t="shared" si="2"/>
        <v>0</v>
      </c>
      <c r="F19" s="165">
        <v>0</v>
      </c>
      <c r="G19" s="165">
        <v>0</v>
      </c>
      <c r="H19" s="165">
        <f>GETPIVOTDATA("Sum of Order Quantity",'July 2024'!S1330,"Line Item Name","CC-CH-35-DSY")</f>
        <v>3</v>
      </c>
      <c r="I19" s="165">
        <f>GETPIVOTDATA("Sum of Order Quantity",'August 2024'!Q691,"Line Item Name","CC-CH-35-DSY")</f>
        <v>2</v>
      </c>
      <c r="J19" s="165">
        <v>0</v>
      </c>
      <c r="K19" s="166"/>
      <c r="L19" s="166"/>
      <c r="M19" s="166"/>
      <c r="N19" s="253">
        <f>SUM(B19:M19)</f>
        <v>6</v>
      </c>
    </row>
    <row r="20" ht="15.1" customHeight="1">
      <c r="A20" t="s" s="163">
        <v>3302</v>
      </c>
      <c r="B20" s="164">
        <f>GETPIVOTDATA("Sum of Order Quantity",'January 2024'!P374,"Line Item Name","CC-CH-35-EXT")</f>
        <v>3</v>
      </c>
      <c r="C20" s="165">
        <f>GETPIVOTDATA("Sum of Order Quantity",'February 2024'!P465,"Line Item Name","CC-CH-35-EXT")</f>
        <v>30</v>
      </c>
      <c r="D20" s="165">
        <f>GETPIVOTDATA("Sum of Order Quantity",'March 2024'!P474,"Line Item Name","CC-CH-35-EXT")</f>
        <v>1</v>
      </c>
      <c r="E20" s="165">
        <f>GETPIVOTDATA("Sum of Order Quantity",'April 2024'!P568,"Line Item Name","CC-CH-35-EXT")</f>
        <v>2</v>
      </c>
      <c r="F20" s="165">
        <f>GETPIVOTDATA("Sum of Order Quantity",'May 2024'!P1279,"Line Item Name","CC-CH-35-EXT")</f>
        <v>64</v>
      </c>
      <c r="G20" s="165">
        <v>0</v>
      </c>
      <c r="H20" s="165">
        <f t="shared" si="2"/>
        <v>0</v>
      </c>
      <c r="I20" s="165">
        <f t="shared" si="2"/>
        <v>0</v>
      </c>
      <c r="J20" s="165">
        <v>0</v>
      </c>
      <c r="K20" s="166"/>
      <c r="L20" s="166"/>
      <c r="M20" s="166"/>
      <c r="N20" s="253">
        <f>SUM(B20:M20)</f>
        <v>100</v>
      </c>
    </row>
    <row r="21" ht="15.1" customHeight="1">
      <c r="A21" t="s" s="163">
        <v>3303</v>
      </c>
      <c r="B21" s="164">
        <f>GETPIVOTDATA("Sum of Order Quantity",'January 2024'!P374,"Line Item Name","CC-CH-50-STD")</f>
        <v>4</v>
      </c>
      <c r="C21" s="165">
        <f>GETPIVOTDATA("Sum of Order Quantity",'February 2024'!P465,"Line Item Name","CC-CH-50-STD")</f>
        <v>18</v>
      </c>
      <c r="D21" s="165">
        <f>GETPIVOTDATA("Sum of Order Quantity",'March 2024'!P474,"Line Item Name","CC-CH-50-STD")</f>
        <v>17</v>
      </c>
      <c r="E21" s="165">
        <f>GETPIVOTDATA("Sum of Order Quantity",'April 2024'!P568,"Line Item Name","CC-CH-50-STD")</f>
        <v>3</v>
      </c>
      <c r="F21" s="165">
        <f>GETPIVOTDATA("Sum of Order Quantity",'May 2024'!P1279,"Line Item Name","50FT CO2 HOSE - 3/8" (BSPP x JIC #6)")+GETPIVOTDATA("Sum of Order Quantity",'May 2024'!P1279,"Line Item Name","CC-CH-50-STD")</f>
        <v>10</v>
      </c>
      <c r="G21" s="165">
        <f>GETPIVOTDATA("Sum of Order Quantity",'June 2024'!P554,"Line Item Name","CC-CH-50-STD")</f>
        <v>22</v>
      </c>
      <c r="H21" s="165">
        <f>GETPIVOTDATA("Sum of Order Quantity",'July 2024'!S1330,"Line Item Name","CC-CH-50-STD")</f>
        <v>19</v>
      </c>
      <c r="I21" s="165">
        <f>GETPIVOTDATA("Sum of Order Quantity",'August 2024'!Q691,"Line Item Name","CC-CH-50-STD")</f>
        <v>13</v>
      </c>
      <c r="J21" s="165">
        <f>GETPIVOTDATA("Sum of Order Quantity",'September 2024'!Q681,"Line Item Name","CC-CH-50-STD")</f>
        <v>4</v>
      </c>
      <c r="K21" s="166"/>
      <c r="L21" s="166"/>
      <c r="M21" s="166"/>
      <c r="N21" s="253">
        <f>SUM(B21:M21)</f>
        <v>110</v>
      </c>
    </row>
    <row r="22" ht="15.1" customHeight="1">
      <c r="A22" t="s" s="163">
        <v>3304</v>
      </c>
      <c r="B22" s="164">
        <v>0</v>
      </c>
      <c r="C22" s="165">
        <f>GETPIVOTDATA("Sum of Order Quantity",'February 2024'!P465,"Line Item Name","CC-CH-50-EXT")</f>
        <v>7</v>
      </c>
      <c r="D22" s="165">
        <f>GETPIVOTDATA("Sum of Order Quantity",'March 2024'!P474,"Line Item Name","CC-CH-50-EXT")</f>
        <v>2</v>
      </c>
      <c r="E22" s="165">
        <f t="shared" si="2"/>
        <v>0</v>
      </c>
      <c r="F22" s="165">
        <v>0</v>
      </c>
      <c r="G22" s="165">
        <v>0</v>
      </c>
      <c r="H22" s="165">
        <f>GETPIVOTDATA("Sum of Order Quantity",'July 2024'!S1330,"Line Item Name","CC-CH-50-EXT")</f>
        <v>1</v>
      </c>
      <c r="I22" s="165">
        <f t="shared" si="2"/>
        <v>0</v>
      </c>
      <c r="J22" s="165">
        <v>0</v>
      </c>
      <c r="K22" s="166"/>
      <c r="L22" s="166"/>
      <c r="M22" s="166"/>
      <c r="N22" s="253">
        <f>SUM(B22:M22)</f>
        <v>10</v>
      </c>
    </row>
    <row r="23" ht="15.1" customHeight="1">
      <c r="A23" t="s" s="163">
        <v>3305</v>
      </c>
      <c r="B23" s="164">
        <f>GETPIVOTDATA("Sum of Order Quantity",'January 2024'!P374,"Line Item Name","100FT CO2 HOSE - 3/8" (BSPP x JIC #6)")</f>
        <v>4</v>
      </c>
      <c r="C23" s="165">
        <f>GETPIVOTDATA("Sum of Order Quantity",'February 2024'!P465,"Line Item Name","CC-CH-100-STD")</f>
        <v>5</v>
      </c>
      <c r="D23" s="165">
        <v>0</v>
      </c>
      <c r="E23" s="165">
        <v>0</v>
      </c>
      <c r="F23" s="165">
        <v>1</v>
      </c>
      <c r="G23" s="165">
        <v>0</v>
      </c>
      <c r="H23" s="165">
        <f>GETPIVOTDATA("Sum of Order Quantity",'July 2024'!S1330,"Line Item Name","CC-CH-100-STD")</f>
        <v>2</v>
      </c>
      <c r="I23" s="165">
        <f>GETPIVOTDATA("Sum of Order Quantity",'August 2024'!Q691,"Line Item Name","CC-CH-100-STD")</f>
        <v>8</v>
      </c>
      <c r="J23" s="165">
        <v>0</v>
      </c>
      <c r="K23" s="166"/>
      <c r="L23" s="166"/>
      <c r="M23" s="166"/>
      <c r="N23" s="253">
        <f>SUM(B23:M23)</f>
        <v>20</v>
      </c>
    </row>
    <row r="24" ht="15.1" customHeight="1">
      <c r="A24" t="s" s="163">
        <v>3306</v>
      </c>
      <c r="B24" s="164">
        <v>0</v>
      </c>
      <c r="C24" s="165">
        <f>0</f>
        <v>0</v>
      </c>
      <c r="D24" s="165">
        <f>GETPIVOTDATA("Sum of Order Quantity",'March 2024'!P474,"Line Item Name","CC-CH-XX-EXT")</f>
        <v>4</v>
      </c>
      <c r="E24" s="165">
        <f>SUM('April 2024'!Q630:Q631)</f>
        <v>43</v>
      </c>
      <c r="F24" s="165">
        <f>SUM('May 2024'!Q1335:Q1336)</f>
        <v>6</v>
      </c>
      <c r="G24" s="165">
        <f>GETPIVOTDATA("Sum of Order Quantity",'June 2024'!P554,"Line Item Name","CC-CH-XX-STD")</f>
        <v>9</v>
      </c>
      <c r="H24" s="165">
        <f>GETPIVOTDATA("Sum of Order Quantity",'July 2024'!S1330,"Line Item Name","CC-CH-XX-STD")</f>
        <v>5</v>
      </c>
      <c r="I24" s="165">
        <f>SUM('August 2024'!R741:R742)</f>
        <v>4</v>
      </c>
      <c r="J24" s="165">
        <f>GETPIVOTDATA("Sum of Order Quantity",'September 2024'!Q681,"Line Item Name","CC-CH-XX-EXT")</f>
        <v>2</v>
      </c>
      <c r="K24" s="166"/>
      <c r="L24" s="166"/>
      <c r="M24" s="166"/>
      <c r="N24" s="253">
        <f>SUM(B24:M24)</f>
        <v>73</v>
      </c>
    </row>
    <row r="25" ht="15.1" customHeight="1">
      <c r="A25" t="s" s="163">
        <v>3237</v>
      </c>
      <c r="B25" s="254">
        <f>SUM(B3:B24)</f>
        <v>116</v>
      </c>
      <c r="C25" s="253">
        <f>SUM(C3:C24)</f>
        <v>172</v>
      </c>
      <c r="D25" s="253">
        <f>SUM(D3:D24)</f>
        <v>484</v>
      </c>
      <c r="E25" s="253">
        <f>SUM(E3:E24)</f>
        <v>183</v>
      </c>
      <c r="F25" s="253">
        <f>SUM(F3:F24)</f>
        <v>242</v>
      </c>
      <c r="G25" s="253">
        <f>SUM(G3:G24)</f>
        <v>130</v>
      </c>
      <c r="H25" s="253">
        <f>SUM(H3:H24)</f>
        <v>146</v>
      </c>
      <c r="I25" s="253">
        <f>SUM(I3:I24)</f>
        <v>274</v>
      </c>
      <c r="J25" s="253">
        <f>SUM(J3:J24)</f>
        <v>211</v>
      </c>
      <c r="K25" s="253">
        <f>SUM(K3:K24)</f>
        <v>0</v>
      </c>
      <c r="L25" s="253">
        <f>SUM(L3:L24)</f>
        <v>0</v>
      </c>
      <c r="M25" s="253">
        <f>SUM(M3:M24)</f>
        <v>0</v>
      </c>
      <c r="N25" s="253">
        <f>SUM(N3:N24)</f>
        <v>1958</v>
      </c>
    </row>
    <row r="26" ht="15.1" customHeight="1">
      <c r="A26" s="255"/>
      <c r="B26" s="172"/>
      <c r="C26" s="173"/>
      <c r="D26" s="173"/>
      <c r="E26" s="173"/>
      <c r="F26" t="s" s="174">
        <v>3266</v>
      </c>
      <c r="G26" s="16"/>
      <c r="H26" s="16"/>
      <c r="I26" s="16"/>
      <c r="J26" s="173"/>
      <c r="K26" s="173"/>
      <c r="L26" s="173"/>
      <c r="M26" s="173"/>
      <c r="N26" s="173"/>
    </row>
    <row r="27" ht="15.1" customHeight="1">
      <c r="A27" s="256"/>
      <c r="B27" t="s" s="257">
        <v>3307</v>
      </c>
      <c r="C27" t="s" s="258">
        <v>3308</v>
      </c>
      <c r="D27" t="s" s="259">
        <v>3309</v>
      </c>
      <c r="E27" t="s" s="258">
        <v>3310</v>
      </c>
      <c r="F27" s="260"/>
      <c r="G27" s="166"/>
      <c r="H27" s="166"/>
      <c r="I27" s="166"/>
      <c r="J27" s="166"/>
      <c r="K27" s="166"/>
      <c r="L27" s="166"/>
      <c r="M27" s="166"/>
      <c r="N27" s="166"/>
    </row>
    <row r="28" ht="15.1" customHeight="1">
      <c r="A28" t="s" s="261">
        <v>3285</v>
      </c>
      <c r="B28" s="262">
        <f>N3/N25</f>
        <v>0.017364657814096</v>
      </c>
      <c r="C28" s="263">
        <f>SUM(N3:N5)</f>
        <v>257</v>
      </c>
      <c r="D28" s="264">
        <f>N3/C28</f>
        <v>0.132295719844358</v>
      </c>
      <c r="E28" s="265">
        <f>SUM(B28:B30)</f>
        <v>0.131256384065373</v>
      </c>
      <c r="F28" t="s" s="266">
        <v>3311</v>
      </c>
      <c r="G28" s="267"/>
      <c r="H28" s="189"/>
      <c r="I28" s="189"/>
      <c r="J28" s="189"/>
      <c r="K28" s="189"/>
      <c r="L28" s="189"/>
      <c r="M28" s="189"/>
      <c r="N28" s="189"/>
    </row>
    <row r="29" ht="15.1" customHeight="1">
      <c r="A29" t="s" s="268">
        <v>3312</v>
      </c>
      <c r="B29" s="269">
        <f>N4/N25</f>
        <v>0.0796731358529111</v>
      </c>
      <c r="C29" s="270"/>
      <c r="D29" s="271">
        <f>N4/C28</f>
        <v>0.6070038910505841</v>
      </c>
      <c r="E29" s="270"/>
      <c r="F29" s="270"/>
      <c r="G29" s="267"/>
      <c r="H29" s="189"/>
      <c r="I29" s="189"/>
      <c r="J29" s="189"/>
      <c r="K29" s="189"/>
      <c r="L29" s="189"/>
      <c r="M29" s="189"/>
      <c r="N29" s="189"/>
    </row>
    <row r="30" ht="15.1" customHeight="1">
      <c r="A30" t="s" s="272">
        <v>3287</v>
      </c>
      <c r="B30" s="273">
        <f>N5/N25</f>
        <v>0.0342185903983657</v>
      </c>
      <c r="C30" s="274"/>
      <c r="D30" s="275">
        <f>N5/C28</f>
        <v>0.260700389105058</v>
      </c>
      <c r="E30" s="274"/>
      <c r="F30" s="274"/>
      <c r="G30" s="267"/>
      <c r="H30" s="189"/>
      <c r="I30" s="189"/>
      <c r="J30" s="189"/>
      <c r="K30" s="189"/>
      <c r="L30" s="189"/>
      <c r="M30" s="189"/>
      <c r="N30" s="189"/>
    </row>
    <row r="31" ht="15.1" customHeight="1">
      <c r="A31" t="s" s="261">
        <v>3288</v>
      </c>
      <c r="B31" s="262">
        <f>N6/N25</f>
        <v>0.0117466802860061</v>
      </c>
      <c r="C31" s="263">
        <f>SUM(N6:N8)</f>
        <v>30</v>
      </c>
      <c r="D31" s="264">
        <f>N6/C31</f>
        <v>0.7666666666666671</v>
      </c>
      <c r="E31" s="265">
        <f>SUM(B31:B33)</f>
        <v>0.0153217568947906</v>
      </c>
      <c r="F31" t="s" s="266">
        <v>3313</v>
      </c>
      <c r="G31" s="267"/>
      <c r="H31" s="189"/>
      <c r="I31" s="189"/>
      <c r="J31" s="189"/>
      <c r="K31" s="189"/>
      <c r="L31" s="189"/>
      <c r="M31" s="189"/>
      <c r="N31" s="189"/>
    </row>
    <row r="32" ht="15.1" customHeight="1">
      <c r="A32" t="s" s="268">
        <v>3289</v>
      </c>
      <c r="B32" s="269">
        <f>N7/N25</f>
        <v>0.00255362614913177</v>
      </c>
      <c r="C32" s="270"/>
      <c r="D32" s="271">
        <f>N7/C31</f>
        <v>0.166666666666667</v>
      </c>
      <c r="E32" s="270"/>
      <c r="F32" s="270"/>
      <c r="G32" s="267"/>
      <c r="H32" s="189"/>
      <c r="I32" s="189"/>
      <c r="J32" s="189"/>
      <c r="K32" s="189"/>
      <c r="L32" s="189"/>
      <c r="M32" s="189"/>
      <c r="N32" s="189"/>
    </row>
    <row r="33" ht="15.1" customHeight="1">
      <c r="A33" t="s" s="272">
        <v>3290</v>
      </c>
      <c r="B33" s="273">
        <f>N8/N25</f>
        <v>0.00102145045965271</v>
      </c>
      <c r="C33" s="274"/>
      <c r="D33" s="275">
        <f>N8/C31</f>
        <v>0.06666666666666669</v>
      </c>
      <c r="E33" s="274"/>
      <c r="F33" s="274"/>
      <c r="G33" s="267"/>
      <c r="H33" s="189"/>
      <c r="I33" s="189"/>
      <c r="J33" s="189"/>
      <c r="K33" s="189"/>
      <c r="L33" s="189"/>
      <c r="M33" s="189"/>
      <c r="N33" s="189"/>
    </row>
    <row r="34" ht="15.1" customHeight="1">
      <c r="A34" t="s" s="261">
        <v>3291</v>
      </c>
      <c r="B34" s="262">
        <f>N9/N25</f>
        <v>0.123595505617978</v>
      </c>
      <c r="C34" s="263">
        <f>SUM(N9:N11)</f>
        <v>282</v>
      </c>
      <c r="D34" s="264">
        <f>N9/C34</f>
        <v>0.858156028368794</v>
      </c>
      <c r="E34" s="265">
        <f>SUM(B34:B36)</f>
        <v>0.144024514811032</v>
      </c>
      <c r="F34" t="s" s="266">
        <v>3314</v>
      </c>
      <c r="G34" s="267"/>
      <c r="H34" s="189"/>
      <c r="I34" s="189"/>
      <c r="J34" s="189"/>
      <c r="K34" s="189"/>
      <c r="L34" s="189"/>
      <c r="M34" s="189"/>
      <c r="N34" s="189"/>
    </row>
    <row r="35" ht="15.1" customHeight="1">
      <c r="A35" t="s" s="268">
        <v>3292</v>
      </c>
      <c r="B35" s="269">
        <f>N10/N25</f>
        <v>0.0183861082737487</v>
      </c>
      <c r="C35" s="270"/>
      <c r="D35" s="271">
        <f>N10/C34</f>
        <v>0.127659574468085</v>
      </c>
      <c r="E35" s="270"/>
      <c r="F35" s="270"/>
      <c r="G35" s="267"/>
      <c r="H35" s="189"/>
      <c r="I35" s="189"/>
      <c r="J35" s="189"/>
      <c r="K35" s="189"/>
      <c r="L35" s="189"/>
      <c r="M35" s="189"/>
      <c r="N35" s="189"/>
    </row>
    <row r="36" ht="15.1" customHeight="1">
      <c r="A36" t="s" s="272">
        <v>3293</v>
      </c>
      <c r="B36" s="273">
        <f>N11/N25</f>
        <v>0.00204290091930541</v>
      </c>
      <c r="C36" s="274"/>
      <c r="D36" s="275">
        <f>N11/C34</f>
        <v>0.0141843971631206</v>
      </c>
      <c r="E36" s="274"/>
      <c r="F36" s="274"/>
      <c r="G36" s="267"/>
      <c r="H36" s="189"/>
      <c r="I36" s="189"/>
      <c r="J36" s="189"/>
      <c r="K36" s="189"/>
      <c r="L36" s="189"/>
      <c r="M36" s="189"/>
      <c r="N36" s="189"/>
    </row>
    <row r="37" ht="15.1" customHeight="1">
      <c r="A37" t="s" s="261">
        <v>3294</v>
      </c>
      <c r="B37" s="262">
        <f>N12/N25</f>
        <v>0.278345250255363</v>
      </c>
      <c r="C37" s="263">
        <f>SUM(N12:N14)</f>
        <v>839</v>
      </c>
      <c r="D37" s="264">
        <f>N12/C37</f>
        <v>0.649582836710369</v>
      </c>
      <c r="E37" s="265">
        <f>SUM(B37:B39)</f>
        <v>0.428498467824311</v>
      </c>
      <c r="F37" t="s" s="266">
        <v>3315</v>
      </c>
      <c r="G37" s="267"/>
      <c r="H37" s="189"/>
      <c r="I37" s="189"/>
      <c r="J37" s="189"/>
      <c r="K37" s="189"/>
      <c r="L37" s="189"/>
      <c r="M37" s="189"/>
      <c r="N37" s="189"/>
    </row>
    <row r="38" ht="15.1" customHeight="1">
      <c r="A38" t="s" s="268">
        <v>3295</v>
      </c>
      <c r="B38" s="269">
        <f>N13/N25</f>
        <v>0.015832482124617</v>
      </c>
      <c r="C38" s="270"/>
      <c r="D38" s="271">
        <f>N13/C37</f>
        <v>0.0369487485101311</v>
      </c>
      <c r="E38" s="270"/>
      <c r="F38" s="270"/>
      <c r="G38" s="267"/>
      <c r="H38" s="189"/>
      <c r="I38" s="189"/>
      <c r="J38" s="189"/>
      <c r="K38" s="189"/>
      <c r="L38" s="189"/>
      <c r="M38" s="189"/>
      <c r="N38" s="189"/>
    </row>
    <row r="39" ht="15.1" customHeight="1">
      <c r="A39" t="s" s="272">
        <v>3296</v>
      </c>
      <c r="B39" s="273">
        <f>N14/N25</f>
        <v>0.134320735444331</v>
      </c>
      <c r="C39" s="274"/>
      <c r="D39" s="275">
        <f>N14/C37</f>
        <v>0.313468414779499</v>
      </c>
      <c r="E39" s="274"/>
      <c r="F39" s="274"/>
      <c r="G39" s="267"/>
      <c r="H39" s="189"/>
      <c r="I39" s="189"/>
      <c r="J39" s="189"/>
      <c r="K39" s="189"/>
      <c r="L39" s="189"/>
      <c r="M39" s="189"/>
      <c r="N39" s="189"/>
    </row>
    <row r="40" ht="15.1" customHeight="1">
      <c r="A40" t="s" s="261">
        <v>3297</v>
      </c>
      <c r="B40" s="262">
        <f>N15/N25</f>
        <v>0.0704800817160368</v>
      </c>
      <c r="C40" s="263">
        <f>SUM(N15:N17)</f>
        <v>178</v>
      </c>
      <c r="D40" s="264">
        <f>N15/C40</f>
        <v>0.7752808988764039</v>
      </c>
      <c r="E40" s="265">
        <f>SUM(B40:B42)</f>
        <v>0.09090909090909099</v>
      </c>
      <c r="F40" t="s" s="266">
        <v>3316</v>
      </c>
      <c r="G40" s="267"/>
      <c r="H40" s="189"/>
      <c r="I40" s="189"/>
      <c r="J40" s="189"/>
      <c r="K40" s="189"/>
      <c r="L40" s="189"/>
      <c r="M40" s="189"/>
      <c r="N40" s="189"/>
    </row>
    <row r="41" ht="15.1" customHeight="1">
      <c r="A41" t="s" s="268">
        <v>3298</v>
      </c>
      <c r="B41" s="269">
        <f>N16/N25</f>
        <v>0.000510725229826353</v>
      </c>
      <c r="C41" s="270"/>
      <c r="D41" s="271">
        <f>N16/C40</f>
        <v>0.00561797752808989</v>
      </c>
      <c r="E41" s="270"/>
      <c r="F41" s="270"/>
      <c r="G41" s="267"/>
      <c r="H41" s="189"/>
      <c r="I41" s="189"/>
      <c r="J41" s="189"/>
      <c r="K41" s="189"/>
      <c r="L41" s="189"/>
      <c r="M41" s="189"/>
      <c r="N41" s="189"/>
    </row>
    <row r="42" ht="15.1" customHeight="1">
      <c r="A42" t="s" s="272">
        <v>3299</v>
      </c>
      <c r="B42" s="273">
        <f>N17/N25</f>
        <v>0.0199182839632278</v>
      </c>
      <c r="C42" s="274"/>
      <c r="D42" s="275">
        <f>N17/C40</f>
        <v>0.219101123595506</v>
      </c>
      <c r="E42" s="274"/>
      <c r="F42" s="274"/>
      <c r="G42" s="267"/>
      <c r="H42" s="189"/>
      <c r="I42" s="189"/>
      <c r="J42" s="189"/>
      <c r="K42" s="189"/>
      <c r="L42" s="189"/>
      <c r="M42" s="189"/>
      <c r="N42" s="189"/>
    </row>
    <row r="43" ht="15.1" customHeight="1">
      <c r="A43" t="s" s="261">
        <v>3300</v>
      </c>
      <c r="B43" s="262">
        <f>N18/N25</f>
        <v>0.0270684371807967</v>
      </c>
      <c r="C43" s="263">
        <f>SUM(N18:N20)</f>
        <v>159</v>
      </c>
      <c r="D43" s="264">
        <f>N18/C43</f>
        <v>0.333333333333333</v>
      </c>
      <c r="E43" s="265">
        <f>SUM(B43:B45)</f>
        <v>0.08120531154239009</v>
      </c>
      <c r="F43" t="s" s="266">
        <v>3317</v>
      </c>
      <c r="G43" s="267"/>
      <c r="H43" s="189"/>
      <c r="I43" s="189"/>
      <c r="J43" s="189"/>
      <c r="K43" s="189"/>
      <c r="L43" s="189"/>
      <c r="M43" s="189"/>
      <c r="N43" s="189"/>
    </row>
    <row r="44" ht="15.1" customHeight="1">
      <c r="A44" t="s" s="268">
        <v>3301</v>
      </c>
      <c r="B44" s="269">
        <f>N19/N25</f>
        <v>0.00306435137895812</v>
      </c>
      <c r="C44" s="270"/>
      <c r="D44" s="271">
        <f>N19/C43</f>
        <v>0.0377358490566038</v>
      </c>
      <c r="E44" s="270"/>
      <c r="F44" s="270"/>
      <c r="G44" s="267"/>
      <c r="H44" s="189"/>
      <c r="I44" s="189"/>
      <c r="J44" s="189"/>
      <c r="K44" s="189"/>
      <c r="L44" s="189"/>
      <c r="M44" s="189"/>
      <c r="N44" s="189"/>
    </row>
    <row r="45" ht="15.1" customHeight="1">
      <c r="A45" t="s" s="272">
        <v>3302</v>
      </c>
      <c r="B45" s="273">
        <f>N20/N25</f>
        <v>0.0510725229826353</v>
      </c>
      <c r="C45" s="274"/>
      <c r="D45" s="275">
        <f>N20/C43</f>
        <v>0.628930817610063</v>
      </c>
      <c r="E45" s="274"/>
      <c r="F45" s="274"/>
      <c r="G45" s="267"/>
      <c r="H45" s="189"/>
      <c r="I45" s="189"/>
      <c r="J45" s="189"/>
      <c r="K45" s="189"/>
      <c r="L45" s="189"/>
      <c r="M45" s="189"/>
      <c r="N45" s="189"/>
    </row>
    <row r="46" ht="15.1" customHeight="1">
      <c r="A46" t="s" s="261">
        <v>3303</v>
      </c>
      <c r="B46" s="262">
        <f>N21/N25</f>
        <v>0.0561797752808989</v>
      </c>
      <c r="C46" s="263">
        <f>SUM(N21:N22)</f>
        <v>120</v>
      </c>
      <c r="D46" s="264">
        <f>N21/C46</f>
        <v>0.916666666666667</v>
      </c>
      <c r="E46" s="265">
        <f>SUM(B46:B47)</f>
        <v>0.0612870275791624</v>
      </c>
      <c r="F46" t="s" s="266">
        <v>3318</v>
      </c>
      <c r="G46" s="267"/>
      <c r="H46" s="189"/>
      <c r="I46" s="189"/>
      <c r="J46" s="189"/>
      <c r="K46" s="189"/>
      <c r="L46" s="189"/>
      <c r="M46" s="189"/>
      <c r="N46" s="189"/>
    </row>
    <row r="47" ht="15.1" customHeight="1">
      <c r="A47" t="s" s="272">
        <v>3304</v>
      </c>
      <c r="B47" s="273">
        <f>N22/N25</f>
        <v>0.00510725229826353</v>
      </c>
      <c r="C47" s="274"/>
      <c r="D47" s="275">
        <f>N22/C46</f>
        <v>0.0833333333333333</v>
      </c>
      <c r="E47" s="274"/>
      <c r="F47" s="274"/>
      <c r="G47" s="267"/>
      <c r="H47" s="189"/>
      <c r="I47" s="189"/>
      <c r="J47" s="189"/>
      <c r="K47" s="189"/>
      <c r="L47" s="189"/>
      <c r="M47" s="189"/>
      <c r="N47" s="189"/>
    </row>
    <row r="48" ht="15.1" customHeight="1">
      <c r="A48" t="s" s="276">
        <v>3305</v>
      </c>
      <c r="B48" s="277">
        <f>N23/N25</f>
        <v>0.0102145045965271</v>
      </c>
      <c r="C48" s="278">
        <f>N23</f>
        <v>20</v>
      </c>
      <c r="D48" s="279">
        <v>1</v>
      </c>
      <c r="E48" s="280">
        <f>N23/N25</f>
        <v>0.0102145045965271</v>
      </c>
      <c r="F48" t="s" s="281">
        <v>3319</v>
      </c>
      <c r="G48" s="267"/>
      <c r="H48" s="189"/>
      <c r="I48" s="189"/>
      <c r="J48" s="189"/>
      <c r="K48" s="189"/>
      <c r="L48" s="189"/>
      <c r="M48" s="189"/>
      <c r="N48" s="189"/>
    </row>
    <row r="49" ht="17.55" customHeight="1">
      <c r="A49" s="282"/>
      <c r="B49" s="283"/>
      <c r="C49" s="284"/>
      <c r="D49" s="284"/>
      <c r="E49" s="284"/>
      <c r="F49" t="s" s="285">
        <v>3270</v>
      </c>
      <c r="G49" s="16"/>
      <c r="H49" s="16"/>
      <c r="I49" s="16"/>
      <c r="J49" s="215"/>
      <c r="K49" s="215"/>
      <c r="L49" s="215"/>
      <c r="M49" s="215"/>
      <c r="N49" s="215"/>
    </row>
    <row r="50" ht="15.1" customHeight="1">
      <c r="A50" s="286"/>
      <c r="B50" s="220">
        <v>45292</v>
      </c>
      <c r="C50" s="221">
        <v>45323</v>
      </c>
      <c r="D50" s="221">
        <v>45352</v>
      </c>
      <c r="E50" s="221">
        <v>45383</v>
      </c>
      <c r="F50" s="221">
        <v>45413</v>
      </c>
      <c r="G50" s="221">
        <v>45444</v>
      </c>
      <c r="H50" s="221">
        <v>45474</v>
      </c>
      <c r="I50" s="221">
        <v>45505</v>
      </c>
      <c r="J50" s="221">
        <v>45536</v>
      </c>
      <c r="K50" s="221">
        <v>45566</v>
      </c>
      <c r="L50" s="221">
        <v>45597</v>
      </c>
      <c r="M50" s="221">
        <v>45627</v>
      </c>
      <c r="N50" t="s" s="287">
        <v>3237</v>
      </c>
    </row>
    <row r="51" ht="15.1" customHeight="1">
      <c r="A51" t="s" s="163">
        <v>3285</v>
      </c>
      <c r="B51" s="224">
        <f>GETPIVOTDATA("Sum of Total Line Item $",'January 2024'!R465,"Line Item Name","CC-CH-02-MFD")</f>
        <v>259.96</v>
      </c>
      <c r="C51" s="225">
        <f>GETPIVOTDATA("Sum of Total Line Item $",'February 2024'!R572,"Line Item Name","CC-CH-02-MFD")</f>
        <v>519.92</v>
      </c>
      <c r="D51" s="225">
        <f t="shared" si="262" ref="D51:J68">0</f>
        <v>0</v>
      </c>
      <c r="E51" s="225">
        <f>GETPIVOTDATA("Sum of Total Line Item $",'April 2024'!R692,"Line Item Name","CC-CH-02-MFD")</f>
        <v>389.94</v>
      </c>
      <c r="F51" s="225">
        <v>0</v>
      </c>
      <c r="G51" s="225">
        <f>GETPIVOTDATA("Sum of Total Line Item $",'June 2024'!R658,"Line Item Name","CC-CH-02-MFD")</f>
        <v>259.96</v>
      </c>
      <c r="H51" s="225">
        <v>0</v>
      </c>
      <c r="I51" s="225">
        <f>GETPIVOTDATA("Sum of Total Line Item $",'August 2024'!S811,"Line Item Name","CC-CH-02-MFD")</f>
        <v>97.485</v>
      </c>
      <c r="J51" s="225">
        <f>GETPIVOTDATA("Sum of Total Line Item $",'September 2024'!S793,"Line Item Name","CC-CH-02-MFD")</f>
        <v>487.425</v>
      </c>
      <c r="K51" s="225"/>
      <c r="L51" s="225"/>
      <c r="M51" s="225"/>
      <c r="N51" s="231">
        <f>SUM(B51:M51)</f>
        <v>2014.69</v>
      </c>
    </row>
    <row r="52" ht="15.1" customHeight="1">
      <c r="A52" t="s" s="163">
        <v>3312</v>
      </c>
      <c r="B52" s="224">
        <f>GETPIVOTDATA("Sum of Total Line Item $",'January 2024'!R465,"Line Item Name","CC-CH-03.5-MFD")</f>
        <v>629.91</v>
      </c>
      <c r="C52" s="225">
        <v>0</v>
      </c>
      <c r="D52" s="225">
        <f>GETPIVOTDATA("Sum of Total Line Item $",'March 2024'!R573,"Line Item Name","CC-CH-03.5-MFD")</f>
        <v>2099.7</v>
      </c>
      <c r="E52" s="225">
        <f>GETPIVOTDATA("Sum of Total Line Item $",'April 2024'!R692,"Line Item Name","CC-CH-03.5-MFD")</f>
        <v>262.4625</v>
      </c>
      <c r="F52" s="225">
        <f>GETPIVOTDATA("Sum of Total Line Item $",'May 2024'!R1387,"Line Item Name","CC-CH-03.5-MFD")</f>
        <v>734.895</v>
      </c>
      <c r="G52" s="225">
        <f>GETPIVOTDATA("Sum of Total Line Item $",'June 2024'!R658,"Line Item Name","CC-CH-03.5-MFD")</f>
        <v>279.96</v>
      </c>
      <c r="H52" s="225">
        <v>0</v>
      </c>
      <c r="I52" s="225">
        <f>GETPIVOTDATA("Sum of Total Line Item $",'August 2024'!S811,"Line Item Name","CC-CH-03.5-MFD")</f>
        <v>419.94</v>
      </c>
      <c r="J52" s="225">
        <f>SUM('September 2024'!T828:T829)</f>
        <v>5069.34</v>
      </c>
      <c r="K52" s="225"/>
      <c r="L52" s="225"/>
      <c r="M52" s="225"/>
      <c r="N52" s="231">
        <f>SUM(B52:M52)</f>
        <v>9496.2075</v>
      </c>
    </row>
    <row r="53" ht="15.1" customHeight="1">
      <c r="A53" t="s" s="163">
        <v>3287</v>
      </c>
      <c r="B53" s="228">
        <v>0</v>
      </c>
      <c r="C53" s="225">
        <f>GETPIVOTDATA("Sum of Total Line Item $",'February 2024'!R572,"Line Item Name","CC-CH-05-MFD")</f>
        <v>506.1825</v>
      </c>
      <c r="D53" s="225">
        <f>GETPIVOTDATA("Sum of Total Line Item $",'March 2024'!R573,"Line Item Name","CC-CH-05-MFD")</f>
        <v>674.91</v>
      </c>
      <c r="E53" s="225">
        <f>GETPIVOTDATA("Sum of Total Line Item $",'April 2024'!R692,"Line Item Name","CC-CH-05-MFD")</f>
        <v>56.2425</v>
      </c>
      <c r="F53" s="225">
        <f>GETPIVOTDATA("Sum of Total Line Item $",'May 2024'!R1387,"Line Item Name","CC-CH-05-MFD")</f>
        <v>942.385</v>
      </c>
      <c r="G53" s="225">
        <f>GETPIVOTDATA("Sum of Total Line Item $",'June 2024'!R658,"Line Item Name","CC-CH-05-MFD")</f>
        <v>1499.8</v>
      </c>
      <c r="H53" s="225">
        <v>0</v>
      </c>
      <c r="I53" s="225">
        <f>GETPIVOTDATA("Sum of Total Line Item $",'August 2024'!S811,"Line Item Name","CC-CH-05-MFD")</f>
        <v>704.91</v>
      </c>
      <c r="J53" s="225">
        <f t="shared" si="262"/>
        <v>0</v>
      </c>
      <c r="K53" s="225"/>
      <c r="L53" s="225"/>
      <c r="M53" s="225"/>
      <c r="N53" s="231">
        <f>SUM(B53:M53)</f>
        <v>4384.43</v>
      </c>
    </row>
    <row r="54" ht="15.1" customHeight="1">
      <c r="A54" t="s" s="163">
        <v>3288</v>
      </c>
      <c r="B54" s="224">
        <v>0</v>
      </c>
      <c r="C54" s="225">
        <f>GETPIVOTDATA("Sum of Total Line Item $",'February 2024'!R572,"Line Item Name","CC-CH-05-STD - 01")</f>
        <v>99.98999999999999</v>
      </c>
      <c r="D54" s="225">
        <f>GETPIVOTDATA("Sum of Total Line Item $",'March 2024'!R573,"Line Item Name","CC-CH-05-STD - 01")</f>
        <v>299.97</v>
      </c>
      <c r="E54" s="225">
        <f>GETPIVOTDATA("Sum of Total Line Item $",'April 2024'!R692,"Line Item Name","CC-CH-05-STD - 01")</f>
        <v>199.98</v>
      </c>
      <c r="F54" s="225">
        <f>GETPIVOTDATA("Sum of Total Line Item $",'May 2024'!R1387,"Line Item Name","5FT CO2 Hose - JIC  x JIC")</f>
        <v>360</v>
      </c>
      <c r="G54" s="225">
        <f>GETPIVOTDATA("Sum of Total Line Item $",'June 2024'!R658,"Line Item Name","CC-CH-05-STD")</f>
        <v>299.97</v>
      </c>
      <c r="H54" s="225">
        <f>GETPIVOTDATA("Sum of Total Line Item $",'July 2024'!Q1204,"Line Item Name","CC-CH-05-STD - 01")</f>
        <v>99.98999999999999</v>
      </c>
      <c r="I54" s="225">
        <f>GETPIVOTDATA("Sum of Total Line Item $",'August 2024'!S811,"Line Item Name","CC-CH-05-STD - 01")</f>
        <v>399.96</v>
      </c>
      <c r="J54" s="225">
        <f>GETPIVOTDATA("Sum of Total Line Item $",'September 2024'!S793,"Line Item Name","CC-CH-05-STD - 01")</f>
        <v>299.97</v>
      </c>
      <c r="K54" s="225"/>
      <c r="L54" s="225"/>
      <c r="M54" s="225"/>
      <c r="N54" s="231">
        <f>SUM(B54:M54)</f>
        <v>2059.83</v>
      </c>
    </row>
    <row r="55" ht="15.1" customHeight="1">
      <c r="A55" t="s" s="163">
        <v>3289</v>
      </c>
      <c r="B55" s="224">
        <f>GETPIVOTDATA("Sum of Total Line Item $",'January 2024'!R465,"Line Item Name","CC-CH-05-DSY")</f>
        <v>99.98999999999999</v>
      </c>
      <c r="C55" s="225">
        <f>0</f>
        <v>0</v>
      </c>
      <c r="D55" s="225">
        <f t="shared" si="262"/>
        <v>0</v>
      </c>
      <c r="E55" s="225">
        <f>GETPIVOTDATA("Sum of Total Line Item $",'April 2024'!R692,"Line Item Name","CC-CH-05-DSY")</f>
        <v>199.98</v>
      </c>
      <c r="F55" s="225">
        <v>0</v>
      </c>
      <c r="G55" s="225">
        <f t="shared" si="262"/>
        <v>0</v>
      </c>
      <c r="H55" s="225">
        <f>GETPIVOTDATA("Sum of Total Line Item $",'July 2024'!Q1204,"Line Item Name","CC-CH-05-DSY")</f>
        <v>99.98999999999999</v>
      </c>
      <c r="I55" s="225">
        <f>GETPIVOTDATA("Sum of Total Line Item $",'August 2024'!S811,"Line Item Name","CC-CH-05-DSY")</f>
        <v>99.98999999999999</v>
      </c>
      <c r="J55" s="225">
        <v>0</v>
      </c>
      <c r="K55" s="225"/>
      <c r="L55" s="225"/>
      <c r="M55" s="225"/>
      <c r="N55" s="231">
        <f>SUM(B55:M55)</f>
        <v>499.95</v>
      </c>
    </row>
    <row r="56" ht="15.1" customHeight="1">
      <c r="A56" t="s" s="163">
        <v>3290</v>
      </c>
      <c r="B56" s="224">
        <v>0</v>
      </c>
      <c r="C56" s="225">
        <v>0</v>
      </c>
      <c r="D56" s="225">
        <f>GETPIVOTDATA("Sum of Total Line Item $",'March 2024'!R573,"Line Item Name","CC-CH-05-EXT")</f>
        <v>74.99250000000001</v>
      </c>
      <c r="E56" s="225">
        <f t="shared" si="262"/>
        <v>0</v>
      </c>
      <c r="F56" s="225">
        <v>0</v>
      </c>
      <c r="G56" s="225">
        <f>GETPIVOTDATA("Sum of Total Line Item $",'June 2024'!R658,"Line Item Name","CC-CH-05-EXT")</f>
        <v>99.98999999999999</v>
      </c>
      <c r="H56" s="225">
        <v>0</v>
      </c>
      <c r="I56" s="225">
        <f t="shared" si="262"/>
        <v>0</v>
      </c>
      <c r="J56" s="225">
        <v>0</v>
      </c>
      <c r="K56" s="225"/>
      <c r="L56" s="225"/>
      <c r="M56" s="225"/>
      <c r="N56" s="231">
        <f>SUM(B56:M56)</f>
        <v>174.9825</v>
      </c>
    </row>
    <row r="57" ht="15.1" customHeight="1">
      <c r="A57" t="s" s="163">
        <v>3291</v>
      </c>
      <c r="B57" s="224">
        <f>GETPIVOTDATA("Sum of Total Line Item $",'January 2024'!R465,"Line Item Name","CC-CH-08-STD")</f>
        <v>109.99</v>
      </c>
      <c r="C57" s="225">
        <f>GETPIVOTDATA("Sum of Total Line Item $",'February 2024'!R572,"Line Item Name","CC-CH-08-STD")</f>
        <v>879.92</v>
      </c>
      <c r="D57" s="225">
        <f>GETPIVOTDATA("Sum of Total Line Item $",'March 2024'!R573,"Line Item Name","CC-CH-08-STD")</f>
        <v>659.9400000000001</v>
      </c>
      <c r="E57" s="225">
        <f>GETPIVOTDATA("Sum of Total Line Item $",'April 2024'!R692,"Line Item Name","CC-CH-08-STD")</f>
        <v>879.92</v>
      </c>
      <c r="F57" s="225">
        <f>GETPIVOTDATA("Sum of Total Line Item $",'May 2024'!R1387,"Line Item Name","CC-CH-08-STD")</f>
        <v>109.99</v>
      </c>
      <c r="G57" s="225">
        <f>GETPIVOTDATA("Sum of Total Line Item $",'June 2024'!R658,"Line Item Name","CC-CH-08-STD")</f>
        <v>659.9400000000001</v>
      </c>
      <c r="H57" s="225">
        <f>GETPIVOTDATA("Sum of Total Line Item $",'July 2024'!Q1204,"Line Item Name","CC-CH-08-STD")</f>
        <v>109.99</v>
      </c>
      <c r="I57" s="225">
        <f>GETPIVOTDATA("Sum of Total Line Item $",'August 2024'!S811,"Line Item Name","CC-CH-08-STD")</f>
        <v>929.91</v>
      </c>
      <c r="J57" s="225">
        <f>GETPIVOTDATA("Sum of Total Line Item $",'September 2024'!S793,"Line Item Name","CC-CH-08-STD")</f>
        <v>302.4725</v>
      </c>
      <c r="K57" s="225"/>
      <c r="L57" s="225"/>
      <c r="M57" s="225"/>
      <c r="N57" s="231">
        <f>SUM(B57:M57)</f>
        <v>4642.0725</v>
      </c>
    </row>
    <row r="58" ht="15.1" customHeight="1">
      <c r="A58" t="s" s="163">
        <v>3292</v>
      </c>
      <c r="B58" s="224">
        <f>GETPIVOTDATA("Sum of Total Line Item $",'January 2024'!R465,"Line Item Name","CC-CH-08-DSY")</f>
        <v>439.96</v>
      </c>
      <c r="C58" s="225">
        <f>GETPIVOTDATA("Sum of Total Line Item $",'February 2024'!R572,"Line Item Name","CC-CH-08-DSY")</f>
        <v>329.97</v>
      </c>
      <c r="D58" s="225">
        <f>GETPIVOTDATA("Sum of Total Line Item $",'March 2024'!R573,"Line Item Name","CC-CH-08-DSY")</f>
        <v>769.9299999999999</v>
      </c>
      <c r="E58" s="225">
        <f t="shared" si="262"/>
        <v>0</v>
      </c>
      <c r="F58" s="225">
        <f>GETPIVOTDATA("Sum of Total Line Item $",'May 2024'!R1387,"Line Item Name","CC-CH-08-DSY")</f>
        <v>1154.895</v>
      </c>
      <c r="G58" s="225">
        <f>GETPIVOTDATA("Sum of Total Line Item $",'June 2024'!R658,"Line Item Name","CC-CH-08-DSY")</f>
        <v>164.985</v>
      </c>
      <c r="H58" s="225">
        <f t="shared" si="262"/>
        <v>0</v>
      </c>
      <c r="I58" s="225">
        <f>GETPIVOTDATA("Sum of Total Line Item $",'August 2024'!S811,"Line Item Name","CC-CH-08-DSY")</f>
        <v>109.99</v>
      </c>
      <c r="J58" s="225">
        <f>GETPIVOTDATA("Sum of Total Line Item $",'September 2024'!S793,"Line Item Name","CC-CH-08-DSY")</f>
        <v>412.4625</v>
      </c>
      <c r="K58" s="225"/>
      <c r="L58" s="225"/>
      <c r="M58" s="225"/>
      <c r="N58" s="231">
        <f>SUM(B58:M58)</f>
        <v>3382.1925</v>
      </c>
    </row>
    <row r="59" ht="15.1" customHeight="1">
      <c r="A59" t="s" s="163">
        <v>3293</v>
      </c>
      <c r="B59" s="224">
        <v>0</v>
      </c>
      <c r="C59" s="225">
        <f>GETPIVOTDATA("Sum of Total Line Item $",'February 2024'!R572,"Line Item Name","CC-CH-08-EXT")</f>
        <v>82.49250000000001</v>
      </c>
      <c r="D59" s="225">
        <f>GETPIVOTDATA("Sum of Total Line Item $",'March 2024'!R573,"Line Item Name","CC-CH-08-EXT")</f>
        <v>109.99</v>
      </c>
      <c r="E59" s="225">
        <v>0</v>
      </c>
      <c r="F59" s="225">
        <f>GETPIVOTDATA("Sum of Total Line Item $",'May 2024'!R1387,"Line Item Name","CC-CH-08-EXT")</f>
        <v>214.98</v>
      </c>
      <c r="G59" s="225">
        <v>0</v>
      </c>
      <c r="H59" s="225">
        <v>0</v>
      </c>
      <c r="I59" s="225">
        <v>0</v>
      </c>
      <c r="J59" s="225">
        <f t="shared" si="262"/>
        <v>0</v>
      </c>
      <c r="K59" s="225"/>
      <c r="L59" s="225"/>
      <c r="M59" s="225"/>
      <c r="N59" s="231">
        <f>SUM(B59:M59)</f>
        <v>407.4625</v>
      </c>
    </row>
    <row r="60" ht="15.1" customHeight="1">
      <c r="A60" t="s" s="163">
        <v>3294</v>
      </c>
      <c r="B60" s="224">
        <f>GETPIVOTDATA("Sum of Total Line Item $",'January 2024'!R465,"Line Item Name","CC-CH-15-STD")+GETPIVOTDATA("Sum of Total Line Item $",'January 2024'!R465,"Line Item Name","15FT CO2 HOSE - 3/8" (BSPP x JIC #6)")</f>
        <v>1049.93</v>
      </c>
      <c r="C60" s="225">
        <f>GETPIVOTDATA("Sum of Total Line Item $",'February 2024'!R572,"Line Item Name","CC-CH-15-STD")</f>
        <v>449.97</v>
      </c>
      <c r="D60" s="225">
        <f>GETPIVOTDATA("Sum of Total Line Item $",'March 2024'!R573,"Line Item Name","CC-CH-15-STD")</f>
        <v>2887.3075</v>
      </c>
      <c r="E60" s="225">
        <f>GETPIVOTDATA("Sum of Total Line Item $",'April 2024'!R692,"Line Item Name","CC-CH-15-STD")</f>
        <v>1649.89</v>
      </c>
      <c r="F60" s="225">
        <f>GETPIVOTDATA("Sum of Total Line Item $",'May 2024'!R1387,"Line Item Name","CC-CH-15-STD")</f>
        <v>1304.913</v>
      </c>
      <c r="G60" s="225">
        <f>GETPIVOTDATA("Sum of Total Line Item $",'June 2024'!R658,"Line Item Name","CC-CH-15-STD")</f>
        <v>899.9400000000001</v>
      </c>
      <c r="H60" s="225">
        <f>GETPIVOTDATA("Sum of Total Line Item $",'July 2024'!Q1204,"Line Item Name","CC-CH-15-STD")</f>
        <v>1199.92</v>
      </c>
      <c r="I60" s="225">
        <f>GETPIVOTDATA("Sum of Total Line Item $",'August 2024'!S811,"Line Item Name","CC-CH-15-STD")</f>
        <v>1784.881</v>
      </c>
      <c r="J60" s="225">
        <f>GETPIVOTDATA("Sum of Total Line Item $",'September 2024'!S793,"Line Item Name","CC-CH-15-STD")</f>
        <v>1499.9</v>
      </c>
      <c r="K60" s="225"/>
      <c r="L60" s="225"/>
      <c r="M60" s="225"/>
      <c r="N60" s="231">
        <f>SUM(B60:M60)</f>
        <v>12726.6515</v>
      </c>
    </row>
    <row r="61" ht="15.1" customHeight="1">
      <c r="A61" t="s" s="163">
        <v>3295</v>
      </c>
      <c r="B61" s="224">
        <v>0</v>
      </c>
      <c r="C61" s="225">
        <f>GETPIVOTDATA("Sum of Total Line Item $",'February 2024'!R572,"Line Item Name","CC-CH-15-DSY")</f>
        <v>0</v>
      </c>
      <c r="D61" s="225">
        <f>GETPIVOTDATA("Sum of Total Line Item $",'March 2024'!R573,"Line Item Name","CC-CH-15-DSY")</f>
        <v>449.97</v>
      </c>
      <c r="E61" s="225">
        <f>GETPIVOTDATA("Sum of Total Line Item $",'April 2024'!R692,"Line Item Name","CC-CH-15-DSY")</f>
        <v>299.98</v>
      </c>
      <c r="F61" s="225">
        <v>0</v>
      </c>
      <c r="G61" s="225">
        <f>GETPIVOTDATA("Sum of Total Line Item $",'June 2024'!R658,"Line Item Name","CC-CH-15-DSY")</f>
        <v>712.4525</v>
      </c>
      <c r="H61" s="225">
        <f>GETPIVOTDATA("Sum of Total Line Item $",'July 2024'!Q1204,"Line Item Name","CC-CH-15-DSY")</f>
        <v>599.96</v>
      </c>
      <c r="I61" s="225">
        <f>GETPIVOTDATA("Sum of Total Line Item $",'August 2024'!S811,"Line Item Name","CC-CH-15-DSY")</f>
        <v>724.955</v>
      </c>
      <c r="J61" s="225">
        <f t="shared" si="262"/>
        <v>0</v>
      </c>
      <c r="K61" s="225"/>
      <c r="L61" s="225"/>
      <c r="M61" s="225"/>
      <c r="N61" s="231">
        <f>SUM(B61:M61)</f>
        <v>2787.3175</v>
      </c>
    </row>
    <row r="62" ht="15.1" customHeight="1">
      <c r="A62" t="s" s="163">
        <v>3296</v>
      </c>
      <c r="B62" s="224">
        <f>GETPIVOTDATA("Sum of Total Line Item $",'January 2024'!R465,"Line Item Name","CC-CH-15-EXT")</f>
        <v>539.9640000000001</v>
      </c>
      <c r="C62" s="225">
        <f>GETPIVOTDATA("Sum of Total Line Item $",'February 2024'!R572,"Line Item Name","CC-CH-15-EXT")</f>
        <v>637.4575</v>
      </c>
      <c r="D62" s="225">
        <f>GETPIVOTDATA("Sum of Total Line Item $",'March 2024'!R573,"Line Item Name","CC-CH-15-EXT")</f>
        <v>149.99</v>
      </c>
      <c r="E62" s="225">
        <f>GETPIVOTDATA("Sum of Total Line Item $",'April 2024'!R692,"Line Item Name","CC-CH-15-EXT")</f>
        <v>1124.925</v>
      </c>
      <c r="F62" s="225">
        <f>GETPIVOTDATA("Sum of Total Line Item $",'May 2024'!R1387,"Line Item Name","CC-CH-15-EXT")</f>
        <v>509.966</v>
      </c>
      <c r="G62" s="225">
        <v>0</v>
      </c>
      <c r="H62" s="225">
        <f>GETPIVOTDATA("Sum of Total Line Item $",'July 2024'!Q1204,"Line Item Name","CC-CH-15-EXT")</f>
        <v>449.97</v>
      </c>
      <c r="I62" s="225">
        <f>GETPIVOTDATA("Sum of Total Line Item $",'August 2024'!S811,"Line Item Name","CC-CH-15-EXT")</f>
        <v>524.965</v>
      </c>
      <c r="J62" s="225">
        <f>GETPIVOTDATA("Sum of Total Line Item $",'September 2024'!S793,"Line Item Name","CC-CH-15-EXT")</f>
        <v>509.966</v>
      </c>
      <c r="K62" s="225"/>
      <c r="L62" s="225"/>
      <c r="M62" s="225"/>
      <c r="N62" s="231">
        <f>SUM(B62:M62)</f>
        <v>4447.2035</v>
      </c>
    </row>
    <row r="63" ht="15.1" customHeight="1">
      <c r="A63" t="s" s="163">
        <v>3297</v>
      </c>
      <c r="B63" s="224">
        <f>GETPIVOTDATA("Sum of Total Line Item $",'January 2024'!R465,"Line Item Name","CC-CH-25-STD")</f>
        <v>1399.95</v>
      </c>
      <c r="C63" s="225">
        <f>GETPIVOTDATA("Sum of Total Line Item $",'February 2024'!R572,"Line Item Name","CC-CH-25-STD")</f>
        <v>150</v>
      </c>
      <c r="D63" s="225">
        <f>GETPIVOTDATA("Sum of Total Line Item $",'March 2024'!R573,"Line Item Name","CC-CH-25-STD")</f>
        <v>6999.68</v>
      </c>
      <c r="E63" s="225">
        <f>GETPIVOTDATA("Sum of Total Line Item $",'April 2024'!R692,"Line Item Name","CC-CH-25-STD")</f>
        <v>1688.84</v>
      </c>
      <c r="F63" s="225">
        <f>GETPIVOTDATA("Sum of Total Line Item $",'May 2024'!R1387,"Line Item Name","CC-CH-25-STD")</f>
        <v>1299.95</v>
      </c>
      <c r="G63" s="225">
        <f>GETPIVOTDATA("Sum of Total Line Item $",'June 2024'!R658,"Line Item Name","CC-CH-25-STD")</f>
        <v>499.98</v>
      </c>
      <c r="H63" s="225">
        <f>GETPIVOTDATA("Sum of Total Line Item $",'July 2024'!Q1204,"Line Item Name","CC-CH-25-STD")</f>
        <v>2094.9265</v>
      </c>
      <c r="I63" s="225">
        <f>GETPIVOTDATA("Sum of Total Line Item $",'August 2024'!S811,"Line Item Name","CC-CH-25-STD")</f>
        <v>749.97</v>
      </c>
      <c r="J63" s="225">
        <f>GETPIVOTDATA("Sum of Total Line Item $",'September 2024'!S793,"Line Item Name","CC-CH-25-STD")</f>
        <v>687.48</v>
      </c>
      <c r="K63" s="225"/>
      <c r="L63" s="225"/>
      <c r="M63" s="225"/>
      <c r="N63" s="231">
        <f>SUM(B63:M63)</f>
        <v>15570.7765</v>
      </c>
    </row>
    <row r="64" ht="15.1" customHeight="1">
      <c r="A64" t="s" s="163">
        <v>3298</v>
      </c>
      <c r="B64" s="224">
        <v>0</v>
      </c>
      <c r="C64" s="225">
        <f>0</f>
        <v>0</v>
      </c>
      <c r="D64" s="225">
        <f t="shared" si="262"/>
        <v>0</v>
      </c>
      <c r="E64" s="225">
        <f>GETPIVOTDATA("Sum of Total Line Item $",'April 2024'!R692,"Line Item Name","CC-CH-25-DSY")</f>
        <v>199.99</v>
      </c>
      <c r="F64" s="225">
        <v>0</v>
      </c>
      <c r="G64" s="225">
        <f t="shared" si="262"/>
        <v>0</v>
      </c>
      <c r="H64" s="225">
        <v>0</v>
      </c>
      <c r="I64" s="225">
        <f t="shared" si="262"/>
        <v>0</v>
      </c>
      <c r="J64" s="225">
        <v>0</v>
      </c>
      <c r="K64" s="225"/>
      <c r="L64" s="225"/>
      <c r="M64" s="225"/>
      <c r="N64" s="231">
        <f>SUM(B64:M64)</f>
        <v>199.99</v>
      </c>
    </row>
    <row r="65" ht="15.1" customHeight="1">
      <c r="A65" t="s" s="163">
        <v>3299</v>
      </c>
      <c r="B65" s="224">
        <f>GETPIVOTDATA("Sum of Total Line Item $",'January 2024'!R465,"Line Item Name","CC-CH-25-EXT")</f>
        <v>199.99</v>
      </c>
      <c r="C65" s="225">
        <f>GETPIVOTDATA("Sum of Total Line Item $",'February 2024'!R572,"Line Item Name","CC-CH-25-EXT")</f>
        <v>599.97</v>
      </c>
      <c r="D65" s="225">
        <f>GETPIVOTDATA("Sum of Total Line Item $",'March 2024'!R573,"Line Item Name","CC-CH-25-EXT")</f>
        <v>599.97</v>
      </c>
      <c r="E65" s="225">
        <v>0</v>
      </c>
      <c r="F65" s="225">
        <v>0</v>
      </c>
      <c r="G65" s="225">
        <v>0</v>
      </c>
      <c r="H65" s="225">
        <f>GETPIVOTDATA("Sum of Total Line Item $",'July 2024'!Q1204,"Line Item Name","CC-CH-25-EXT")</f>
        <v>149.9925</v>
      </c>
      <c r="I65" s="225">
        <f>GETPIVOTDATA("Sum of Total Line Item $",'August 2024'!S811,"Line Item Name","CC-CH-25-EXT")</f>
        <v>1099.99</v>
      </c>
      <c r="J65" s="225">
        <f>GETPIVOTDATA("Sum of Total Line Item $",'September 2024'!S793,"Line Item Name","CC-CH-25-EXT")</f>
        <v>1199.94</v>
      </c>
      <c r="K65" s="225"/>
      <c r="L65" s="225"/>
      <c r="M65" s="225"/>
      <c r="N65" s="231">
        <f>SUM(B65:M65)</f>
        <v>3849.8525</v>
      </c>
    </row>
    <row r="66" ht="15.1" customHeight="1">
      <c r="A66" t="s" s="163">
        <v>3300</v>
      </c>
      <c r="B66" s="224">
        <f>GETPIVOTDATA("Sum of Total Line Item $",'January 2024'!R465,"Line Item Name","CC-CH-35-STD")</f>
        <v>849.99</v>
      </c>
      <c r="C66" s="225">
        <f>GETPIVOTDATA("Sum of Total Line Item $",'February 2024'!R572,"Line Item Name","CC-CH-35-STD")</f>
        <v>1399.96</v>
      </c>
      <c r="D66" s="225">
        <f t="shared" si="262"/>
        <v>0</v>
      </c>
      <c r="E66" s="225">
        <f>GETPIVOTDATA("Sum of Total Line Item $",'April 2024'!R692,"Line Item Name","CC-CH-35-STD")</f>
        <v>1374.925</v>
      </c>
      <c r="F66" s="225">
        <f>GETPIVOTDATA("Sum of Total Line Item $",'May 2024'!R1387,"Line Item Name","CC-CH-35-STD")</f>
        <v>150</v>
      </c>
      <c r="G66" s="225">
        <v>0</v>
      </c>
      <c r="H66" s="225">
        <f>GETPIVOTDATA("Sum of Total Line Item $",'July 2024'!Q1204,"Line Item Name","CC-CH-35-STD")</f>
        <v>1399.96</v>
      </c>
      <c r="I66" s="225">
        <f>GETPIVOTDATA("Sum of Total Line Item $",'August 2024'!S811,"Line Item Name","CC-CH-35-STD")</f>
        <v>1674.955</v>
      </c>
      <c r="J66" s="225">
        <f>GETPIVOTDATA("Sum of Total Line Item $",'September 2024'!S793,"Line Item Name","CC-CH-35-STD")</f>
        <v>649.99</v>
      </c>
      <c r="K66" s="225"/>
      <c r="L66" s="225"/>
      <c r="M66" s="225"/>
      <c r="N66" s="231">
        <f>SUM(B66:M66)</f>
        <v>7499.78</v>
      </c>
    </row>
    <row r="67" ht="15.1" customHeight="1">
      <c r="A67" t="s" s="163">
        <v>3301</v>
      </c>
      <c r="B67" s="224">
        <v>0</v>
      </c>
      <c r="C67" s="225">
        <f>GETPIVOTDATA("Sum of Total Line Item $",'February 2024'!R572,"Line Item Name","CC-CH-35-DSY")</f>
        <v>249.99</v>
      </c>
      <c r="D67" s="225">
        <v>0</v>
      </c>
      <c r="E67" s="225">
        <v>0</v>
      </c>
      <c r="F67" s="225">
        <v>0</v>
      </c>
      <c r="G67" s="225">
        <v>0</v>
      </c>
      <c r="H67" s="225">
        <f>GETPIVOTDATA("Sum of Total Line Item $",'July 2024'!Q1204,"Line Item Name","CC-CH-35-DSY")</f>
        <v>624.975</v>
      </c>
      <c r="I67" s="225">
        <f>GETPIVOTDATA("Sum of Total Line Item $",'August 2024'!S811,"Line Item Name","CC-CH-35-DSY")</f>
        <v>499.98</v>
      </c>
      <c r="J67" s="225">
        <f t="shared" si="262"/>
        <v>0</v>
      </c>
      <c r="K67" s="225"/>
      <c r="L67" s="225"/>
      <c r="M67" s="225"/>
      <c r="N67" s="231">
        <f>SUM(B67:M67)</f>
        <v>1374.945</v>
      </c>
    </row>
    <row r="68" ht="15.1" customHeight="1">
      <c r="A68" t="s" s="163">
        <v>3302</v>
      </c>
      <c r="B68" s="224">
        <f>GETPIVOTDATA("Sum of Total Line Item $",'January 2024'!R465,"Line Item Name","CC-CH-35-EXT")</f>
        <v>699.972</v>
      </c>
      <c r="C68" s="225">
        <f>GETPIVOTDATA("Sum of Total Line Item $",'February 2024'!R572,"Line Item Name","CC-CH-35-EXT")</f>
        <v>5624.775</v>
      </c>
      <c r="D68" s="225">
        <f>GETPIVOTDATA("Sum of Total Line Item $",'March 2024'!R573,"Line Item Name","CC-CH-35-EXT")</f>
        <v>249.99</v>
      </c>
      <c r="E68" s="225">
        <f>GETPIVOTDATA("Sum of Total Line Item $",'April 2024'!R692,"Line Item Name","CC-CH-35-EXT")</f>
        <v>499.98</v>
      </c>
      <c r="F68" s="225">
        <f>GETPIVOTDATA("Sum of Total Line Item $",'May 2024'!R1387,"Line Item Name","CC-CH-35-EXT")</f>
        <v>4800</v>
      </c>
      <c r="G68" s="225">
        <v>0</v>
      </c>
      <c r="H68" s="225">
        <f t="shared" si="262"/>
        <v>0</v>
      </c>
      <c r="I68" s="225">
        <f t="shared" si="262"/>
        <v>0</v>
      </c>
      <c r="J68" s="225">
        <v>0</v>
      </c>
      <c r="K68" s="225"/>
      <c r="L68" s="225"/>
      <c r="M68" s="225"/>
      <c r="N68" s="231">
        <f>SUM(B68:M68)</f>
        <v>11874.717</v>
      </c>
    </row>
    <row r="69" ht="15.1" customHeight="1">
      <c r="A69" t="s" s="163">
        <v>3303</v>
      </c>
      <c r="B69" s="224">
        <f>GETPIVOTDATA("Sum of Total Line Item $",'January 2024'!R465,"Line Item Name","CC-CH-50-STD")</f>
        <v>1199.96</v>
      </c>
      <c r="C69" s="225">
        <f>GETPIVOTDATA("Sum of Total Line Item $",'February 2024'!R572,"Line Item Name","CC-CH-50-STD")</f>
        <v>4249.905</v>
      </c>
      <c r="D69" s="225">
        <f>GETPIVOTDATA("Sum of Total Line Item $",'March 2024'!R573,"Line Item Name","CC-CH-50-STD")</f>
        <v>3549.895</v>
      </c>
      <c r="E69" s="225">
        <f>GETPIVOTDATA("Sum of Total Line Item $",'April 2024'!R692,"Line Item Name","CC-CH-50-STD")</f>
        <v>749.975</v>
      </c>
      <c r="F69" s="225">
        <f>GETPIVOTDATA("Sum of Total Line Item $",'May 2024'!R1387,"Line Item Name","CC-CH-50-STD")+GETPIVOTDATA("Sum of Total Line Item $",'May 2024'!R1387,"Line Item Name","50FT CO2 HOSE - 3/8" (BSPP x JIC #6)")</f>
        <v>2699.91</v>
      </c>
      <c r="G69" s="225">
        <f>GETPIVOTDATA("Sum of Total Line Item $",'June 2024'!R658,"Line Item Name","CC-CH-50-STD")</f>
        <v>3824.96</v>
      </c>
      <c r="H69" s="225">
        <f>GETPIVOTDATA("Sum of Total Line Item $",'July 2024'!Q1204,"Line Item Name","CC-CH-50-STD")</f>
        <v>4484.8505</v>
      </c>
      <c r="I69" s="225">
        <f>GETPIVOTDATA("Sum of Total Line Item $",'August 2024'!S811,"Line Item Name","CC-CH-50-STD")</f>
        <v>2672.4325</v>
      </c>
      <c r="J69" s="225">
        <f>GETPIVOTDATA("Sum of Total Line Item $",'September 2024'!S793,"Line Item Name","CC-CH-50-STD")</f>
        <v>600</v>
      </c>
      <c r="K69" s="225"/>
      <c r="L69" s="225"/>
      <c r="M69" s="225"/>
      <c r="N69" s="231">
        <f>SUM(B69:M69)</f>
        <v>24031.888</v>
      </c>
    </row>
    <row r="70" ht="15.1" customHeight="1">
      <c r="A70" t="s" s="163">
        <v>3304</v>
      </c>
      <c r="B70" s="224">
        <v>0</v>
      </c>
      <c r="C70" s="225">
        <f>GETPIVOTDATA("Sum of Total Line Item $",'February 2024'!R572,"Line Item Name","CC-CH-50-EXT")</f>
        <v>2024.9325</v>
      </c>
      <c r="D70" s="225">
        <f>GETPIVOTDATA("Sum of Total Line Item $",'March 2024'!R573,"Line Item Name","CC-CH-50-EXT")</f>
        <v>262.5</v>
      </c>
      <c r="E70" s="225">
        <v>0</v>
      </c>
      <c r="F70" s="225">
        <v>0</v>
      </c>
      <c r="G70" s="225">
        <v>0</v>
      </c>
      <c r="H70" s="225">
        <f>GETPIVOTDATA("Sum of Total Line Item $",'July 2024'!Q1204,"Line Item Name","CC-CH-50-EXT")</f>
        <v>224.9925</v>
      </c>
      <c r="I70" s="225">
        <v>0</v>
      </c>
      <c r="J70" s="225">
        <v>0</v>
      </c>
      <c r="K70" s="225"/>
      <c r="L70" s="225"/>
      <c r="M70" s="225"/>
      <c r="N70" s="231">
        <f>SUM(B70:M70)</f>
        <v>2512.425</v>
      </c>
    </row>
    <row r="71" ht="15.1" customHeight="1">
      <c r="A71" t="s" s="163">
        <v>3305</v>
      </c>
      <c r="B71" s="224">
        <f>GETPIVOTDATA("Sum of Total Line Item $",'January 2024'!R465,"Line Item Name","100FT CO2 HOSE - 3/8" (BSPP x JIC #6)")</f>
        <v>1649.97</v>
      </c>
      <c r="C71" s="225">
        <f>GETPIVOTDATA("Sum of Total Line Item $",'February 2024'!R572,"Line Item Name","CC-CH-100-STD")</f>
        <v>2056.23</v>
      </c>
      <c r="D71" s="225">
        <v>0</v>
      </c>
      <c r="E71" s="225">
        <v>0</v>
      </c>
      <c r="F71" s="225">
        <f>GETPIVOTDATA("Sum of Total Line Item $",'May 2024'!R1387,"Line Item Name","100FT CO2 Hose - 1/4" ID (JIC #6 x JIC #6)")</f>
        <v>374.9925</v>
      </c>
      <c r="G71" s="225">
        <v>0</v>
      </c>
      <c r="H71" s="225">
        <f>GETPIVOTDATA("Sum of Total Line Item $",'July 2024'!Q1204,"Line Item Name","CC-CH-100-STD")</f>
        <v>850</v>
      </c>
      <c r="I71" s="225">
        <f>GETPIVOTDATA("Sum of Total Line Item $",'August 2024'!S811,"Line Item Name","CC-CH-100-STD")</f>
        <v>3959.928</v>
      </c>
      <c r="J71" s="225">
        <v>0</v>
      </c>
      <c r="K71" s="225"/>
      <c r="L71" s="225"/>
      <c r="M71" s="225"/>
      <c r="N71" s="231">
        <f>SUM(B71:M71)</f>
        <v>8891.120500000001</v>
      </c>
    </row>
    <row r="72" ht="15.1" customHeight="1">
      <c r="A72" t="s" s="163">
        <v>3306</v>
      </c>
      <c r="B72" s="224">
        <v>0</v>
      </c>
      <c r="C72" s="225">
        <v>0</v>
      </c>
      <c r="D72" s="225">
        <f>GETPIVOTDATA("Sum of Total Line Item $",'March 2024'!R573,"Line Item Name","CC-CH-XX-EXT")+GETPIVOTDATA("Sum of Total Line Item $",'March 2024'!R573,"Line Item Name","CC-CH-10-STD")</f>
        <v>629.9400000000001</v>
      </c>
      <c r="E72" s="225">
        <f>SUM('April 2024'!S754:S755)</f>
        <v>7847.175</v>
      </c>
      <c r="F72" s="225">
        <f>SUM('May 2024'!S1443:S1444)</f>
        <v>704.985</v>
      </c>
      <c r="G72" s="225">
        <f>GETPIVOTDATA("Sum of Total Line Item $",'June 2024'!R658,"Line Item Name","CC-CH-XX-STD")</f>
        <v>1327.44</v>
      </c>
      <c r="H72" s="225">
        <f>GETPIVOTDATA("Sum of Total Line Item $",'July 2024'!Q1204,"Line Item Name","CC-CH-XX-STD")</f>
        <v>1454.9775</v>
      </c>
      <c r="I72" s="225">
        <f>SUM('August 2024'!T861:T862)</f>
        <v>453.215</v>
      </c>
      <c r="J72" s="225">
        <f>GETPIVOTDATA("Sum of Total Line Item $",'September 2024'!S793,"Line Item Name","CC-CH-XX-EXT")</f>
        <v>749.98</v>
      </c>
      <c r="K72" s="225"/>
      <c r="L72" s="225"/>
      <c r="M72" s="225"/>
      <c r="N72" s="231">
        <f>SUM(B72:M72)</f>
        <v>13167.7125</v>
      </c>
    </row>
    <row r="73" ht="15.1" customHeight="1">
      <c r="A73" t="s" s="288">
        <v>3237</v>
      </c>
      <c r="B73" s="230">
        <f>SUM(B51:B72)</f>
        <v>9129.536</v>
      </c>
      <c r="C73" s="231">
        <f>SUM(C51:C72)</f>
        <v>19861.665</v>
      </c>
      <c r="D73" s="231">
        <f>SUM(D51:D72)</f>
        <v>20468.675</v>
      </c>
      <c r="E73" s="231">
        <f>SUM(E51:E72)</f>
        <v>17424.205</v>
      </c>
      <c r="F73" s="231">
        <f>SUM(F51:F72)</f>
        <v>15361.8615</v>
      </c>
      <c r="G73" s="231">
        <f>SUM(G51:G72)</f>
        <v>10529.3775</v>
      </c>
      <c r="H73" s="231">
        <f>SUM(H51:H72)</f>
        <v>13844.4945</v>
      </c>
      <c r="I73" s="231">
        <f>SUM(I51:I72)</f>
        <v>16907.4565</v>
      </c>
      <c r="J73" s="231">
        <f>SUM(J51:J72)</f>
        <v>12468.926</v>
      </c>
      <c r="K73" s="231">
        <f>SUM(K51:K72)</f>
        <v>0</v>
      </c>
      <c r="L73" s="231">
        <f>SUM(L51:L72)</f>
        <v>0</v>
      </c>
      <c r="M73" s="231">
        <f>SUM(M51:M72)</f>
        <v>0</v>
      </c>
      <c r="N73" s="231">
        <f>SUM(N51:N72)</f>
        <v>135996.197</v>
      </c>
    </row>
    <row r="74" ht="15.1" customHeight="1">
      <c r="A74" s="247"/>
      <c r="B74" s="234"/>
      <c r="C74" s="235"/>
      <c r="D74" s="235"/>
      <c r="E74" s="235"/>
      <c r="F74" s="235"/>
      <c r="G74" s="235"/>
      <c r="H74" s="235"/>
      <c r="I74" s="235"/>
      <c r="J74" s="235"/>
      <c r="K74" s="235"/>
      <c r="L74" s="235"/>
      <c r="M74" s="235"/>
      <c r="N74" s="235"/>
    </row>
    <row r="75" ht="15.1" customHeight="1">
      <c r="A75" t="s" s="241">
        <v>3272</v>
      </c>
      <c r="B75" t="s" s="237">
        <v>3320</v>
      </c>
      <c r="C75" s="215"/>
      <c r="D75" t="s" s="238">
        <v>3274</v>
      </c>
      <c r="E75" t="s" s="238">
        <v>3275</v>
      </c>
      <c r="F75" t="s" s="238">
        <v>3321</v>
      </c>
      <c r="G75" t="s" s="238">
        <v>3277</v>
      </c>
      <c r="H75" s="215"/>
      <c r="I75" t="s" s="239">
        <v>3278</v>
      </c>
      <c r="J75" t="s" s="239">
        <v>3322</v>
      </c>
      <c r="K75" s="289"/>
      <c r="L75" s="166"/>
      <c r="M75" s="166"/>
      <c r="N75" s="166"/>
    </row>
    <row r="76" ht="15.1" customHeight="1">
      <c r="A76" t="s" s="241">
        <v>3285</v>
      </c>
      <c r="B76" s="213">
        <f>N51/N73</f>
        <v>0.0148143113148965</v>
      </c>
      <c r="C76" s="189"/>
      <c r="D76" s="242">
        <v>21.9</v>
      </c>
      <c r="E76" s="242">
        <f>N51/N3</f>
        <v>59.2555882352941</v>
      </c>
      <c r="F76" s="242">
        <f>IF((E76-D76)&lt;0,0,E76-D76)</f>
        <v>37.3555882352941</v>
      </c>
      <c r="G76" s="242">
        <f>F76*N3</f>
        <v>1270.09</v>
      </c>
      <c r="H76" s="166"/>
      <c r="I76" t="s" s="239">
        <v>3285</v>
      </c>
      <c r="J76" s="243">
        <f>G76/G98</f>
        <v>0.0353213574976964</v>
      </c>
      <c r="K76" s="166"/>
      <c r="L76" s="166"/>
      <c r="M76" s="166"/>
      <c r="N76" s="166"/>
    </row>
    <row r="77" ht="15.1" customHeight="1">
      <c r="A77" t="s" s="241">
        <v>3312</v>
      </c>
      <c r="B77" s="213">
        <f>N52/N73</f>
        <v>0.06982700773610601</v>
      </c>
      <c r="C77" s="189"/>
      <c r="D77" s="242">
        <v>23.78</v>
      </c>
      <c r="E77" s="242">
        <f>N52/N4</f>
        <v>60.873125</v>
      </c>
      <c r="F77" s="242">
        <f>IF((E77-D77)&lt;0,0,E77-D77)</f>
        <v>37.093125</v>
      </c>
      <c r="G77" s="242">
        <f>F77*N4</f>
        <v>5786.5275</v>
      </c>
      <c r="H77" s="166"/>
      <c r="I77" t="s" s="239">
        <v>3312</v>
      </c>
      <c r="J77" s="243">
        <f>G77/$G$98</f>
        <v>0.160924034121796</v>
      </c>
      <c r="K77" s="166"/>
      <c r="L77" s="166"/>
      <c r="M77" s="166"/>
      <c r="N77" s="166"/>
    </row>
    <row r="78" ht="15.1" customHeight="1">
      <c r="A78" t="s" s="241">
        <v>3287</v>
      </c>
      <c r="B78" s="213">
        <f>N53/N73</f>
        <v>0.0322393573990896</v>
      </c>
      <c r="C78" s="189"/>
      <c r="D78" s="242">
        <v>25.45</v>
      </c>
      <c r="E78" s="242">
        <f>_xlfn.IFERROR(N53/N5,0)</f>
        <v>65.4392537313433</v>
      </c>
      <c r="F78" s="242">
        <f>IF((E78-D78)&lt;0,0,E78-D78)</f>
        <v>39.9892537313433</v>
      </c>
      <c r="G78" s="242">
        <f>F78*N5</f>
        <v>2679.28</v>
      </c>
      <c r="H78" s="166"/>
      <c r="I78" t="s" s="239">
        <v>3287</v>
      </c>
      <c r="J78" s="243">
        <f>G78/$G$98</f>
        <v>0.0745111029269013</v>
      </c>
      <c r="K78" s="166"/>
      <c r="L78" s="166"/>
      <c r="M78" s="166"/>
      <c r="N78" s="166"/>
    </row>
    <row r="79" ht="15.1" customHeight="1">
      <c r="A79" t="s" s="241">
        <v>3288</v>
      </c>
      <c r="B79" s="213">
        <f>N54/N73</f>
        <v>0.0151462323611887</v>
      </c>
      <c r="C79" s="189"/>
      <c r="D79" s="242">
        <v>31.12</v>
      </c>
      <c r="E79" s="242">
        <f>_xlfn.IFERROR(N54/N6,0)</f>
        <v>89.5578260869565</v>
      </c>
      <c r="F79" s="242">
        <f>IF((E79-D79)&lt;0,0,E79-D79)</f>
        <v>58.4378260869565</v>
      </c>
      <c r="G79" s="242">
        <f>F79*N6</f>
        <v>1344.07</v>
      </c>
      <c r="H79" s="166"/>
      <c r="I79" t="s" s="239">
        <v>3288</v>
      </c>
      <c r="J79" s="243">
        <f>G79/$G$98</f>
        <v>0.0373787503026784</v>
      </c>
      <c r="K79" s="166"/>
      <c r="L79" s="166"/>
      <c r="M79" s="166"/>
      <c r="N79" s="166"/>
    </row>
    <row r="80" ht="15.1" customHeight="1">
      <c r="A80" t="s" s="241">
        <v>3289</v>
      </c>
      <c r="B80" s="213">
        <f>N55/N73</f>
        <v>0.00367620573978256</v>
      </c>
      <c r="C80" s="189"/>
      <c r="D80" s="242">
        <v>29.14</v>
      </c>
      <c r="E80" s="242">
        <f>N55/N7</f>
        <v>99.98999999999999</v>
      </c>
      <c r="F80" s="242">
        <f>IF((E80-D80)&lt;0,0,E80-D80)</f>
        <v>70.84999999999999</v>
      </c>
      <c r="G80" s="242">
        <f>F80*N7</f>
        <v>354.25</v>
      </c>
      <c r="H80" s="166"/>
      <c r="I80" t="s" s="239">
        <v>3289</v>
      </c>
      <c r="J80" s="243">
        <f>G80/$G$98</f>
        <v>0.009851735619963119</v>
      </c>
      <c r="K80" s="166"/>
      <c r="L80" s="166"/>
      <c r="M80" s="166"/>
      <c r="N80" s="166"/>
    </row>
    <row r="81" ht="15.1" customHeight="1">
      <c r="A81" t="s" s="241">
        <v>3290</v>
      </c>
      <c r="B81" s="213">
        <f>N56/N73</f>
        <v>0.0012866720089239</v>
      </c>
      <c r="C81" s="189"/>
      <c r="D81" s="242">
        <v>25.11</v>
      </c>
      <c r="E81" s="242">
        <f>_xlfn.IFERROR(N56/N8,0)</f>
        <v>87.49124999999999</v>
      </c>
      <c r="F81" s="242">
        <f>IF((E81-D81)&lt;0,0,E81-D81)</f>
        <v>62.38125</v>
      </c>
      <c r="G81" s="242">
        <f>F81*N8</f>
        <v>124.7625</v>
      </c>
      <c r="H81" s="166"/>
      <c r="I81" t="s" s="239">
        <v>3290</v>
      </c>
      <c r="J81" s="243">
        <f>G81/$G$98</f>
        <v>0.00346966031132152</v>
      </c>
      <c r="K81" s="166"/>
      <c r="L81" s="166"/>
      <c r="M81" s="166"/>
      <c r="N81" s="166"/>
    </row>
    <row r="82" ht="15.1" customHeight="1">
      <c r="A82" t="s" s="241">
        <v>3291</v>
      </c>
      <c r="B82" s="213">
        <f>N57/N73</f>
        <v>0.0341338405220258</v>
      </c>
      <c r="C82" s="189"/>
      <c r="D82" s="242">
        <v>33.43</v>
      </c>
      <c r="E82" s="242">
        <f>N57/N9</f>
        <v>19.182117768595</v>
      </c>
      <c r="F82" s="242">
        <f>E82-D82</f>
        <v>-14.247882231405</v>
      </c>
      <c r="G82" s="242">
        <f>F82*N9</f>
        <v>-3447.987500000010</v>
      </c>
      <c r="H82" s="166"/>
      <c r="I82" t="s" s="239">
        <v>3291</v>
      </c>
      <c r="J82" s="243">
        <f>G82/$G$98</f>
        <v>-0.0958889520703957</v>
      </c>
      <c r="K82" s="166"/>
      <c r="L82" s="166"/>
      <c r="M82" s="166"/>
      <c r="N82" s="166"/>
    </row>
    <row r="83" ht="15.1" customHeight="1">
      <c r="A83" t="s" s="241">
        <v>3292</v>
      </c>
      <c r="B83" s="213">
        <f>N58/N73</f>
        <v>0.024869757938893</v>
      </c>
      <c r="C83" s="189"/>
      <c r="D83" s="242">
        <v>34.34</v>
      </c>
      <c r="E83" s="242">
        <f>N58/N10</f>
        <v>93.9497916666667</v>
      </c>
      <c r="F83" s="242">
        <f>E83-D83</f>
        <v>59.6097916666667</v>
      </c>
      <c r="G83" s="242">
        <f>F83*N10</f>
        <v>2145.9525</v>
      </c>
      <c r="H83" s="166"/>
      <c r="I83" t="s" s="239">
        <v>3292</v>
      </c>
      <c r="J83" s="243">
        <f>G83/$G$98</f>
        <v>0.0596792002342947</v>
      </c>
      <c r="K83" s="166"/>
      <c r="L83" s="166"/>
      <c r="M83" s="166"/>
      <c r="N83" s="166"/>
    </row>
    <row r="84" ht="15.1" customHeight="1">
      <c r="A84" t="s" s="241">
        <v>3293</v>
      </c>
      <c r="B84" s="213">
        <f>N59/N73</f>
        <v>0.00299613157564987</v>
      </c>
      <c r="C84" s="189"/>
      <c r="D84" s="242">
        <v>33.47</v>
      </c>
      <c r="E84" s="242">
        <f>_xlfn.IFERROR(N59/N11,0)</f>
        <v>101.865625</v>
      </c>
      <c r="F84" s="242">
        <f>IF((E84-D84)&lt;0,0,E84-D84)</f>
        <v>68.395625</v>
      </c>
      <c r="G84" s="242">
        <f>F84*N11</f>
        <v>273.5825</v>
      </c>
      <c r="H84" s="166"/>
      <c r="I84" t="s" s="239">
        <v>3293</v>
      </c>
      <c r="J84" s="243">
        <f>G84/$G$98</f>
        <v>0.00760836262596629</v>
      </c>
      <c r="K84" s="166"/>
      <c r="L84" s="166"/>
      <c r="M84" s="166"/>
      <c r="N84" s="166"/>
    </row>
    <row r="85" ht="15.1" customHeight="1">
      <c r="A85" t="s" s="241">
        <v>3294</v>
      </c>
      <c r="B85" s="213">
        <f>N60/N73</f>
        <v>0.09358093667869261</v>
      </c>
      <c r="C85" s="189"/>
      <c r="D85" s="242">
        <v>45.38</v>
      </c>
      <c r="E85" s="242">
        <f>N60/N12</f>
        <v>23.3516541284404</v>
      </c>
      <c r="F85" s="242">
        <f>E85-D85</f>
        <v>-22.0283458715596</v>
      </c>
      <c r="G85" s="242">
        <f>F85*N12</f>
        <v>-12005.4485</v>
      </c>
      <c r="H85" s="166"/>
      <c r="I85" t="s" s="239">
        <v>3294</v>
      </c>
      <c r="J85" s="243">
        <f>G85/$G$98</f>
        <v>-0.333872984110325</v>
      </c>
      <c r="K85" s="166"/>
      <c r="L85" s="166"/>
      <c r="M85" s="166"/>
      <c r="N85" s="166"/>
    </row>
    <row r="86" ht="15.1" customHeight="1">
      <c r="A86" t="s" s="241">
        <v>3295</v>
      </c>
      <c r="B86" s="213">
        <f>N61/N73</f>
        <v>0.0204955547396667</v>
      </c>
      <c r="C86" s="189"/>
      <c r="D86" s="242">
        <v>46.29</v>
      </c>
      <c r="E86" s="242">
        <f>_xlfn.IFERROR(N61/N13,0)</f>
        <v>89.91346774193551</v>
      </c>
      <c r="F86" s="242">
        <f>IF((E86-D86)&lt;0,0,E86-D86)</f>
        <v>43.6234677419355</v>
      </c>
      <c r="G86" s="242">
        <f>F86*N13</f>
        <v>1352.3275</v>
      </c>
      <c r="H86" s="166"/>
      <c r="I86" t="s" s="239">
        <v>3295</v>
      </c>
      <c r="J86" s="243">
        <f>G86/$G$98</f>
        <v>0.0376083923827965</v>
      </c>
      <c r="K86" s="166"/>
      <c r="L86" s="166"/>
      <c r="M86" s="166"/>
      <c r="N86" s="166"/>
    </row>
    <row r="87" ht="15.1" customHeight="1">
      <c r="A87" t="s" s="241">
        <v>3296</v>
      </c>
      <c r="B87" s="213">
        <f>N62/N73</f>
        <v>0.0327009401593781</v>
      </c>
      <c r="C87" s="189"/>
      <c r="D87" s="242">
        <v>45.42</v>
      </c>
      <c r="E87" s="242">
        <f>N62/N14</f>
        <v>16.9095190114068</v>
      </c>
      <c r="F87" s="242">
        <f>IF((E87-D87)&lt;0,0,E87-D87)</f>
        <v>0</v>
      </c>
      <c r="G87" s="242">
        <f>F87*N14</f>
        <v>0</v>
      </c>
      <c r="H87" s="166"/>
      <c r="I87" t="s" s="239">
        <v>3296</v>
      </c>
      <c r="J87" s="243">
        <f>G87/$G$98</f>
        <v>0</v>
      </c>
      <c r="K87" s="166"/>
      <c r="L87" s="166"/>
      <c r="M87" s="166"/>
      <c r="N87" s="166"/>
    </row>
    <row r="88" ht="15.1" customHeight="1">
      <c r="A88" t="s" s="241">
        <v>3297</v>
      </c>
      <c r="B88" s="213">
        <f>N63/N73</f>
        <v>0.114494205304873</v>
      </c>
      <c r="C88" s="189"/>
      <c r="D88" s="242">
        <v>60.23</v>
      </c>
      <c r="E88" s="242">
        <f>N63/N15</f>
        <v>112.831713768116</v>
      </c>
      <c r="F88" s="242">
        <f>IF((E88-D88)&lt;0,0,E88-D88)</f>
        <v>52.601713768116</v>
      </c>
      <c r="G88" s="242">
        <f>F88*N15</f>
        <v>7259.036500000010</v>
      </c>
      <c r="H88" s="166"/>
      <c r="I88" t="s" s="239">
        <v>3297</v>
      </c>
      <c r="J88" s="243">
        <f>G88/$G$98</f>
        <v>0.201874688648306</v>
      </c>
      <c r="K88" s="166"/>
      <c r="L88" s="166"/>
      <c r="M88" s="166"/>
      <c r="N88" s="166"/>
    </row>
    <row r="89" ht="15.1" customHeight="1">
      <c r="A89" t="s" s="241">
        <v>3298</v>
      </c>
      <c r="B89" s="213">
        <f>N64/N73</f>
        <v>0.00147055582738097</v>
      </c>
      <c r="C89" s="189"/>
      <c r="D89" s="242">
        <v>61.56</v>
      </c>
      <c r="E89" s="242">
        <f>_xlfn.IFERROR(N64/N16,0)</f>
        <v>199.99</v>
      </c>
      <c r="F89" s="242">
        <f>IF((E89-D89)&lt;0,0,E89-D89)</f>
        <v>138.43</v>
      </c>
      <c r="G89" s="242">
        <f>F89*N16</f>
        <v>138.43</v>
      </c>
      <c r="H89" s="166"/>
      <c r="I89" t="s" s="239">
        <v>3298</v>
      </c>
      <c r="J89" s="243">
        <f>G89/$G$98</f>
        <v>0.00384975514995482</v>
      </c>
      <c r="K89" s="166"/>
      <c r="L89" s="166"/>
      <c r="M89" s="166"/>
      <c r="N89" s="166"/>
    </row>
    <row r="90" ht="15.1" customHeight="1">
      <c r="A90" t="s" s="241">
        <v>3299</v>
      </c>
      <c r="B90" s="213">
        <f>N65/N73</f>
        <v>0.0283085305686894</v>
      </c>
      <c r="C90" s="189"/>
      <c r="D90" s="242">
        <v>60.69</v>
      </c>
      <c r="E90" s="242">
        <f>N65/N17</f>
        <v>98.7141666666667</v>
      </c>
      <c r="F90" s="242">
        <f>IF((E90-D90)&lt;0,0,E90-D90)</f>
        <v>38.0241666666667</v>
      </c>
      <c r="G90" s="242">
        <f>F90*N17</f>
        <v>1482.9425</v>
      </c>
      <c r="H90" s="166"/>
      <c r="I90" t="s" s="239">
        <v>3299</v>
      </c>
      <c r="J90" s="243">
        <f>G90/$G$98</f>
        <v>0.0412408114314951</v>
      </c>
      <c r="K90" s="166"/>
      <c r="L90" s="166"/>
      <c r="M90" s="166"/>
      <c r="N90" s="166"/>
    </row>
    <row r="91" ht="15.1" customHeight="1">
      <c r="A91" t="s" s="241">
        <v>3300</v>
      </c>
      <c r="B91" s="213">
        <f>N66/N73</f>
        <v>0.0551469832645394</v>
      </c>
      <c r="C91" s="189"/>
      <c r="D91" s="242">
        <v>80.09999999999999</v>
      </c>
      <c r="E91" s="242">
        <f>N66/N18</f>
        <v>141.505283018868</v>
      </c>
      <c r="F91" s="242">
        <f>IF((E91-D91)&lt;0,0,E91-D91)</f>
        <v>61.405283018868</v>
      </c>
      <c r="G91" s="242">
        <f>F91*N18</f>
        <v>3254.48</v>
      </c>
      <c r="H91" s="166"/>
      <c r="I91" t="s" s="239">
        <v>3300</v>
      </c>
      <c r="J91" s="243">
        <f>G91/$G$98</f>
        <v>0.0905074849413058</v>
      </c>
      <c r="K91" s="166"/>
      <c r="L91" s="166"/>
      <c r="M91" s="166"/>
      <c r="N91" s="166"/>
    </row>
    <row r="92" ht="15.1" customHeight="1">
      <c r="A92" t="s" s="241">
        <v>3301</v>
      </c>
      <c r="B92" s="213">
        <f>N67/N73</f>
        <v>0.0101101724190126</v>
      </c>
      <c r="C92" s="189"/>
      <c r="D92" s="242">
        <v>81.01000000000001</v>
      </c>
      <c r="E92" s="242">
        <f>_xlfn.IFERROR(N67/N19,0)</f>
        <v>229.1575</v>
      </c>
      <c r="F92" s="242">
        <f>IF((E92-D92)&lt;0,0,E92-D92)</f>
        <v>148.1475</v>
      </c>
      <c r="G92" s="242">
        <f>F92*N19</f>
        <v>888.885</v>
      </c>
      <c r="H92" s="166"/>
      <c r="I92" t="s" s="239">
        <v>3301</v>
      </c>
      <c r="J92" s="243">
        <f>G92/$G$98</f>
        <v>0.024720000046721</v>
      </c>
      <c r="K92" s="166"/>
      <c r="L92" s="166"/>
      <c r="M92" s="166"/>
      <c r="N92" s="166"/>
    </row>
    <row r="93" ht="15.1" customHeight="1">
      <c r="A93" t="s" s="241">
        <v>3302</v>
      </c>
      <c r="B93" s="213">
        <f>N68/N73</f>
        <v>0.0873165372411112</v>
      </c>
      <c r="C93" s="189"/>
      <c r="D93" s="242">
        <v>80.14</v>
      </c>
      <c r="E93" s="242">
        <f>N68/N20</f>
        <v>118.74717</v>
      </c>
      <c r="F93" s="242">
        <f>IF((E93-D93)&lt;0,0,E93-D93)</f>
        <v>38.60717</v>
      </c>
      <c r="G93" s="242">
        <f>F93*N20</f>
        <v>3860.717</v>
      </c>
      <c r="H93" s="166"/>
      <c r="I93" t="s" s="239">
        <v>3302</v>
      </c>
      <c r="J93" s="243">
        <f>G93/$G$98</f>
        <v>0.107367009703591</v>
      </c>
      <c r="K93" s="166"/>
      <c r="L93" s="166"/>
      <c r="M93" s="166"/>
      <c r="N93" s="166"/>
    </row>
    <row r="94" ht="15.1" customHeight="1">
      <c r="A94" t="s" s="241">
        <v>3303</v>
      </c>
      <c r="B94" s="213">
        <f>N69/N73</f>
        <v>0.176710000206844</v>
      </c>
      <c r="C94" s="189"/>
      <c r="D94" s="242">
        <v>104.58</v>
      </c>
      <c r="E94" s="242">
        <f>N69/N21</f>
        <v>218.471709090909</v>
      </c>
      <c r="F94" s="242">
        <f>IF((E94-D94)&lt;0,0,E94-D94)</f>
        <v>113.891709090909</v>
      </c>
      <c r="G94" s="242">
        <f>F94*N21</f>
        <v>12528.088</v>
      </c>
      <c r="H94" s="166"/>
      <c r="I94" t="s" s="239">
        <v>3303</v>
      </c>
      <c r="J94" s="243">
        <f>G94/$G$98</f>
        <v>0.348407652221969</v>
      </c>
      <c r="K94" s="166"/>
      <c r="L94" s="166"/>
      <c r="M94" s="166"/>
      <c r="N94" s="166"/>
    </row>
    <row r="95" ht="15.1" customHeight="1">
      <c r="A95" t="s" s="241">
        <v>3304</v>
      </c>
      <c r="B95" s="213">
        <f>N70/N73</f>
        <v>0.0184742298345299</v>
      </c>
      <c r="C95" s="189"/>
      <c r="D95" s="242">
        <v>104.62</v>
      </c>
      <c r="E95" s="242">
        <f>_xlfn.IFERROR(N70/N22,0)</f>
        <v>251.2425</v>
      </c>
      <c r="F95" s="242">
        <f>IF((E95-D95)&lt;0,0,E95-D95)</f>
        <v>146.6225</v>
      </c>
      <c r="G95" s="242">
        <f>F95*N22</f>
        <v>1466.225</v>
      </c>
      <c r="H95" s="166"/>
      <c r="I95" t="s" s="239">
        <v>3304</v>
      </c>
      <c r="J95" s="243">
        <f>G95/$G$98</f>
        <v>0.0407758957216102</v>
      </c>
      <c r="K95" s="166"/>
      <c r="L95" s="166"/>
      <c r="M95" s="166"/>
      <c r="N95" s="166"/>
    </row>
    <row r="96" ht="15.1" customHeight="1">
      <c r="A96" t="s" s="241">
        <v>3305</v>
      </c>
      <c r="B96" s="213">
        <f>N71/N73</f>
        <v>0.065377714201817</v>
      </c>
      <c r="C96" s="189"/>
      <c r="D96" s="242">
        <v>184.46</v>
      </c>
      <c r="E96" s="242">
        <f>N71/N23</f>
        <v>444.556025</v>
      </c>
      <c r="F96" s="242">
        <f>IF((E96-D96)&lt;0,0,E96-D96)</f>
        <v>260.096025</v>
      </c>
      <c r="G96" s="242">
        <f>F96*N23</f>
        <v>5201.9205</v>
      </c>
      <c r="H96" s="166"/>
      <c r="I96" t="s" s="239">
        <v>3305</v>
      </c>
      <c r="J96" s="243">
        <f>G96/$G$98</f>
        <v>0.144666042292354</v>
      </c>
      <c r="K96" s="166"/>
      <c r="L96" s="166"/>
      <c r="M96" s="166"/>
      <c r="N96" s="166"/>
    </row>
    <row r="97" ht="15.1" customHeight="1">
      <c r="A97" t="s" s="241">
        <v>3306</v>
      </c>
      <c r="B97" s="213">
        <f>N72/N73</f>
        <v>0.0968241229569089</v>
      </c>
      <c r="C97" s="189"/>
      <c r="D97" s="242"/>
      <c r="E97" s="242">
        <f>N72/N24</f>
        <v>180.379623287671</v>
      </c>
      <c r="F97" s="242">
        <f>_xlfn.IFERROR(G97/N24,0)</f>
        <v>0</v>
      </c>
      <c r="G97" s="242"/>
      <c r="H97" s="166"/>
      <c r="I97" t="s" s="239">
        <v>3306</v>
      </c>
      <c r="J97" s="243">
        <f>G97/$G$98</f>
        <v>0</v>
      </c>
      <c r="K97" s="166"/>
      <c r="L97" s="166"/>
      <c r="M97" s="166"/>
      <c r="N97" s="166"/>
    </row>
    <row r="98" ht="15.1" customHeight="1">
      <c r="A98" s="247"/>
      <c r="B98" s="213"/>
      <c r="C98" s="189"/>
      <c r="D98" s="242"/>
      <c r="E98" s="242"/>
      <c r="F98" s="242"/>
      <c r="G98" s="240">
        <f>SUM(G76:G97)</f>
        <v>35958.131</v>
      </c>
      <c r="H98" s="166"/>
      <c r="I98" s="246"/>
      <c r="J98" s="243"/>
      <c r="K98" s="166"/>
      <c r="L98" s="166"/>
      <c r="M98" s="166"/>
      <c r="N98" s="166"/>
    </row>
  </sheetData>
  <mergeCells count="24">
    <mergeCell ref="A1:N1"/>
    <mergeCell ref="F49:I49"/>
    <mergeCell ref="F26:I26"/>
    <mergeCell ref="C31:C33"/>
    <mergeCell ref="C34:C36"/>
    <mergeCell ref="C37:C39"/>
    <mergeCell ref="C40:C42"/>
    <mergeCell ref="C43:C45"/>
    <mergeCell ref="C46:C47"/>
    <mergeCell ref="C28:C30"/>
    <mergeCell ref="E28:E30"/>
    <mergeCell ref="E31:E33"/>
    <mergeCell ref="E34:E36"/>
    <mergeCell ref="E37:E39"/>
    <mergeCell ref="E40:E42"/>
    <mergeCell ref="E43:E45"/>
    <mergeCell ref="E46:E47"/>
    <mergeCell ref="F37:F39"/>
    <mergeCell ref="F34:F36"/>
    <mergeCell ref="F31:F33"/>
    <mergeCell ref="F28:F30"/>
    <mergeCell ref="F40:F42"/>
    <mergeCell ref="F43:F45"/>
    <mergeCell ref="F46:F4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2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290" customWidth="1"/>
    <col min="15" max="16384" width="16.3516" style="290" customWidth="1"/>
  </cols>
  <sheetData>
    <row r="1" ht="15.55" customHeight="1">
      <c r="A1" t="s" s="2">
        <v>3323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0">
        <v>3324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251">
        <v>3237</v>
      </c>
    </row>
    <row r="3" ht="15.1" customHeight="1">
      <c r="A3" t="s" s="157">
        <v>3325</v>
      </c>
      <c r="B3" s="158">
        <f>GETPIVOTDATA("Sum of Order Quantity",'January 2024'!P374,"Line Item Name","CC-TB-35")</f>
        <v>10</v>
      </c>
      <c r="C3" s="159">
        <f>GETPIVOTDATA("Sum of Order Quantity",'February 2024'!P465,"Line Item Name","CC-TB-35")</f>
        <v>16</v>
      </c>
      <c r="D3" s="159">
        <f>GETPIVOTDATA("Sum of Order Quantity",'March 2024'!P474,"Line Item Name","CC-TB-35")</f>
        <v>15</v>
      </c>
      <c r="E3" s="159">
        <f>GETPIVOTDATA("Sum of Order Quantity",'April 2024'!P568,"Line Item Name","CC-TB-35")</f>
        <v>17</v>
      </c>
      <c r="F3" s="159">
        <f>GETPIVOTDATA("Sum of Order Quantity",'May 2024'!P1279,"Line Item Name","CC-TB-35")</f>
        <v>23</v>
      </c>
      <c r="G3" s="159">
        <f>GETPIVOTDATA("Sum of Order Quantity",'June 2024'!P554,"Line Item Name","CC-TB-35")</f>
        <v>18</v>
      </c>
      <c r="H3" s="159">
        <f>GETPIVOTDATA("Sum of Order Quantity",'July 2024'!S1330,"Line Item Name","CC-TB-35")</f>
        <v>15</v>
      </c>
      <c r="I3" s="159">
        <f>GETPIVOTDATA("Sum of Order Quantity",'August 2024'!Q691,"Line Item Name","CC-TB-35")</f>
        <v>17</v>
      </c>
      <c r="J3" s="159">
        <f>GETPIVOTDATA("Sum of Order Quantity",'September 2024'!Q681,"Line Item Name","CC-TB-35")</f>
        <v>18</v>
      </c>
      <c r="K3" s="160"/>
      <c r="L3" s="160"/>
      <c r="M3" s="160"/>
      <c r="N3" s="252">
        <f>SUM(B3:M3)</f>
        <v>149</v>
      </c>
    </row>
    <row r="4" ht="15.1" customHeight="1">
      <c r="A4" t="s" s="163">
        <v>2525</v>
      </c>
      <c r="B4" s="164">
        <f>GETPIVOTDATA("Sum of Order Quantity",'January 2024'!P374,"Line Item Name","CC-SS-35")</f>
        <v>2</v>
      </c>
      <c r="C4" s="165">
        <f>GETPIVOTDATA("Sum of Order Quantity",'February 2024'!P465,"Line Item Name","CC-SS-35")</f>
        <v>6</v>
      </c>
      <c r="D4" s="165">
        <f>GETPIVOTDATA("Sum of Order Quantity",'March 2024'!P474,"Line Item Name","CC-SS-35")</f>
        <v>11</v>
      </c>
      <c r="E4" s="165">
        <f>GETPIVOTDATA("Sum of Order Quantity",'April 2024'!P568,"Line Item Name","CC-SS-35")</f>
        <v>5</v>
      </c>
      <c r="F4" s="165">
        <f>GETPIVOTDATA("Sum of Order Quantity",'May 2024'!P1279,"Line Item Name","CC-SS-35")</f>
        <v>5</v>
      </c>
      <c r="G4" s="165">
        <f>GETPIVOTDATA("Sum of Order Quantity",'June 2024'!P554,"Line Item Name","CC-SS-35")</f>
        <v>5</v>
      </c>
      <c r="H4" s="165">
        <f>GETPIVOTDATA("Sum of Order Quantity",'July 2024'!S1330,"Line Item Name","CC-SS-35")</f>
        <v>10</v>
      </c>
      <c r="I4" s="165">
        <f>GETPIVOTDATA("Sum of Order Quantity",'August 2024'!Q691,"Line Item Name","CC-SS-35")</f>
        <v>9</v>
      </c>
      <c r="J4" s="165">
        <f>GETPIVOTDATA("Sum of Order Quantity",'September 2024'!Q681,"Line Item Name","CC-SS-35")</f>
        <v>5</v>
      </c>
      <c r="K4" s="166"/>
      <c r="L4" s="166"/>
      <c r="M4" s="166"/>
      <c r="N4" s="253">
        <f>SUM(B4:M4)</f>
        <v>58</v>
      </c>
    </row>
    <row r="5" ht="15.1" customHeight="1">
      <c r="A5" t="s" s="163">
        <v>3326</v>
      </c>
      <c r="B5" s="164">
        <f t="shared" si="20" ref="B5:G5">0</f>
        <v>0</v>
      </c>
      <c r="C5" s="165">
        <v>0</v>
      </c>
      <c r="D5" s="165">
        <f>GETPIVOTDATA("Sum of Order Quantity",'March 2024'!P474,"Line Item Name","CC-SM-5")</f>
        <v>1</v>
      </c>
      <c r="E5" s="165">
        <f>GETPIVOTDATA("Sum of Order Quantity",'April 2024'!P568,"Line Item Name","CC-SM-5")</f>
        <v>4</v>
      </c>
      <c r="F5" s="165">
        <f>GETPIVOTDATA("Sum of Order Quantity",'May 2024'!P1279,"Line Item Name","CC-SM-5")</f>
        <v>6</v>
      </c>
      <c r="G5" s="165">
        <f t="shared" si="20"/>
        <v>0</v>
      </c>
      <c r="H5" s="165">
        <f>GETPIVOTDATA("Sum of Order Quantity",'July 2024'!S1330,"Line Item Name","CC-SM-5")</f>
        <v>1</v>
      </c>
      <c r="I5" s="165">
        <f>GETPIVOTDATA("Sum of Order Quantity",'August 2024'!Q691,"Line Item Name","CC-SM-5")</f>
        <v>6</v>
      </c>
      <c r="J5" s="165">
        <f>GETPIVOTDATA("Sum of Order Quantity",'September 2024'!Q681,"Line Item Name","CC-SM-5")</f>
        <v>5</v>
      </c>
      <c r="K5" s="166"/>
      <c r="L5" s="166"/>
      <c r="M5" s="166"/>
      <c r="N5" s="253">
        <f>SUM(B5:M5)</f>
        <v>23</v>
      </c>
    </row>
    <row r="6" ht="15.1" customHeight="1">
      <c r="A6" t="s" s="163">
        <v>3237</v>
      </c>
      <c r="B6" s="164">
        <f>SUM(B3:B5)</f>
        <v>12</v>
      </c>
      <c r="C6" s="165">
        <f>SUM(C3:C5)</f>
        <v>22</v>
      </c>
      <c r="D6" s="165">
        <f>SUM(D3:D5)</f>
        <v>27</v>
      </c>
      <c r="E6" s="165">
        <f>SUM(E3:E5)</f>
        <v>26</v>
      </c>
      <c r="F6" s="165">
        <f>SUM(F3:F5)</f>
        <v>34</v>
      </c>
      <c r="G6" s="165">
        <f>SUM(G3:G5)</f>
        <v>23</v>
      </c>
      <c r="H6" s="165">
        <f>SUM(H3:H5)</f>
        <v>26</v>
      </c>
      <c r="I6" s="165">
        <f>SUM(I3:I5)</f>
        <v>32</v>
      </c>
      <c r="J6" s="165">
        <f>SUM(J3:J5)</f>
        <v>28</v>
      </c>
      <c r="K6" s="165">
        <f>SUM(K3:K5)</f>
        <v>0</v>
      </c>
      <c r="L6" s="165">
        <f>SUM(L3:L5)</f>
        <v>0</v>
      </c>
      <c r="M6" s="165">
        <f>SUM(M3:M5)</f>
        <v>0</v>
      </c>
      <c r="N6" s="253">
        <f>SUM(N3:N5)</f>
        <v>230</v>
      </c>
    </row>
    <row r="7" ht="15.1" customHeight="1">
      <c r="A7" s="255"/>
      <c r="B7" s="172"/>
      <c r="C7" s="173"/>
      <c r="D7" s="173"/>
      <c r="E7" s="173"/>
      <c r="F7" t="s" s="174">
        <v>3266</v>
      </c>
      <c r="G7" s="16"/>
      <c r="H7" s="16"/>
      <c r="I7" s="16"/>
      <c r="J7" s="173"/>
      <c r="K7" s="173"/>
      <c r="L7" s="173"/>
      <c r="M7" s="173"/>
      <c r="N7" s="173"/>
    </row>
    <row r="8" ht="15.1" customHeight="1">
      <c r="A8" t="s" s="291">
        <v>3272</v>
      </c>
      <c r="B8" s="292">
        <f>N6</f>
        <v>230</v>
      </c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</row>
    <row r="9" ht="15.1" customHeight="1">
      <c r="A9" t="s" s="291">
        <v>3327</v>
      </c>
      <c r="B9" s="293">
        <f>N3/B8</f>
        <v>0.647826086956522</v>
      </c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</row>
    <row r="10" ht="15.1" customHeight="1">
      <c r="A10" t="s" s="291">
        <v>3328</v>
      </c>
      <c r="B10" s="293">
        <f>N4/B8</f>
        <v>0.252173913043478</v>
      </c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</row>
    <row r="11" ht="15.1" customHeight="1">
      <c r="A11" t="s" s="291">
        <v>3329</v>
      </c>
      <c r="B11" s="293">
        <f>N5/B8</f>
        <v>0.1</v>
      </c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</row>
    <row r="12" ht="17.25" customHeight="1">
      <c r="A12" s="247"/>
      <c r="B12" s="294"/>
      <c r="C12" s="215"/>
      <c r="D12" s="215"/>
      <c r="E12" s="215"/>
      <c r="F12" t="s" s="216">
        <v>3270</v>
      </c>
      <c r="G12" s="16"/>
      <c r="H12" s="16"/>
      <c r="I12" s="16"/>
      <c r="J12" s="215"/>
      <c r="K12" s="215"/>
      <c r="L12" s="215"/>
      <c r="M12" s="215"/>
      <c r="N12" s="215"/>
    </row>
    <row r="13" ht="15.1" customHeight="1">
      <c r="A13" s="286"/>
      <c r="B13" s="220">
        <v>45292</v>
      </c>
      <c r="C13" s="221">
        <v>45323</v>
      </c>
      <c r="D13" s="221">
        <v>45352</v>
      </c>
      <c r="E13" s="221">
        <v>45383</v>
      </c>
      <c r="F13" s="221">
        <v>45413</v>
      </c>
      <c r="G13" s="221">
        <v>45444</v>
      </c>
      <c r="H13" s="221">
        <v>45474</v>
      </c>
      <c r="I13" s="221">
        <v>45505</v>
      </c>
      <c r="J13" s="221">
        <v>45536</v>
      </c>
      <c r="K13" s="221">
        <v>45566</v>
      </c>
      <c r="L13" s="221">
        <v>45597</v>
      </c>
      <c r="M13" s="221">
        <v>45627</v>
      </c>
      <c r="N13" t="s" s="295">
        <v>3237</v>
      </c>
    </row>
    <row r="14" ht="15.1" customHeight="1">
      <c r="A14" t="s" s="288">
        <v>3325</v>
      </c>
      <c r="B14" s="224">
        <f>GETPIVOTDATA("Sum of Total Line Item $",'January 2024'!R465,"Line Item Name","CC-TB-35")</f>
        <v>3399.915</v>
      </c>
      <c r="C14" s="225">
        <f>GETPIVOTDATA("Sum of Total Line Item $",'February 2024'!R572,"Line Item Name","CC-TB-35")</f>
        <v>5829.8625</v>
      </c>
      <c r="D14" s="225">
        <f>GETPIVOTDATA("Sum of Total Line Item $",'March 2024'!R573,"Line Item Name","CC-TB-35")</f>
        <v>5799.855</v>
      </c>
      <c r="E14" s="225">
        <f>GETPIVOTDATA("Sum of Total Line Item $",'April 2024'!R692,"Line Item Name","CC-TB-35")</f>
        <v>6494.2775</v>
      </c>
      <c r="F14" s="296">
        <f>GETPIVOTDATA("Sum of Total Line Item $",'May 2024'!R1387,"Line Item Name","CC-TB-35")</f>
        <v>7999.8</v>
      </c>
      <c r="G14" s="225">
        <f>GETPIVOTDATA("Sum of Total Line Item $",'June 2024'!R658,"Line Item Name","CC-TB-35")</f>
        <v>6499.8375</v>
      </c>
      <c r="H14" s="225">
        <f>GETPIVOTDATA("Sum of Total Line Item $",'July 2024'!Q1204,"Line Item Name","CC-TB-35")</f>
        <v>4899.8775</v>
      </c>
      <c r="I14" s="225">
        <f>GETPIVOTDATA("Sum of Total Line Item $",'August 2024'!S811,"Line Item Name","CC-TB-35")</f>
        <v>6374.84</v>
      </c>
      <c r="J14" s="225">
        <f>GETPIVOTDATA("Sum of Total Line Item $",'September 2024'!S793,"Line Item Name","CC-TB-35")</f>
        <v>6999.825</v>
      </c>
      <c r="K14" s="225"/>
      <c r="L14" s="225"/>
      <c r="M14" s="225"/>
      <c r="N14" s="231">
        <f>SUM(B14:M14)</f>
        <v>54298.09</v>
      </c>
    </row>
    <row r="15" ht="15.1" customHeight="1">
      <c r="A15" t="s" s="288">
        <v>2525</v>
      </c>
      <c r="B15" s="224">
        <f>GETPIVOTDATA("Sum of Total Line Item $",'January 2024'!R465,"Line Item Name","CC-SS-35")</f>
        <v>2099.9825</v>
      </c>
      <c r="C15" s="225">
        <f>GETPIVOTDATA("Sum of Total Line Item $",'February 2024'!R572,"Line Item Name","CC-SS-35")</f>
        <v>6599.945</v>
      </c>
      <c r="D15" s="225">
        <f>GETPIVOTDATA("Sum of Total Line Item $",'March 2024'!R573,"Line Item Name","CC-SS-35")</f>
        <v>11399.905</v>
      </c>
      <c r="E15" s="225">
        <f>GETPIVOTDATA("Sum of Total Line Item $",'April 2024'!R692,"Line Item Name","CC-SS-35")</f>
        <v>5399.955</v>
      </c>
      <c r="F15" s="296">
        <f>GETPIVOTDATA("Sum of Total Line Item $",'May 2024'!R1387,"Line Item Name","CC-SS-35")</f>
        <v>4499.9625</v>
      </c>
      <c r="G15" s="225">
        <f>GETPIVOTDATA("Sum of Total Line Item $",'June 2024'!R658,"Line Item Name","CC-SS-35")</f>
        <v>5199.965</v>
      </c>
      <c r="H15" s="225">
        <f>GETPIVOTDATA("Sum of Total Line Item $",'July 2024'!Q1204,"Line Item Name","CC-SS-35")</f>
        <v>7690.3175</v>
      </c>
      <c r="I15" s="225">
        <f>GETPIVOTDATA("Sum of Total Line Item $",'August 2024'!S811,"Line Item Name","CC-SS-35")</f>
        <v>10079.916</v>
      </c>
      <c r="J15" s="225">
        <f>GETPIVOTDATA("Sum of Total Line Item $",'September 2024'!S793,"Line Item Name","CC-SS-35")</f>
        <v>4499.9625</v>
      </c>
      <c r="K15" s="225"/>
      <c r="L15" s="225"/>
      <c r="M15" s="225"/>
      <c r="N15" s="231">
        <f>SUM(B15:M15)</f>
        <v>57469.911</v>
      </c>
    </row>
    <row r="16" ht="15.1" customHeight="1">
      <c r="A16" t="s" s="288">
        <v>3326</v>
      </c>
      <c r="B16" s="224">
        <v>0</v>
      </c>
      <c r="C16" s="225">
        <v>0</v>
      </c>
      <c r="D16" s="225">
        <f>GETPIVOTDATA("Sum of Total Line Item $",'March 2024'!R573,"Line Item Name","CC-SM-5")</f>
        <v>3199.99</v>
      </c>
      <c r="E16" s="225">
        <f>GETPIVOTDATA("Sum of Total Line Item $",'April 2024'!R692,"Line Item Name","CC-SM-5")</f>
        <v>10399.9675</v>
      </c>
      <c r="F16" s="296">
        <f>GETPIVOTDATA("Sum of Total Line Item $",'May 2024'!R1387,"Line Item Name","CC-SM-5")</f>
        <v>15199.9525</v>
      </c>
      <c r="G16" s="225">
        <v>0</v>
      </c>
      <c r="H16" s="225">
        <f>GETPIVOTDATA("Sum of Total Line Item $",'July 2024'!Q1204,"Line Item Name","CC-SM-5")</f>
        <v>3199.99</v>
      </c>
      <c r="I16" s="225">
        <f>GETPIVOTDATA("Sum of Total Line Item $",'August 2024'!S811,"Line Item Name","CC-SM-5")</f>
        <v>16899.945</v>
      </c>
      <c r="J16" s="225">
        <f>GETPIVOTDATA("Sum of Total Line Item $",'September 2024'!S793,"Line Item Name","CC-SM-5")</f>
        <v>15299.95</v>
      </c>
      <c r="K16" s="225"/>
      <c r="L16" s="225"/>
      <c r="M16" s="225"/>
      <c r="N16" s="231">
        <f>SUM(B16:M16)</f>
        <v>64199.795</v>
      </c>
    </row>
    <row r="17" ht="15.1" customHeight="1">
      <c r="A17" t="s" s="288">
        <v>3237</v>
      </c>
      <c r="B17" s="230">
        <f>SUM(B14:B16)</f>
        <v>5499.8975</v>
      </c>
      <c r="C17" s="231">
        <f>SUM(C14:C16)</f>
        <v>12429.8075</v>
      </c>
      <c r="D17" s="231">
        <f>SUM(D14:D16)</f>
        <v>20399.75</v>
      </c>
      <c r="E17" s="231">
        <f>SUM(E14:E16)</f>
        <v>22294.2</v>
      </c>
      <c r="F17" s="231">
        <f>SUM(F14:F16)</f>
        <v>27699.715</v>
      </c>
      <c r="G17" s="231">
        <f>SUM(G14:G16)</f>
        <v>11699.8025</v>
      </c>
      <c r="H17" s="231">
        <f>SUM(H14:H16)</f>
        <v>15790.185</v>
      </c>
      <c r="I17" s="231">
        <f>SUM(I14:I16)</f>
        <v>33354.701</v>
      </c>
      <c r="J17" s="231">
        <f>SUM(J14:J16)</f>
        <v>26799.7375</v>
      </c>
      <c r="K17" s="231">
        <f>SUM(K14:K16)</f>
        <v>0</v>
      </c>
      <c r="L17" s="231">
        <f>SUM(L14:L16)</f>
        <v>0</v>
      </c>
      <c r="M17" s="231">
        <f>SUM(M14:M16)</f>
        <v>0</v>
      </c>
      <c r="N17" s="297">
        <f>SUM(N14:N16)</f>
        <v>175967.796</v>
      </c>
    </row>
    <row r="18" ht="15.1" customHeight="1">
      <c r="A18" s="247"/>
      <c r="B18" s="298"/>
      <c r="C18" s="246"/>
      <c r="D18" s="246"/>
      <c r="E18" s="246"/>
      <c r="F18" s="246"/>
      <c r="G18" s="246"/>
      <c r="H18" s="246"/>
      <c r="I18" s="246"/>
      <c r="J18" s="246"/>
      <c r="K18" s="246"/>
      <c r="L18" s="246"/>
      <c r="M18" s="246"/>
      <c r="N18" s="299"/>
    </row>
    <row r="19" ht="15.1" customHeight="1">
      <c r="A19" t="s" s="241">
        <v>3272</v>
      </c>
      <c r="B19" s="300">
        <f>N17</f>
        <v>175967.796</v>
      </c>
      <c r="C19" s="231"/>
      <c r="D19" t="s" s="301">
        <v>3274</v>
      </c>
      <c r="E19" t="s" s="301">
        <v>3275</v>
      </c>
      <c r="F19" t="s" s="301">
        <v>3330</v>
      </c>
      <c r="G19" t="s" s="301">
        <v>3277</v>
      </c>
      <c r="H19" s="231"/>
      <c r="I19" t="s" s="239">
        <v>3278</v>
      </c>
      <c r="J19" s="240">
        <f>SUM(G20:G22)</f>
        <v>121906.716</v>
      </c>
      <c r="K19" s="289"/>
      <c r="L19" s="289"/>
      <c r="M19" s="289"/>
      <c r="N19" s="297"/>
    </row>
    <row r="20" ht="15.1" customHeight="1">
      <c r="A20" t="s" s="241">
        <v>3325</v>
      </c>
      <c r="B20" s="302">
        <f>N14/B19</f>
        <v>0.30856833599257</v>
      </c>
      <c r="C20" s="231"/>
      <c r="D20" s="231">
        <v>134.24</v>
      </c>
      <c r="E20" s="231">
        <f>N14/N3</f>
        <v>364.416711409396</v>
      </c>
      <c r="F20" s="231">
        <f>E20-D20</f>
        <v>230.176711409396</v>
      </c>
      <c r="G20" s="231">
        <f>F20*N3</f>
        <v>34296.33</v>
      </c>
      <c r="H20" s="231"/>
      <c r="I20" t="s" s="239">
        <v>3327</v>
      </c>
      <c r="J20" s="243">
        <f>G20/J19</f>
        <v>0.281332572358032</v>
      </c>
      <c r="K20" s="289"/>
      <c r="L20" s="289"/>
      <c r="M20" s="289"/>
      <c r="N20" s="297"/>
    </row>
    <row r="21" ht="15.1" customHeight="1">
      <c r="A21" t="s" s="241">
        <v>2525</v>
      </c>
      <c r="B21" s="302">
        <f>N15/B19</f>
        <v>0.326593344386719</v>
      </c>
      <c r="C21" s="231"/>
      <c r="D21" s="231">
        <v>337.18</v>
      </c>
      <c r="E21" s="231">
        <f>N15/N4</f>
        <v>990.860534482759</v>
      </c>
      <c r="F21" s="231">
        <f>E21-D21</f>
        <v>653.680534482759</v>
      </c>
      <c r="G21" s="231">
        <f>F21*N4</f>
        <v>37913.471</v>
      </c>
      <c r="H21" s="231"/>
      <c r="I21" t="s" s="239">
        <v>3328</v>
      </c>
      <c r="J21" s="243">
        <f>G21/J19</f>
        <v>0.311003956500641</v>
      </c>
      <c r="K21" s="289"/>
      <c r="L21" s="289"/>
      <c r="M21" s="289"/>
      <c r="N21" s="297"/>
    </row>
    <row r="22" ht="15.1" customHeight="1">
      <c r="A22" t="s" s="241">
        <v>3326</v>
      </c>
      <c r="B22" s="302">
        <f>N16/B19</f>
        <v>0.364838319620711</v>
      </c>
      <c r="C22" s="231"/>
      <c r="D22" s="231">
        <v>630.5599999999999</v>
      </c>
      <c r="E22" s="231">
        <f>_xlfn.IFERROR(N16/N5,0)</f>
        <v>2791.295434782610</v>
      </c>
      <c r="F22" s="231">
        <f>IF((E22-D22)&lt;0,0,E22-D22)</f>
        <v>2160.735434782610</v>
      </c>
      <c r="G22" s="231">
        <f>F22*N5</f>
        <v>49696.915</v>
      </c>
      <c r="H22" s="231"/>
      <c r="I22" t="s" s="239">
        <v>3329</v>
      </c>
      <c r="J22" s="243">
        <f>G22/J19</f>
        <v>0.407663471141327</v>
      </c>
      <c r="K22" s="289"/>
      <c r="L22" s="289"/>
      <c r="M22" s="289"/>
      <c r="N22" s="297"/>
    </row>
  </sheetData>
  <mergeCells count="3">
    <mergeCell ref="A1:N1"/>
    <mergeCell ref="F12:I12"/>
    <mergeCell ref="F7:I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6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6719" style="303" customWidth="1"/>
    <col min="15" max="16384" width="16.3516" style="303" customWidth="1"/>
  </cols>
  <sheetData>
    <row r="1" ht="15.55" customHeight="1">
      <c r="A1" t="s" s="2">
        <v>3331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0">
        <v>3332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251">
        <v>3333</v>
      </c>
    </row>
    <row r="3" ht="15.1" customHeight="1">
      <c r="A3" t="s" s="157">
        <v>49</v>
      </c>
      <c r="B3" s="158">
        <f>SUM('January 2024'!Q400:Q401)</f>
        <v>16</v>
      </c>
      <c r="C3" s="159">
        <f>SUM('February 2024'!Q536:Q537)</f>
        <v>42</v>
      </c>
      <c r="D3" s="159">
        <f>GETPIVOTDATA("Sum of Order Quantity",'March 2024'!P474,"Line Item Name","CC-PROJ-5-110")</f>
        <v>31</v>
      </c>
      <c r="E3" s="159">
        <f>SUM('April 2024'!Q606:Q607)</f>
        <v>16</v>
      </c>
      <c r="F3" s="159">
        <f>GETPIVOTDATA("Sum of Order Quantity",'May 2024'!P1279,"Line Item Name","CC-PROJ-5-110")+GETPIVOTDATA("Sum of Order Quantity",'May 2024'!P1279,"Line Item Name","CC-PROJ-5-220")</f>
        <v>48</v>
      </c>
      <c r="G3" s="159">
        <f>SUM('June 2024'!Q616:Q618)</f>
        <v>36</v>
      </c>
      <c r="H3" s="159">
        <f>SUM('July 2024'!T1406:T1407)</f>
        <v>26</v>
      </c>
      <c r="I3" s="159">
        <f>SUM('August 2024'!R759:R761)</f>
        <v>24</v>
      </c>
      <c r="J3" s="159">
        <f>GETPIVOTDATA("Sum of Order Quantity",'September 2024'!Q681,"Line Item Name","CC-PROJ-5-110")</f>
        <v>28</v>
      </c>
      <c r="K3" s="160"/>
      <c r="L3" s="160"/>
      <c r="M3" s="160"/>
      <c r="N3" s="252">
        <f>SUM(B3:M3)</f>
        <v>267</v>
      </c>
    </row>
    <row r="4" ht="15.1" customHeight="1">
      <c r="A4" t="s" s="163">
        <v>3334</v>
      </c>
      <c r="B4" s="164">
        <f>GETPIVOTDATA("Sum of Order Quantity",'January 2024'!P374,"Line Item Name","CC-QJ-5-110")</f>
        <v>3</v>
      </c>
      <c r="C4" s="165">
        <f>SUM('February 2024'!Q538:Q539)</f>
        <v>8</v>
      </c>
      <c r="D4" s="165">
        <f>GETPIVOTDATA("Sum of Order Quantity",'March 2024'!P474,"Line Item Name","CC-QJ-5-110-WP")+GETPIVOTDATA("Sum of Order Quantity",'March 2024'!P474,"Line Item Name","CC-QJ-5-110")</f>
        <v>56</v>
      </c>
      <c r="E4" s="165">
        <f>GETPIVOTDATA("Sum of Order Quantity",'April 2024'!P568,"Line Item Name","CC-QJ-5-110")</f>
        <v>2</v>
      </c>
      <c r="F4" s="165">
        <f>GETPIVOTDATA("Sum of Order Quantity",'May 2024'!P1279,"Line Item Name","CC-QJ-5-110")</f>
        <v>2</v>
      </c>
      <c r="G4" s="165">
        <f>GETPIVOTDATA("Sum of Order Quantity",'June 2024'!P554,"Line Item Name","CC-QJ-5-110-JIC-WP")</f>
        <v>2</v>
      </c>
      <c r="H4" s="165">
        <f>GETPIVOTDATA("Sum of Order Quantity",'July 2024'!S1330,"Line Item Name","CC-QJ-5-110-JIC")</f>
        <v>4</v>
      </c>
      <c r="I4" s="165">
        <f>SUM('August 2024'!R762:R763)</f>
        <v>14</v>
      </c>
      <c r="J4" s="165">
        <f>GETPIVOTDATA("Sum of Order Quantity",'September 2024'!Q681,"Line Item Name","CC-QJ-5-110")</f>
        <v>1</v>
      </c>
      <c r="K4" s="166"/>
      <c r="L4" s="166"/>
      <c r="M4" s="166"/>
      <c r="N4" s="253">
        <f>SUM(B4:M4)</f>
        <v>92</v>
      </c>
    </row>
    <row r="5" ht="15.1" customHeight="1">
      <c r="A5" t="s" s="163">
        <v>3335</v>
      </c>
      <c r="B5" s="164">
        <f>SUM('January 2024'!Q406:Q407)</f>
        <v>28</v>
      </c>
      <c r="C5" s="165">
        <f>GETPIVOTDATA("Sum of Order Quantity",'February 2024'!P465,"Line Item Name","CC-MJMKII-3-110")</f>
        <v>21</v>
      </c>
      <c r="D5" s="165">
        <f>GETPIVOTDATA("Sum of Order Quantity",'March 2024'!P474,"Line Item Name","CC-MJMKII-3-110")</f>
        <v>33</v>
      </c>
      <c r="E5" s="165">
        <f>GETPIVOTDATA("Sum of Order Quantity",'April 2024'!P568,"Line Item Name","CC-MJMKII-3-110")</f>
        <v>21</v>
      </c>
      <c r="F5" s="165">
        <f>GETPIVOTDATA("Sum of Order Quantity",'May 2024'!P1279,"Line Item Name","CC-MJMKII-5-110")+GETPIVOTDATA("Sum of Order Quantity",'May 2024'!P1279,"Line Item Name","CC-MJMKII-3-110")</f>
        <v>17</v>
      </c>
      <c r="G5" s="165">
        <f>GETPIVOTDATA("Sum of Order Quantity",'June 2024'!P554,"Line Item Name","CC-MJMKII-3-110")+GETPIVOTDATA("Sum of Order Quantity",'June 2024'!P554,"Line Item Name","CC-MJMKII-5-110")</f>
        <v>24</v>
      </c>
      <c r="H5" s="165">
        <f>SUM('July 2024'!T1402:T1403)</f>
        <v>28</v>
      </c>
      <c r="I5" s="165">
        <f>SUM(GETPIVOTDATA("Sum of Order Quantity",'August 2024'!Q691,"Line Item Name","CC-MJMKII-3-110"),GETPIVOTDATA("Sum of Order Quantity",'August 2024'!Q691,"Line Item Name","CC-MJMKII-5-110"))</f>
        <v>43</v>
      </c>
      <c r="J5" s="165">
        <f>GETPIVOTDATA("Sum of Order Quantity",'September 2024'!Q681,"Line Item Name","CC-MJMKII-3-110")</f>
        <v>23</v>
      </c>
      <c r="K5" s="166"/>
      <c r="L5" s="166"/>
      <c r="M5" s="166"/>
      <c r="N5" s="253">
        <f>SUM(B5:M5)</f>
        <v>238</v>
      </c>
    </row>
    <row r="6" ht="15.1" customHeight="1">
      <c r="A6" t="s" s="163">
        <v>3336</v>
      </c>
      <c r="B6" s="164">
        <f>GETPIVOTDATA("Sum of Order Quantity",'January 2024'!P374,"Line Item Name","CC-CC2-110-JIC")+GETPIVOTDATA("Sum of Order Quantity",'January 2024'!P374,"Line Item Name","CC-CC2-110")</f>
        <v>22</v>
      </c>
      <c r="C6" s="165">
        <f>GETPIVOTDATA("Sum of Order Quantity",'February 2024'!P465,"Line Item Name","CC-CC2-110")</f>
        <v>7</v>
      </c>
      <c r="D6" s="165">
        <f>GETPIVOTDATA("Sum of Order Quantity",'March 2024'!P474,"Line Item Name","CC-CC2-110")</f>
        <v>6</v>
      </c>
      <c r="E6" s="165">
        <f>SUM('April 2024'!Q647:Q649)</f>
        <v>9</v>
      </c>
      <c r="F6" s="165">
        <f>GETPIVOTDATA("Sum of Order Quantity",'May 2024'!P1279,"Line Item Name","CC-CC2-110")+GETPIVOTDATA("Sum of Order Quantity",'May 2024'!P1279,"Line Item Name","CC-CC2-110-JIC")</f>
        <v>10</v>
      </c>
      <c r="G6" s="165">
        <f>GETPIVOTDATA("Sum of Order Quantity",'June 2024'!P554,"Line Item Name","CC-CC2-110-JIC")</f>
        <v>23</v>
      </c>
      <c r="H6" s="165">
        <f>SUM('July 2024'!T1372:T1373)</f>
        <v>14</v>
      </c>
      <c r="I6" s="165">
        <f>SUM('August 2024'!R722:R723)</f>
        <v>27</v>
      </c>
      <c r="J6" s="165">
        <f>SUM('September 2024'!R712:R713)</f>
        <v>16</v>
      </c>
      <c r="K6" s="166"/>
      <c r="L6" s="166"/>
      <c r="M6" s="166"/>
      <c r="N6" s="253">
        <f>SUM(B6:M6)</f>
        <v>134</v>
      </c>
    </row>
    <row r="7" ht="15.1" customHeight="1">
      <c r="A7" t="s" s="163">
        <v>3237</v>
      </c>
      <c r="B7" s="254">
        <f>SUM(B3:B6)</f>
        <v>69</v>
      </c>
      <c r="C7" s="253">
        <f>SUM(C3:C6)</f>
        <v>78</v>
      </c>
      <c r="D7" s="253">
        <f>SUM(D3:D6)</f>
        <v>126</v>
      </c>
      <c r="E7" s="253">
        <f>SUM(E3:E6)</f>
        <v>48</v>
      </c>
      <c r="F7" s="253">
        <f>SUM(F3:F6)</f>
        <v>77</v>
      </c>
      <c r="G7" s="253">
        <f>SUM(G3:G6)</f>
        <v>85</v>
      </c>
      <c r="H7" s="253">
        <f>SUM(H3:H6)</f>
        <v>72</v>
      </c>
      <c r="I7" s="253">
        <f>SUM(I3:I6)</f>
        <v>108</v>
      </c>
      <c r="J7" s="253">
        <f>SUM(J3:J6)</f>
        <v>68</v>
      </c>
      <c r="K7" s="253">
        <f>SUM(K3:K6)</f>
        <v>0</v>
      </c>
      <c r="L7" s="253">
        <f>SUM(L3:L6)</f>
        <v>0</v>
      </c>
      <c r="M7" s="253">
        <f>SUM(M3:M6)</f>
        <v>0</v>
      </c>
      <c r="N7" s="253">
        <f>SUM(N3:N6)</f>
        <v>731</v>
      </c>
    </row>
    <row r="8" ht="15.1" customHeight="1">
      <c r="A8" s="255"/>
      <c r="B8" s="172"/>
      <c r="C8" s="173"/>
      <c r="D8" s="173"/>
      <c r="E8" s="173"/>
      <c r="F8" t="s" s="174">
        <v>3266</v>
      </c>
      <c r="G8" s="16"/>
      <c r="H8" s="16"/>
      <c r="I8" s="16"/>
      <c r="J8" s="173"/>
      <c r="K8" s="173"/>
      <c r="L8" s="173"/>
      <c r="M8" s="173"/>
      <c r="N8" s="173"/>
    </row>
    <row r="9" ht="15.1" customHeight="1">
      <c r="A9" t="s" s="304">
        <v>3272</v>
      </c>
      <c r="B9" s="305">
        <f>SUM(N3:N6)</f>
        <v>731</v>
      </c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</row>
    <row r="10" ht="15.1" customHeight="1">
      <c r="A10" t="s" s="304">
        <v>3337</v>
      </c>
      <c r="B10" s="306">
        <f>N3/B9</f>
        <v>0.365253077975376</v>
      </c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</row>
    <row r="11" ht="15.1" customHeight="1">
      <c r="A11" t="s" s="304">
        <v>3338</v>
      </c>
      <c r="B11" s="306">
        <f>N4/B9</f>
        <v>0.125854993160055</v>
      </c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</row>
    <row r="12" ht="15.1" customHeight="1">
      <c r="A12" t="s" s="304">
        <v>3339</v>
      </c>
      <c r="B12" s="306">
        <f>N5/B9</f>
        <v>0.325581395348837</v>
      </c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</row>
    <row r="13" ht="15.1" customHeight="1">
      <c r="A13" t="s" s="304">
        <v>3340</v>
      </c>
      <c r="B13" s="306">
        <f>N6/B9</f>
        <v>0.183310533515732</v>
      </c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</row>
    <row r="14" ht="15.1" customHeight="1">
      <c r="A14" s="247"/>
      <c r="B14" s="307"/>
      <c r="C14" s="215"/>
      <c r="D14" s="215"/>
      <c r="E14" s="215"/>
      <c r="F14" t="s" s="216">
        <v>3270</v>
      </c>
      <c r="G14" s="16"/>
      <c r="H14" s="16"/>
      <c r="I14" s="16"/>
      <c r="J14" s="215"/>
      <c r="K14" s="215"/>
      <c r="L14" s="215"/>
      <c r="M14" s="215"/>
      <c r="N14" s="215"/>
    </row>
    <row r="15" ht="15.1" customHeight="1">
      <c r="A15" s="308"/>
      <c r="B15" s="309">
        <v>45292</v>
      </c>
      <c r="C15" s="310">
        <v>45323</v>
      </c>
      <c r="D15" s="310">
        <v>45352</v>
      </c>
      <c r="E15" s="310">
        <v>45383</v>
      </c>
      <c r="F15" s="310">
        <v>45413</v>
      </c>
      <c r="G15" s="310">
        <v>45444</v>
      </c>
      <c r="H15" s="310">
        <v>45474</v>
      </c>
      <c r="I15" s="310">
        <v>45505</v>
      </c>
      <c r="J15" s="310">
        <v>45536</v>
      </c>
      <c r="K15" s="310">
        <v>45566</v>
      </c>
      <c r="L15" s="310">
        <v>45597</v>
      </c>
      <c r="M15" s="310">
        <v>45627</v>
      </c>
      <c r="N15" t="s" s="311">
        <v>3341</v>
      </c>
    </row>
    <row r="16" ht="15.1" customHeight="1">
      <c r="A16" t="s" s="163">
        <v>49</v>
      </c>
      <c r="B16" s="224">
        <f>SUM('January 2024'!S491:S492)</f>
        <v>14699.97</v>
      </c>
      <c r="C16" s="225">
        <f>SUM('February 2024'!S643:S644)</f>
        <v>40856.115</v>
      </c>
      <c r="D16" s="225">
        <f>GETPIVOTDATA("Sum of Total Line Item $",'March 2024'!R573,"Line Item Name","CC-PROJ-5-110")</f>
        <v>34449.735</v>
      </c>
      <c r="E16" s="225">
        <f>SUM('April 2024'!S730:S731)</f>
        <v>17249.895</v>
      </c>
      <c r="F16" s="225">
        <f>GETPIVOTDATA("Sum of Total Line Item $",'May 2024'!R1387,"Line Item Name","CC-PROJ-5-110")+GETPIVOTDATA("Sum of Total Line Item $",'May 2024'!R1387,"Line Item Name","CC-PROJ-5-220")</f>
        <v>48224.7675</v>
      </c>
      <c r="G16" s="225">
        <f>SUM('June 2024'!S720:S722)</f>
        <v>36719.716</v>
      </c>
      <c r="H16" s="225">
        <f>SUM('July 2024'!R1280:R1281)</f>
        <v>26549.865</v>
      </c>
      <c r="I16" s="225">
        <f>SUM('August 2024'!T879:T881)</f>
        <v>27419.801</v>
      </c>
      <c r="J16" s="225">
        <f>GETPIVOTDATA("Sum of Total Line Item $",'September 2024'!S793,"Line Item Name","CC-PROJ-5-110")</f>
        <v>27949.785</v>
      </c>
      <c r="K16" s="225"/>
      <c r="L16" s="225"/>
      <c r="M16" s="225"/>
      <c r="N16" s="231">
        <f>SUM(B16:M16)</f>
        <v>274119.6495</v>
      </c>
    </row>
    <row r="17" ht="15.1" customHeight="1">
      <c r="A17" t="s" s="163">
        <v>3334</v>
      </c>
      <c r="B17" s="224">
        <f>GETPIVOTDATA("Sum of Total Line Item $",'January 2024'!R465,"Line Item Name","CC-QJ-5-110")</f>
        <v>0</v>
      </c>
      <c r="C17" s="225">
        <f>SUM('February 2024'!S645:S646)</f>
        <v>15599.98</v>
      </c>
      <c r="D17" s="225">
        <f>GETPIVOTDATA("Sum of Total Line Item $",'March 2024'!R573,"Line Item Name","CC-QJ-5-110-WP")+GETPIVOTDATA("Sum of Total Line Item $",'March 2024'!R573,"Line Item Name","CC-QJ-5-110")</f>
        <v>103124.5875</v>
      </c>
      <c r="E17" s="225">
        <f>GETPIVOTDATA("Sum of Total Line Item $",'April 2024'!R692,"Line Item Name","CC-QJ-5-110")</f>
        <v>3749.985</v>
      </c>
      <c r="F17" s="225">
        <f>GETPIVOTDATA("Sum of Total Line Item $",'May 2024'!R1387,"Line Item Name","CC-QJ-5-110")</f>
        <v>3749.985</v>
      </c>
      <c r="G17" s="225">
        <f>GETPIVOTDATA("Sum of Total Line Item $",'June 2024'!R658,"Line Item Name","CC-QJ-5-110-JIC-WP")</f>
        <v>3549.946852</v>
      </c>
      <c r="H17" s="225">
        <f>GETPIVOTDATA("Sum of Total Line Item $",'July 2024'!Q1204,"Line Item Name","CC-QJ-5-110-JIC")</f>
        <v>7499.97</v>
      </c>
      <c r="I17" s="225">
        <f>SUM('August 2024'!T882:T883)</f>
        <v>26999.892</v>
      </c>
      <c r="J17" s="225">
        <f>GETPIVOTDATA("Sum of Total Line Item $",'September 2024'!S793,"Line Item Name","CC-QJ-5-110")</f>
        <v>2499.99</v>
      </c>
      <c r="K17" s="225"/>
      <c r="L17" s="225"/>
      <c r="M17" s="225"/>
      <c r="N17" s="231">
        <f>SUM(B17:M17)</f>
        <v>166774.336352</v>
      </c>
    </row>
    <row r="18" ht="15.1" customHeight="1">
      <c r="A18" t="s" s="163">
        <v>3335</v>
      </c>
      <c r="B18" s="224">
        <f>SUM('January 2024'!S497:S498)</f>
        <v>22627.736</v>
      </c>
      <c r="C18" s="225">
        <f>GETPIVOTDATA("Sum of Total Line Item $",'February 2024'!R572,"Line Item Name","CC-MJMKII-3-110")</f>
        <v>16149.81</v>
      </c>
      <c r="D18" s="225">
        <f>GETPIVOTDATA("Sum of Total Line Item $",'March 2024'!R573,"Line Item Name","CC-MJMKII-3-110")</f>
        <v>23374.725</v>
      </c>
      <c r="E18" s="225">
        <f>GETPIVOTDATA("Sum of Total Line Item $",'April 2024'!R692,"Line Item Name","CC-MJMKII-3-110")</f>
        <v>17838.67</v>
      </c>
      <c r="F18" s="225">
        <f>GETPIVOTDATA("Sum of Total Line Item $",'May 2024'!R1387,"Line Item Name","CC-MJMKII-3-110")+GETPIVOTDATA("Sum of Total Line Item $",'May 2024'!R1387,"Line Item Name","CC-MJMKII-5-110")</f>
        <v>13525.842</v>
      </c>
      <c r="G18" s="225">
        <f>SUM('June 2024'!S717:S718)</f>
        <v>19164.775</v>
      </c>
      <c r="H18" s="225">
        <f>SUM('July 2024'!R1276:R1277)</f>
        <v>21304.745</v>
      </c>
      <c r="I18" s="225">
        <f>SUM('August 2024'!T874:T875)</f>
        <v>34204.58</v>
      </c>
      <c r="J18" s="225">
        <f>GETPIVOTDATA("Sum of Total Line Item $",'September 2024'!S793,"Line Item Name","CC-MJMKII-3-110")</f>
        <v>18699.78</v>
      </c>
      <c r="K18" s="225"/>
      <c r="L18" s="225"/>
      <c r="M18" s="225"/>
      <c r="N18" s="231">
        <f>SUM(B18:M18)</f>
        <v>186890.663</v>
      </c>
    </row>
    <row r="19" ht="15.1" customHeight="1">
      <c r="A19" t="s" s="163">
        <v>3336</v>
      </c>
      <c r="B19" s="224">
        <f>SUM('January 2024'!S525:S526)</f>
        <v>10499.79</v>
      </c>
      <c r="C19" s="225">
        <f>GETPIVOTDATA("Sum of Total Line Item $",'February 2024'!R572,"Line Item Name","CC-CC2-110")</f>
        <v>3374.9325</v>
      </c>
      <c r="D19" s="225">
        <f>GETPIVOTDATA("Sum of Total Line Item $",'March 2024'!R573,"Line Item Name","CC-CC2-110")</f>
        <v>1999.96</v>
      </c>
      <c r="E19" s="225">
        <f>SUM('April 2024'!S771:S773)</f>
        <v>4399.91</v>
      </c>
      <c r="F19" s="225">
        <f>GETPIVOTDATA("Sum of Total Line Item $",'May 2024'!R1387,"Line Item Name","CC-CC2-110")+GETPIVOTDATA("Sum of Total Line Item $",'May 2024'!R1387,"Line Item Name","CC-CC2-110-JIC")</f>
        <v>3749.925</v>
      </c>
      <c r="G19" s="225">
        <f>GETPIVOTDATA("Sum of Total Line Item $",'June 2024'!R658,"Line Item Name","CC-CC2-110-JIC")</f>
        <v>8749.825000000001</v>
      </c>
      <c r="H19" s="225">
        <f>SUM('July 2024'!R1246:R1247)</f>
        <v>5999.88</v>
      </c>
      <c r="I19" s="225">
        <f>SUM('August 2024'!T842:T843)</f>
        <v>12649.745</v>
      </c>
      <c r="J19" s="225">
        <f>SUM('September 2024'!T824:T825)</f>
        <v>6999.86</v>
      </c>
      <c r="K19" s="225"/>
      <c r="L19" s="225"/>
      <c r="M19" s="225"/>
      <c r="N19" s="231">
        <f>SUM(B19:M19)</f>
        <v>58423.8275</v>
      </c>
    </row>
    <row r="20" ht="15.1" customHeight="1">
      <c r="A20" t="s" s="163">
        <v>3237</v>
      </c>
      <c r="B20" s="230">
        <f>SUM(B16:B19)</f>
        <v>47827.496</v>
      </c>
      <c r="C20" s="231">
        <f>SUM(C16:C19)</f>
        <v>75980.837499999994</v>
      </c>
      <c r="D20" s="231">
        <f>SUM(D16:D19)</f>
        <v>162949.0075</v>
      </c>
      <c r="E20" s="231">
        <f>SUM(E16:E19)</f>
        <v>43238.46</v>
      </c>
      <c r="F20" s="231">
        <f>SUM(F16:F19)</f>
        <v>69250.519499999995</v>
      </c>
      <c r="G20" s="231">
        <f>SUM(G16:G19)</f>
        <v>68184.262852</v>
      </c>
      <c r="H20" s="231">
        <f>SUM(H16:H19)</f>
        <v>61354.46</v>
      </c>
      <c r="I20" s="231">
        <f>SUM(I16:I19)</f>
        <v>101274.018</v>
      </c>
      <c r="J20" s="231">
        <f>SUM(J16:J19)</f>
        <v>56149.415</v>
      </c>
      <c r="K20" s="231">
        <f>SUM(K16:K19)</f>
        <v>0</v>
      </c>
      <c r="L20" s="231">
        <f>SUM(L16:L19)</f>
        <v>0</v>
      </c>
      <c r="M20" s="231">
        <f>SUM(M16:M19)</f>
        <v>0</v>
      </c>
      <c r="N20" s="231">
        <f>SUM(N16:N19)</f>
        <v>686208.476352</v>
      </c>
    </row>
    <row r="21" ht="15.1" customHeight="1">
      <c r="A21" s="247"/>
      <c r="B21" s="300"/>
      <c r="C21" s="240"/>
      <c r="D21" s="240"/>
      <c r="E21" s="240"/>
      <c r="F21" s="240"/>
      <c r="G21" s="240"/>
      <c r="H21" s="240"/>
      <c r="I21" s="240"/>
      <c r="J21" s="240"/>
      <c r="K21" s="240"/>
      <c r="L21" s="240"/>
      <c r="M21" s="240"/>
      <c r="N21" s="240"/>
    </row>
    <row r="22" ht="15.1" customHeight="1">
      <c r="A22" t="s" s="241">
        <v>3272</v>
      </c>
      <c r="B22" s="300">
        <f>N20</f>
        <v>686208.476352</v>
      </c>
      <c r="C22" s="231"/>
      <c r="D22" t="s" s="301">
        <v>3274</v>
      </c>
      <c r="E22" t="s" s="301">
        <v>3275</v>
      </c>
      <c r="F22" t="s" s="301">
        <v>3342</v>
      </c>
      <c r="G22" t="s" s="301">
        <v>3277</v>
      </c>
      <c r="H22" s="312"/>
      <c r="I22" t="s" s="238">
        <v>3278</v>
      </c>
      <c r="J22" s="313">
        <f>SUM(G23:G26)</f>
        <v>437568.336351999</v>
      </c>
      <c r="K22" s="312"/>
      <c r="L22" s="312"/>
      <c r="M22" s="312"/>
      <c r="N22" s="312"/>
    </row>
    <row r="23" ht="15.1" customHeight="1">
      <c r="A23" t="s" s="241">
        <v>49</v>
      </c>
      <c r="B23" s="302">
        <f>N16/B22</f>
        <v>0.399469926336769</v>
      </c>
      <c r="C23" s="231"/>
      <c r="D23" s="225">
        <v>326.04</v>
      </c>
      <c r="E23" s="225">
        <f>N16/N3</f>
        <v>1026.665353932580</v>
      </c>
      <c r="F23" s="225">
        <f>E23-D23</f>
        <v>700.625353932580</v>
      </c>
      <c r="G23" s="225">
        <f>F23*N3</f>
        <v>187066.969499999</v>
      </c>
      <c r="H23" s="225"/>
      <c r="I23" t="s" s="239">
        <v>3337</v>
      </c>
      <c r="J23" s="314">
        <f>G23/J22</f>
        <v>0.427514867870865</v>
      </c>
      <c r="K23" s="225"/>
      <c r="L23" s="225"/>
      <c r="M23" s="225"/>
      <c r="N23" s="225"/>
    </row>
    <row r="24" ht="15.1" customHeight="1">
      <c r="A24" t="s" s="241">
        <v>3334</v>
      </c>
      <c r="B24" s="302">
        <f>N17/B22</f>
        <v>0.243037418072421</v>
      </c>
      <c r="C24" s="231"/>
      <c r="D24" s="225">
        <v>731.24</v>
      </c>
      <c r="E24" s="225">
        <f>N17/N4</f>
        <v>1812.764525565220</v>
      </c>
      <c r="F24" s="225">
        <f>IF((E24-D24)&lt;0,0,E24-D24)</f>
        <v>1081.524525565220</v>
      </c>
      <c r="G24" s="225">
        <f>F24*N4</f>
        <v>99500.2563520002</v>
      </c>
      <c r="H24" s="225"/>
      <c r="I24" t="s" s="239">
        <v>3338</v>
      </c>
      <c r="J24" s="314">
        <f>G24/J22</f>
        <v>0.227393639086257</v>
      </c>
      <c r="K24" s="225"/>
      <c r="L24" s="225"/>
      <c r="M24" s="225"/>
      <c r="N24" s="225"/>
    </row>
    <row r="25" ht="15.1" customHeight="1">
      <c r="A25" t="s" s="241">
        <v>3335</v>
      </c>
      <c r="B25" s="302">
        <f>N18/B22</f>
        <v>0.272352600471423</v>
      </c>
      <c r="C25" s="231"/>
      <c r="D25" s="225">
        <v>291.4</v>
      </c>
      <c r="E25" s="225">
        <f>N18/N5</f>
        <v>785.254886554622</v>
      </c>
      <c r="F25" s="225">
        <f>E25-D25</f>
        <v>493.854886554622</v>
      </c>
      <c r="G25" s="225">
        <f>F25*N5</f>
        <v>117537.463</v>
      </c>
      <c r="H25" s="225"/>
      <c r="I25" t="s" s="239">
        <v>3339</v>
      </c>
      <c r="J25" s="314">
        <f>G25/J22</f>
        <v>0.268615101311736</v>
      </c>
      <c r="K25" s="225"/>
      <c r="L25" s="225"/>
      <c r="M25" s="225"/>
      <c r="N25" s="225"/>
    </row>
    <row r="26" ht="15.1" customHeight="1">
      <c r="A26" t="s" s="241">
        <v>3336</v>
      </c>
      <c r="B26" s="302">
        <f>N19/B22</f>
        <v>0.0851400551193872</v>
      </c>
      <c r="C26" s="231"/>
      <c r="D26" s="225">
        <v>186.27</v>
      </c>
      <c r="E26" s="225">
        <f>N19/N6</f>
        <v>435.998712686567</v>
      </c>
      <c r="F26" s="225">
        <f>E26-D26</f>
        <v>249.728712686567</v>
      </c>
      <c r="G26" s="225">
        <f>F26*N6</f>
        <v>33463.6475</v>
      </c>
      <c r="H26" s="225"/>
      <c r="I26" t="s" s="239">
        <v>3340</v>
      </c>
      <c r="J26" s="314">
        <f>G26/J22</f>
        <v>0.076476391731143</v>
      </c>
      <c r="K26" s="225"/>
      <c r="L26" s="225"/>
      <c r="M26" s="225"/>
      <c r="N26" s="225"/>
    </row>
  </sheetData>
  <mergeCells count="3">
    <mergeCell ref="A1:N1"/>
    <mergeCell ref="F14:I14"/>
    <mergeCell ref="F8:I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6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315" customWidth="1"/>
    <col min="15" max="16384" width="16.3516" style="315" customWidth="1"/>
  </cols>
  <sheetData>
    <row r="1" ht="15.55" customHeight="1">
      <c r="A1" t="s" s="2">
        <v>3343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0">
        <v>3344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251">
        <v>3237</v>
      </c>
    </row>
    <row r="3" ht="15.1" customHeight="1">
      <c r="A3" t="s" s="157">
        <v>3345</v>
      </c>
      <c r="B3" s="158">
        <f>GETPIVOTDATA("Sum of Order Quantity",'January 2024'!P374,"Line Item Name","CC-HCCMKII-08-NC")+GETPIVOTDATA("Sum of Order Quantity",'January 2024'!P374,"Line Item Name","CC-HCCMKII-05-NC")</f>
        <v>26</v>
      </c>
      <c r="C3" s="159">
        <f>GETPIVOTDATA("Sum of Order Quantity",'February 2024'!P465,"Line Item Name","CC-HCCMKII-08-NC")</f>
        <v>13</v>
      </c>
      <c r="D3" s="159">
        <f>GETPIVOTDATA("Sum of Order Quantity",'March 2024'!P474,"Line Item Name","CC-HCCMKII-08-NC")</f>
        <v>7</v>
      </c>
      <c r="E3" s="159">
        <f>GETPIVOTDATA("Sum of Order Quantity",'April 2024'!P568,"Line Item Name","CC-HCCMKII-08-NC")</f>
        <v>15</v>
      </c>
      <c r="F3" s="159">
        <f>GETPIVOTDATA("Sum of Order Quantity",'May 2024'!P1279,"Line Item Name","CC-HCCMKII-08-NC")</f>
        <v>12</v>
      </c>
      <c r="G3" s="159">
        <f>GETPIVOTDATA("Sum of Order Quantity",'June 2024'!P554,"Line Item Name","CC-HCCMKII-08-NC")</f>
        <v>12</v>
      </c>
      <c r="H3" s="159">
        <f>GETPIVOTDATA("Sum of Order Quantity",'July 2024'!S1330,"Line Item Name","CC-HCCMKII-08-NC")</f>
        <v>22</v>
      </c>
      <c r="I3" s="159">
        <f>GETPIVOTDATA("Sum of Order Quantity",'August 2024'!Q691,"Line Item Name","CC-HCCMKII-08-NC")</f>
        <v>30</v>
      </c>
      <c r="J3" s="159">
        <f>GETPIVOTDATA("Sum of Order Quantity",'September 2024'!Q681,"Line Item Name","CC-HCCMKII-08-NC")</f>
        <v>11</v>
      </c>
      <c r="K3" s="160"/>
      <c r="L3" s="160"/>
      <c r="M3" s="160"/>
      <c r="N3" s="252">
        <f>SUM(B3:M3)</f>
        <v>148</v>
      </c>
    </row>
    <row r="4" ht="15.1" customHeight="1">
      <c r="A4" t="s" s="163">
        <v>3346</v>
      </c>
      <c r="B4" s="164">
        <f>GETPIVOTDATA("Sum of Order Quantity",'January 2024'!P374,"Line Item Name","CC-HCCMKII-08-TC")</f>
        <v>4</v>
      </c>
      <c r="C4" s="165">
        <f>GETPIVOTDATA("Sum of Order Quantity",'February 2024'!P465,"Line Item Name","CC-HCCMKII-08-TC")</f>
        <v>2</v>
      </c>
      <c r="D4" s="165">
        <f>GETPIVOTDATA("Sum of Order Quantity",'March 2024'!P474,"Line Item Name","CC-HCCMKII-08-TC")</f>
        <v>8</v>
      </c>
      <c r="E4" s="165">
        <f>GETPIVOTDATA("Sum of Order Quantity",'April 2024'!P568,"Line Item Name","CC-HCCMKII-08-TC")</f>
        <v>6</v>
      </c>
      <c r="F4" s="165">
        <f>GETPIVOTDATA("Sum of Order Quantity",'May 2024'!P1279,"Line Item Name","CC-HCCMKII-08-TC")</f>
        <v>8</v>
      </c>
      <c r="G4" s="165">
        <f>GETPIVOTDATA("Sum of Order Quantity",'June 2024'!P554,"Line Item Name","CC-HCCMKII-08-TC")</f>
        <v>5</v>
      </c>
      <c r="H4" s="165">
        <f>GETPIVOTDATA("Sum of Order Quantity",'July 2024'!S1330,"Line Item Name","CC-HCCMKII-08-TC")</f>
        <v>1</v>
      </c>
      <c r="I4" s="165">
        <f>GETPIVOTDATA("Sum of Order Quantity",'August 2024'!Q691,"Line Item Name","CC-HCCMKII-08-TC")</f>
        <v>11</v>
      </c>
      <c r="J4" s="165">
        <f>GETPIVOTDATA("Sum of Order Quantity",'September 2024'!Q681,"Line Item Name","CC-HCCMKII-08-TC")</f>
        <v>6</v>
      </c>
      <c r="K4" s="166"/>
      <c r="L4" s="166"/>
      <c r="M4" s="166"/>
      <c r="N4" s="253">
        <f>SUM(B4:M4)</f>
        <v>51</v>
      </c>
    </row>
    <row r="5" ht="15.1" customHeight="1">
      <c r="A5" t="s" s="163">
        <v>3347</v>
      </c>
      <c r="B5" s="164">
        <v>3</v>
      </c>
      <c r="C5" s="165">
        <f>GETPIVOTDATA("Sum of Order Quantity",'February 2024'!P465,"Line Item Name","CC-HCCMKII-15-NC")</f>
        <v>12</v>
      </c>
      <c r="D5" s="165">
        <f>GETPIVOTDATA("Sum of Order Quantity",'March 2024'!P474,"Line Item Name","CC-HCCMKII-15-NC")</f>
        <v>5</v>
      </c>
      <c r="E5" s="165">
        <f>GETPIVOTDATA("Sum of Order Quantity",'April 2024'!P568,"Line Item Name","CC-HCCMKII-15-NC")</f>
        <v>9</v>
      </c>
      <c r="F5" s="165">
        <f>GETPIVOTDATA("Sum of Order Quantity",'May 2024'!P1279,"Line Item Name","CC-HCCMKII-15-NC")</f>
        <v>9</v>
      </c>
      <c r="G5" s="165">
        <f>GETPIVOTDATA("Sum of Order Quantity",'June 2024'!P554,"Line Item Name","CC-HCCMKII-15-NC")</f>
        <v>8</v>
      </c>
      <c r="H5" s="165">
        <f>GETPIVOTDATA("Sum of Order Quantity",'July 2024'!S1330,"Line Item Name","CC-HCCMKII-15-NC")+GETPIVOTDATA("Sum of Order Quantity",'July 2024'!S1330,"Line Item Name","CC-HCCMKII-25-NC")</f>
        <v>6</v>
      </c>
      <c r="I5" s="165">
        <f>GETPIVOTDATA("Sum of Order Quantity",'August 2024'!Q691,"Line Item Name","CC-HCCMKII-15-NC")</f>
        <v>17</v>
      </c>
      <c r="J5" s="165">
        <f>GETPIVOTDATA("Sum of Order Quantity",'September 2024'!Q681,"Line Item Name","CC-HCCMKII-15-NC")</f>
        <v>16</v>
      </c>
      <c r="K5" s="166"/>
      <c r="L5" s="166"/>
      <c r="M5" s="166"/>
      <c r="N5" s="253">
        <f>SUM(B5:M5)</f>
        <v>85</v>
      </c>
    </row>
    <row r="6" ht="15.1" customHeight="1">
      <c r="A6" t="s" s="163">
        <v>3348</v>
      </c>
      <c r="B6" s="164">
        <f>GETPIVOTDATA("Sum of Order Quantity",'January 2024'!P374,"Line Item Name","CC-HCCMKII-15-TC")</f>
        <v>6</v>
      </c>
      <c r="C6" s="165">
        <f>GETPIVOTDATA("Sum of Order Quantity",'February 2024'!P465,"Line Item Name","CC-HCCMKII-15-TC")</f>
        <v>11</v>
      </c>
      <c r="D6" s="165">
        <f>GETPIVOTDATA("Sum of Order Quantity",'March 2024'!P474,"Line Item Name","CC-HCCMKII-15-TC")</f>
        <v>15</v>
      </c>
      <c r="E6" s="165">
        <f>GETPIVOTDATA("Sum of Order Quantity",'April 2024'!P568,"Line Item Name","CC-HCCMKII-15-TC")</f>
        <v>8</v>
      </c>
      <c r="F6" s="165">
        <f>GETPIVOTDATA("Sum of Order Quantity",'May 2024'!P1279,"Line Item Name","CC-HCCMKII-15-TC")</f>
        <v>14</v>
      </c>
      <c r="G6" s="165">
        <f>GETPIVOTDATA("Sum of Order Quantity",'June 2024'!P554,"Line Item Name","CC-HCCMKII-15-TC")</f>
        <v>2</v>
      </c>
      <c r="H6" s="165">
        <f>GETPIVOTDATA("Sum of Order Quantity",'July 2024'!S1330,"Line Item Name","CC-HCCMKII-15-TC")</f>
        <v>15</v>
      </c>
      <c r="I6" s="165">
        <f>GETPIVOTDATA("Sum of Order Quantity",'August 2024'!Q691,"Line Item Name","CC-HCCMKII-15-TC")</f>
        <v>13</v>
      </c>
      <c r="J6" s="165">
        <f>SUM('September 2024'!R743:R744)</f>
        <v>17</v>
      </c>
      <c r="K6" s="166"/>
      <c r="L6" s="166"/>
      <c r="M6" s="166"/>
      <c r="N6" s="253">
        <f>SUM(B6:M6)</f>
        <v>101</v>
      </c>
    </row>
    <row r="7" ht="15.1" customHeight="1">
      <c r="A7" t="s" s="163">
        <v>3237</v>
      </c>
      <c r="B7" s="254">
        <f>SUM(B3:B6)</f>
        <v>39</v>
      </c>
      <c r="C7" s="253">
        <f>SUM(C3:C6)</f>
        <v>38</v>
      </c>
      <c r="D7" s="253">
        <f>SUM(D3:D6)</f>
        <v>35</v>
      </c>
      <c r="E7" s="253">
        <f>SUM(E3:E6)</f>
        <v>38</v>
      </c>
      <c r="F7" s="253">
        <f>SUM(F3:F6)</f>
        <v>43</v>
      </c>
      <c r="G7" s="253">
        <f>SUM(G3:G6)</f>
        <v>27</v>
      </c>
      <c r="H7" s="253">
        <f>SUM(H3:H6)</f>
        <v>44</v>
      </c>
      <c r="I7" s="253">
        <f>SUM(I3:I6)</f>
        <v>71</v>
      </c>
      <c r="J7" s="253">
        <f>SUM(J3:J6)</f>
        <v>50</v>
      </c>
      <c r="K7" s="253">
        <f>SUM(K3:K6)</f>
        <v>0</v>
      </c>
      <c r="L7" s="253">
        <f>SUM(L3:L6)</f>
        <v>0</v>
      </c>
      <c r="M7" s="253">
        <f>SUM(M3:M6)</f>
        <v>0</v>
      </c>
      <c r="N7" s="253">
        <f>SUM(N3:N6)</f>
        <v>385</v>
      </c>
    </row>
    <row r="8" ht="15.1" customHeight="1">
      <c r="A8" s="255"/>
      <c r="B8" s="172"/>
      <c r="C8" s="173"/>
      <c r="D8" s="173"/>
      <c r="E8" s="173"/>
      <c r="F8" t="s" s="174">
        <v>3266</v>
      </c>
      <c r="G8" s="16"/>
      <c r="H8" s="16"/>
      <c r="I8" s="16"/>
      <c r="J8" s="173"/>
      <c r="K8" s="173"/>
      <c r="L8" s="173"/>
      <c r="M8" s="173"/>
      <c r="N8" s="173"/>
    </row>
    <row r="9" ht="15.1" customHeight="1">
      <c r="A9" t="s" s="291">
        <v>3272</v>
      </c>
      <c r="B9" s="292">
        <f>N7</f>
        <v>385</v>
      </c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</row>
    <row r="10" ht="15.1" customHeight="1">
      <c r="A10" t="s" s="291">
        <v>3345</v>
      </c>
      <c r="B10" s="293">
        <f>N3/B9</f>
        <v>0.384415584415584</v>
      </c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</row>
    <row r="11" ht="15.1" customHeight="1">
      <c r="A11" t="s" s="291">
        <v>3346</v>
      </c>
      <c r="B11" s="293">
        <f>N4/B9</f>
        <v>0.132467532467532</v>
      </c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</row>
    <row r="12" ht="15.1" customHeight="1">
      <c r="A12" t="s" s="291">
        <v>3347</v>
      </c>
      <c r="B12" s="293">
        <f>N5/B9</f>
        <v>0.220779220779221</v>
      </c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</row>
    <row r="13" ht="15.1" customHeight="1">
      <c r="A13" t="s" s="291">
        <v>3348</v>
      </c>
      <c r="B13" s="293">
        <f>N6/B9</f>
        <v>0.262337662337662</v>
      </c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</row>
    <row r="14" ht="17.25" customHeight="1">
      <c r="A14" s="247"/>
      <c r="B14" s="213"/>
      <c r="C14" s="215"/>
      <c r="D14" s="215"/>
      <c r="E14" s="215"/>
      <c r="F14" t="s" s="216">
        <v>3270</v>
      </c>
      <c r="G14" s="16"/>
      <c r="H14" s="16"/>
      <c r="I14" s="16"/>
      <c r="J14" s="215"/>
      <c r="K14" s="215"/>
      <c r="L14" s="215"/>
      <c r="M14" s="215"/>
      <c r="N14" s="215"/>
    </row>
    <row r="15" ht="15.1" customHeight="1">
      <c r="A15" s="286"/>
      <c r="B15" s="220">
        <v>45292</v>
      </c>
      <c r="C15" s="221">
        <v>45323</v>
      </c>
      <c r="D15" s="221">
        <v>45352</v>
      </c>
      <c r="E15" s="221">
        <v>45383</v>
      </c>
      <c r="F15" s="221">
        <v>45413</v>
      </c>
      <c r="G15" s="221">
        <v>45444</v>
      </c>
      <c r="H15" s="221">
        <v>45474</v>
      </c>
      <c r="I15" s="221">
        <v>45505</v>
      </c>
      <c r="J15" s="221">
        <v>45536</v>
      </c>
      <c r="K15" s="221">
        <v>45566</v>
      </c>
      <c r="L15" s="221">
        <v>45597</v>
      </c>
      <c r="M15" s="221">
        <v>45627</v>
      </c>
      <c r="N15" t="s" s="287">
        <v>3237</v>
      </c>
    </row>
    <row r="16" ht="15.1" customHeight="1">
      <c r="A16" t="s" s="163">
        <v>3345</v>
      </c>
      <c r="B16" s="224">
        <f>SUM('January 2024'!S502:S503)</f>
        <v>7949.78</v>
      </c>
      <c r="C16" s="225">
        <f>GETPIVOTDATA("Sum of Total Line Item $",'February 2024'!R572,"Line Item Name","CC-HCCMKII-08-NC")</f>
        <v>3527.3985</v>
      </c>
      <c r="D16" s="225">
        <f>GETPIVOTDATA("Sum of Total Line Item $",'March 2024'!R573,"Line Item Name","CC-HCCMKII-08-NC")</f>
        <v>2449.93</v>
      </c>
      <c r="E16" s="225">
        <f>GETPIVOTDATA("Sum of Total Line Item $",'April 2024'!R692,"Line Item Name","CC-HCCMKII-08-NC")</f>
        <v>5249.85</v>
      </c>
      <c r="F16" s="225">
        <f>GETPIVOTDATA("Sum of Total Line Item $",'May 2024'!R1387,"Line Item Name","CC-HCCMKII-08-NC")</f>
        <v>4194.88</v>
      </c>
      <c r="G16" s="225">
        <f>GETPIVOTDATA("Sum of Total Line Item $",'June 2024'!R658,"Line Item Name","CC-HCCMKII-08-NC")</f>
        <v>4112.3825</v>
      </c>
      <c r="H16" s="225">
        <f>GETPIVOTDATA("Sum of Total Line Item $",'July 2024'!Q1204,"Line Item Name","CC-HCCMKII-08-NC")</f>
        <v>7649.78</v>
      </c>
      <c r="I16" s="225">
        <f>GETPIVOTDATA("Sum of Total Line Item $",'August 2024'!S811,"Line Item Name","CC-HCCMKII-08-NC")</f>
        <v>10124.71</v>
      </c>
      <c r="J16" s="225">
        <f>GETPIVOTDATA("Sum of Total Line Item $",'September 2024'!S793,"Line Item Name","CC-HCCMKII-08-NC")</f>
        <v>3849.89</v>
      </c>
      <c r="K16" s="225"/>
      <c r="L16" s="225"/>
      <c r="M16" s="225"/>
      <c r="N16" s="225">
        <f>SUM(B16:M16)</f>
        <v>49108.601</v>
      </c>
    </row>
    <row r="17" ht="15.1" customHeight="1">
      <c r="A17" t="s" s="163">
        <v>3346</v>
      </c>
      <c r="B17" s="224">
        <f>GETPIVOTDATA("Sum of Total Line Item $",'January 2024'!R465,"Line Item Name","CC-HCCMKII-08-TC")</f>
        <v>2199.96</v>
      </c>
      <c r="C17" s="225">
        <f>GETPIVOTDATA("Sum of Total Line Item $",'February 2024'!R572,"Line Item Name","CC-HCCMKII-08-TC")</f>
        <v>1099.98</v>
      </c>
      <c r="D17" s="225">
        <f>GETPIVOTDATA("Sum of Total Line Item $",'March 2024'!R573,"Line Item Name","CC-HCCMKII-08-TC")</f>
        <v>4399.92</v>
      </c>
      <c r="E17" s="225">
        <f>GETPIVOTDATA("Sum of Total Line Item $",'April 2024'!R692,"Line Item Name","CC-HCCMKII-08-TC")</f>
        <v>3299.94</v>
      </c>
      <c r="F17" s="225">
        <f>GETPIVOTDATA("Sum of Total Line Item $",'May 2024'!R1387,"Line Item Name","CC-HCCMKII-08-TC")</f>
        <v>4262.4225</v>
      </c>
      <c r="G17" s="225">
        <f>GETPIVOTDATA("Sum of Total Line Item $",'June 2024'!R658,"Line Item Name","CC-HCCMKII-08-TC")</f>
        <v>2749.95</v>
      </c>
      <c r="H17" s="225">
        <f>GETPIVOTDATA("Sum of Total Line Item $",'July 2024'!Q1204,"Line Item Name","CC-HCCMKII-08-TC")</f>
        <v>549.99</v>
      </c>
      <c r="I17" s="225">
        <f>GETPIVOTDATA("Sum of Total Line Item $",'August 2024'!S811,"Line Item Name","CC-HCCMKII-08-TC")</f>
        <v>5774.895</v>
      </c>
      <c r="J17" s="225">
        <f>GETPIVOTDATA("Sum of Total Line Item $",'September 2024'!S793,"Line Item Name","CC-HCCMKII-08-TC")</f>
        <v>3274.94</v>
      </c>
      <c r="K17" s="225"/>
      <c r="L17" s="225"/>
      <c r="M17" s="225"/>
      <c r="N17" s="225">
        <f>SUM(B17:M17)</f>
        <v>27611.9975</v>
      </c>
    </row>
    <row r="18" ht="15.1" customHeight="1">
      <c r="A18" t="s" s="163">
        <v>3347</v>
      </c>
      <c r="B18" s="224">
        <f>GETPIVOTDATA("Sum of Total Line Item $",'January 2024'!R465,"Line Item Name","CC-HCCMKII-15-NC")</f>
        <v>1199.97</v>
      </c>
      <c r="C18" s="225">
        <f>GETPIVOTDATA("Sum of Total Line Item $",'February 2024'!R572,"Line Item Name","CC-HCCMKII-15-NC")</f>
        <v>4499.8875</v>
      </c>
      <c r="D18" s="225">
        <f>GETPIVOTDATA("Sum of Total Line Item $",'March 2024'!R573,"Line Item Name","CC-HCCMKII-15-NC")</f>
        <v>1999.95</v>
      </c>
      <c r="E18" s="225">
        <f>GETPIVOTDATA("Sum of Total Line Item $",'April 2024'!R692,"Line Item Name","CC-HCCMKII-15-NC")</f>
        <v>3574.91</v>
      </c>
      <c r="F18" s="225">
        <f>GETPIVOTDATA("Sum of Total Line Item $",'May 2024'!R1387,"Line Item Name","CC-HCCMKII-15-NC")</f>
        <v>3599.91</v>
      </c>
      <c r="G18" s="225">
        <f>GETPIVOTDATA("Sum of Total Line Item $",'June 2024'!R658,"Line Item Name","CC-HCCMKII-15-NC")</f>
        <v>3099.9225</v>
      </c>
      <c r="H18" s="225">
        <f>GETPIVOTDATA("Sum of Total Line Item $",'July 2024'!Q1204,"Line Item Name","CC-HCCMKII-15-NC")+GETPIVOTDATA("Sum of Total Line Item $",'July 2024'!Q1204,"Line Item Name","CC-HCCMKII-25-NC")</f>
        <v>2429.94</v>
      </c>
      <c r="I18" s="225">
        <f>GETPIVOTDATA("Sum of Total Line Item $",'August 2024'!S811,"Line Item Name","CC-HCCMKII-15-NC")</f>
        <v>6799.83</v>
      </c>
      <c r="J18" s="225">
        <f>GETPIVOTDATA("Sum of Total Line Item $",'September 2024'!S793,"Line Item Name","CC-HCCMKII-15-NC")</f>
        <v>6374.84</v>
      </c>
      <c r="K18" s="225"/>
      <c r="L18" s="225"/>
      <c r="M18" s="225"/>
      <c r="N18" s="225">
        <f>SUM(B18:M18)</f>
        <v>33579.16</v>
      </c>
    </row>
    <row r="19" ht="15.1" customHeight="1">
      <c r="A19" t="s" s="163">
        <v>3348</v>
      </c>
      <c r="B19" s="224">
        <f>GETPIVOTDATA("Sum of Total Line Item $",'January 2024'!R465,"Line Item Name","CC-HCCMKII-15-TC")</f>
        <v>3549.94</v>
      </c>
      <c r="C19" s="225">
        <f>GETPIVOTDATA("Sum of Total Line Item $",'February 2024'!R572,"Line Item Name","CC-HCCMKII-15-TC")</f>
        <v>6291.555</v>
      </c>
      <c r="D19" s="225">
        <f>GETPIVOTDATA("Sum of Total Line Item $",'March 2024'!R573,"Line Item Name","CC-HCCMKII-15-TC")</f>
        <v>8962.35</v>
      </c>
      <c r="E19" s="225">
        <f>GETPIVOTDATA("Sum of Total Line Item $",'April 2024'!R692,"Line Item Name","CC-HCCMKII-15-TC")</f>
        <v>4749.92</v>
      </c>
      <c r="F19" s="225">
        <f>GETPIVOTDATA("Sum of Total Line Item $",'May 2024'!R1387,"Line Item Name","CC-HCCMKII-15-TC")</f>
        <v>8224.862499999999</v>
      </c>
      <c r="G19" s="225">
        <f>GETPIVOTDATA("Sum of Total Line Item $",'June 2024'!R658,"Line Item Name","CC-HCCMKII-15-TC")</f>
        <v>1191.64</v>
      </c>
      <c r="H19" s="225">
        <f>GETPIVOTDATA("Sum of Total Line Item $",'July 2024'!Q1204,"Line Item Name","CC-HCCMKII-15-TC")</f>
        <v>7349.8775</v>
      </c>
      <c r="I19" s="225">
        <f>GETPIVOTDATA("Sum of Total Line Item $",'August 2024'!S811,"Line Item Name","CC-HCCMKII-15-TC")</f>
        <v>7799.87</v>
      </c>
      <c r="J19" s="225">
        <f>SUM('September 2024'!T855:T856)</f>
        <v>9786.497499999999</v>
      </c>
      <c r="K19" s="225"/>
      <c r="L19" s="225"/>
      <c r="M19" s="225"/>
      <c r="N19" s="225">
        <f>SUM(B19:M19)</f>
        <v>57906.5125</v>
      </c>
    </row>
    <row r="20" ht="15.1" customHeight="1">
      <c r="A20" t="s" s="288">
        <v>3237</v>
      </c>
      <c r="B20" s="230">
        <f>SUM(B16:B19)</f>
        <v>14899.65</v>
      </c>
      <c r="C20" s="231">
        <f>SUM(C16:C19)</f>
        <v>15418.821</v>
      </c>
      <c r="D20" s="231">
        <f>SUM(D16:D19)</f>
        <v>17812.15</v>
      </c>
      <c r="E20" s="231">
        <f>SUM(E16:E19)</f>
        <v>16874.62</v>
      </c>
      <c r="F20" s="231">
        <f>SUM(F16:F19)</f>
        <v>20282.075</v>
      </c>
      <c r="G20" s="231">
        <f>SUM(G16:G19)</f>
        <v>11153.895</v>
      </c>
      <c r="H20" s="231">
        <f>SUM(H16:H19)</f>
        <v>17979.5875</v>
      </c>
      <c r="I20" s="231">
        <f>SUM(I16:I19)</f>
        <v>30499.305</v>
      </c>
      <c r="J20" s="231">
        <f>SUM(J16:J19)</f>
        <v>23286.1675</v>
      </c>
      <c r="K20" s="231">
        <f>SUM(K16:K19)</f>
        <v>0</v>
      </c>
      <c r="L20" s="231">
        <f>SUM(L16:L19)</f>
        <v>0</v>
      </c>
      <c r="M20" s="231">
        <f>SUM(M16:M19)</f>
        <v>0</v>
      </c>
      <c r="N20" s="231">
        <f>SUM(N16:N19)</f>
        <v>168206.271</v>
      </c>
    </row>
    <row r="21" ht="15.1" customHeight="1">
      <c r="A21" s="247"/>
      <c r="B21" s="234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</row>
    <row r="22" ht="15.1" customHeight="1">
      <c r="A22" t="s" s="241">
        <v>3272</v>
      </c>
      <c r="B22" s="300">
        <f>SUM(N16:N19)</f>
        <v>168206.271</v>
      </c>
      <c r="C22" s="166"/>
      <c r="D22" t="s" s="301">
        <v>3274</v>
      </c>
      <c r="E22" t="s" s="301">
        <v>3275</v>
      </c>
      <c r="F22" t="s" s="301">
        <v>3349</v>
      </c>
      <c r="G22" t="s" s="301">
        <v>3277</v>
      </c>
      <c r="H22" s="166"/>
      <c r="I22" t="s" s="239">
        <v>3278</v>
      </c>
      <c r="J22" s="240">
        <f>SUM(G23:G26)</f>
        <v>99370.0410000001</v>
      </c>
      <c r="K22" s="166"/>
      <c r="L22" s="166"/>
      <c r="M22" s="166"/>
      <c r="N22" s="166"/>
    </row>
    <row r="23" ht="15.1" customHeight="1">
      <c r="A23" t="s" s="241">
        <v>3345</v>
      </c>
      <c r="B23" s="213">
        <f>N16/B22</f>
        <v>0.291954638242946</v>
      </c>
      <c r="C23" s="166"/>
      <c r="D23" s="225">
        <v>143.62</v>
      </c>
      <c r="E23" s="225">
        <f>N16/N3</f>
        <v>331.814871621622</v>
      </c>
      <c r="F23" s="225">
        <f>E23-D23</f>
        <v>188.194871621622</v>
      </c>
      <c r="G23" s="225">
        <f>F23*N3</f>
        <v>27852.8410000001</v>
      </c>
      <c r="H23" s="166"/>
      <c r="I23" t="s" s="239">
        <v>3345</v>
      </c>
      <c r="J23" s="243">
        <f>G23/J22</f>
        <v>0.280294148213143</v>
      </c>
      <c r="K23" s="166"/>
      <c r="L23" s="166"/>
      <c r="M23" s="166"/>
      <c r="N23" s="166"/>
    </row>
    <row r="24" ht="15.1" customHeight="1">
      <c r="A24" t="s" s="241">
        <v>3346</v>
      </c>
      <c r="B24" s="213">
        <f>N17/B22</f>
        <v>0.164155577172268</v>
      </c>
      <c r="C24" s="166"/>
      <c r="D24" s="225">
        <v>219.06</v>
      </c>
      <c r="E24" s="225">
        <f>N17/N4</f>
        <v>541.411715686275</v>
      </c>
      <c r="F24" s="225">
        <f>E24-D24</f>
        <v>322.351715686275</v>
      </c>
      <c r="G24" s="225">
        <f>F24*N4</f>
        <v>16439.9375</v>
      </c>
      <c r="H24" s="166"/>
      <c r="I24" t="s" s="239">
        <v>3346</v>
      </c>
      <c r="J24" s="243">
        <f>G24/J22</f>
        <v>0.165441589180787</v>
      </c>
      <c r="K24" s="166"/>
      <c r="L24" s="166"/>
      <c r="M24" s="166"/>
      <c r="N24" s="166"/>
    </row>
    <row r="25" ht="15.1" customHeight="1">
      <c r="A25" t="s" s="241">
        <v>3347</v>
      </c>
      <c r="B25" s="213">
        <f>N18/B22</f>
        <v>0.199630844916596</v>
      </c>
      <c r="C25" s="166"/>
      <c r="D25" s="225">
        <v>153.84</v>
      </c>
      <c r="E25" s="225">
        <f>N18/N5</f>
        <v>395.048941176471</v>
      </c>
      <c r="F25" s="225">
        <f>E25-D25</f>
        <v>241.208941176471</v>
      </c>
      <c r="G25" s="225">
        <f>F25*N5</f>
        <v>20502.76</v>
      </c>
      <c r="H25" s="166"/>
      <c r="I25" t="s" s="239">
        <v>3347</v>
      </c>
      <c r="J25" s="243">
        <f>G25/J22</f>
        <v>0.20632737788646</v>
      </c>
      <c r="K25" s="166"/>
      <c r="L25" s="166"/>
      <c r="M25" s="166"/>
      <c r="N25" s="166"/>
    </row>
    <row r="26" ht="15.1" customHeight="1">
      <c r="A26" t="s" s="241">
        <v>3348</v>
      </c>
      <c r="B26" s="213">
        <f>N19/B22</f>
        <v>0.344258939668189</v>
      </c>
      <c r="C26" s="166"/>
      <c r="D26" s="225">
        <v>231.01</v>
      </c>
      <c r="E26" s="225">
        <f>N19/N6</f>
        <v>573.331806930693</v>
      </c>
      <c r="F26" s="225">
        <f>E26-D26</f>
        <v>342.321806930693</v>
      </c>
      <c r="G26" s="225">
        <f>F26*N6</f>
        <v>34574.5025</v>
      </c>
      <c r="H26" s="166"/>
      <c r="I26" t="s" s="239">
        <v>3348</v>
      </c>
      <c r="J26" s="243">
        <f>G26/J22</f>
        <v>0.34793688471961</v>
      </c>
      <c r="K26" s="166"/>
      <c r="L26" s="166"/>
      <c r="M26" s="166"/>
      <c r="N26" s="166"/>
    </row>
  </sheetData>
  <mergeCells count="3">
    <mergeCell ref="A1:N1"/>
    <mergeCell ref="F14:I14"/>
    <mergeCell ref="F8:I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970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316" customWidth="1"/>
    <col min="9" max="9" width="30" style="317" customWidth="1"/>
    <col min="10" max="15" width="13.3516" style="317" customWidth="1"/>
    <col min="16" max="16" width="44.8125" style="318" customWidth="1"/>
    <col min="17" max="17" width="13.3516" style="318" customWidth="1"/>
    <col min="18" max="18" width="39.3906" style="319" customWidth="1"/>
    <col min="19" max="19" width="13.3516" style="319" customWidth="1"/>
    <col min="20" max="16384" width="16.3516" style="319" customWidth="1"/>
  </cols>
  <sheetData>
    <row r="1" ht="15.55" customHeight="1">
      <c r="A1" t="s" s="2">
        <v>3350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3351</v>
      </c>
      <c r="B3" t="s" s="5">
        <v>3352</v>
      </c>
      <c r="C3" s="6">
        <v>45291.290853368053</v>
      </c>
      <c r="D3" t="s" s="7">
        <v>1695</v>
      </c>
      <c r="E3" t="s" s="7">
        <v>140</v>
      </c>
      <c r="F3" s="8">
        <v>2</v>
      </c>
      <c r="G3" s="9">
        <v>49.99</v>
      </c>
      <c r="H3" s="9">
        <v>99.98</v>
      </c>
    </row>
    <row r="4" ht="12.9" customHeight="1">
      <c r="A4" t="s" s="10">
        <v>3351</v>
      </c>
      <c r="B4" t="s" s="11">
        <v>3352</v>
      </c>
      <c r="C4" s="12">
        <v>45291.290853368053</v>
      </c>
      <c r="D4" t="s" s="13">
        <v>15</v>
      </c>
      <c r="E4" t="s" s="13">
        <v>16</v>
      </c>
      <c r="F4" s="14">
        <v>2</v>
      </c>
      <c r="G4" s="15">
        <v>9.99</v>
      </c>
      <c r="H4" s="15">
        <v>19.98</v>
      </c>
    </row>
    <row r="5" ht="12.9" customHeight="1">
      <c r="A5" t="s" s="10">
        <v>3351</v>
      </c>
      <c r="B5" t="s" s="11">
        <v>3352</v>
      </c>
      <c r="C5" s="12">
        <v>45291.290853368053</v>
      </c>
      <c r="D5" t="s" s="13">
        <v>54</v>
      </c>
      <c r="E5" t="s" s="13">
        <v>93</v>
      </c>
      <c r="F5" s="14">
        <v>1</v>
      </c>
      <c r="G5" s="15">
        <v>9.99</v>
      </c>
      <c r="H5" s="15">
        <v>9.99</v>
      </c>
    </row>
    <row r="6" ht="12.9" customHeight="1">
      <c r="A6" t="s" s="10">
        <v>3353</v>
      </c>
      <c r="B6" t="s" s="11">
        <v>3354</v>
      </c>
      <c r="C6" s="12">
        <v>45290.135296099535</v>
      </c>
      <c r="D6" t="s" s="13">
        <v>35</v>
      </c>
      <c r="E6" t="s" s="13">
        <v>36</v>
      </c>
      <c r="F6" s="14">
        <v>1</v>
      </c>
      <c r="G6" s="15">
        <v>49.99</v>
      </c>
      <c r="H6" s="15">
        <v>49.99</v>
      </c>
    </row>
    <row r="7" ht="12.9" customHeight="1">
      <c r="A7" t="s" s="10">
        <v>3355</v>
      </c>
      <c r="B7" t="s" s="11">
        <v>3209</v>
      </c>
      <c r="C7" s="12">
        <v>45289.882739201392</v>
      </c>
      <c r="D7" t="s" s="13">
        <v>19</v>
      </c>
      <c r="E7" t="s" s="13">
        <v>20</v>
      </c>
      <c r="F7" s="14">
        <v>1</v>
      </c>
      <c r="G7" s="15">
        <v>119.99</v>
      </c>
      <c r="H7" s="15">
        <v>119.99</v>
      </c>
    </row>
    <row r="8" ht="12.9" customHeight="1">
      <c r="A8" t="s" s="10">
        <v>3355</v>
      </c>
      <c r="B8" t="s" s="11">
        <v>3209</v>
      </c>
      <c r="C8" s="12">
        <v>45289.882739201392</v>
      </c>
      <c r="D8" t="s" s="13">
        <v>15</v>
      </c>
      <c r="E8" t="s" s="13">
        <v>16</v>
      </c>
      <c r="F8" s="14">
        <v>1</v>
      </c>
      <c r="G8" s="15">
        <v>9.99</v>
      </c>
      <c r="H8" s="15">
        <v>9.99</v>
      </c>
    </row>
    <row r="9" ht="12.9" customHeight="1">
      <c r="A9" t="s" s="10">
        <v>3356</v>
      </c>
      <c r="B9" t="s" s="11">
        <v>3357</v>
      </c>
      <c r="C9" s="12">
        <v>45289.753205486108</v>
      </c>
      <c r="D9" t="s" s="13">
        <v>23</v>
      </c>
      <c r="E9" t="s" s="13">
        <v>24</v>
      </c>
      <c r="F9" s="14">
        <v>2</v>
      </c>
      <c r="G9" s="15">
        <v>149.99</v>
      </c>
      <c r="H9" s="15">
        <v>299.98</v>
      </c>
    </row>
    <row r="10" ht="12.9" customHeight="1">
      <c r="A10" t="s" s="10">
        <v>3356</v>
      </c>
      <c r="B10" t="s" s="11">
        <v>3357</v>
      </c>
      <c r="C10" s="12">
        <v>45289.753205486108</v>
      </c>
      <c r="D10" t="s" s="13">
        <v>19</v>
      </c>
      <c r="E10" t="s" s="13">
        <v>20</v>
      </c>
      <c r="F10" s="14">
        <v>1</v>
      </c>
      <c r="G10" s="15">
        <v>119.99</v>
      </c>
      <c r="H10" s="15">
        <v>119.99</v>
      </c>
    </row>
    <row r="11" ht="12.9" customHeight="1">
      <c r="A11" t="s" s="10">
        <v>3356</v>
      </c>
      <c r="B11" t="s" s="11">
        <v>3357</v>
      </c>
      <c r="C11" s="12">
        <v>45289.753205486108</v>
      </c>
      <c r="D11" t="s" s="13">
        <v>15</v>
      </c>
      <c r="E11" t="s" s="13">
        <v>16</v>
      </c>
      <c r="F11" s="14">
        <v>1</v>
      </c>
      <c r="G11" s="15">
        <v>9.99</v>
      </c>
      <c r="H11" s="15">
        <v>9.99</v>
      </c>
    </row>
    <row r="12" ht="12.9" customHeight="1">
      <c r="A12" t="s" s="10">
        <v>3358</v>
      </c>
      <c r="B12" t="s" s="11">
        <v>2916</v>
      </c>
      <c r="C12" s="12">
        <v>45288.737365196757</v>
      </c>
      <c r="D12" t="s" s="13">
        <v>73</v>
      </c>
      <c r="E12" t="s" s="13">
        <v>74</v>
      </c>
      <c r="F12" s="14">
        <v>1</v>
      </c>
      <c r="G12" s="15">
        <v>399.99</v>
      </c>
      <c r="H12" s="15">
        <v>399.99</v>
      </c>
    </row>
    <row r="13" ht="12.9" customHeight="1">
      <c r="A13" t="s" s="10">
        <v>3359</v>
      </c>
      <c r="B13" t="s" s="11">
        <v>3360</v>
      </c>
      <c r="C13" s="12">
        <v>45288.725846539353</v>
      </c>
      <c r="D13" t="s" s="13">
        <v>95</v>
      </c>
      <c r="E13" t="s" s="13">
        <v>12</v>
      </c>
      <c r="F13" s="14">
        <v>1</v>
      </c>
      <c r="G13" s="15">
        <v>349.99</v>
      </c>
      <c r="H13" s="15">
        <v>349.99</v>
      </c>
    </row>
    <row r="14" ht="12.9" customHeight="1">
      <c r="A14" t="s" s="10">
        <v>3361</v>
      </c>
      <c r="B14" t="s" s="11">
        <v>3362</v>
      </c>
      <c r="C14" s="12">
        <v>45288.714477314817</v>
      </c>
      <c r="D14" t="s" s="13">
        <v>73</v>
      </c>
      <c r="E14" t="s" s="13">
        <v>74</v>
      </c>
      <c r="F14" s="14">
        <v>1</v>
      </c>
      <c r="G14" s="15">
        <v>399.99</v>
      </c>
      <c r="H14" s="15">
        <v>399.99</v>
      </c>
    </row>
    <row r="15" ht="12.9" customHeight="1">
      <c r="A15" t="s" s="10">
        <v>3363</v>
      </c>
      <c r="B15" t="s" s="11">
        <v>3364</v>
      </c>
      <c r="C15" s="12">
        <v>45288.580171770831</v>
      </c>
      <c r="D15" t="s" s="13">
        <v>73</v>
      </c>
      <c r="E15" t="s" s="13">
        <v>74</v>
      </c>
      <c r="F15" s="14">
        <v>1</v>
      </c>
      <c r="G15" s="15">
        <v>399.99</v>
      </c>
      <c r="H15" s="15">
        <v>399.99</v>
      </c>
    </row>
    <row r="16" ht="12.9" customHeight="1">
      <c r="A16" t="s" s="10">
        <v>3365</v>
      </c>
      <c r="B16" t="s" s="11">
        <v>1027</v>
      </c>
      <c r="C16" s="12">
        <v>45288.254023287038</v>
      </c>
      <c r="D16" t="s" s="13">
        <v>123</v>
      </c>
      <c r="E16" t="s" s="13">
        <v>124</v>
      </c>
      <c r="F16" s="14">
        <v>20</v>
      </c>
      <c r="G16" s="15">
        <v>179.99</v>
      </c>
      <c r="H16" s="15">
        <v>3599.8</v>
      </c>
    </row>
    <row r="17" ht="12.9" customHeight="1">
      <c r="A17" t="s" s="10">
        <v>3366</v>
      </c>
      <c r="B17" t="s" s="11">
        <v>1200</v>
      </c>
      <c r="C17" s="12">
        <v>45288</v>
      </c>
      <c r="D17" t="s" s="13">
        <v>57</v>
      </c>
      <c r="E17" t="s" s="13">
        <v>58</v>
      </c>
      <c r="F17" s="14">
        <v>2</v>
      </c>
      <c r="G17" s="15">
        <v>599.9924999999999</v>
      </c>
      <c r="H17" s="15">
        <v>1199.985</v>
      </c>
    </row>
    <row r="18" ht="12.9" customHeight="1">
      <c r="A18" t="s" s="10">
        <v>3367</v>
      </c>
      <c r="B18" t="s" s="11">
        <v>831</v>
      </c>
      <c r="C18" s="12">
        <v>45288</v>
      </c>
      <c r="D18" t="s" s="13">
        <v>3216</v>
      </c>
      <c r="E18" t="s" s="13">
        <v>3368</v>
      </c>
      <c r="F18" s="14">
        <v>1</v>
      </c>
      <c r="G18" s="15">
        <v>0</v>
      </c>
      <c r="H18" s="15">
        <v>0</v>
      </c>
    </row>
    <row r="19" ht="12.9" customHeight="1">
      <c r="A19" t="s" s="10">
        <v>3369</v>
      </c>
      <c r="B19" t="s" s="11">
        <v>3370</v>
      </c>
      <c r="C19" s="12">
        <v>45288</v>
      </c>
      <c r="D19" t="s" s="13">
        <v>3216</v>
      </c>
      <c r="E19" t="s" s="13">
        <v>3217</v>
      </c>
      <c r="F19" s="14">
        <v>1</v>
      </c>
      <c r="G19" s="15">
        <v>0</v>
      </c>
      <c r="H19" s="15">
        <v>0</v>
      </c>
    </row>
    <row r="20" ht="12.9" customHeight="1">
      <c r="A20" t="s" s="10">
        <v>3371</v>
      </c>
      <c r="B20" t="s" s="11">
        <v>3372</v>
      </c>
      <c r="C20" s="12">
        <v>45287.8098977199</v>
      </c>
      <c r="D20" t="s" s="13">
        <v>239</v>
      </c>
      <c r="E20" t="s" s="13">
        <v>240</v>
      </c>
      <c r="F20" s="14">
        <v>2</v>
      </c>
      <c r="G20" s="15">
        <v>99.98999999999999</v>
      </c>
      <c r="H20" s="15">
        <v>199.98</v>
      </c>
    </row>
    <row r="21" ht="12.9" customHeight="1">
      <c r="A21" t="s" s="10">
        <v>3373</v>
      </c>
      <c r="B21" t="s" s="11">
        <v>3374</v>
      </c>
      <c r="C21" s="12">
        <v>45287.039845949075</v>
      </c>
      <c r="D21" t="s" s="13">
        <v>35</v>
      </c>
      <c r="E21" t="s" s="13">
        <v>36</v>
      </c>
      <c r="F21" s="14">
        <v>2</v>
      </c>
      <c r="G21" s="15">
        <v>49.99</v>
      </c>
      <c r="H21" s="15">
        <v>99.98</v>
      </c>
    </row>
    <row r="22" ht="12.9" customHeight="1">
      <c r="A22" t="s" s="10">
        <v>3375</v>
      </c>
      <c r="B22" t="s" s="11">
        <v>3376</v>
      </c>
      <c r="C22" s="12">
        <v>45286.932419386576</v>
      </c>
      <c r="D22" t="s" s="13">
        <v>15</v>
      </c>
      <c r="E22" t="s" s="13">
        <v>16</v>
      </c>
      <c r="F22" s="14">
        <v>2</v>
      </c>
      <c r="G22" s="15">
        <v>9.99</v>
      </c>
      <c r="H22" s="15">
        <v>19.98</v>
      </c>
    </row>
    <row r="23" ht="12.9" customHeight="1">
      <c r="A23" t="s" s="10">
        <v>3375</v>
      </c>
      <c r="B23" t="s" s="11">
        <v>3376</v>
      </c>
      <c r="C23" s="12">
        <v>45286.932419386576</v>
      </c>
      <c r="D23" t="s" s="13">
        <v>54</v>
      </c>
      <c r="E23" t="s" s="13">
        <v>93</v>
      </c>
      <c r="F23" s="14">
        <v>1</v>
      </c>
      <c r="G23" s="15">
        <v>9.99</v>
      </c>
      <c r="H23" s="15">
        <v>9.99</v>
      </c>
    </row>
    <row r="24" ht="12.9" customHeight="1">
      <c r="A24" t="s" s="10">
        <v>3375</v>
      </c>
      <c r="B24" t="s" s="11">
        <v>3376</v>
      </c>
      <c r="C24" s="12">
        <v>45286.932419386576</v>
      </c>
      <c r="D24" t="s" s="13">
        <v>1695</v>
      </c>
      <c r="E24" t="s" s="13">
        <v>140</v>
      </c>
      <c r="F24" s="14">
        <v>1</v>
      </c>
      <c r="G24" s="15">
        <v>49.99</v>
      </c>
      <c r="H24" s="15">
        <v>49.99</v>
      </c>
    </row>
    <row r="25" ht="12.9" customHeight="1">
      <c r="A25" t="s" s="10">
        <v>3375</v>
      </c>
      <c r="B25" t="s" s="11">
        <v>3376</v>
      </c>
      <c r="C25" s="12">
        <v>45286.932419386576</v>
      </c>
      <c r="D25" t="s" s="13">
        <v>15</v>
      </c>
      <c r="E25" t="s" s="13">
        <v>16</v>
      </c>
      <c r="F25" s="14">
        <v>1</v>
      </c>
      <c r="G25" s="15">
        <v>9.99</v>
      </c>
      <c r="H25" s="15">
        <v>9.99</v>
      </c>
    </row>
    <row r="26" ht="12.9" customHeight="1">
      <c r="A26" t="s" s="10">
        <v>3375</v>
      </c>
      <c r="B26" t="s" s="11">
        <v>3376</v>
      </c>
      <c r="C26" s="12">
        <v>45286.932419386576</v>
      </c>
      <c r="D26" t="s" s="13">
        <v>146</v>
      </c>
      <c r="E26" t="s" s="13">
        <v>147</v>
      </c>
      <c r="F26" s="14">
        <v>1</v>
      </c>
      <c r="G26" s="15">
        <v>19.99</v>
      </c>
      <c r="H26" s="15">
        <v>19.99</v>
      </c>
    </row>
    <row r="27" ht="12.9" customHeight="1">
      <c r="A27" t="s" s="10">
        <v>3377</v>
      </c>
      <c r="B27" t="s" s="11">
        <v>3378</v>
      </c>
      <c r="C27" s="12">
        <v>45286.751327962964</v>
      </c>
      <c r="D27" t="s" s="13">
        <v>39</v>
      </c>
      <c r="E27" t="s" s="13">
        <v>40</v>
      </c>
      <c r="F27" s="14">
        <v>1</v>
      </c>
      <c r="G27" s="15">
        <v>109.99</v>
      </c>
      <c r="H27" s="15">
        <v>109.99</v>
      </c>
    </row>
    <row r="28" ht="12.9" customHeight="1">
      <c r="A28" t="s" s="10">
        <v>3379</v>
      </c>
      <c r="B28" t="s" s="11">
        <v>3231</v>
      </c>
      <c r="C28" s="12">
        <v>45286.736936782407</v>
      </c>
      <c r="D28" t="s" s="13">
        <v>146</v>
      </c>
      <c r="E28" t="s" s="13">
        <v>147</v>
      </c>
      <c r="F28" s="14">
        <v>10</v>
      </c>
      <c r="G28" s="15">
        <v>19.99</v>
      </c>
      <c r="H28" s="15">
        <v>199.9</v>
      </c>
    </row>
    <row r="29" ht="12.9" customHeight="1">
      <c r="A29" t="s" s="10">
        <v>3380</v>
      </c>
      <c r="B29" t="s" s="11">
        <v>3381</v>
      </c>
      <c r="C29" s="12">
        <v>45286.648510196763</v>
      </c>
      <c r="D29" t="s" s="13">
        <v>95</v>
      </c>
      <c r="E29" t="s" s="13">
        <v>12</v>
      </c>
      <c r="F29" s="14">
        <v>1</v>
      </c>
      <c r="G29" s="15">
        <v>349.99</v>
      </c>
      <c r="H29" s="15">
        <v>349.99</v>
      </c>
    </row>
    <row r="30" ht="12.9" customHeight="1">
      <c r="A30" t="s" s="10">
        <v>3382</v>
      </c>
      <c r="B30" t="s" s="11">
        <v>3383</v>
      </c>
      <c r="C30" s="12">
        <v>45286.233662685183</v>
      </c>
      <c r="D30" t="s" s="13">
        <v>95</v>
      </c>
      <c r="E30" t="s" s="13">
        <v>12</v>
      </c>
      <c r="F30" s="14">
        <v>1</v>
      </c>
      <c r="G30" s="15">
        <v>349.99</v>
      </c>
      <c r="H30" s="15">
        <v>349.99</v>
      </c>
    </row>
    <row r="31" ht="12.9" customHeight="1">
      <c r="A31" t="s" s="10">
        <v>3384</v>
      </c>
      <c r="B31" t="s" s="11">
        <v>1410</v>
      </c>
      <c r="C31" s="12">
        <v>45284.836246793981</v>
      </c>
      <c r="D31" t="s" s="13">
        <v>81</v>
      </c>
      <c r="E31" t="s" s="13">
        <v>82</v>
      </c>
      <c r="F31" s="14">
        <v>1</v>
      </c>
      <c r="G31" s="15">
        <v>849.99</v>
      </c>
      <c r="H31" s="15">
        <v>849.99</v>
      </c>
    </row>
    <row r="32" ht="12.9" customHeight="1">
      <c r="A32" t="s" s="10">
        <v>3384</v>
      </c>
      <c r="B32" t="s" s="11">
        <v>1410</v>
      </c>
      <c r="C32" s="12">
        <v>45284.836246793981</v>
      </c>
      <c r="D32" t="s" s="13">
        <v>23</v>
      </c>
      <c r="E32" t="s" s="13">
        <v>24</v>
      </c>
      <c r="F32" s="14">
        <v>1</v>
      </c>
      <c r="G32" s="15">
        <v>0</v>
      </c>
      <c r="H32" s="15">
        <v>0</v>
      </c>
    </row>
    <row r="33" ht="12.9" customHeight="1">
      <c r="A33" t="s" s="10">
        <v>3384</v>
      </c>
      <c r="B33" t="s" s="11">
        <v>1410</v>
      </c>
      <c r="C33" s="12">
        <v>45284.836246793981</v>
      </c>
      <c r="D33" t="s" s="13">
        <v>50</v>
      </c>
      <c r="E33" t="s" s="13">
        <v>83</v>
      </c>
      <c r="F33" s="14">
        <v>1</v>
      </c>
      <c r="G33" s="15">
        <v>0</v>
      </c>
      <c r="H33" s="15">
        <v>0</v>
      </c>
    </row>
    <row r="34" ht="12.9" customHeight="1">
      <c r="A34" t="s" s="10">
        <v>3385</v>
      </c>
      <c r="B34" t="s" s="11">
        <v>1704</v>
      </c>
      <c r="C34" s="12">
        <v>45284.828090752315</v>
      </c>
      <c r="D34" t="s" s="13">
        <v>77</v>
      </c>
      <c r="E34" t="s" s="13">
        <v>78</v>
      </c>
      <c r="F34" s="14">
        <v>1</v>
      </c>
      <c r="G34" s="15">
        <v>19.99</v>
      </c>
      <c r="H34" s="15">
        <v>19.99</v>
      </c>
    </row>
    <row r="35" ht="12.9" customHeight="1">
      <c r="A35" t="s" s="10">
        <v>3385</v>
      </c>
      <c r="B35" t="s" s="11">
        <v>1704</v>
      </c>
      <c r="C35" s="12">
        <v>45284.828090752315</v>
      </c>
      <c r="D35" t="s" s="13">
        <v>359</v>
      </c>
      <c r="E35" t="s" s="13">
        <v>360</v>
      </c>
      <c r="F35" s="14">
        <v>1</v>
      </c>
      <c r="G35" s="15">
        <v>29.99</v>
      </c>
      <c r="H35" s="15">
        <v>29.99</v>
      </c>
    </row>
    <row r="36" ht="12.9" customHeight="1">
      <c r="A36" t="s" s="10">
        <v>3386</v>
      </c>
      <c r="B36" t="s" s="11">
        <v>3387</v>
      </c>
      <c r="C36" s="12">
        <v>45284.769158310184</v>
      </c>
      <c r="D36" t="s" s="13">
        <v>354</v>
      </c>
      <c r="E36" t="s" s="13">
        <v>355</v>
      </c>
      <c r="F36" s="14">
        <v>1</v>
      </c>
      <c r="G36" s="15">
        <v>149.99</v>
      </c>
      <c r="H36" s="15">
        <v>149.99</v>
      </c>
    </row>
    <row r="37" ht="12.9" customHeight="1">
      <c r="A37" t="s" s="10">
        <v>3388</v>
      </c>
      <c r="B37" t="s" s="11">
        <v>3389</v>
      </c>
      <c r="C37" s="12">
        <v>45284.068329583337</v>
      </c>
      <c r="D37" t="s" s="13">
        <v>81</v>
      </c>
      <c r="E37" t="s" s="13">
        <v>82</v>
      </c>
      <c r="F37" s="14">
        <v>2</v>
      </c>
      <c r="G37" s="15">
        <v>849.99</v>
      </c>
      <c r="H37" s="15">
        <v>1699.98</v>
      </c>
    </row>
    <row r="38" ht="12.9" customHeight="1">
      <c r="A38" t="s" s="10">
        <v>3388</v>
      </c>
      <c r="B38" t="s" s="11">
        <v>3389</v>
      </c>
      <c r="C38" s="12">
        <v>45284.068329583337</v>
      </c>
      <c r="D38" t="s" s="13">
        <v>50</v>
      </c>
      <c r="E38" t="s" s="13">
        <v>83</v>
      </c>
      <c r="F38" s="14">
        <v>2</v>
      </c>
      <c r="G38" s="15">
        <v>29.99</v>
      </c>
      <c r="H38" s="15">
        <v>59.98</v>
      </c>
    </row>
    <row r="39" ht="12.9" customHeight="1">
      <c r="A39" t="s" s="10">
        <v>3388</v>
      </c>
      <c r="B39" t="s" s="11">
        <v>3389</v>
      </c>
      <c r="C39" s="12">
        <v>45284.068329583337</v>
      </c>
      <c r="D39" t="s" s="13">
        <v>84</v>
      </c>
      <c r="E39" t="s" s="13">
        <v>2685</v>
      </c>
      <c r="F39" s="14">
        <v>2</v>
      </c>
      <c r="G39" s="15">
        <v>15</v>
      </c>
      <c r="H39" s="15">
        <v>30</v>
      </c>
    </row>
    <row r="40" ht="12.9" customHeight="1">
      <c r="A40" t="s" s="10">
        <v>3388</v>
      </c>
      <c r="B40" t="s" s="11">
        <v>3389</v>
      </c>
      <c r="C40" s="12">
        <v>45284.068329583337</v>
      </c>
      <c r="D40" t="s" s="13">
        <v>470</v>
      </c>
      <c r="E40" t="s" s="13">
        <v>517</v>
      </c>
      <c r="F40" s="14">
        <v>2</v>
      </c>
      <c r="G40" s="15">
        <v>100</v>
      </c>
      <c r="H40" s="15">
        <v>200</v>
      </c>
    </row>
    <row r="41" ht="12.9" customHeight="1">
      <c r="A41" t="s" s="10">
        <v>3390</v>
      </c>
      <c r="B41" t="s" s="11">
        <v>3391</v>
      </c>
      <c r="C41" s="12">
        <v>45283.200291770831</v>
      </c>
      <c r="D41" t="s" s="13">
        <v>95</v>
      </c>
      <c r="E41" t="s" s="13">
        <v>12</v>
      </c>
      <c r="F41" s="14">
        <v>1</v>
      </c>
      <c r="G41" s="15">
        <v>349.99</v>
      </c>
      <c r="H41" s="15">
        <v>349.99</v>
      </c>
    </row>
    <row r="42" ht="12.9" customHeight="1">
      <c r="A42" t="s" s="10">
        <v>3392</v>
      </c>
      <c r="B42" t="s" s="11">
        <v>368</v>
      </c>
      <c r="C42" s="12">
        <v>45283.162332430555</v>
      </c>
      <c r="D42" t="s" s="13">
        <v>119</v>
      </c>
      <c r="E42" t="s" s="13">
        <v>120</v>
      </c>
      <c r="F42" s="14">
        <v>10</v>
      </c>
      <c r="G42" s="15">
        <v>1.99</v>
      </c>
      <c r="H42" s="15">
        <v>19.9</v>
      </c>
    </row>
    <row r="43" ht="12.9" customHeight="1">
      <c r="A43" t="s" s="10">
        <v>3392</v>
      </c>
      <c r="B43" t="s" s="11">
        <v>368</v>
      </c>
      <c r="C43" s="12">
        <v>45283.162332430555</v>
      </c>
      <c r="D43" t="s" s="13">
        <v>77</v>
      </c>
      <c r="E43" t="s" s="13">
        <v>78</v>
      </c>
      <c r="F43" s="14">
        <v>2</v>
      </c>
      <c r="G43" s="15">
        <v>19.99</v>
      </c>
      <c r="H43" s="15">
        <v>39.98</v>
      </c>
    </row>
    <row r="44" ht="12.9" customHeight="1">
      <c r="A44" t="s" s="10">
        <v>3393</v>
      </c>
      <c r="B44" t="s" s="11">
        <v>896</v>
      </c>
      <c r="C44" s="12">
        <v>45283</v>
      </c>
      <c r="D44" t="s" s="13">
        <v>3394</v>
      </c>
      <c r="E44" t="s" s="13">
        <v>3395</v>
      </c>
      <c r="F44" s="14">
        <v>5</v>
      </c>
      <c r="G44" s="15">
        <v>15.99</v>
      </c>
      <c r="H44" s="15">
        <v>79.95</v>
      </c>
    </row>
    <row r="45" ht="12.9" customHeight="1">
      <c r="A45" t="s" s="10">
        <v>3393</v>
      </c>
      <c r="B45" t="s" s="11">
        <v>896</v>
      </c>
      <c r="C45" s="12">
        <v>45283</v>
      </c>
      <c r="D45" t="s" s="13">
        <v>3396</v>
      </c>
      <c r="E45" t="s" s="13">
        <v>3397</v>
      </c>
      <c r="F45" s="14">
        <v>50</v>
      </c>
      <c r="G45" s="15">
        <v>4</v>
      </c>
      <c r="H45" s="15">
        <v>200</v>
      </c>
    </row>
    <row r="46" ht="12.9" customHeight="1">
      <c r="A46" t="s" s="10">
        <v>3393</v>
      </c>
      <c r="B46" t="s" s="11">
        <v>896</v>
      </c>
      <c r="C46" s="12">
        <v>45283</v>
      </c>
      <c r="D46" t="s" s="13">
        <v>3398</v>
      </c>
      <c r="E46" t="s" s="13">
        <v>3399</v>
      </c>
      <c r="F46" s="14">
        <v>50</v>
      </c>
      <c r="G46" s="15">
        <v>4</v>
      </c>
      <c r="H46" s="15">
        <v>200</v>
      </c>
    </row>
    <row r="47" ht="12.9" customHeight="1">
      <c r="A47" t="s" s="10">
        <v>3393</v>
      </c>
      <c r="B47" t="s" s="11">
        <v>896</v>
      </c>
      <c r="C47" s="12">
        <v>45283</v>
      </c>
      <c r="D47" t="s" s="13">
        <v>63</v>
      </c>
      <c r="E47" s="16"/>
      <c r="F47" s="14">
        <v>1</v>
      </c>
      <c r="G47" s="15">
        <v>75</v>
      </c>
      <c r="H47" s="15">
        <v>75</v>
      </c>
    </row>
    <row r="48" ht="12.9" customHeight="1">
      <c r="A48" t="s" s="10">
        <v>3400</v>
      </c>
      <c r="B48" t="s" s="11">
        <v>3401</v>
      </c>
      <c r="C48" s="12">
        <v>45282.806482534725</v>
      </c>
      <c r="D48" t="s" s="13">
        <v>19</v>
      </c>
      <c r="E48" t="s" s="13">
        <v>20</v>
      </c>
      <c r="F48" s="14">
        <v>4</v>
      </c>
      <c r="G48" s="15">
        <v>119.99</v>
      </c>
      <c r="H48" s="15">
        <v>479.96</v>
      </c>
    </row>
    <row r="49" ht="12.9" customHeight="1">
      <c r="A49" t="s" s="10">
        <v>3400</v>
      </c>
      <c r="B49" t="s" s="11">
        <v>3401</v>
      </c>
      <c r="C49" s="12">
        <v>45282.806482534725</v>
      </c>
      <c r="D49" t="s" s="13">
        <v>15</v>
      </c>
      <c r="E49" t="s" s="13">
        <v>16</v>
      </c>
      <c r="F49" s="14">
        <v>4</v>
      </c>
      <c r="G49" s="15">
        <v>9.99</v>
      </c>
      <c r="H49" s="15">
        <v>39.96</v>
      </c>
    </row>
    <row r="50" ht="12.9" customHeight="1">
      <c r="A50" t="s" s="10">
        <v>3402</v>
      </c>
      <c r="B50" t="s" s="11">
        <v>2931</v>
      </c>
      <c r="C50" s="12">
        <v>45282</v>
      </c>
      <c r="D50" t="s" s="13">
        <v>3403</v>
      </c>
      <c r="E50" t="s" s="13">
        <v>3404</v>
      </c>
      <c r="F50" s="14">
        <v>10</v>
      </c>
      <c r="G50" s="15">
        <v>11.9925</v>
      </c>
      <c r="H50" s="15">
        <v>119.925</v>
      </c>
    </row>
    <row r="51" ht="12.9" customHeight="1">
      <c r="A51" t="s" s="10">
        <v>3402</v>
      </c>
      <c r="B51" t="s" s="11">
        <v>2931</v>
      </c>
      <c r="C51" s="12">
        <v>45282</v>
      </c>
      <c r="D51" t="s" s="13">
        <v>3405</v>
      </c>
      <c r="E51" t="s" s="13">
        <v>3404</v>
      </c>
      <c r="F51" s="14">
        <v>10</v>
      </c>
      <c r="G51" s="15">
        <v>11.9925</v>
      </c>
      <c r="H51" s="15">
        <v>119.925</v>
      </c>
    </row>
    <row r="52" ht="12.9" customHeight="1">
      <c r="A52" t="s" s="10">
        <v>3402</v>
      </c>
      <c r="B52" t="s" s="11">
        <v>2931</v>
      </c>
      <c r="C52" s="12">
        <v>45282</v>
      </c>
      <c r="D52" t="s" s="13">
        <v>50</v>
      </c>
      <c r="E52" t="s" s="13">
        <v>83</v>
      </c>
      <c r="F52" s="14">
        <v>1</v>
      </c>
      <c r="G52" s="15">
        <v>0</v>
      </c>
      <c r="H52" s="15">
        <v>0</v>
      </c>
    </row>
    <row r="53" ht="12.9" customHeight="1">
      <c r="A53" t="s" s="10">
        <v>3402</v>
      </c>
      <c r="B53" t="s" s="11">
        <v>2931</v>
      </c>
      <c r="C53" s="12">
        <v>45282</v>
      </c>
      <c r="D53" t="s" s="13">
        <v>63</v>
      </c>
      <c r="E53" s="16"/>
      <c r="F53" s="14">
        <v>1</v>
      </c>
      <c r="G53" s="15">
        <v>75</v>
      </c>
      <c r="H53" s="15">
        <v>75</v>
      </c>
    </row>
    <row r="54" ht="12.9" customHeight="1">
      <c r="A54" t="s" s="10">
        <v>3406</v>
      </c>
      <c r="B54" t="s" s="11">
        <v>3407</v>
      </c>
      <c r="C54" s="12">
        <v>45281.873822268521</v>
      </c>
      <c r="D54" t="s" s="13">
        <v>2787</v>
      </c>
      <c r="E54" t="s" s="13">
        <v>2788</v>
      </c>
      <c r="F54" s="14">
        <v>3</v>
      </c>
      <c r="G54" s="15">
        <v>22.99</v>
      </c>
      <c r="H54" s="15">
        <v>68.97</v>
      </c>
    </row>
    <row r="55" ht="12.9" customHeight="1">
      <c r="A55" t="s" s="10">
        <v>3408</v>
      </c>
      <c r="B55" t="s" s="11">
        <v>2632</v>
      </c>
      <c r="C55" s="12">
        <v>45281.787523125</v>
      </c>
      <c r="D55" t="s" s="13">
        <v>31</v>
      </c>
      <c r="E55" t="s" s="13">
        <v>32</v>
      </c>
      <c r="F55" s="14">
        <v>2</v>
      </c>
      <c r="G55" s="15">
        <v>599.99</v>
      </c>
      <c r="H55" s="15">
        <v>1199.98</v>
      </c>
    </row>
    <row r="56" ht="12.9" customHeight="1">
      <c r="A56" t="s" s="10">
        <v>3409</v>
      </c>
      <c r="B56" t="s" s="11">
        <v>3410</v>
      </c>
      <c r="C56" s="12">
        <v>45281.699251030092</v>
      </c>
      <c r="D56" t="s" s="13">
        <v>35</v>
      </c>
      <c r="E56" t="s" s="13">
        <v>36</v>
      </c>
      <c r="F56" s="14">
        <v>1</v>
      </c>
      <c r="G56" s="15">
        <v>49.99</v>
      </c>
      <c r="H56" s="15">
        <v>49.99</v>
      </c>
    </row>
    <row r="57" ht="12.9" customHeight="1">
      <c r="A57" t="s" s="10">
        <v>3411</v>
      </c>
      <c r="B57" t="s" s="11">
        <v>3410</v>
      </c>
      <c r="C57" s="12">
        <v>45281.697223946758</v>
      </c>
      <c r="D57" t="s" s="13">
        <v>19</v>
      </c>
      <c r="E57" t="s" s="13">
        <v>20</v>
      </c>
      <c r="F57" s="14">
        <v>1</v>
      </c>
      <c r="G57" s="15">
        <v>119.99</v>
      </c>
      <c r="H57" s="15">
        <v>119.99</v>
      </c>
    </row>
    <row r="58" ht="12.9" customHeight="1">
      <c r="A58" t="s" s="10">
        <v>3411</v>
      </c>
      <c r="B58" t="s" s="11">
        <v>3410</v>
      </c>
      <c r="C58" s="12">
        <v>45281.697223946758</v>
      </c>
      <c r="D58" t="s" s="13">
        <v>15</v>
      </c>
      <c r="E58" t="s" s="13">
        <v>16</v>
      </c>
      <c r="F58" s="14">
        <v>1</v>
      </c>
      <c r="G58" s="15">
        <v>9.99</v>
      </c>
      <c r="H58" s="15">
        <v>9.99</v>
      </c>
    </row>
    <row r="59" ht="12.9" customHeight="1">
      <c r="A59" t="s" s="10">
        <v>3412</v>
      </c>
      <c r="B59" t="s" s="11">
        <v>206</v>
      </c>
      <c r="C59" s="12">
        <v>45281.5344203588</v>
      </c>
      <c r="D59" t="s" s="13">
        <v>48</v>
      </c>
      <c r="E59" t="s" s="13">
        <v>49</v>
      </c>
      <c r="F59" s="14">
        <v>2</v>
      </c>
      <c r="G59" s="15">
        <v>1299.99</v>
      </c>
      <c r="H59" s="15">
        <v>2599.98</v>
      </c>
    </row>
    <row r="60" ht="12.9" customHeight="1">
      <c r="A60" t="s" s="10">
        <v>3412</v>
      </c>
      <c r="B60" t="s" s="11">
        <v>206</v>
      </c>
      <c r="C60" s="12">
        <v>45281.5344203588</v>
      </c>
      <c r="D60" t="s" s="13">
        <v>50</v>
      </c>
      <c r="E60" t="s" s="13">
        <v>83</v>
      </c>
      <c r="F60" s="14">
        <v>2</v>
      </c>
      <c r="G60" s="15">
        <v>0</v>
      </c>
      <c r="H60" s="15">
        <v>0</v>
      </c>
    </row>
    <row r="61" ht="12.9" customHeight="1">
      <c r="A61" t="s" s="10">
        <v>3412</v>
      </c>
      <c r="B61" t="s" s="11">
        <v>206</v>
      </c>
      <c r="C61" s="12">
        <v>45281.5344203588</v>
      </c>
      <c r="D61" t="s" s="13">
        <v>52</v>
      </c>
      <c r="E61" t="s" s="13">
        <v>321</v>
      </c>
      <c r="F61" s="14">
        <v>2</v>
      </c>
      <c r="G61" s="15">
        <v>0</v>
      </c>
      <c r="H61" s="15">
        <v>0</v>
      </c>
    </row>
    <row r="62" ht="12.9" customHeight="1">
      <c r="A62" t="s" s="10">
        <v>3412</v>
      </c>
      <c r="B62" t="s" s="11">
        <v>206</v>
      </c>
      <c r="C62" s="12">
        <v>45281.5344203588</v>
      </c>
      <c r="D62" t="s" s="13">
        <v>84</v>
      </c>
      <c r="E62" t="s" s="13">
        <v>2685</v>
      </c>
      <c r="F62" s="14">
        <v>2</v>
      </c>
      <c r="G62" s="15">
        <v>0</v>
      </c>
      <c r="H62" s="15">
        <v>0</v>
      </c>
    </row>
    <row r="63" ht="12.9" customHeight="1">
      <c r="A63" t="s" s="10">
        <v>3412</v>
      </c>
      <c r="B63" t="s" s="11">
        <v>206</v>
      </c>
      <c r="C63" s="12">
        <v>45281.5344203588</v>
      </c>
      <c r="D63" t="s" s="13">
        <v>23</v>
      </c>
      <c r="E63" t="s" s="13">
        <v>24</v>
      </c>
      <c r="F63" s="14">
        <v>2</v>
      </c>
      <c r="G63" s="15">
        <v>0</v>
      </c>
      <c r="H63" s="15">
        <v>0</v>
      </c>
    </row>
    <row r="64" ht="12.9" customHeight="1">
      <c r="A64" t="s" s="10">
        <v>3412</v>
      </c>
      <c r="B64" t="s" s="11">
        <v>206</v>
      </c>
      <c r="C64" s="12">
        <v>45281.5344203588</v>
      </c>
      <c r="D64" t="s" s="13">
        <v>1054</v>
      </c>
      <c r="E64" t="s" s="13">
        <v>1055</v>
      </c>
      <c r="F64" s="14">
        <v>2</v>
      </c>
      <c r="G64" s="15">
        <v>149.99</v>
      </c>
      <c r="H64" s="15">
        <v>299.98</v>
      </c>
    </row>
    <row r="65" ht="12.9" customHeight="1">
      <c r="A65" t="s" s="10">
        <v>3413</v>
      </c>
      <c r="B65" t="s" s="11">
        <v>62</v>
      </c>
      <c r="C65" s="12">
        <v>45281</v>
      </c>
      <c r="D65" t="s" s="13">
        <v>123</v>
      </c>
      <c r="E65" t="s" s="13">
        <v>124</v>
      </c>
      <c r="F65" s="14">
        <v>8</v>
      </c>
      <c r="G65" s="15">
        <v>134.9925</v>
      </c>
      <c r="H65" s="15">
        <v>1079.94</v>
      </c>
    </row>
    <row r="66" ht="12.9" customHeight="1">
      <c r="A66" t="s" s="10">
        <v>3413</v>
      </c>
      <c r="B66" t="s" s="11">
        <v>62</v>
      </c>
      <c r="C66" s="12">
        <v>45281</v>
      </c>
      <c r="D66" t="s" s="13">
        <v>125</v>
      </c>
      <c r="E66" t="s" s="13">
        <v>126</v>
      </c>
      <c r="F66" s="14">
        <v>16</v>
      </c>
      <c r="G66" s="15">
        <v>48.7425</v>
      </c>
      <c r="H66" s="15">
        <v>779.88</v>
      </c>
    </row>
    <row r="67" ht="12.9" customHeight="1">
      <c r="A67" t="s" s="10">
        <v>3413</v>
      </c>
      <c r="B67" t="s" s="11">
        <v>62</v>
      </c>
      <c r="C67" s="12">
        <v>45281</v>
      </c>
      <c r="D67" t="s" s="13">
        <v>299</v>
      </c>
      <c r="E67" t="s" s="13">
        <v>300</v>
      </c>
      <c r="F67" s="14">
        <v>16</v>
      </c>
      <c r="G67" s="15">
        <v>52.4925</v>
      </c>
      <c r="H67" s="15">
        <v>839.88</v>
      </c>
    </row>
    <row r="68" ht="12.9" customHeight="1">
      <c r="A68" t="s" s="10">
        <v>3413</v>
      </c>
      <c r="B68" t="s" s="11">
        <v>62</v>
      </c>
      <c r="C68" s="12">
        <v>45281</v>
      </c>
      <c r="D68" t="s" s="13">
        <v>146</v>
      </c>
      <c r="E68" t="s" s="13">
        <v>147</v>
      </c>
      <c r="F68" s="14">
        <v>8</v>
      </c>
      <c r="G68" s="15">
        <v>14.9925</v>
      </c>
      <c r="H68" s="15">
        <v>119.94</v>
      </c>
    </row>
    <row r="69" ht="12.9" customHeight="1">
      <c r="A69" t="s" s="10">
        <v>3413</v>
      </c>
      <c r="B69" t="s" s="11">
        <v>62</v>
      </c>
      <c r="C69" s="12">
        <v>45281</v>
      </c>
      <c r="D69" t="s" s="13">
        <v>559</v>
      </c>
      <c r="E69" t="s" s="13">
        <v>560</v>
      </c>
      <c r="F69" s="14">
        <v>100</v>
      </c>
      <c r="G69" s="15">
        <v>0</v>
      </c>
      <c r="H69" s="15">
        <v>0</v>
      </c>
    </row>
    <row r="70" ht="12.9" customHeight="1">
      <c r="A70" t="s" s="10">
        <v>3413</v>
      </c>
      <c r="B70" t="s" s="11">
        <v>62</v>
      </c>
      <c r="C70" s="12">
        <v>45281</v>
      </c>
      <c r="D70" t="s" s="13">
        <v>63</v>
      </c>
      <c r="E70" s="16"/>
      <c r="F70" s="14">
        <v>1</v>
      </c>
      <c r="G70" s="15">
        <v>145</v>
      </c>
      <c r="H70" s="15">
        <v>145</v>
      </c>
    </row>
    <row r="71" ht="12.9" customHeight="1">
      <c r="A71" t="s" s="10">
        <v>3414</v>
      </c>
      <c r="B71" t="s" s="11">
        <v>161</v>
      </c>
      <c r="C71" s="12">
        <v>45281</v>
      </c>
      <c r="D71" t="s" s="13">
        <v>489</v>
      </c>
      <c r="E71" t="s" s="13">
        <v>490</v>
      </c>
      <c r="F71" s="14">
        <v>4</v>
      </c>
      <c r="G71" s="15">
        <v>1199.9925</v>
      </c>
      <c r="H71" s="15">
        <v>4799.97</v>
      </c>
    </row>
    <row r="72" ht="12.9" customHeight="1">
      <c r="A72" t="s" s="10">
        <v>3414</v>
      </c>
      <c r="B72" t="s" s="11">
        <v>161</v>
      </c>
      <c r="C72" s="12">
        <v>45281</v>
      </c>
      <c r="D72" t="s" s="13">
        <v>491</v>
      </c>
      <c r="E72" t="s" s="13">
        <v>2680</v>
      </c>
      <c r="F72" s="14">
        <v>12</v>
      </c>
      <c r="G72" s="15">
        <v>0</v>
      </c>
      <c r="H72" s="15">
        <v>0</v>
      </c>
    </row>
    <row r="73" ht="12.9" customHeight="1">
      <c r="A73" t="s" s="10">
        <v>3414</v>
      </c>
      <c r="B73" t="s" s="11">
        <v>161</v>
      </c>
      <c r="C73" s="12">
        <v>45281</v>
      </c>
      <c r="D73" t="s" s="13">
        <v>493</v>
      </c>
      <c r="E73" t="s" s="13">
        <v>2681</v>
      </c>
      <c r="F73" s="14">
        <v>4</v>
      </c>
      <c r="G73" s="15">
        <v>0</v>
      </c>
      <c r="H73" s="15">
        <v>0</v>
      </c>
    </row>
    <row r="74" ht="12.9" customHeight="1">
      <c r="A74" t="s" s="10">
        <v>3414</v>
      </c>
      <c r="B74" t="s" s="11">
        <v>161</v>
      </c>
      <c r="C74" s="12">
        <v>45281</v>
      </c>
      <c r="D74" t="s" s="13">
        <v>57</v>
      </c>
      <c r="E74" t="s" s="13">
        <v>58</v>
      </c>
      <c r="F74" s="14">
        <v>4</v>
      </c>
      <c r="G74" s="15">
        <v>599.9924999999999</v>
      </c>
      <c r="H74" s="15">
        <v>2399.97</v>
      </c>
    </row>
    <row r="75" ht="12.9" customHeight="1">
      <c r="A75" t="s" s="10">
        <v>3414</v>
      </c>
      <c r="B75" t="s" s="11">
        <v>161</v>
      </c>
      <c r="C75" s="12">
        <v>45281</v>
      </c>
      <c r="D75" t="s" s="13">
        <v>63</v>
      </c>
      <c r="E75" s="16"/>
      <c r="F75" s="14">
        <v>1</v>
      </c>
      <c r="G75" s="15">
        <v>475</v>
      </c>
      <c r="H75" s="15">
        <v>475</v>
      </c>
    </row>
    <row r="76" ht="12.9" customHeight="1">
      <c r="A76" t="s" s="10">
        <v>3415</v>
      </c>
      <c r="B76" t="s" s="11">
        <v>391</v>
      </c>
      <c r="C76" s="12">
        <v>45281</v>
      </c>
      <c r="D76" t="s" s="13">
        <v>585</v>
      </c>
      <c r="E76" t="s" s="13">
        <v>586</v>
      </c>
      <c r="F76" s="14">
        <v>2</v>
      </c>
      <c r="G76" s="15">
        <v>374.9925</v>
      </c>
      <c r="H76" s="15">
        <v>749.985</v>
      </c>
    </row>
    <row r="77" ht="12.9" customHeight="1">
      <c r="A77" t="s" s="10">
        <v>3415</v>
      </c>
      <c r="B77" t="s" s="11">
        <v>391</v>
      </c>
      <c r="C77" s="12">
        <v>45281</v>
      </c>
      <c r="D77" t="s" s="13">
        <v>587</v>
      </c>
      <c r="E77" t="s" s="13">
        <v>588</v>
      </c>
      <c r="F77" s="14">
        <v>2</v>
      </c>
      <c r="G77" s="15">
        <v>0</v>
      </c>
      <c r="H77" s="15">
        <v>0</v>
      </c>
    </row>
    <row r="78" ht="12.9" customHeight="1">
      <c r="A78" t="s" s="10">
        <v>3415</v>
      </c>
      <c r="B78" t="s" s="11">
        <v>391</v>
      </c>
      <c r="C78" s="12">
        <v>45281</v>
      </c>
      <c r="D78" t="s" s="13">
        <v>207</v>
      </c>
      <c r="E78" t="s" s="13">
        <v>208</v>
      </c>
      <c r="F78" s="14">
        <v>5</v>
      </c>
      <c r="G78" s="15">
        <v>0</v>
      </c>
      <c r="H78" s="15">
        <v>0</v>
      </c>
    </row>
    <row r="79" ht="12.9" customHeight="1">
      <c r="A79" t="s" s="10">
        <v>3415</v>
      </c>
      <c r="B79" t="s" s="11">
        <v>391</v>
      </c>
      <c r="C79" s="12">
        <v>45281</v>
      </c>
      <c r="D79" t="s" s="13">
        <v>63</v>
      </c>
      <c r="E79" s="16"/>
      <c r="F79" s="14">
        <v>1</v>
      </c>
      <c r="G79" s="15">
        <v>18.5</v>
      </c>
      <c r="H79" s="15">
        <v>18.5</v>
      </c>
    </row>
    <row r="80" ht="12.9" customHeight="1">
      <c r="A80" t="s" s="10">
        <v>3416</v>
      </c>
      <c r="B80" t="s" s="11">
        <v>911</v>
      </c>
      <c r="C80" s="12">
        <v>45281</v>
      </c>
      <c r="D80" t="s" s="13">
        <v>15</v>
      </c>
      <c r="E80" t="s" s="13">
        <v>16</v>
      </c>
      <c r="F80" s="14">
        <v>20</v>
      </c>
      <c r="G80" s="15">
        <v>7.99</v>
      </c>
      <c r="H80" s="15">
        <v>159.8</v>
      </c>
    </row>
    <row r="81" ht="12.9" customHeight="1">
      <c r="A81" t="s" s="10">
        <v>3417</v>
      </c>
      <c r="B81" t="s" s="11">
        <v>831</v>
      </c>
      <c r="C81" s="12">
        <v>45281</v>
      </c>
      <c r="D81" t="s" s="13">
        <v>19</v>
      </c>
      <c r="E81" t="s" s="13">
        <v>20</v>
      </c>
      <c r="F81" s="14">
        <v>32</v>
      </c>
      <c r="G81" s="15">
        <v>89.99250000000001</v>
      </c>
      <c r="H81" s="15">
        <v>2879.76</v>
      </c>
    </row>
    <row r="82" ht="12.9" customHeight="1">
      <c r="A82" t="s" s="10">
        <v>3417</v>
      </c>
      <c r="B82" t="s" s="11">
        <v>831</v>
      </c>
      <c r="C82" s="12">
        <v>45281</v>
      </c>
      <c r="D82" t="s" s="13">
        <v>559</v>
      </c>
      <c r="E82" t="s" s="13">
        <v>560</v>
      </c>
      <c r="F82" s="14">
        <v>150</v>
      </c>
      <c r="G82" s="15">
        <v>0</v>
      </c>
      <c r="H82" s="15">
        <v>0</v>
      </c>
    </row>
    <row r="83" ht="12.9" customHeight="1">
      <c r="A83" t="s" s="10">
        <v>3417</v>
      </c>
      <c r="B83" t="s" s="11">
        <v>831</v>
      </c>
      <c r="C83" s="12">
        <v>45281</v>
      </c>
      <c r="D83" t="s" s="13">
        <v>63</v>
      </c>
      <c r="E83" s="16"/>
      <c r="F83" s="14">
        <v>1</v>
      </c>
      <c r="G83" s="15">
        <v>24</v>
      </c>
      <c r="H83" s="15">
        <v>24</v>
      </c>
    </row>
    <row r="84" ht="12.9" customHeight="1">
      <c r="A84" t="s" s="10">
        <v>3418</v>
      </c>
      <c r="B84" t="s" s="11">
        <v>3419</v>
      </c>
      <c r="C84" s="12">
        <v>45281</v>
      </c>
      <c r="D84" t="s" s="13">
        <v>2711</v>
      </c>
      <c r="E84" t="s" s="13">
        <v>2712</v>
      </c>
      <c r="F84" s="14">
        <v>1</v>
      </c>
      <c r="G84" s="15">
        <v>0</v>
      </c>
      <c r="H84" s="15">
        <v>0</v>
      </c>
    </row>
    <row r="85" ht="12.9" customHeight="1">
      <c r="A85" t="s" s="10">
        <v>3420</v>
      </c>
      <c r="B85" t="s" s="11">
        <v>42</v>
      </c>
      <c r="C85" s="12">
        <v>45281</v>
      </c>
      <c r="D85" t="s" s="13">
        <v>1896</v>
      </c>
      <c r="E85" t="s" s="13">
        <v>1897</v>
      </c>
      <c r="F85" s="14">
        <v>1</v>
      </c>
      <c r="G85" s="15">
        <v>0</v>
      </c>
      <c r="H85" s="15">
        <v>0</v>
      </c>
    </row>
    <row r="86" ht="12.9" customHeight="1">
      <c r="A86" t="s" s="10">
        <v>3421</v>
      </c>
      <c r="B86" t="s" s="11">
        <v>3422</v>
      </c>
      <c r="C86" s="12">
        <v>45280.899084375</v>
      </c>
      <c r="D86" t="s" s="13">
        <v>123</v>
      </c>
      <c r="E86" t="s" s="13">
        <v>124</v>
      </c>
      <c r="F86" s="14">
        <v>1</v>
      </c>
      <c r="G86" s="15">
        <v>176.87</v>
      </c>
      <c r="H86" s="15">
        <v>176.87</v>
      </c>
    </row>
    <row r="87" ht="12.9" customHeight="1">
      <c r="A87" t="s" s="10">
        <v>3421</v>
      </c>
      <c r="B87" t="s" s="11">
        <v>3422</v>
      </c>
      <c r="C87" s="12">
        <v>45280.899084375</v>
      </c>
      <c r="D87" t="s" s="13">
        <v>125</v>
      </c>
      <c r="E87" t="s" s="13">
        <v>126</v>
      </c>
      <c r="F87" s="14">
        <v>2</v>
      </c>
      <c r="G87" s="15">
        <v>61.86</v>
      </c>
      <c r="H87" s="15">
        <v>123.72</v>
      </c>
    </row>
    <row r="88" ht="12.9" customHeight="1">
      <c r="A88" t="s" s="10">
        <v>3421</v>
      </c>
      <c r="B88" t="s" s="11">
        <v>3422</v>
      </c>
      <c r="C88" s="12">
        <v>45280.899084375</v>
      </c>
      <c r="D88" t="s" s="13">
        <v>299</v>
      </c>
      <c r="E88" t="s" s="13">
        <v>300</v>
      </c>
      <c r="F88" s="14">
        <v>2</v>
      </c>
      <c r="G88" s="15">
        <v>66.86</v>
      </c>
      <c r="H88" s="15">
        <v>133.72</v>
      </c>
    </row>
    <row r="89" ht="12.9" customHeight="1">
      <c r="A89" t="s" s="10">
        <v>3421</v>
      </c>
      <c r="B89" t="s" s="11">
        <v>3422</v>
      </c>
      <c r="C89" s="12">
        <v>45280.899084375</v>
      </c>
      <c r="D89" t="s" s="13">
        <v>146</v>
      </c>
      <c r="E89" t="s" s="13">
        <v>147</v>
      </c>
      <c r="F89" s="14">
        <v>2</v>
      </c>
      <c r="G89" s="15">
        <v>16.87</v>
      </c>
      <c r="H89" s="15">
        <v>33.74</v>
      </c>
    </row>
    <row r="90" ht="12.9" customHeight="1">
      <c r="A90" t="s" s="10">
        <v>3421</v>
      </c>
      <c r="B90" t="s" s="11">
        <v>3422</v>
      </c>
      <c r="C90" s="12">
        <v>45280.899084375</v>
      </c>
      <c r="D90" t="s" s="13">
        <v>15</v>
      </c>
      <c r="E90" t="s" s="13">
        <v>16</v>
      </c>
      <c r="F90" s="14">
        <v>1</v>
      </c>
      <c r="G90" s="15">
        <v>9.99</v>
      </c>
      <c r="H90" s="15">
        <v>9.99</v>
      </c>
    </row>
    <row r="91" ht="12.9" customHeight="1">
      <c r="A91" t="s" s="10">
        <v>3423</v>
      </c>
      <c r="B91" t="s" s="11">
        <v>3424</v>
      </c>
      <c r="C91" s="12">
        <v>45280.578280347225</v>
      </c>
      <c r="D91" t="s" s="13">
        <v>73</v>
      </c>
      <c r="E91" t="s" s="13">
        <v>74</v>
      </c>
      <c r="F91" s="14">
        <v>1</v>
      </c>
      <c r="G91" s="15">
        <v>399.99</v>
      </c>
      <c r="H91" s="15">
        <v>399.99</v>
      </c>
    </row>
    <row r="92" ht="12.9" customHeight="1">
      <c r="A92" t="s" s="10">
        <v>3425</v>
      </c>
      <c r="B92" t="s" s="11">
        <v>3426</v>
      </c>
      <c r="C92" s="12">
        <v>45280.512032199076</v>
      </c>
      <c r="D92" t="s" s="13">
        <v>73</v>
      </c>
      <c r="E92" t="s" s="13">
        <v>74</v>
      </c>
      <c r="F92" s="14">
        <v>1</v>
      </c>
      <c r="G92" s="15">
        <v>399.99</v>
      </c>
      <c r="H92" s="15">
        <v>399.99</v>
      </c>
    </row>
    <row r="93" ht="12.9" customHeight="1">
      <c r="A93" t="s" s="10">
        <v>3425</v>
      </c>
      <c r="B93" t="s" s="11">
        <v>3426</v>
      </c>
      <c r="C93" s="12">
        <v>45280.512032199076</v>
      </c>
      <c r="D93" t="s" s="13">
        <v>59</v>
      </c>
      <c r="E93" t="s" s="13">
        <v>60</v>
      </c>
      <c r="F93" s="14">
        <v>1</v>
      </c>
      <c r="G93" s="15">
        <v>1199.99</v>
      </c>
      <c r="H93" s="15">
        <v>1199.99</v>
      </c>
    </row>
    <row r="94" ht="12.9" customHeight="1">
      <c r="A94" t="s" s="10">
        <v>3427</v>
      </c>
      <c r="B94" t="s" s="11">
        <v>3428</v>
      </c>
      <c r="C94" s="12">
        <v>45280.123537789354</v>
      </c>
      <c r="D94" t="s" s="13">
        <v>225</v>
      </c>
      <c r="E94" t="s" s="13">
        <v>226</v>
      </c>
      <c r="F94" s="14">
        <v>2</v>
      </c>
      <c r="G94" s="15">
        <v>499.99</v>
      </c>
      <c r="H94" s="15">
        <v>999.98</v>
      </c>
    </row>
    <row r="95" ht="12.9" customHeight="1">
      <c r="A95" t="s" s="10">
        <v>3429</v>
      </c>
      <c r="B95" t="s" s="11">
        <v>3430</v>
      </c>
      <c r="C95" s="12">
        <v>45280</v>
      </c>
      <c r="D95" t="s" s="13">
        <v>1986</v>
      </c>
      <c r="E95" t="s" s="13">
        <v>1986</v>
      </c>
      <c r="F95" s="14">
        <v>3</v>
      </c>
      <c r="G95" s="15">
        <v>79.98999999999999</v>
      </c>
      <c r="H95" s="15">
        <v>239.97</v>
      </c>
    </row>
    <row r="96" ht="12.9" customHeight="1">
      <c r="A96" t="s" s="10">
        <v>3429</v>
      </c>
      <c r="B96" t="s" s="11">
        <v>3430</v>
      </c>
      <c r="C96" s="12">
        <v>45280</v>
      </c>
      <c r="D96" t="s" s="13">
        <v>3431</v>
      </c>
      <c r="E96" t="s" s="13">
        <v>3432</v>
      </c>
      <c r="F96" s="14">
        <v>3</v>
      </c>
      <c r="G96" s="15">
        <v>0</v>
      </c>
      <c r="H96" s="15">
        <v>0</v>
      </c>
    </row>
    <row r="97" ht="12.9" customHeight="1">
      <c r="A97" t="s" s="10">
        <v>3429</v>
      </c>
      <c r="B97" t="s" s="11">
        <v>3430</v>
      </c>
      <c r="C97" s="12">
        <v>45280</v>
      </c>
      <c r="D97" t="s" s="13">
        <v>3433</v>
      </c>
      <c r="E97" t="s" s="13">
        <v>3434</v>
      </c>
      <c r="F97" s="14">
        <v>3</v>
      </c>
      <c r="G97" s="15">
        <v>0</v>
      </c>
      <c r="H97" s="15">
        <v>0</v>
      </c>
    </row>
    <row r="98" ht="12.9" customHeight="1">
      <c r="A98" t="s" s="10">
        <v>3429</v>
      </c>
      <c r="B98" t="s" s="11">
        <v>3430</v>
      </c>
      <c r="C98" s="12">
        <v>45280</v>
      </c>
      <c r="D98" t="s" s="13">
        <v>2961</v>
      </c>
      <c r="E98" t="s" s="13">
        <v>2962</v>
      </c>
      <c r="F98" s="14">
        <v>3</v>
      </c>
      <c r="G98" s="15">
        <v>0</v>
      </c>
      <c r="H98" s="15">
        <v>0</v>
      </c>
    </row>
    <row r="99" ht="12.9" customHeight="1">
      <c r="A99" t="s" s="10">
        <v>3429</v>
      </c>
      <c r="B99" t="s" s="11">
        <v>3430</v>
      </c>
      <c r="C99" s="12">
        <v>45280</v>
      </c>
      <c r="D99" t="s" s="13">
        <v>63</v>
      </c>
      <c r="E99" s="16"/>
      <c r="F99" s="14">
        <v>1</v>
      </c>
      <c r="G99" s="15">
        <v>110</v>
      </c>
      <c r="H99" s="15">
        <v>110</v>
      </c>
    </row>
    <row r="100" ht="12.9" customHeight="1">
      <c r="A100" t="s" s="10">
        <v>3435</v>
      </c>
      <c r="B100" t="s" s="11">
        <v>1874</v>
      </c>
      <c r="C100" s="12">
        <v>45280</v>
      </c>
      <c r="D100" t="s" s="13">
        <v>254</v>
      </c>
      <c r="E100" t="s" s="13">
        <v>771</v>
      </c>
      <c r="F100" s="14">
        <v>1</v>
      </c>
      <c r="G100" s="15">
        <v>0</v>
      </c>
      <c r="H100" s="15">
        <v>0</v>
      </c>
    </row>
    <row r="101" ht="12.9" customHeight="1">
      <c r="A101" t="s" s="10">
        <v>3436</v>
      </c>
      <c r="B101" t="s" s="11">
        <v>3437</v>
      </c>
      <c r="C101" s="12">
        <v>45279</v>
      </c>
      <c r="D101" t="s" s="13">
        <v>73</v>
      </c>
      <c r="E101" t="s" s="13">
        <v>74</v>
      </c>
      <c r="F101" s="14">
        <v>1</v>
      </c>
      <c r="G101" s="15">
        <v>299.9925</v>
      </c>
      <c r="H101" s="15">
        <v>299.9925</v>
      </c>
    </row>
    <row r="102" ht="12.9" customHeight="1">
      <c r="A102" t="s" s="10">
        <v>3436</v>
      </c>
      <c r="B102" t="s" s="11">
        <v>3437</v>
      </c>
      <c r="C102" s="12">
        <v>45279</v>
      </c>
      <c r="D102" t="s" s="13">
        <v>63</v>
      </c>
      <c r="E102" s="16"/>
      <c r="F102" s="14">
        <v>1</v>
      </c>
      <c r="G102" s="15">
        <v>14.24</v>
      </c>
      <c r="H102" s="15">
        <v>14.24</v>
      </c>
    </row>
    <row r="103" ht="12.9" customHeight="1">
      <c r="A103" t="s" s="10">
        <v>3438</v>
      </c>
      <c r="B103" t="s" s="11">
        <v>2931</v>
      </c>
      <c r="C103" s="12">
        <v>45279</v>
      </c>
      <c r="D103" t="s" s="13">
        <v>254</v>
      </c>
      <c r="E103" t="s" s="13">
        <v>3439</v>
      </c>
      <c r="F103" s="14">
        <v>1</v>
      </c>
      <c r="G103" s="15">
        <v>0</v>
      </c>
      <c r="H103" s="15">
        <v>0</v>
      </c>
    </row>
    <row r="104" ht="12.9" customHeight="1">
      <c r="A104" t="s" s="10">
        <v>3438</v>
      </c>
      <c r="B104" t="s" s="11">
        <v>2931</v>
      </c>
      <c r="C104" s="12">
        <v>45279</v>
      </c>
      <c r="D104" t="s" s="13">
        <v>3440</v>
      </c>
      <c r="E104" t="s" s="13">
        <v>3441</v>
      </c>
      <c r="F104" s="14">
        <v>1</v>
      </c>
      <c r="G104" s="15">
        <v>0</v>
      </c>
      <c r="H104" s="15">
        <v>0</v>
      </c>
    </row>
    <row r="105" ht="12.9" customHeight="1">
      <c r="A105" t="s" s="10">
        <v>3438</v>
      </c>
      <c r="B105" t="s" s="11">
        <v>2931</v>
      </c>
      <c r="C105" s="12">
        <v>45279</v>
      </c>
      <c r="D105" t="s" s="13">
        <v>3442</v>
      </c>
      <c r="E105" t="s" s="13">
        <v>3441</v>
      </c>
      <c r="F105" s="14">
        <v>1</v>
      </c>
      <c r="G105" s="15">
        <v>0</v>
      </c>
      <c r="H105" s="15">
        <v>0</v>
      </c>
    </row>
    <row r="106" ht="12.9" customHeight="1">
      <c r="A106" t="s" s="10">
        <v>3438</v>
      </c>
      <c r="B106" t="s" s="11">
        <v>2931</v>
      </c>
      <c r="C106" s="12">
        <v>45279</v>
      </c>
      <c r="D106" t="s" s="13">
        <v>3443</v>
      </c>
      <c r="E106" t="s" s="13">
        <v>3444</v>
      </c>
      <c r="F106" s="14">
        <v>1</v>
      </c>
      <c r="G106" s="15">
        <v>0</v>
      </c>
      <c r="H106" s="15">
        <v>0</v>
      </c>
    </row>
    <row r="107" ht="12.9" customHeight="1">
      <c r="A107" t="s" s="10">
        <v>3445</v>
      </c>
      <c r="B107" t="s" s="11">
        <v>391</v>
      </c>
      <c r="C107" s="12">
        <v>45279</v>
      </c>
      <c r="D107" t="s" s="13">
        <v>698</v>
      </c>
      <c r="E107" t="s" s="13">
        <v>699</v>
      </c>
      <c r="F107" s="14">
        <v>10</v>
      </c>
      <c r="G107" s="15">
        <v>14.9925</v>
      </c>
      <c r="H107" s="15">
        <v>149.925</v>
      </c>
    </row>
    <row r="108" ht="12.9" customHeight="1">
      <c r="A108" t="s" s="10">
        <v>3445</v>
      </c>
      <c r="B108" t="s" s="11">
        <v>391</v>
      </c>
      <c r="C108" s="12">
        <v>45279</v>
      </c>
      <c r="D108" t="s" s="13">
        <v>50</v>
      </c>
      <c r="E108" t="s" s="13">
        <v>83</v>
      </c>
      <c r="F108" s="14">
        <v>10</v>
      </c>
      <c r="G108" s="15">
        <v>22.4925</v>
      </c>
      <c r="H108" s="15">
        <v>224.925</v>
      </c>
    </row>
    <row r="109" ht="12.9" customHeight="1">
      <c r="A109" t="s" s="10">
        <v>3445</v>
      </c>
      <c r="B109" t="s" s="11">
        <v>391</v>
      </c>
      <c r="C109" s="12">
        <v>45279</v>
      </c>
      <c r="D109" t="s" s="13">
        <v>63</v>
      </c>
      <c r="E109" s="16"/>
      <c r="F109" s="14">
        <v>1</v>
      </c>
      <c r="G109" s="15">
        <v>13.66</v>
      </c>
      <c r="H109" s="15">
        <v>13.66</v>
      </c>
    </row>
    <row r="110" ht="12.9" customHeight="1">
      <c r="A110" t="s" s="10">
        <v>3446</v>
      </c>
      <c r="B110" t="s" s="11">
        <v>3447</v>
      </c>
      <c r="C110" s="12">
        <v>45278.962225034724</v>
      </c>
      <c r="D110" t="s" s="13">
        <v>95</v>
      </c>
      <c r="E110" t="s" s="13">
        <v>12</v>
      </c>
      <c r="F110" s="14">
        <v>1</v>
      </c>
      <c r="G110" s="15">
        <v>349.99</v>
      </c>
      <c r="H110" s="15">
        <v>349.99</v>
      </c>
    </row>
    <row r="111" ht="12.9" customHeight="1">
      <c r="A111" t="s" s="10">
        <v>3448</v>
      </c>
      <c r="B111" t="s" s="11">
        <v>3140</v>
      </c>
      <c r="C111" s="12">
        <v>45278.787565613427</v>
      </c>
      <c r="D111" t="s" s="13">
        <v>31</v>
      </c>
      <c r="E111" t="s" s="13">
        <v>32</v>
      </c>
      <c r="F111" s="14">
        <v>1</v>
      </c>
      <c r="G111" s="15">
        <v>599.99</v>
      </c>
      <c r="H111" s="15">
        <v>599.99</v>
      </c>
    </row>
    <row r="112" ht="12.9" customHeight="1">
      <c r="A112" t="s" s="10">
        <v>3449</v>
      </c>
      <c r="B112" t="s" s="11">
        <v>3164</v>
      </c>
      <c r="C112" s="12">
        <v>45278.7362436574</v>
      </c>
      <c r="D112" t="s" s="13">
        <v>95</v>
      </c>
      <c r="E112" t="s" s="13">
        <v>12</v>
      </c>
      <c r="F112" s="14">
        <v>2</v>
      </c>
      <c r="G112" s="15">
        <v>349.99</v>
      </c>
      <c r="H112" s="15">
        <v>699.98</v>
      </c>
    </row>
    <row r="113" ht="12.9" customHeight="1">
      <c r="A113" t="s" s="10">
        <v>3450</v>
      </c>
      <c r="B113" t="s" s="11">
        <v>3451</v>
      </c>
      <c r="C113" s="12">
        <v>45278.720090601855</v>
      </c>
      <c r="D113" t="s" s="13">
        <v>1695</v>
      </c>
      <c r="E113" t="s" s="13">
        <v>140</v>
      </c>
      <c r="F113" s="14">
        <v>1</v>
      </c>
      <c r="G113" s="15">
        <v>49.99</v>
      </c>
      <c r="H113" s="15">
        <v>49.99</v>
      </c>
    </row>
    <row r="114" ht="12.9" customHeight="1">
      <c r="A114" t="s" s="10">
        <v>3450</v>
      </c>
      <c r="B114" t="s" s="11">
        <v>3451</v>
      </c>
      <c r="C114" s="12">
        <v>45278.720090601855</v>
      </c>
      <c r="D114" t="s" s="13">
        <v>15</v>
      </c>
      <c r="E114" t="s" s="13">
        <v>16</v>
      </c>
      <c r="F114" s="14">
        <v>1</v>
      </c>
      <c r="G114" s="15">
        <v>9.99</v>
      </c>
      <c r="H114" s="15">
        <v>9.99</v>
      </c>
    </row>
    <row r="115" ht="12.9" customHeight="1">
      <c r="A115" t="s" s="10">
        <v>3452</v>
      </c>
      <c r="B115" t="s" s="11">
        <v>3453</v>
      </c>
      <c r="C115" s="12">
        <v>45278.182939791666</v>
      </c>
      <c r="D115" t="s" s="13">
        <v>95</v>
      </c>
      <c r="E115" t="s" s="13">
        <v>12</v>
      </c>
      <c r="F115" s="14">
        <v>1</v>
      </c>
      <c r="G115" s="15">
        <v>349.99</v>
      </c>
      <c r="H115" s="15">
        <v>349.99</v>
      </c>
    </row>
    <row r="116" ht="12.9" customHeight="1">
      <c r="A116" t="s" s="10">
        <v>3454</v>
      </c>
      <c r="B116" t="s" s="11">
        <v>3455</v>
      </c>
      <c r="C116" s="12">
        <v>45278</v>
      </c>
      <c r="D116" t="s" s="13">
        <v>254</v>
      </c>
      <c r="E116" t="s" s="13">
        <v>3456</v>
      </c>
      <c r="F116" s="14">
        <v>1</v>
      </c>
      <c r="G116" s="15">
        <v>50</v>
      </c>
      <c r="H116" s="15">
        <v>50</v>
      </c>
    </row>
    <row r="117" ht="12.9" customHeight="1">
      <c r="A117" t="s" s="10">
        <v>3454</v>
      </c>
      <c r="B117" t="s" s="11">
        <v>3455</v>
      </c>
      <c r="C117" s="12">
        <v>45278</v>
      </c>
      <c r="D117" t="s" s="13">
        <v>266</v>
      </c>
      <c r="E117" t="s" s="13">
        <v>267</v>
      </c>
      <c r="F117" s="14">
        <v>15</v>
      </c>
      <c r="G117" s="15">
        <v>0</v>
      </c>
      <c r="H117" s="15">
        <v>0</v>
      </c>
    </row>
    <row r="118" ht="12.9" customHeight="1">
      <c r="A118" t="s" s="10">
        <v>3454</v>
      </c>
      <c r="B118" t="s" s="11">
        <v>3455</v>
      </c>
      <c r="C118" s="12">
        <v>45278</v>
      </c>
      <c r="D118" t="s" s="13">
        <v>3063</v>
      </c>
      <c r="E118" t="s" s="13">
        <v>3457</v>
      </c>
      <c r="F118" s="14">
        <v>4</v>
      </c>
      <c r="G118" s="15">
        <v>0</v>
      </c>
      <c r="H118" s="15">
        <v>0</v>
      </c>
    </row>
    <row r="119" ht="12.9" customHeight="1">
      <c r="A119" t="s" s="10">
        <v>3454</v>
      </c>
      <c r="B119" t="s" s="11">
        <v>3455</v>
      </c>
      <c r="C119" s="12">
        <v>45278</v>
      </c>
      <c r="D119" t="s" s="13">
        <v>207</v>
      </c>
      <c r="E119" t="s" s="13">
        <v>208</v>
      </c>
      <c r="F119" s="14">
        <v>2</v>
      </c>
      <c r="G119" s="15">
        <v>0</v>
      </c>
      <c r="H119" s="15">
        <v>0</v>
      </c>
    </row>
    <row r="120" ht="12.9" customHeight="1">
      <c r="A120" t="s" s="10">
        <v>3454</v>
      </c>
      <c r="B120" t="s" s="11">
        <v>3455</v>
      </c>
      <c r="C120" s="12">
        <v>45278</v>
      </c>
      <c r="D120" t="s" s="13">
        <v>1046</v>
      </c>
      <c r="E120" t="s" s="13">
        <v>1047</v>
      </c>
      <c r="F120" s="14">
        <v>4</v>
      </c>
      <c r="G120" s="15">
        <v>0</v>
      </c>
      <c r="H120" s="15">
        <v>0</v>
      </c>
    </row>
    <row r="121" ht="12.9" customHeight="1">
      <c r="A121" t="s" s="10">
        <v>3454</v>
      </c>
      <c r="B121" t="s" s="11">
        <v>3455</v>
      </c>
      <c r="C121" s="12">
        <v>45278</v>
      </c>
      <c r="D121" t="s" s="13">
        <v>1044</v>
      </c>
      <c r="E121" t="s" s="13">
        <v>1045</v>
      </c>
      <c r="F121" s="14">
        <v>4</v>
      </c>
      <c r="G121" s="15">
        <v>0</v>
      </c>
      <c r="H121" s="15">
        <v>0</v>
      </c>
    </row>
    <row r="122" ht="12.9" customHeight="1">
      <c r="A122" t="s" s="10">
        <v>3454</v>
      </c>
      <c r="B122" t="s" s="11">
        <v>3455</v>
      </c>
      <c r="C122" s="12">
        <v>45278</v>
      </c>
      <c r="D122" t="s" s="13">
        <v>1247</v>
      </c>
      <c r="E122" t="s" s="13">
        <v>1248</v>
      </c>
      <c r="F122" s="14">
        <v>3</v>
      </c>
      <c r="G122" s="15">
        <v>0</v>
      </c>
      <c r="H122" s="15">
        <v>0</v>
      </c>
    </row>
    <row r="123" ht="12.9" customHeight="1">
      <c r="A123" t="s" s="10">
        <v>3454</v>
      </c>
      <c r="B123" t="s" s="11">
        <v>3455</v>
      </c>
      <c r="C123" s="12">
        <v>45278</v>
      </c>
      <c r="D123" t="s" s="13">
        <v>63</v>
      </c>
      <c r="E123" s="16"/>
      <c r="F123" s="14">
        <v>1</v>
      </c>
      <c r="G123" s="15">
        <v>16.34</v>
      </c>
      <c r="H123" s="15">
        <v>16.34</v>
      </c>
    </row>
    <row r="124" ht="12.9" customHeight="1">
      <c r="A124" t="s" s="10">
        <v>3458</v>
      </c>
      <c r="B124" t="s" s="11">
        <v>2323</v>
      </c>
      <c r="C124" s="12">
        <v>45278</v>
      </c>
      <c r="D124" t="s" s="13">
        <v>254</v>
      </c>
      <c r="E124" t="s" s="13">
        <v>3459</v>
      </c>
      <c r="F124" s="14">
        <v>1</v>
      </c>
      <c r="G124" s="15">
        <v>0</v>
      </c>
      <c r="H124" s="15">
        <v>0</v>
      </c>
    </row>
    <row r="125" ht="12.9" customHeight="1">
      <c r="A125" t="s" s="10">
        <v>3458</v>
      </c>
      <c r="B125" t="s" s="11">
        <v>2323</v>
      </c>
      <c r="C125" s="12">
        <v>45278</v>
      </c>
      <c r="D125" t="s" s="13">
        <v>3460</v>
      </c>
      <c r="E125" t="s" s="13">
        <v>3461</v>
      </c>
      <c r="F125" s="14">
        <v>2</v>
      </c>
      <c r="G125" s="15">
        <v>0</v>
      </c>
      <c r="H125" s="15">
        <v>0</v>
      </c>
    </row>
    <row r="126" ht="12.9" customHeight="1">
      <c r="A126" t="s" s="10">
        <v>3458</v>
      </c>
      <c r="B126" t="s" s="11">
        <v>2323</v>
      </c>
      <c r="C126" s="12">
        <v>45278</v>
      </c>
      <c r="D126" t="s" s="13">
        <v>3462</v>
      </c>
      <c r="E126" t="s" s="13">
        <v>3463</v>
      </c>
      <c r="F126" s="14">
        <v>2</v>
      </c>
      <c r="G126" s="15">
        <v>0</v>
      </c>
      <c r="H126" s="15">
        <v>0</v>
      </c>
    </row>
    <row r="127" ht="12.9" customHeight="1">
      <c r="A127" t="s" s="10">
        <v>3458</v>
      </c>
      <c r="B127" t="s" s="11">
        <v>2323</v>
      </c>
      <c r="C127" s="12">
        <v>45278</v>
      </c>
      <c r="D127" t="s" s="13">
        <v>402</v>
      </c>
      <c r="E127" t="s" s="13">
        <v>403</v>
      </c>
      <c r="F127" s="14">
        <v>4</v>
      </c>
      <c r="G127" s="15">
        <v>0</v>
      </c>
      <c r="H127" s="15">
        <v>0</v>
      </c>
    </row>
    <row r="128" ht="12.9" customHeight="1">
      <c r="A128" t="s" s="10">
        <v>3464</v>
      </c>
      <c r="B128" t="s" s="11">
        <v>3465</v>
      </c>
      <c r="C128" s="12">
        <v>45278</v>
      </c>
      <c r="D128" t="s" s="13">
        <v>254</v>
      </c>
      <c r="E128" t="s" s="13">
        <v>3466</v>
      </c>
      <c r="F128" s="14">
        <v>1</v>
      </c>
      <c r="G128" s="15">
        <v>0</v>
      </c>
      <c r="H128" s="15">
        <v>0</v>
      </c>
    </row>
    <row r="129" ht="12.9" customHeight="1">
      <c r="A129" t="s" s="10">
        <v>3464</v>
      </c>
      <c r="B129" t="s" s="11">
        <v>3465</v>
      </c>
      <c r="C129" s="12">
        <v>45278</v>
      </c>
      <c r="D129" t="s" s="13">
        <v>3467</v>
      </c>
      <c r="E129" t="s" s="13">
        <v>3468</v>
      </c>
      <c r="F129" s="14">
        <v>8</v>
      </c>
      <c r="G129" s="15">
        <v>0</v>
      </c>
      <c r="H129" s="15">
        <v>0</v>
      </c>
    </row>
    <row r="130" ht="12.9" customHeight="1">
      <c r="A130" t="s" s="10">
        <v>3464</v>
      </c>
      <c r="B130" t="s" s="11">
        <v>3465</v>
      </c>
      <c r="C130" s="12">
        <v>45278</v>
      </c>
      <c r="D130" t="s" s="13">
        <v>207</v>
      </c>
      <c r="E130" t="s" s="13">
        <v>208</v>
      </c>
      <c r="F130" s="14">
        <v>2</v>
      </c>
      <c r="G130" s="15">
        <v>0</v>
      </c>
      <c r="H130" s="15">
        <v>0</v>
      </c>
    </row>
    <row r="131" ht="12.9" customHeight="1">
      <c r="A131" t="s" s="10">
        <v>3469</v>
      </c>
      <c r="B131" t="s" s="11">
        <v>3470</v>
      </c>
      <c r="C131" s="12">
        <v>45277.653875416669</v>
      </c>
      <c r="D131" t="s" s="13">
        <v>19</v>
      </c>
      <c r="E131" t="s" s="13">
        <v>20</v>
      </c>
      <c r="F131" s="14">
        <v>4</v>
      </c>
      <c r="G131" s="15">
        <v>119.99</v>
      </c>
      <c r="H131" s="15">
        <v>479.96</v>
      </c>
    </row>
    <row r="132" ht="12.9" customHeight="1">
      <c r="A132" t="s" s="10">
        <v>3469</v>
      </c>
      <c r="B132" t="s" s="11">
        <v>3470</v>
      </c>
      <c r="C132" s="12">
        <v>45277.653875416669</v>
      </c>
      <c r="D132" t="s" s="13">
        <v>15</v>
      </c>
      <c r="E132" t="s" s="13">
        <v>16</v>
      </c>
      <c r="F132" s="14">
        <v>4</v>
      </c>
      <c r="G132" s="15">
        <v>9.99</v>
      </c>
      <c r="H132" s="15">
        <v>39.96</v>
      </c>
    </row>
    <row r="133" ht="12.9" customHeight="1">
      <c r="A133" t="s" s="10">
        <v>3471</v>
      </c>
      <c r="B133" t="s" s="11">
        <v>3472</v>
      </c>
      <c r="C133" s="12">
        <v>45277.631422002312</v>
      </c>
      <c r="D133" t="s" s="13">
        <v>73</v>
      </c>
      <c r="E133" t="s" s="13">
        <v>74</v>
      </c>
      <c r="F133" s="14">
        <v>1</v>
      </c>
      <c r="G133" s="15">
        <v>399.99</v>
      </c>
      <c r="H133" s="15">
        <v>399.99</v>
      </c>
    </row>
    <row r="134" ht="12.9" customHeight="1">
      <c r="A134" t="s" s="10">
        <v>3473</v>
      </c>
      <c r="B134" t="s" s="11">
        <v>3474</v>
      </c>
      <c r="C134" s="12">
        <v>45277.229675659721</v>
      </c>
      <c r="D134" t="s" s="13">
        <v>95</v>
      </c>
      <c r="E134" t="s" s="13">
        <v>12</v>
      </c>
      <c r="F134" s="14">
        <v>1</v>
      </c>
      <c r="G134" s="15">
        <v>349.99</v>
      </c>
      <c r="H134" s="15">
        <v>349.99</v>
      </c>
    </row>
    <row r="135" ht="12.9" customHeight="1">
      <c r="A135" t="s" s="10">
        <v>3475</v>
      </c>
      <c r="B135" t="s" s="11">
        <v>3476</v>
      </c>
      <c r="C135" s="12">
        <v>45275.823412407408</v>
      </c>
      <c r="D135" t="s" s="13">
        <v>11</v>
      </c>
      <c r="E135" t="s" s="13">
        <v>12</v>
      </c>
      <c r="F135" s="14">
        <v>1</v>
      </c>
      <c r="G135" s="15">
        <v>392.46</v>
      </c>
      <c r="H135" s="15">
        <v>392.46</v>
      </c>
    </row>
    <row r="136" ht="12.9" customHeight="1">
      <c r="A136" t="s" s="10">
        <v>3475</v>
      </c>
      <c r="B136" t="s" s="11">
        <v>3476</v>
      </c>
      <c r="C136" s="12">
        <v>45275.823412407408</v>
      </c>
      <c r="D136" t="s" s="13">
        <v>15</v>
      </c>
      <c r="E136" t="s" s="13">
        <v>16</v>
      </c>
      <c r="F136" s="14">
        <v>1</v>
      </c>
      <c r="G136" s="15">
        <v>9.99</v>
      </c>
      <c r="H136" s="15">
        <v>9.99</v>
      </c>
    </row>
    <row r="137" ht="12.9" customHeight="1">
      <c r="A137" t="s" s="10">
        <v>3475</v>
      </c>
      <c r="B137" t="s" s="11">
        <v>3476</v>
      </c>
      <c r="C137" s="12">
        <v>45275.823412407408</v>
      </c>
      <c r="D137" t="s" s="13">
        <v>119</v>
      </c>
      <c r="E137" t="s" s="13">
        <v>120</v>
      </c>
      <c r="F137" s="14">
        <v>5</v>
      </c>
      <c r="G137" s="15">
        <v>0</v>
      </c>
      <c r="H137" s="15">
        <v>0</v>
      </c>
    </row>
    <row r="138" ht="12.9" customHeight="1">
      <c r="A138" t="s" s="10">
        <v>3477</v>
      </c>
      <c r="B138" t="s" s="11">
        <v>3478</v>
      </c>
      <c r="C138" s="12">
        <v>45275.712744224540</v>
      </c>
      <c r="D138" t="s" s="13">
        <v>39</v>
      </c>
      <c r="E138" t="s" s="13">
        <v>40</v>
      </c>
      <c r="F138" s="14">
        <v>2</v>
      </c>
      <c r="G138" s="15">
        <v>109.99</v>
      </c>
      <c r="H138" s="15">
        <v>219.98</v>
      </c>
    </row>
    <row r="139" ht="12.9" customHeight="1">
      <c r="A139" t="s" s="10">
        <v>3477</v>
      </c>
      <c r="B139" t="s" s="11">
        <v>3478</v>
      </c>
      <c r="C139" s="12">
        <v>45275.712744224540</v>
      </c>
      <c r="D139" t="s" s="13">
        <v>84</v>
      </c>
      <c r="E139" t="s" s="13">
        <v>2685</v>
      </c>
      <c r="F139" s="14">
        <v>2</v>
      </c>
      <c r="G139" s="15">
        <v>15</v>
      </c>
      <c r="H139" s="15">
        <v>30</v>
      </c>
    </row>
    <row r="140" ht="12.9" customHeight="1">
      <c r="A140" t="s" s="10">
        <v>3479</v>
      </c>
      <c r="B140" t="s" s="11">
        <v>881</v>
      </c>
      <c r="C140" s="12">
        <v>45275</v>
      </c>
      <c r="D140" t="s" s="13">
        <v>1914</v>
      </c>
      <c r="E140" t="s" s="13">
        <v>1915</v>
      </c>
      <c r="F140" s="14">
        <v>6</v>
      </c>
      <c r="G140" s="15">
        <v>40</v>
      </c>
      <c r="H140" s="15">
        <v>240</v>
      </c>
    </row>
    <row r="141" ht="12.9" customHeight="1">
      <c r="A141" t="s" s="10">
        <v>3479</v>
      </c>
      <c r="B141" t="s" s="11">
        <v>881</v>
      </c>
      <c r="C141" s="12">
        <v>45275</v>
      </c>
      <c r="D141" t="s" s="13">
        <v>3480</v>
      </c>
      <c r="E141" t="s" s="13">
        <v>3480</v>
      </c>
      <c r="F141" s="14">
        <v>2</v>
      </c>
      <c r="G141" s="15">
        <v>140</v>
      </c>
      <c r="H141" s="15">
        <v>280</v>
      </c>
    </row>
    <row r="142" ht="12.9" customHeight="1">
      <c r="A142" t="s" s="10">
        <v>3479</v>
      </c>
      <c r="B142" t="s" s="11">
        <v>881</v>
      </c>
      <c r="C142" s="12">
        <v>45275</v>
      </c>
      <c r="D142" t="s" s="13">
        <v>722</v>
      </c>
      <c r="E142" t="s" s="13">
        <v>82</v>
      </c>
      <c r="F142" s="14">
        <v>2</v>
      </c>
      <c r="G142" s="15">
        <v>652.4924999999999</v>
      </c>
      <c r="H142" s="15">
        <v>1304.985</v>
      </c>
    </row>
    <row r="143" ht="12.9" customHeight="1">
      <c r="A143" t="s" s="10">
        <v>3479</v>
      </c>
      <c r="B143" t="s" s="11">
        <v>881</v>
      </c>
      <c r="C143" s="12">
        <v>45275</v>
      </c>
      <c r="D143" t="s" s="13">
        <v>133</v>
      </c>
      <c r="E143" t="s" s="13">
        <v>3481</v>
      </c>
      <c r="F143" s="14">
        <v>2</v>
      </c>
      <c r="G143" s="15">
        <v>37.5</v>
      </c>
      <c r="H143" s="15">
        <v>75</v>
      </c>
    </row>
    <row r="144" ht="12.9" customHeight="1">
      <c r="A144" t="s" s="10">
        <v>3479</v>
      </c>
      <c r="B144" t="s" s="11">
        <v>881</v>
      </c>
      <c r="C144" s="12">
        <v>45275</v>
      </c>
      <c r="D144" t="s" s="13">
        <v>15</v>
      </c>
      <c r="E144" t="s" s="13">
        <v>16</v>
      </c>
      <c r="F144" s="14">
        <v>2</v>
      </c>
      <c r="G144" s="15">
        <v>0</v>
      </c>
      <c r="H144" s="15">
        <v>0</v>
      </c>
    </row>
    <row r="145" ht="12.9" customHeight="1">
      <c r="A145" t="s" s="10">
        <v>3479</v>
      </c>
      <c r="B145" t="s" s="11">
        <v>881</v>
      </c>
      <c r="C145" s="12">
        <v>45275</v>
      </c>
      <c r="D145" t="s" s="13">
        <v>54</v>
      </c>
      <c r="E145" t="s" s="13">
        <v>93</v>
      </c>
      <c r="F145" s="14">
        <v>2</v>
      </c>
      <c r="G145" s="15">
        <v>0</v>
      </c>
      <c r="H145" s="15">
        <v>0</v>
      </c>
    </row>
    <row r="146" ht="12.9" customHeight="1">
      <c r="A146" t="s" s="10">
        <v>3479</v>
      </c>
      <c r="B146" t="s" s="11">
        <v>881</v>
      </c>
      <c r="C146" s="12">
        <v>45275</v>
      </c>
      <c r="D146" t="s" s="13">
        <v>470</v>
      </c>
      <c r="E146" t="s" s="13">
        <v>517</v>
      </c>
      <c r="F146" s="14">
        <v>2</v>
      </c>
      <c r="G146" s="15">
        <v>187.4925</v>
      </c>
      <c r="H146" s="15">
        <v>374.985</v>
      </c>
    </row>
    <row r="147" ht="12.9" customHeight="1">
      <c r="A147" t="s" s="10">
        <v>3479</v>
      </c>
      <c r="B147" t="s" s="11">
        <v>881</v>
      </c>
      <c r="C147" s="12">
        <v>45275</v>
      </c>
      <c r="D147" t="s" s="13">
        <v>354</v>
      </c>
      <c r="E147" t="s" s="13">
        <v>355</v>
      </c>
      <c r="F147" s="14">
        <v>2</v>
      </c>
      <c r="G147" s="15">
        <v>112.4925</v>
      </c>
      <c r="H147" s="15">
        <v>224.985</v>
      </c>
    </row>
    <row r="148" ht="12.9" customHeight="1">
      <c r="A148" t="s" s="10">
        <v>3479</v>
      </c>
      <c r="B148" t="s" s="11">
        <v>881</v>
      </c>
      <c r="C148" s="12">
        <v>45275</v>
      </c>
      <c r="D148" t="s" s="13">
        <v>123</v>
      </c>
      <c r="E148" t="s" s="13">
        <v>124</v>
      </c>
      <c r="F148" s="14">
        <v>8</v>
      </c>
      <c r="G148" s="15">
        <v>134.9925</v>
      </c>
      <c r="H148" s="15">
        <v>1079.94</v>
      </c>
    </row>
    <row r="149" ht="12.9" customHeight="1">
      <c r="A149" t="s" s="10">
        <v>3479</v>
      </c>
      <c r="B149" t="s" s="11">
        <v>881</v>
      </c>
      <c r="C149" s="12">
        <v>45275</v>
      </c>
      <c r="D149" t="s" s="13">
        <v>882</v>
      </c>
      <c r="E149" t="s" s="13">
        <v>883</v>
      </c>
      <c r="F149" s="14">
        <v>32</v>
      </c>
      <c r="G149" s="15">
        <v>56.2425</v>
      </c>
      <c r="H149" s="15">
        <v>1799.76</v>
      </c>
    </row>
    <row r="150" ht="12.9" customHeight="1">
      <c r="A150" t="s" s="10">
        <v>3479</v>
      </c>
      <c r="B150" t="s" s="11">
        <v>881</v>
      </c>
      <c r="C150" s="12">
        <v>45275</v>
      </c>
      <c r="D150" t="s" s="13">
        <v>146</v>
      </c>
      <c r="E150" t="s" s="13">
        <v>147</v>
      </c>
      <c r="F150" s="14">
        <v>8</v>
      </c>
      <c r="G150" s="15">
        <v>14.9925</v>
      </c>
      <c r="H150" s="15">
        <v>119.94</v>
      </c>
    </row>
    <row r="151" ht="12.9" customHeight="1">
      <c r="A151" t="s" s="10">
        <v>3479</v>
      </c>
      <c r="B151" t="s" s="11">
        <v>881</v>
      </c>
      <c r="C151" s="12">
        <v>45275</v>
      </c>
      <c r="D151" t="s" s="13">
        <v>52</v>
      </c>
      <c r="E151" t="s" s="13">
        <v>321</v>
      </c>
      <c r="F151" s="14">
        <v>2</v>
      </c>
      <c r="G151" s="15">
        <v>14.9925</v>
      </c>
      <c r="H151" s="15">
        <v>29.985</v>
      </c>
    </row>
    <row r="152" ht="12.9" customHeight="1">
      <c r="A152" t="s" s="10">
        <v>3479</v>
      </c>
      <c r="B152" t="s" s="11">
        <v>881</v>
      </c>
      <c r="C152" s="12">
        <v>45275</v>
      </c>
      <c r="D152" t="s" s="13">
        <v>412</v>
      </c>
      <c r="E152" t="s" s="13">
        <v>413</v>
      </c>
      <c r="F152" s="14">
        <v>4</v>
      </c>
      <c r="G152" s="15">
        <v>0</v>
      </c>
      <c r="H152" s="15">
        <v>0</v>
      </c>
    </row>
    <row r="153" ht="12.9" customHeight="1">
      <c r="A153" t="s" s="10">
        <v>3479</v>
      </c>
      <c r="B153" t="s" s="11">
        <v>881</v>
      </c>
      <c r="C153" s="12">
        <v>45275</v>
      </c>
      <c r="D153" t="s" s="13">
        <v>119</v>
      </c>
      <c r="E153" t="s" s="13">
        <v>120</v>
      </c>
      <c r="F153" s="14">
        <v>4</v>
      </c>
      <c r="G153" s="15">
        <v>0</v>
      </c>
      <c r="H153" s="15">
        <v>0</v>
      </c>
    </row>
    <row r="154" ht="12.9" customHeight="1">
      <c r="A154" t="s" s="10">
        <v>3479</v>
      </c>
      <c r="B154" t="s" s="11">
        <v>881</v>
      </c>
      <c r="C154" s="12">
        <v>45275</v>
      </c>
      <c r="D154" t="s" s="13">
        <v>2961</v>
      </c>
      <c r="E154" t="s" s="13">
        <v>2962</v>
      </c>
      <c r="F154" s="14">
        <v>4</v>
      </c>
      <c r="G154" s="15">
        <v>17.2425</v>
      </c>
      <c r="H154" s="15">
        <v>68.97</v>
      </c>
    </row>
    <row r="155" ht="12.9" customHeight="1">
      <c r="A155" t="s" s="10">
        <v>3479</v>
      </c>
      <c r="B155" t="s" s="11">
        <v>881</v>
      </c>
      <c r="C155" s="12">
        <v>45275</v>
      </c>
      <c r="D155" t="s" s="13">
        <v>1731</v>
      </c>
      <c r="E155" t="s" s="13">
        <v>1732</v>
      </c>
      <c r="F155" s="14">
        <v>3</v>
      </c>
      <c r="G155" s="15">
        <v>18.7425</v>
      </c>
      <c r="H155" s="15">
        <v>56.2275</v>
      </c>
    </row>
    <row r="156" ht="12.9" customHeight="1">
      <c r="A156" t="s" s="10">
        <v>3479</v>
      </c>
      <c r="B156" t="s" s="11">
        <v>881</v>
      </c>
      <c r="C156" s="12">
        <v>45275</v>
      </c>
      <c r="D156" t="s" s="13">
        <v>63</v>
      </c>
      <c r="E156" s="16"/>
      <c r="F156" s="14">
        <v>1</v>
      </c>
      <c r="G156" s="15">
        <v>78</v>
      </c>
      <c r="H156" s="15">
        <v>78</v>
      </c>
    </row>
    <row r="157" ht="12.9" customHeight="1">
      <c r="A157" t="s" s="10">
        <v>3482</v>
      </c>
      <c r="B157" t="s" s="11">
        <v>1985</v>
      </c>
      <c r="C157" s="12">
        <v>45275</v>
      </c>
      <c r="D157" t="s" s="13">
        <v>1986</v>
      </c>
      <c r="E157" t="s" s="13">
        <v>1986</v>
      </c>
      <c r="F157" s="14">
        <v>10</v>
      </c>
      <c r="G157" s="15">
        <v>94.98999999999999</v>
      </c>
      <c r="H157" s="15">
        <v>949.9</v>
      </c>
    </row>
    <row r="158" ht="12.9" customHeight="1">
      <c r="A158" t="s" s="10">
        <v>3482</v>
      </c>
      <c r="B158" t="s" s="11">
        <v>1985</v>
      </c>
      <c r="C158" s="12">
        <v>45275</v>
      </c>
      <c r="D158" t="s" s="13">
        <v>2961</v>
      </c>
      <c r="E158" t="s" s="13">
        <v>2962</v>
      </c>
      <c r="F158" s="14">
        <v>10</v>
      </c>
      <c r="G158" s="15">
        <v>0</v>
      </c>
      <c r="H158" s="15">
        <v>0</v>
      </c>
    </row>
    <row r="159" ht="12.9" customHeight="1">
      <c r="A159" t="s" s="10">
        <v>3482</v>
      </c>
      <c r="B159" t="s" s="11">
        <v>1985</v>
      </c>
      <c r="C159" s="12">
        <v>45275</v>
      </c>
      <c r="D159" t="s" s="13">
        <v>778</v>
      </c>
      <c r="E159" t="s" s="13">
        <v>779</v>
      </c>
      <c r="F159" s="14">
        <v>5</v>
      </c>
      <c r="G159" s="15">
        <v>299.99</v>
      </c>
      <c r="H159" s="15">
        <v>1499.95</v>
      </c>
    </row>
    <row r="160" ht="12.9" customHeight="1">
      <c r="A160" t="s" s="10">
        <v>3482</v>
      </c>
      <c r="B160" t="s" s="11">
        <v>1985</v>
      </c>
      <c r="C160" s="12">
        <v>45275</v>
      </c>
      <c r="D160" t="s" s="13">
        <v>1707</v>
      </c>
      <c r="E160" t="s" s="13">
        <v>1708</v>
      </c>
      <c r="F160" s="14">
        <v>5</v>
      </c>
      <c r="G160" s="15">
        <v>0</v>
      </c>
      <c r="H160" s="15">
        <v>0</v>
      </c>
    </row>
    <row r="161" ht="12.9" customHeight="1">
      <c r="A161" t="s" s="10">
        <v>3482</v>
      </c>
      <c r="B161" t="s" s="11">
        <v>1985</v>
      </c>
      <c r="C161" s="12">
        <v>45275</v>
      </c>
      <c r="D161" t="s" s="13">
        <v>780</v>
      </c>
      <c r="E161" t="s" s="13">
        <v>780</v>
      </c>
      <c r="F161" s="14">
        <v>5</v>
      </c>
      <c r="G161" s="15">
        <v>0</v>
      </c>
      <c r="H161" s="15">
        <v>0</v>
      </c>
    </row>
    <row r="162" ht="12.9" customHeight="1">
      <c r="A162" t="s" s="10">
        <v>3483</v>
      </c>
      <c r="B162" t="s" s="11">
        <v>3484</v>
      </c>
      <c r="C162" s="12">
        <v>45274.8755066088</v>
      </c>
      <c r="D162" t="s" s="13">
        <v>19</v>
      </c>
      <c r="E162" t="s" s="13">
        <v>20</v>
      </c>
      <c r="F162" s="14">
        <v>2</v>
      </c>
      <c r="G162" s="15">
        <v>119.99</v>
      </c>
      <c r="H162" s="15">
        <v>239.98</v>
      </c>
    </row>
    <row r="163" ht="12.9" customHeight="1">
      <c r="A163" t="s" s="10">
        <v>3483</v>
      </c>
      <c r="B163" t="s" s="11">
        <v>3484</v>
      </c>
      <c r="C163" s="12">
        <v>45274.8755066088</v>
      </c>
      <c r="D163" t="s" s="13">
        <v>15</v>
      </c>
      <c r="E163" t="s" s="13">
        <v>16</v>
      </c>
      <c r="F163" s="14">
        <v>2</v>
      </c>
      <c r="G163" s="15">
        <v>9.99</v>
      </c>
      <c r="H163" s="15">
        <v>19.98</v>
      </c>
    </row>
    <row r="164" ht="12.9" customHeight="1">
      <c r="A164" t="s" s="10">
        <v>3485</v>
      </c>
      <c r="B164" t="s" s="11">
        <v>1541</v>
      </c>
      <c r="C164" s="12">
        <v>45274.201596886574</v>
      </c>
      <c r="D164" t="s" s="13">
        <v>35</v>
      </c>
      <c r="E164" t="s" s="13">
        <v>36</v>
      </c>
      <c r="F164" s="14">
        <v>1</v>
      </c>
      <c r="G164" s="15">
        <v>49.99</v>
      </c>
      <c r="H164" s="15">
        <v>49.99</v>
      </c>
    </row>
    <row r="165" ht="12.9" customHeight="1">
      <c r="A165" t="s" s="10">
        <v>3486</v>
      </c>
      <c r="B165" t="s" s="11">
        <v>368</v>
      </c>
      <c r="C165" s="12">
        <v>45274.12299375</v>
      </c>
      <c r="D165" t="s" s="13">
        <v>77</v>
      </c>
      <c r="E165" t="s" s="13">
        <v>78</v>
      </c>
      <c r="F165" s="14">
        <v>2</v>
      </c>
      <c r="G165" s="15">
        <v>19.99</v>
      </c>
      <c r="H165" s="15">
        <v>39.98</v>
      </c>
    </row>
    <row r="166" ht="12.9" customHeight="1">
      <c r="A166" t="s" s="10">
        <v>3486</v>
      </c>
      <c r="B166" t="s" s="11">
        <v>368</v>
      </c>
      <c r="C166" s="12">
        <v>45274.12299375</v>
      </c>
      <c r="D166" t="s" s="13">
        <v>52</v>
      </c>
      <c r="E166" t="s" s="13">
        <v>321</v>
      </c>
      <c r="F166" s="14">
        <v>4</v>
      </c>
      <c r="G166" s="15">
        <v>19.99</v>
      </c>
      <c r="H166" s="15">
        <v>79.95999999999999</v>
      </c>
    </row>
    <row r="167" ht="12.9" customHeight="1">
      <c r="A167" t="s" s="10">
        <v>3486</v>
      </c>
      <c r="B167" t="s" s="11">
        <v>368</v>
      </c>
      <c r="C167" s="12">
        <v>45274.12299375</v>
      </c>
      <c r="D167" t="s" s="13">
        <v>359</v>
      </c>
      <c r="E167" t="s" s="13">
        <v>360</v>
      </c>
      <c r="F167" s="14">
        <v>2</v>
      </c>
      <c r="G167" s="15">
        <v>29.99</v>
      </c>
      <c r="H167" s="15">
        <v>59.98</v>
      </c>
    </row>
    <row r="168" ht="12.9" customHeight="1">
      <c r="A168" t="s" s="10">
        <v>3487</v>
      </c>
      <c r="B168" t="s" s="11">
        <v>3488</v>
      </c>
      <c r="C168" s="12">
        <v>45274.003986284719</v>
      </c>
      <c r="D168" t="s" s="13">
        <v>73</v>
      </c>
      <c r="E168" t="s" s="13">
        <v>74</v>
      </c>
      <c r="F168" s="14">
        <v>1</v>
      </c>
      <c r="G168" s="15">
        <v>399.99</v>
      </c>
      <c r="H168" s="15">
        <v>399.99</v>
      </c>
    </row>
    <row r="169" ht="12.9" customHeight="1">
      <c r="A169" t="s" s="10">
        <v>3487</v>
      </c>
      <c r="B169" t="s" s="11">
        <v>3488</v>
      </c>
      <c r="C169" s="12">
        <v>45274.003986284719</v>
      </c>
      <c r="D169" t="s" s="13">
        <v>59</v>
      </c>
      <c r="E169" t="s" s="13">
        <v>60</v>
      </c>
      <c r="F169" s="14">
        <v>1</v>
      </c>
      <c r="G169" s="15">
        <v>1199.99</v>
      </c>
      <c r="H169" s="15">
        <v>1199.99</v>
      </c>
    </row>
    <row r="170" ht="12.9" customHeight="1">
      <c r="A170" t="s" s="10">
        <v>3489</v>
      </c>
      <c r="B170" t="s" s="11">
        <v>2222</v>
      </c>
      <c r="C170" s="12">
        <v>45274</v>
      </c>
      <c r="D170" t="s" s="13">
        <v>409</v>
      </c>
      <c r="E170" t="s" s="13">
        <v>409</v>
      </c>
      <c r="F170" s="14">
        <v>1</v>
      </c>
      <c r="G170" s="15">
        <v>0</v>
      </c>
      <c r="H170" s="15">
        <v>0</v>
      </c>
    </row>
    <row r="171" ht="12.9" customHeight="1">
      <c r="A171" t="s" s="10">
        <v>3489</v>
      </c>
      <c r="B171" t="s" s="11">
        <v>2222</v>
      </c>
      <c r="C171" s="12">
        <v>45274</v>
      </c>
      <c r="D171" t="s" s="13">
        <v>15</v>
      </c>
      <c r="E171" t="s" s="13">
        <v>16</v>
      </c>
      <c r="F171" s="14">
        <v>5</v>
      </c>
      <c r="G171" s="15">
        <v>0</v>
      </c>
      <c r="H171" s="15">
        <v>0</v>
      </c>
    </row>
    <row r="172" ht="12.9" customHeight="1">
      <c r="A172" t="s" s="10">
        <v>3490</v>
      </c>
      <c r="B172" t="s" s="11">
        <v>368</v>
      </c>
      <c r="C172" s="12">
        <v>45273.900372523145</v>
      </c>
      <c r="D172" t="s" s="13">
        <v>48</v>
      </c>
      <c r="E172" t="s" s="13">
        <v>49</v>
      </c>
      <c r="F172" s="14">
        <v>4</v>
      </c>
      <c r="G172" s="15">
        <v>1299.99</v>
      </c>
      <c r="H172" s="15">
        <v>5199.96</v>
      </c>
    </row>
    <row r="173" ht="12.9" customHeight="1">
      <c r="A173" t="s" s="10">
        <v>3490</v>
      </c>
      <c r="B173" t="s" s="11">
        <v>368</v>
      </c>
      <c r="C173" s="12">
        <v>45273.900372523145</v>
      </c>
      <c r="D173" t="s" s="13">
        <v>50</v>
      </c>
      <c r="E173" t="s" s="13">
        <v>83</v>
      </c>
      <c r="F173" s="14">
        <v>4</v>
      </c>
      <c r="G173" s="15">
        <v>0</v>
      </c>
      <c r="H173" s="15">
        <v>0</v>
      </c>
    </row>
    <row r="174" ht="12.9" customHeight="1">
      <c r="A174" t="s" s="10">
        <v>3490</v>
      </c>
      <c r="B174" t="s" s="11">
        <v>368</v>
      </c>
      <c r="C174" s="12">
        <v>45273.900372523145</v>
      </c>
      <c r="D174" t="s" s="13">
        <v>52</v>
      </c>
      <c r="E174" t="s" s="13">
        <v>321</v>
      </c>
      <c r="F174" s="14">
        <v>4</v>
      </c>
      <c r="G174" s="15">
        <v>0</v>
      </c>
      <c r="H174" s="15">
        <v>0</v>
      </c>
    </row>
    <row r="175" ht="12.9" customHeight="1">
      <c r="A175" t="s" s="10">
        <v>3490</v>
      </c>
      <c r="B175" t="s" s="11">
        <v>368</v>
      </c>
      <c r="C175" s="12">
        <v>45273.900372523145</v>
      </c>
      <c r="D175" t="s" s="13">
        <v>84</v>
      </c>
      <c r="E175" t="s" s="13">
        <v>2685</v>
      </c>
      <c r="F175" s="14">
        <v>4</v>
      </c>
      <c r="G175" s="15">
        <v>0</v>
      </c>
      <c r="H175" s="15">
        <v>0</v>
      </c>
    </row>
    <row r="176" ht="12.9" customHeight="1">
      <c r="A176" t="s" s="10">
        <v>3490</v>
      </c>
      <c r="B176" t="s" s="11">
        <v>368</v>
      </c>
      <c r="C176" s="12">
        <v>45273.900372523145</v>
      </c>
      <c r="D176" t="s" s="13">
        <v>23</v>
      </c>
      <c r="E176" t="s" s="13">
        <v>24</v>
      </c>
      <c r="F176" s="14">
        <v>4</v>
      </c>
      <c r="G176" s="15">
        <v>0</v>
      </c>
      <c r="H176" s="15">
        <v>0</v>
      </c>
    </row>
    <row r="177" ht="12.9" customHeight="1">
      <c r="A177" t="s" s="10">
        <v>3491</v>
      </c>
      <c r="B177" t="s" s="11">
        <v>3492</v>
      </c>
      <c r="C177" s="12">
        <v>45273.852375694441</v>
      </c>
      <c r="D177" t="s" s="13">
        <v>73</v>
      </c>
      <c r="E177" t="s" s="13">
        <v>74</v>
      </c>
      <c r="F177" s="14">
        <v>1</v>
      </c>
      <c r="G177" s="15">
        <v>399.99</v>
      </c>
      <c r="H177" s="15">
        <v>399.99</v>
      </c>
    </row>
    <row r="178" ht="12.9" customHeight="1">
      <c r="A178" t="s" s="10">
        <v>3493</v>
      </c>
      <c r="B178" t="s" s="11">
        <v>368</v>
      </c>
      <c r="C178" s="12">
        <v>45273.679122881942</v>
      </c>
      <c r="D178" t="s" s="13">
        <v>487</v>
      </c>
      <c r="E178" t="s" s="13">
        <v>488</v>
      </c>
      <c r="F178" s="14">
        <v>3</v>
      </c>
      <c r="G178" s="15">
        <v>109.99</v>
      </c>
      <c r="H178" s="15">
        <v>329.97</v>
      </c>
    </row>
    <row r="179" ht="12.9" customHeight="1">
      <c r="A179" t="s" s="10">
        <v>3494</v>
      </c>
      <c r="B179" t="s" s="11">
        <v>3495</v>
      </c>
      <c r="C179" s="12">
        <v>45273.671572037034</v>
      </c>
      <c r="D179" t="s" s="13">
        <v>1695</v>
      </c>
      <c r="E179" t="s" s="13">
        <v>140</v>
      </c>
      <c r="F179" s="14">
        <v>1</v>
      </c>
      <c r="G179" s="15">
        <v>49.99</v>
      </c>
      <c r="H179" s="15">
        <v>49.99</v>
      </c>
    </row>
    <row r="180" ht="12.9" customHeight="1">
      <c r="A180" t="s" s="10">
        <v>3494</v>
      </c>
      <c r="B180" t="s" s="11">
        <v>3495</v>
      </c>
      <c r="C180" s="12">
        <v>45273.671572037034</v>
      </c>
      <c r="D180" t="s" s="13">
        <v>15</v>
      </c>
      <c r="E180" t="s" s="13">
        <v>16</v>
      </c>
      <c r="F180" s="14">
        <v>1</v>
      </c>
      <c r="G180" s="15">
        <v>9.99</v>
      </c>
      <c r="H180" s="15">
        <v>9.99</v>
      </c>
    </row>
    <row r="181" ht="12.9" customHeight="1">
      <c r="A181" t="s" s="10">
        <v>3496</v>
      </c>
      <c r="B181" t="s" s="11">
        <v>3497</v>
      </c>
      <c r="C181" s="12">
        <v>45273.007423981478</v>
      </c>
      <c r="D181" t="s" s="13">
        <v>35</v>
      </c>
      <c r="E181" t="s" s="13">
        <v>36</v>
      </c>
      <c r="F181" s="14">
        <v>2</v>
      </c>
      <c r="G181" s="15">
        <v>49.99</v>
      </c>
      <c r="H181" s="15">
        <v>99.98</v>
      </c>
    </row>
    <row r="182" ht="12.9" customHeight="1">
      <c r="A182" t="s" s="10">
        <v>3498</v>
      </c>
      <c r="B182" t="s" s="11">
        <v>353</v>
      </c>
      <c r="C182" s="12">
        <v>45273</v>
      </c>
      <c r="D182" t="s" s="13">
        <v>59</v>
      </c>
      <c r="E182" t="s" s="13">
        <v>60</v>
      </c>
      <c r="F182" s="14">
        <v>1</v>
      </c>
      <c r="G182" s="15">
        <v>1079.991</v>
      </c>
      <c r="H182" s="15">
        <v>1079.991</v>
      </c>
    </row>
    <row r="183" ht="12.9" customHeight="1">
      <c r="A183" t="s" s="10">
        <v>3498</v>
      </c>
      <c r="B183" t="s" s="11">
        <v>353</v>
      </c>
      <c r="C183" s="12">
        <v>45273</v>
      </c>
      <c r="D183" t="s" s="13">
        <v>50</v>
      </c>
      <c r="E183" t="s" s="13">
        <v>83</v>
      </c>
      <c r="F183" s="14">
        <v>4</v>
      </c>
      <c r="G183" s="15">
        <v>22.4925</v>
      </c>
      <c r="H183" s="15">
        <v>89.97</v>
      </c>
    </row>
    <row r="184" ht="12.9" customHeight="1">
      <c r="A184" t="s" s="10">
        <v>3498</v>
      </c>
      <c r="B184" t="s" s="11">
        <v>353</v>
      </c>
      <c r="C184" s="12">
        <v>45273</v>
      </c>
      <c r="D184" t="s" s="13">
        <v>23</v>
      </c>
      <c r="E184" t="s" s="13">
        <v>24</v>
      </c>
      <c r="F184" s="14">
        <v>1</v>
      </c>
      <c r="G184" s="15">
        <v>134.991</v>
      </c>
      <c r="H184" s="15">
        <v>134.991</v>
      </c>
    </row>
    <row r="185" ht="12.9" customHeight="1">
      <c r="A185" t="s" s="10">
        <v>3498</v>
      </c>
      <c r="B185" t="s" s="11">
        <v>353</v>
      </c>
      <c r="C185" s="12">
        <v>45273</v>
      </c>
      <c r="D185" t="s" s="13">
        <v>47</v>
      </c>
      <c r="E185" s="16"/>
      <c r="F185" s="14">
        <v>1</v>
      </c>
      <c r="G185" s="15">
        <v>68.73</v>
      </c>
      <c r="H185" s="15">
        <v>68.73</v>
      </c>
    </row>
    <row r="186" ht="12.9" customHeight="1">
      <c r="A186" t="s" s="10">
        <v>3499</v>
      </c>
      <c r="B186" t="s" s="11">
        <v>62</v>
      </c>
      <c r="C186" s="12">
        <v>45273</v>
      </c>
      <c r="D186" t="s" s="13">
        <v>559</v>
      </c>
      <c r="E186" t="s" s="13">
        <v>560</v>
      </c>
      <c r="F186" s="14">
        <v>200</v>
      </c>
      <c r="G186" s="15">
        <v>0.5</v>
      </c>
      <c r="H186" s="15">
        <v>100</v>
      </c>
    </row>
    <row r="187" ht="12.9" customHeight="1">
      <c r="A187" t="s" s="10">
        <v>3499</v>
      </c>
      <c r="B187" t="s" s="11">
        <v>62</v>
      </c>
      <c r="C187" s="12">
        <v>45273</v>
      </c>
      <c r="D187" t="s" s="13">
        <v>63</v>
      </c>
      <c r="E187" s="16"/>
      <c r="F187" s="14">
        <v>1</v>
      </c>
      <c r="G187" s="15">
        <v>11</v>
      </c>
      <c r="H187" s="15">
        <v>11</v>
      </c>
    </row>
    <row r="188" ht="12.9" customHeight="1">
      <c r="A188" t="s" s="10">
        <v>3500</v>
      </c>
      <c r="B188" t="s" s="11">
        <v>3430</v>
      </c>
      <c r="C188" s="12">
        <v>45272.855013333334</v>
      </c>
      <c r="D188" t="s" s="13">
        <v>19</v>
      </c>
      <c r="E188" t="s" s="13">
        <v>20</v>
      </c>
      <c r="F188" s="14">
        <v>2</v>
      </c>
      <c r="G188" s="15">
        <v>119.99</v>
      </c>
      <c r="H188" s="15">
        <v>239.98</v>
      </c>
    </row>
    <row r="189" ht="12.9" customHeight="1">
      <c r="A189" t="s" s="10">
        <v>3500</v>
      </c>
      <c r="B189" t="s" s="11">
        <v>3430</v>
      </c>
      <c r="C189" s="12">
        <v>45272.855013333334</v>
      </c>
      <c r="D189" t="s" s="13">
        <v>15</v>
      </c>
      <c r="E189" t="s" s="13">
        <v>16</v>
      </c>
      <c r="F189" s="14">
        <v>2</v>
      </c>
      <c r="G189" s="15">
        <v>9.99</v>
      </c>
      <c r="H189" s="15">
        <v>19.98</v>
      </c>
    </row>
    <row r="190" ht="12.9" customHeight="1">
      <c r="A190" t="s" s="10">
        <v>3501</v>
      </c>
      <c r="B190" t="s" s="11">
        <v>3502</v>
      </c>
      <c r="C190" s="12">
        <v>45272.513548356481</v>
      </c>
      <c r="D190" t="s" s="13">
        <v>95</v>
      </c>
      <c r="E190" t="s" s="13">
        <v>12</v>
      </c>
      <c r="F190" s="14">
        <v>1</v>
      </c>
      <c r="G190" s="15">
        <v>349.99</v>
      </c>
      <c r="H190" s="15">
        <v>349.99</v>
      </c>
    </row>
    <row r="191" ht="12.9" customHeight="1">
      <c r="A191" t="s" s="10">
        <v>3503</v>
      </c>
      <c r="B191" t="s" s="11">
        <v>1874</v>
      </c>
      <c r="C191" s="12">
        <v>45272</v>
      </c>
      <c r="D191" t="s" s="13">
        <v>254</v>
      </c>
      <c r="E191" t="s" s="13">
        <v>3504</v>
      </c>
      <c r="F191" s="14">
        <v>8.300000000000001</v>
      </c>
      <c r="G191" s="15">
        <v>75</v>
      </c>
      <c r="H191" s="15">
        <v>622.5</v>
      </c>
    </row>
    <row r="192" ht="12.9" customHeight="1">
      <c r="A192" t="s" s="10">
        <v>3503</v>
      </c>
      <c r="B192" t="s" s="11">
        <v>1874</v>
      </c>
      <c r="C192" s="12">
        <v>45272</v>
      </c>
      <c r="D192" t="s" s="13">
        <v>2512</v>
      </c>
      <c r="E192" t="s" s="13">
        <v>2512</v>
      </c>
      <c r="F192" s="14">
        <v>14</v>
      </c>
      <c r="G192" s="15">
        <v>0</v>
      </c>
      <c r="H192" s="15">
        <v>0</v>
      </c>
    </row>
    <row r="193" ht="12.9" customHeight="1">
      <c r="A193" t="s" s="10">
        <v>3503</v>
      </c>
      <c r="B193" t="s" s="11">
        <v>1874</v>
      </c>
      <c r="C193" s="12">
        <v>45272</v>
      </c>
      <c r="D193" t="s" s="13">
        <v>1891</v>
      </c>
      <c r="E193" t="s" s="13">
        <v>1891</v>
      </c>
      <c r="F193" s="14">
        <v>20</v>
      </c>
      <c r="G193" s="15">
        <v>0</v>
      </c>
      <c r="H193" s="15">
        <v>0</v>
      </c>
    </row>
    <row r="194" ht="12.9" customHeight="1">
      <c r="A194" t="s" s="10">
        <v>3503</v>
      </c>
      <c r="B194" t="s" s="11">
        <v>1874</v>
      </c>
      <c r="C194" s="12">
        <v>45272</v>
      </c>
      <c r="D194" t="s" s="13">
        <v>1892</v>
      </c>
      <c r="E194" t="s" s="13">
        <v>1892</v>
      </c>
      <c r="F194" s="14">
        <v>20</v>
      </c>
      <c r="G194" s="15">
        <v>0</v>
      </c>
      <c r="H194" s="15">
        <v>0</v>
      </c>
    </row>
    <row r="195" ht="12.9" customHeight="1">
      <c r="A195" t="s" s="10">
        <v>3503</v>
      </c>
      <c r="B195" t="s" s="11">
        <v>1874</v>
      </c>
      <c r="C195" s="12">
        <v>45272</v>
      </c>
      <c r="D195" t="s" s="13">
        <v>775</v>
      </c>
      <c r="E195" t="s" s="13">
        <v>775</v>
      </c>
      <c r="F195" s="14">
        <v>7</v>
      </c>
      <c r="G195" s="15">
        <v>0</v>
      </c>
      <c r="H195" s="15">
        <v>0</v>
      </c>
    </row>
    <row r="196" ht="12.9" customHeight="1">
      <c r="A196" t="s" s="10">
        <v>3503</v>
      </c>
      <c r="B196" t="s" s="11">
        <v>1874</v>
      </c>
      <c r="C196" s="12">
        <v>45272</v>
      </c>
      <c r="D196" t="s" s="13">
        <v>356</v>
      </c>
      <c r="E196" t="s" s="13">
        <v>356</v>
      </c>
      <c r="F196" s="14">
        <v>2</v>
      </c>
      <c r="G196" s="15">
        <v>0</v>
      </c>
      <c r="H196" s="15">
        <v>0</v>
      </c>
    </row>
    <row r="197" ht="12.9" customHeight="1">
      <c r="A197" t="s" s="10">
        <v>3503</v>
      </c>
      <c r="B197" t="s" s="11">
        <v>1874</v>
      </c>
      <c r="C197" s="12">
        <v>45272</v>
      </c>
      <c r="D197" t="s" s="13">
        <v>63</v>
      </c>
      <c r="E197" s="16"/>
      <c r="F197" s="14">
        <v>1</v>
      </c>
      <c r="G197" s="15">
        <v>42</v>
      </c>
      <c r="H197" s="15">
        <v>42</v>
      </c>
    </row>
    <row r="198" ht="12.9" customHeight="1">
      <c r="A198" t="s" s="10">
        <v>3505</v>
      </c>
      <c r="B198" t="s" s="11">
        <v>3506</v>
      </c>
      <c r="C198" s="12">
        <v>45272</v>
      </c>
      <c r="D198" t="s" s="13">
        <v>254</v>
      </c>
      <c r="E198" t="s" s="13">
        <v>3507</v>
      </c>
      <c r="F198" s="14">
        <v>1</v>
      </c>
      <c r="G198" s="15">
        <v>50</v>
      </c>
      <c r="H198" s="15">
        <v>50</v>
      </c>
    </row>
    <row r="199" ht="12.9" customHeight="1">
      <c r="A199" t="s" s="10">
        <v>3505</v>
      </c>
      <c r="B199" t="s" s="11">
        <v>3506</v>
      </c>
      <c r="C199" s="12">
        <v>45272</v>
      </c>
      <c r="D199" t="s" s="13">
        <v>19</v>
      </c>
      <c r="E199" t="s" s="13">
        <v>20</v>
      </c>
      <c r="F199" s="14">
        <v>1</v>
      </c>
      <c r="G199" s="15">
        <v>119.99</v>
      </c>
      <c r="H199" s="15">
        <v>119.99</v>
      </c>
    </row>
    <row r="200" ht="12.9" customHeight="1">
      <c r="A200" t="s" s="10">
        <v>3505</v>
      </c>
      <c r="B200" t="s" s="11">
        <v>3506</v>
      </c>
      <c r="C200" s="12">
        <v>45272</v>
      </c>
      <c r="D200" t="s" s="13">
        <v>63</v>
      </c>
      <c r="E200" s="16"/>
      <c r="F200" s="14">
        <v>1</v>
      </c>
      <c r="G200" s="15">
        <v>42</v>
      </c>
      <c r="H200" s="15">
        <v>42</v>
      </c>
    </row>
    <row r="201" ht="12.9" customHeight="1">
      <c r="A201" t="s" s="10">
        <v>3508</v>
      </c>
      <c r="B201" t="s" s="11">
        <v>3509</v>
      </c>
      <c r="C201" s="12">
        <v>45271.843407534725</v>
      </c>
      <c r="D201" t="s" s="13">
        <v>35</v>
      </c>
      <c r="E201" t="s" s="13">
        <v>36</v>
      </c>
      <c r="F201" s="14">
        <v>1</v>
      </c>
      <c r="G201" s="15">
        <v>49.99</v>
      </c>
      <c r="H201" s="15">
        <v>49.99</v>
      </c>
    </row>
    <row r="202" ht="12.9" customHeight="1">
      <c r="A202" t="s" s="10">
        <v>3510</v>
      </c>
      <c r="B202" t="s" s="11">
        <v>3226</v>
      </c>
      <c r="C202" s="12">
        <v>45271.721122673611</v>
      </c>
      <c r="D202" t="s" s="13">
        <v>35</v>
      </c>
      <c r="E202" t="s" s="13">
        <v>36</v>
      </c>
      <c r="F202" s="14">
        <v>1</v>
      </c>
      <c r="G202" s="15">
        <v>49.99</v>
      </c>
      <c r="H202" s="15">
        <v>49.99</v>
      </c>
    </row>
    <row r="203" ht="12.9" customHeight="1">
      <c r="A203" t="s" s="10">
        <v>3511</v>
      </c>
      <c r="B203" t="s" s="11">
        <v>391</v>
      </c>
      <c r="C203" s="12">
        <v>45271</v>
      </c>
      <c r="D203" t="s" s="13">
        <v>227</v>
      </c>
      <c r="E203" t="s" s="13">
        <v>228</v>
      </c>
      <c r="F203" s="14">
        <v>2</v>
      </c>
      <c r="G203" s="15">
        <v>22.4925</v>
      </c>
      <c r="H203" s="15">
        <v>44.985</v>
      </c>
    </row>
    <row r="204" ht="12.9" customHeight="1">
      <c r="A204" t="s" s="10">
        <v>3511</v>
      </c>
      <c r="B204" t="s" s="11">
        <v>391</v>
      </c>
      <c r="C204" s="12">
        <v>45271</v>
      </c>
      <c r="D204" t="s" s="13">
        <v>63</v>
      </c>
      <c r="E204" s="16"/>
      <c r="F204" s="14">
        <v>1</v>
      </c>
      <c r="G204" s="15">
        <v>14</v>
      </c>
      <c r="H204" s="15">
        <v>14</v>
      </c>
    </row>
    <row r="205" ht="12.9" customHeight="1">
      <c r="A205" t="s" s="10">
        <v>3512</v>
      </c>
      <c r="B205" t="s" s="11">
        <v>2829</v>
      </c>
      <c r="C205" s="12">
        <v>45271</v>
      </c>
      <c r="D205" t="s" s="13">
        <v>3513</v>
      </c>
      <c r="E205" t="s" s="13">
        <v>112</v>
      </c>
      <c r="F205" s="14">
        <v>4</v>
      </c>
      <c r="G205" s="15">
        <v>111.375</v>
      </c>
      <c r="H205" s="15">
        <v>445.5</v>
      </c>
    </row>
    <row r="206" ht="12.9" customHeight="1">
      <c r="A206" t="s" s="10">
        <v>3512</v>
      </c>
      <c r="B206" t="s" s="11">
        <v>2829</v>
      </c>
      <c r="C206" s="12">
        <v>45271</v>
      </c>
      <c r="D206" t="s" s="13">
        <v>2961</v>
      </c>
      <c r="E206" t="s" s="13">
        <v>2962</v>
      </c>
      <c r="F206" s="14">
        <v>4</v>
      </c>
      <c r="G206" s="15">
        <v>17.2425</v>
      </c>
      <c r="H206" s="15">
        <v>68.97</v>
      </c>
    </row>
    <row r="207" ht="12.9" customHeight="1">
      <c r="A207" t="s" s="10">
        <v>3512</v>
      </c>
      <c r="B207" t="s" s="11">
        <v>2829</v>
      </c>
      <c r="C207" s="12">
        <v>45271</v>
      </c>
      <c r="D207" t="s" s="13">
        <v>73</v>
      </c>
      <c r="E207" t="s" s="13">
        <v>74</v>
      </c>
      <c r="F207" s="14">
        <v>1</v>
      </c>
      <c r="G207" s="15">
        <v>299.9925</v>
      </c>
      <c r="H207" s="15">
        <v>299.9925</v>
      </c>
    </row>
    <row r="208" ht="12.9" customHeight="1">
      <c r="A208" t="s" s="10">
        <v>3512</v>
      </c>
      <c r="B208" t="s" s="11">
        <v>2829</v>
      </c>
      <c r="C208" s="12">
        <v>45271</v>
      </c>
      <c r="D208" t="s" s="13">
        <v>3514</v>
      </c>
      <c r="E208" t="s" s="13">
        <v>3515</v>
      </c>
      <c r="F208" s="14">
        <v>6</v>
      </c>
      <c r="G208" s="15">
        <v>6</v>
      </c>
      <c r="H208" s="15">
        <v>36</v>
      </c>
    </row>
    <row r="209" ht="12.9" customHeight="1">
      <c r="A209" t="s" s="10">
        <v>3512</v>
      </c>
      <c r="B209" t="s" s="11">
        <v>2829</v>
      </c>
      <c r="C209" s="12">
        <v>45271</v>
      </c>
      <c r="D209" t="s" s="13">
        <v>3516</v>
      </c>
      <c r="E209" t="s" s="13">
        <v>3517</v>
      </c>
      <c r="F209" s="14">
        <v>6</v>
      </c>
      <c r="G209" s="15">
        <v>4.005</v>
      </c>
      <c r="H209" s="15">
        <v>24.03</v>
      </c>
    </row>
    <row r="210" ht="12.9" customHeight="1">
      <c r="A210" t="s" s="10">
        <v>3512</v>
      </c>
      <c r="B210" t="s" s="11">
        <v>2829</v>
      </c>
      <c r="C210" s="12">
        <v>45271</v>
      </c>
      <c r="D210" t="s" s="13">
        <v>63</v>
      </c>
      <c r="E210" s="16"/>
      <c r="F210" s="14">
        <v>1</v>
      </c>
      <c r="G210" s="15">
        <v>29</v>
      </c>
      <c r="H210" s="15">
        <v>29</v>
      </c>
    </row>
    <row r="211" ht="12.9" customHeight="1">
      <c r="A211" t="s" s="10">
        <v>3518</v>
      </c>
      <c r="B211" t="s" s="11">
        <v>391</v>
      </c>
      <c r="C211" s="12">
        <v>45271</v>
      </c>
      <c r="D211" t="s" s="13">
        <v>59</v>
      </c>
      <c r="E211" t="s" s="13">
        <v>60</v>
      </c>
      <c r="F211" s="14">
        <v>1</v>
      </c>
      <c r="G211" s="15">
        <v>899.9924999999999</v>
      </c>
      <c r="H211" s="15">
        <v>899.9924999999999</v>
      </c>
    </row>
    <row r="212" ht="12.9" customHeight="1">
      <c r="A212" t="s" s="10">
        <v>3518</v>
      </c>
      <c r="B212" t="s" s="11">
        <v>391</v>
      </c>
      <c r="C212" s="12">
        <v>45271</v>
      </c>
      <c r="D212" t="s" s="13">
        <v>63</v>
      </c>
      <c r="E212" s="16"/>
      <c r="F212" s="14">
        <v>1</v>
      </c>
      <c r="G212" s="15">
        <v>15</v>
      </c>
      <c r="H212" s="15">
        <v>15</v>
      </c>
    </row>
    <row r="213" ht="12.9" customHeight="1">
      <c r="A213" t="s" s="10">
        <v>3519</v>
      </c>
      <c r="B213" t="s" s="11">
        <v>2096</v>
      </c>
      <c r="C213" s="12">
        <v>45269.637110775460</v>
      </c>
      <c r="D213" t="s" s="13">
        <v>48</v>
      </c>
      <c r="E213" t="s" s="13">
        <v>49</v>
      </c>
      <c r="F213" s="14">
        <v>2</v>
      </c>
      <c r="G213" s="15">
        <v>1299.99</v>
      </c>
      <c r="H213" s="15">
        <v>2599.98</v>
      </c>
    </row>
    <row r="214" ht="12.9" customHeight="1">
      <c r="A214" t="s" s="10">
        <v>3519</v>
      </c>
      <c r="B214" t="s" s="11">
        <v>2096</v>
      </c>
      <c r="C214" s="12">
        <v>45269.637110775460</v>
      </c>
      <c r="D214" t="s" s="13">
        <v>50</v>
      </c>
      <c r="E214" t="s" s="13">
        <v>83</v>
      </c>
      <c r="F214" s="14">
        <v>2</v>
      </c>
      <c r="G214" s="15">
        <v>0</v>
      </c>
      <c r="H214" s="15">
        <v>0</v>
      </c>
    </row>
    <row r="215" ht="12.9" customHeight="1">
      <c r="A215" t="s" s="10">
        <v>3519</v>
      </c>
      <c r="B215" t="s" s="11">
        <v>2096</v>
      </c>
      <c r="C215" s="12">
        <v>45269.637110775460</v>
      </c>
      <c r="D215" t="s" s="13">
        <v>52</v>
      </c>
      <c r="E215" t="s" s="13">
        <v>321</v>
      </c>
      <c r="F215" s="14">
        <v>2</v>
      </c>
      <c r="G215" s="15">
        <v>0</v>
      </c>
      <c r="H215" s="15">
        <v>0</v>
      </c>
    </row>
    <row r="216" ht="12.9" customHeight="1">
      <c r="A216" t="s" s="10">
        <v>3519</v>
      </c>
      <c r="B216" t="s" s="11">
        <v>2096</v>
      </c>
      <c r="C216" s="12">
        <v>45269.637110775460</v>
      </c>
      <c r="D216" t="s" s="13">
        <v>84</v>
      </c>
      <c r="E216" t="s" s="13">
        <v>2685</v>
      </c>
      <c r="F216" s="14">
        <v>2</v>
      </c>
      <c r="G216" s="15">
        <v>0</v>
      </c>
      <c r="H216" s="15">
        <v>0</v>
      </c>
    </row>
    <row r="217" ht="12.9" customHeight="1">
      <c r="A217" t="s" s="10">
        <v>3519</v>
      </c>
      <c r="B217" t="s" s="11">
        <v>2096</v>
      </c>
      <c r="C217" s="12">
        <v>45269.637110775460</v>
      </c>
      <c r="D217" t="s" s="13">
        <v>133</v>
      </c>
      <c r="E217" t="s" s="13">
        <v>134</v>
      </c>
      <c r="F217" s="14">
        <v>2</v>
      </c>
      <c r="G217" s="15">
        <v>50</v>
      </c>
      <c r="H217" s="15">
        <v>100</v>
      </c>
    </row>
    <row r="218" ht="12.9" customHeight="1">
      <c r="A218" t="s" s="10">
        <v>3519</v>
      </c>
      <c r="B218" t="s" s="11">
        <v>2096</v>
      </c>
      <c r="C218" s="12">
        <v>45269.637110775460</v>
      </c>
      <c r="D218" t="s" s="13">
        <v>227</v>
      </c>
      <c r="E218" t="s" s="13">
        <v>228</v>
      </c>
      <c r="F218" s="14">
        <v>2</v>
      </c>
      <c r="G218" s="15">
        <v>29.99</v>
      </c>
      <c r="H218" s="15">
        <v>59.98</v>
      </c>
    </row>
    <row r="219" ht="12.9" customHeight="1">
      <c r="A219" t="s" s="10">
        <v>3520</v>
      </c>
      <c r="B219" t="s" s="11">
        <v>3159</v>
      </c>
      <c r="C219" s="12">
        <v>45268.874284930556</v>
      </c>
      <c r="D219" t="s" s="13">
        <v>73</v>
      </c>
      <c r="E219" t="s" s="13">
        <v>74</v>
      </c>
      <c r="F219" s="14">
        <v>1</v>
      </c>
      <c r="G219" s="15">
        <v>399.99</v>
      </c>
      <c r="H219" s="15">
        <v>399.99</v>
      </c>
    </row>
    <row r="220" ht="12.9" customHeight="1">
      <c r="A220" t="s" s="10">
        <v>3520</v>
      </c>
      <c r="B220" t="s" s="11">
        <v>3159</v>
      </c>
      <c r="C220" s="12">
        <v>45268.874284930556</v>
      </c>
      <c r="D220" t="s" s="13">
        <v>54</v>
      </c>
      <c r="E220" t="s" s="13">
        <v>93</v>
      </c>
      <c r="F220" s="14">
        <v>5</v>
      </c>
      <c r="G220" s="15">
        <v>9.99</v>
      </c>
      <c r="H220" s="15">
        <v>49.95</v>
      </c>
    </row>
    <row r="221" ht="12.9" customHeight="1">
      <c r="A221" t="s" s="10">
        <v>3521</v>
      </c>
      <c r="B221" t="s" s="11">
        <v>2094</v>
      </c>
      <c r="C221" s="12">
        <v>45268.681324444442</v>
      </c>
      <c r="D221" t="s" s="13">
        <v>89</v>
      </c>
      <c r="E221" t="s" s="13">
        <v>90</v>
      </c>
      <c r="F221" s="14">
        <v>1</v>
      </c>
      <c r="G221" s="15">
        <v>59.99</v>
      </c>
      <c r="H221" s="15">
        <v>59.99</v>
      </c>
    </row>
    <row r="222" ht="25.9" customHeight="1">
      <c r="A222" t="s" s="10">
        <v>3522</v>
      </c>
      <c r="B222" t="s" s="11">
        <v>3523</v>
      </c>
      <c r="C222" s="12">
        <v>45268</v>
      </c>
      <c r="D222" t="s" s="13">
        <v>254</v>
      </c>
      <c r="E222" t="s" s="52">
        <v>3524</v>
      </c>
      <c r="F222" s="14">
        <v>1</v>
      </c>
      <c r="G222" s="15">
        <v>0</v>
      </c>
      <c r="H222" s="15">
        <v>0</v>
      </c>
    </row>
    <row r="223" ht="12.9" customHeight="1">
      <c r="A223" t="s" s="10">
        <v>3522</v>
      </c>
      <c r="B223" t="s" s="11">
        <v>3523</v>
      </c>
      <c r="C223" s="12">
        <v>45268</v>
      </c>
      <c r="D223" t="s" s="13">
        <v>762</v>
      </c>
      <c r="E223" t="s" s="13">
        <v>763</v>
      </c>
      <c r="F223" s="14">
        <v>1</v>
      </c>
      <c r="G223" s="15">
        <v>0</v>
      </c>
      <c r="H223" s="15">
        <v>0</v>
      </c>
    </row>
    <row r="224" ht="12.9" customHeight="1">
      <c r="A224" t="s" s="10">
        <v>3525</v>
      </c>
      <c r="B224" t="s" s="11">
        <v>3526</v>
      </c>
      <c r="C224" s="12">
        <v>45267.997407349540</v>
      </c>
      <c r="D224" t="s" s="13">
        <v>15</v>
      </c>
      <c r="E224" t="s" s="13">
        <v>16</v>
      </c>
      <c r="F224" s="14">
        <v>1</v>
      </c>
      <c r="G224" s="15">
        <v>9.99</v>
      </c>
      <c r="H224" s="15">
        <v>9.99</v>
      </c>
    </row>
    <row r="225" ht="12.9" customHeight="1">
      <c r="A225" t="s" s="10">
        <v>3527</v>
      </c>
      <c r="B225" t="s" s="11">
        <v>3528</v>
      </c>
      <c r="C225" s="12">
        <v>45267.714122997684</v>
      </c>
      <c r="D225" t="s" s="13">
        <v>19</v>
      </c>
      <c r="E225" t="s" s="13">
        <v>20</v>
      </c>
      <c r="F225" s="14">
        <v>2</v>
      </c>
      <c r="G225" s="15">
        <v>119.99</v>
      </c>
      <c r="H225" s="15">
        <v>239.98</v>
      </c>
    </row>
    <row r="226" ht="12.9" customHeight="1">
      <c r="A226" t="s" s="10">
        <v>3527</v>
      </c>
      <c r="B226" t="s" s="11">
        <v>3528</v>
      </c>
      <c r="C226" s="12">
        <v>45267.714122997684</v>
      </c>
      <c r="D226" t="s" s="13">
        <v>15</v>
      </c>
      <c r="E226" t="s" s="13">
        <v>16</v>
      </c>
      <c r="F226" s="14">
        <v>2</v>
      </c>
      <c r="G226" s="15">
        <v>9.99</v>
      </c>
      <c r="H226" s="15">
        <v>19.98</v>
      </c>
    </row>
    <row r="227" ht="12.9" customHeight="1">
      <c r="A227" t="s" s="10">
        <v>3529</v>
      </c>
      <c r="B227" t="s" s="11">
        <v>368</v>
      </c>
      <c r="C227" s="12">
        <v>45267.210651018519</v>
      </c>
      <c r="D227" t="s" s="13">
        <v>81</v>
      </c>
      <c r="E227" t="s" s="13">
        <v>82</v>
      </c>
      <c r="F227" s="14">
        <v>4</v>
      </c>
      <c r="G227" s="15">
        <v>849.99</v>
      </c>
      <c r="H227" s="15">
        <v>3399.96</v>
      </c>
    </row>
    <row r="228" ht="12.9" customHeight="1">
      <c r="A228" t="s" s="10">
        <v>3529</v>
      </c>
      <c r="B228" t="s" s="11">
        <v>368</v>
      </c>
      <c r="C228" s="12">
        <v>45267.210651018519</v>
      </c>
      <c r="D228" t="s" s="13">
        <v>23</v>
      </c>
      <c r="E228" t="s" s="13">
        <v>24</v>
      </c>
      <c r="F228" s="14">
        <v>4</v>
      </c>
      <c r="G228" s="15">
        <v>0</v>
      </c>
      <c r="H228" s="15">
        <v>0</v>
      </c>
    </row>
    <row r="229" ht="12.9" customHeight="1">
      <c r="A229" t="s" s="10">
        <v>3529</v>
      </c>
      <c r="B229" t="s" s="11">
        <v>368</v>
      </c>
      <c r="C229" s="12">
        <v>45267.210651018519</v>
      </c>
      <c r="D229" t="s" s="13">
        <v>50</v>
      </c>
      <c r="E229" t="s" s="13">
        <v>83</v>
      </c>
      <c r="F229" s="14">
        <v>4</v>
      </c>
      <c r="G229" s="15">
        <v>0</v>
      </c>
      <c r="H229" s="15">
        <v>0</v>
      </c>
    </row>
    <row r="230" ht="12.9" customHeight="1">
      <c r="A230" t="s" s="10">
        <v>3529</v>
      </c>
      <c r="B230" t="s" s="11">
        <v>368</v>
      </c>
      <c r="C230" s="12">
        <v>45267.210651018519</v>
      </c>
      <c r="D230" t="s" s="13">
        <v>84</v>
      </c>
      <c r="E230" t="s" s="13">
        <v>2685</v>
      </c>
      <c r="F230" s="14">
        <v>4</v>
      </c>
      <c r="G230" s="15">
        <v>0</v>
      </c>
      <c r="H230" s="15">
        <v>0</v>
      </c>
    </row>
    <row r="231" ht="12.9" customHeight="1">
      <c r="A231" t="s" s="10">
        <v>3529</v>
      </c>
      <c r="B231" t="s" s="11">
        <v>368</v>
      </c>
      <c r="C231" s="12">
        <v>45267.210651018519</v>
      </c>
      <c r="D231" t="s" s="13">
        <v>59</v>
      </c>
      <c r="E231" t="s" s="13">
        <v>60</v>
      </c>
      <c r="F231" s="14">
        <v>1</v>
      </c>
      <c r="G231" s="15">
        <v>1199.99</v>
      </c>
      <c r="H231" s="15">
        <v>1199.99</v>
      </c>
    </row>
    <row r="232" ht="12.9" customHeight="1">
      <c r="A232" t="s" s="10">
        <v>3529</v>
      </c>
      <c r="B232" t="s" s="11">
        <v>368</v>
      </c>
      <c r="C232" s="12">
        <v>45267.210651018519</v>
      </c>
      <c r="D232" t="s" s="13">
        <v>19</v>
      </c>
      <c r="E232" t="s" s="13">
        <v>20</v>
      </c>
      <c r="F232" s="14">
        <v>2</v>
      </c>
      <c r="G232" s="15">
        <v>119.99</v>
      </c>
      <c r="H232" s="15">
        <v>239.98</v>
      </c>
    </row>
    <row r="233" ht="12.9" customHeight="1">
      <c r="A233" t="s" s="10">
        <v>3529</v>
      </c>
      <c r="B233" t="s" s="11">
        <v>368</v>
      </c>
      <c r="C233" s="12">
        <v>45267.210651018519</v>
      </c>
      <c r="D233" t="s" s="13">
        <v>15</v>
      </c>
      <c r="E233" t="s" s="13">
        <v>16</v>
      </c>
      <c r="F233" s="14">
        <v>2</v>
      </c>
      <c r="G233" s="15">
        <v>9.99</v>
      </c>
      <c r="H233" s="15">
        <v>19.98</v>
      </c>
    </row>
    <row r="234" ht="12.9" customHeight="1">
      <c r="A234" t="s" s="10">
        <v>3529</v>
      </c>
      <c r="B234" t="s" s="11">
        <v>368</v>
      </c>
      <c r="C234" s="12">
        <v>45267.210651018519</v>
      </c>
      <c r="D234" t="s" s="13">
        <v>15</v>
      </c>
      <c r="E234" t="s" s="13">
        <v>16</v>
      </c>
      <c r="F234" s="14">
        <v>1</v>
      </c>
      <c r="G234" s="15">
        <v>9.99</v>
      </c>
      <c r="H234" s="15">
        <v>9.99</v>
      </c>
    </row>
    <row r="235" ht="12.9" customHeight="1">
      <c r="A235" t="s" s="10">
        <v>3530</v>
      </c>
      <c r="B235" t="s" s="11">
        <v>391</v>
      </c>
      <c r="C235" s="12">
        <v>45267</v>
      </c>
      <c r="D235" t="s" s="13">
        <v>585</v>
      </c>
      <c r="E235" t="s" s="13">
        <v>586</v>
      </c>
      <c r="F235" s="14">
        <v>4</v>
      </c>
      <c r="G235" s="15">
        <v>374.9925</v>
      </c>
      <c r="H235" s="15">
        <v>1499.97</v>
      </c>
    </row>
    <row r="236" ht="12.9" customHeight="1">
      <c r="A236" t="s" s="10">
        <v>3530</v>
      </c>
      <c r="B236" t="s" s="11">
        <v>391</v>
      </c>
      <c r="C236" s="12">
        <v>45267</v>
      </c>
      <c r="D236" t="s" s="13">
        <v>167</v>
      </c>
      <c r="E236" t="s" s="13">
        <v>168</v>
      </c>
      <c r="F236" s="14">
        <v>4</v>
      </c>
      <c r="G236" s="15">
        <v>22.4925</v>
      </c>
      <c r="H236" s="15">
        <v>89.97</v>
      </c>
    </row>
    <row r="237" ht="12.9" customHeight="1">
      <c r="A237" t="s" s="10">
        <v>3530</v>
      </c>
      <c r="B237" t="s" s="11">
        <v>391</v>
      </c>
      <c r="C237" s="12">
        <v>45267</v>
      </c>
      <c r="D237" t="s" s="13">
        <v>57</v>
      </c>
      <c r="E237" t="s" s="13">
        <v>58</v>
      </c>
      <c r="F237" s="14">
        <v>2</v>
      </c>
      <c r="G237" s="15">
        <v>599.9924999999999</v>
      </c>
      <c r="H237" s="15">
        <v>1199.985</v>
      </c>
    </row>
    <row r="238" ht="12.9" customHeight="1">
      <c r="A238" t="s" s="10">
        <v>3530</v>
      </c>
      <c r="B238" t="s" s="11">
        <v>391</v>
      </c>
      <c r="C238" s="12">
        <v>45267</v>
      </c>
      <c r="D238" t="s" s="13">
        <v>691</v>
      </c>
      <c r="E238" t="s" s="13">
        <v>692</v>
      </c>
      <c r="F238" s="14">
        <v>2</v>
      </c>
      <c r="G238" s="15">
        <v>299.99</v>
      </c>
      <c r="H238" s="15">
        <v>599.98</v>
      </c>
    </row>
    <row r="239" ht="12.9" customHeight="1">
      <c r="A239" t="s" s="10">
        <v>3530</v>
      </c>
      <c r="B239" t="s" s="11">
        <v>391</v>
      </c>
      <c r="C239" s="12">
        <v>45267</v>
      </c>
      <c r="D239" t="s" s="13">
        <v>95</v>
      </c>
      <c r="E239" t="s" s="13">
        <v>12</v>
      </c>
      <c r="F239" s="14">
        <v>1</v>
      </c>
      <c r="G239" s="15">
        <v>262.4925</v>
      </c>
      <c r="H239" s="15">
        <v>262.4925</v>
      </c>
    </row>
    <row r="240" ht="12.9" customHeight="1">
      <c r="A240" t="s" s="10">
        <v>3530</v>
      </c>
      <c r="B240" t="s" s="11">
        <v>391</v>
      </c>
      <c r="C240" s="12">
        <v>45267</v>
      </c>
      <c r="D240" t="s" s="13">
        <v>63</v>
      </c>
      <c r="E240" s="16"/>
      <c r="F240" s="14">
        <v>1</v>
      </c>
      <c r="G240" s="15">
        <v>36</v>
      </c>
      <c r="H240" s="15">
        <v>36</v>
      </c>
    </row>
    <row r="241" ht="12.9" customHeight="1">
      <c r="A241" t="s" s="10">
        <v>3531</v>
      </c>
      <c r="B241" t="s" s="11">
        <v>391</v>
      </c>
      <c r="C241" s="12">
        <v>45267</v>
      </c>
      <c r="D241" t="s" s="13">
        <v>95</v>
      </c>
      <c r="E241" t="s" s="13">
        <v>12</v>
      </c>
      <c r="F241" s="14">
        <v>2</v>
      </c>
      <c r="G241" s="15">
        <v>262.4925</v>
      </c>
      <c r="H241" s="15">
        <v>524.985</v>
      </c>
    </row>
    <row r="242" ht="12.9" customHeight="1">
      <c r="A242" t="s" s="10">
        <v>3531</v>
      </c>
      <c r="B242" t="s" s="11">
        <v>391</v>
      </c>
      <c r="C242" s="12">
        <v>45267</v>
      </c>
      <c r="D242" t="s" s="13">
        <v>63</v>
      </c>
      <c r="E242" s="16"/>
      <c r="F242" s="14">
        <v>1</v>
      </c>
      <c r="G242" s="15">
        <v>35</v>
      </c>
      <c r="H242" s="15">
        <v>35</v>
      </c>
    </row>
    <row r="243" ht="12.9" customHeight="1">
      <c r="A243" t="s" s="10">
        <v>3532</v>
      </c>
      <c r="B243" t="s" s="11">
        <v>2884</v>
      </c>
      <c r="C243" s="12">
        <v>45267</v>
      </c>
      <c r="D243" t="s" s="13">
        <v>59</v>
      </c>
      <c r="E243" t="s" s="13">
        <v>60</v>
      </c>
      <c r="F243" s="14">
        <v>1</v>
      </c>
      <c r="G243" s="15">
        <v>1199.99</v>
      </c>
      <c r="H243" s="15">
        <v>1199.99</v>
      </c>
    </row>
    <row r="244" ht="12.9" customHeight="1">
      <c r="A244" t="s" s="10">
        <v>3533</v>
      </c>
      <c r="B244" t="s" s="11">
        <v>3534</v>
      </c>
      <c r="C244" s="12">
        <v>45266.724186597225</v>
      </c>
      <c r="D244" t="s" s="13">
        <v>89</v>
      </c>
      <c r="E244" t="s" s="13">
        <v>90</v>
      </c>
      <c r="F244" s="14">
        <v>1</v>
      </c>
      <c r="G244" s="15">
        <v>59.99</v>
      </c>
      <c r="H244" s="15">
        <v>59.99</v>
      </c>
    </row>
    <row r="245" ht="12.9" customHeight="1">
      <c r="A245" t="s" s="10">
        <v>3535</v>
      </c>
      <c r="B245" t="s" s="11">
        <v>797</v>
      </c>
      <c r="C245" s="12">
        <v>45266.237839965281</v>
      </c>
      <c r="D245" t="s" s="13">
        <v>11</v>
      </c>
      <c r="E245" t="s" s="13">
        <v>12</v>
      </c>
      <c r="F245" s="14">
        <v>1</v>
      </c>
      <c r="G245" s="15">
        <v>374.99</v>
      </c>
      <c r="H245" s="15">
        <v>374.99</v>
      </c>
    </row>
    <row r="246" ht="12.9" customHeight="1">
      <c r="A246" t="s" s="10">
        <v>3536</v>
      </c>
      <c r="B246" t="s" s="11">
        <v>3387</v>
      </c>
      <c r="C246" s="12">
        <v>45266</v>
      </c>
      <c r="D246" t="s" s="13">
        <v>81</v>
      </c>
      <c r="E246" t="s" s="13">
        <v>82</v>
      </c>
      <c r="F246" s="14">
        <v>4</v>
      </c>
      <c r="G246" s="15">
        <v>849.99</v>
      </c>
      <c r="H246" s="15">
        <v>3399.96</v>
      </c>
    </row>
    <row r="247" ht="12.9" customHeight="1">
      <c r="A247" t="s" s="10">
        <v>3536</v>
      </c>
      <c r="B247" t="s" s="11">
        <v>3387</v>
      </c>
      <c r="C247" s="12">
        <v>45266</v>
      </c>
      <c r="D247" t="s" s="13">
        <v>50</v>
      </c>
      <c r="E247" t="s" s="13">
        <v>83</v>
      </c>
      <c r="F247" s="14">
        <v>4</v>
      </c>
      <c r="G247" s="15">
        <v>0</v>
      </c>
      <c r="H247" s="15">
        <v>0</v>
      </c>
    </row>
    <row r="248" ht="12.9" customHeight="1">
      <c r="A248" t="s" s="10">
        <v>3536</v>
      </c>
      <c r="B248" t="s" s="11">
        <v>3387</v>
      </c>
      <c r="C248" s="12">
        <v>45266</v>
      </c>
      <c r="D248" t="s" s="13">
        <v>84</v>
      </c>
      <c r="E248" t="s" s="13">
        <v>2685</v>
      </c>
      <c r="F248" s="14">
        <v>4</v>
      </c>
      <c r="G248" s="15">
        <v>0</v>
      </c>
      <c r="H248" s="15">
        <v>0</v>
      </c>
    </row>
    <row r="249" ht="12.9" customHeight="1">
      <c r="A249" t="s" s="10">
        <v>3536</v>
      </c>
      <c r="B249" t="s" s="11">
        <v>3387</v>
      </c>
      <c r="C249" s="12">
        <v>45266</v>
      </c>
      <c r="D249" t="s" s="13">
        <v>602</v>
      </c>
      <c r="E249" t="s" s="13">
        <v>3537</v>
      </c>
      <c r="F249" s="14">
        <v>2</v>
      </c>
      <c r="G249" s="15">
        <v>150</v>
      </c>
      <c r="H249" s="15">
        <v>300</v>
      </c>
    </row>
    <row r="250" ht="12.9" customHeight="1">
      <c r="A250" t="s" s="10">
        <v>3536</v>
      </c>
      <c r="B250" t="s" s="11">
        <v>3387</v>
      </c>
      <c r="C250" s="12">
        <v>45266</v>
      </c>
      <c r="D250" t="s" s="13">
        <v>213</v>
      </c>
      <c r="E250" t="s" s="13">
        <v>3538</v>
      </c>
      <c r="F250" s="14">
        <v>2</v>
      </c>
      <c r="G250" s="15">
        <v>425</v>
      </c>
      <c r="H250" s="15">
        <v>850</v>
      </c>
    </row>
    <row r="251" ht="12.9" customHeight="1">
      <c r="A251" t="s" s="10">
        <v>3536</v>
      </c>
      <c r="B251" t="s" s="11">
        <v>3387</v>
      </c>
      <c r="C251" s="12">
        <v>45266</v>
      </c>
      <c r="D251" t="s" s="13">
        <v>73</v>
      </c>
      <c r="E251" t="s" s="13">
        <v>74</v>
      </c>
      <c r="F251" s="14">
        <v>1</v>
      </c>
      <c r="G251" s="15">
        <v>399.99</v>
      </c>
      <c r="H251" s="15">
        <v>399.99</v>
      </c>
    </row>
    <row r="252" ht="12.9" customHeight="1">
      <c r="A252" t="s" s="10">
        <v>3539</v>
      </c>
      <c r="B252" t="s" s="11">
        <v>2972</v>
      </c>
      <c r="C252" s="12">
        <v>45266</v>
      </c>
      <c r="D252" t="s" s="13">
        <v>81</v>
      </c>
      <c r="E252" t="s" s="13">
        <v>82</v>
      </c>
      <c r="F252" s="14">
        <v>2</v>
      </c>
      <c r="G252" s="15">
        <v>849.99</v>
      </c>
      <c r="H252" s="15">
        <v>1699.98</v>
      </c>
    </row>
    <row r="253" ht="12.9" customHeight="1">
      <c r="A253" t="s" s="10">
        <v>3539</v>
      </c>
      <c r="B253" t="s" s="11">
        <v>2972</v>
      </c>
      <c r="C253" s="12">
        <v>45266</v>
      </c>
      <c r="D253" t="s" s="13">
        <v>50</v>
      </c>
      <c r="E253" t="s" s="13">
        <v>83</v>
      </c>
      <c r="F253" s="14">
        <v>2</v>
      </c>
      <c r="G253" s="15">
        <v>0</v>
      </c>
      <c r="H253" s="15">
        <v>0</v>
      </c>
    </row>
    <row r="254" ht="12.9" customHeight="1">
      <c r="A254" t="s" s="10">
        <v>3539</v>
      </c>
      <c r="B254" t="s" s="11">
        <v>2972</v>
      </c>
      <c r="C254" s="12">
        <v>45266</v>
      </c>
      <c r="D254" t="s" s="13">
        <v>54</v>
      </c>
      <c r="E254" t="s" s="13">
        <v>93</v>
      </c>
      <c r="F254" s="14">
        <v>2</v>
      </c>
      <c r="G254" s="15">
        <v>0</v>
      </c>
      <c r="H254" s="15">
        <v>0</v>
      </c>
    </row>
    <row r="255" ht="12.9" customHeight="1">
      <c r="A255" t="s" s="10">
        <v>3539</v>
      </c>
      <c r="B255" t="s" s="11">
        <v>2972</v>
      </c>
      <c r="C255" s="12">
        <v>45266</v>
      </c>
      <c r="D255" t="s" s="13">
        <v>15</v>
      </c>
      <c r="E255" t="s" s="13">
        <v>16</v>
      </c>
      <c r="F255" s="14">
        <v>2</v>
      </c>
      <c r="G255" s="15">
        <v>0</v>
      </c>
      <c r="H255" s="15">
        <v>0</v>
      </c>
    </row>
    <row r="256" ht="12.9" customHeight="1">
      <c r="A256" t="s" s="10">
        <v>3539</v>
      </c>
      <c r="B256" t="s" s="11">
        <v>2972</v>
      </c>
      <c r="C256" s="12">
        <v>45266</v>
      </c>
      <c r="D256" t="s" s="13">
        <v>470</v>
      </c>
      <c r="E256" t="s" s="13">
        <v>517</v>
      </c>
      <c r="F256" s="14">
        <v>1</v>
      </c>
      <c r="G256" s="15">
        <v>100</v>
      </c>
      <c r="H256" s="15">
        <v>100</v>
      </c>
    </row>
    <row r="257" ht="12.9" customHeight="1">
      <c r="A257" t="s" s="10">
        <v>3539</v>
      </c>
      <c r="B257" t="s" s="11">
        <v>2972</v>
      </c>
      <c r="C257" s="12">
        <v>45266</v>
      </c>
      <c r="D257" t="s" s="13">
        <v>602</v>
      </c>
      <c r="E257" t="s" s="13">
        <v>686</v>
      </c>
      <c r="F257" s="14">
        <v>1</v>
      </c>
      <c r="G257" s="15">
        <v>175</v>
      </c>
      <c r="H257" s="15">
        <v>175</v>
      </c>
    </row>
    <row r="258" ht="12.9" customHeight="1">
      <c r="A258" t="s" s="10">
        <v>3539</v>
      </c>
      <c r="B258" t="s" s="11">
        <v>2972</v>
      </c>
      <c r="C258" s="12">
        <v>45266</v>
      </c>
      <c r="D258" t="s" s="13">
        <v>1257</v>
      </c>
      <c r="E258" t="s" s="13">
        <v>3540</v>
      </c>
      <c r="F258" s="14">
        <v>2</v>
      </c>
      <c r="G258" s="15">
        <v>425</v>
      </c>
      <c r="H258" s="15">
        <v>850</v>
      </c>
    </row>
    <row r="259" ht="12.9" customHeight="1">
      <c r="A259" t="s" s="10">
        <v>3541</v>
      </c>
      <c r="B259" t="s" s="11">
        <v>42</v>
      </c>
      <c r="C259" s="12">
        <v>45266</v>
      </c>
      <c r="D259" t="s" s="13">
        <v>3542</v>
      </c>
      <c r="E259" t="s" s="13">
        <v>3542</v>
      </c>
      <c r="F259" s="14">
        <v>4</v>
      </c>
      <c r="G259" s="15">
        <v>100</v>
      </c>
      <c r="H259" s="15">
        <v>400</v>
      </c>
    </row>
    <row r="260" ht="12.9" customHeight="1">
      <c r="A260" t="s" s="10">
        <v>3541</v>
      </c>
      <c r="B260" t="s" s="11">
        <v>42</v>
      </c>
      <c r="C260" s="12">
        <v>45266</v>
      </c>
      <c r="D260" t="s" s="13">
        <v>3543</v>
      </c>
      <c r="E260" t="s" s="13">
        <v>3543</v>
      </c>
      <c r="F260" s="14">
        <v>5</v>
      </c>
      <c r="G260" s="15">
        <v>40</v>
      </c>
      <c r="H260" s="15">
        <v>200</v>
      </c>
    </row>
    <row r="261" ht="12.9" customHeight="1">
      <c r="A261" t="s" s="10">
        <v>3541</v>
      </c>
      <c r="B261" t="s" s="11">
        <v>42</v>
      </c>
      <c r="C261" s="12">
        <v>45266</v>
      </c>
      <c r="D261" t="s" s="13">
        <v>63</v>
      </c>
      <c r="E261" s="16"/>
      <c r="F261" s="14">
        <v>1</v>
      </c>
      <c r="G261" s="15">
        <v>88</v>
      </c>
      <c r="H261" s="15">
        <v>88</v>
      </c>
    </row>
    <row r="262" ht="12.9" customHeight="1">
      <c r="A262" t="s" s="10">
        <v>3544</v>
      </c>
      <c r="B262" t="s" s="11">
        <v>3545</v>
      </c>
      <c r="C262" s="12">
        <v>45265.923968379633</v>
      </c>
      <c r="D262" t="s" s="13">
        <v>11</v>
      </c>
      <c r="E262" t="s" s="13">
        <v>12</v>
      </c>
      <c r="F262" s="14">
        <v>1</v>
      </c>
      <c r="G262" s="15">
        <v>399.99</v>
      </c>
      <c r="H262" s="15">
        <v>399.99</v>
      </c>
    </row>
    <row r="263" ht="12.9" customHeight="1">
      <c r="A263" t="s" s="10">
        <v>3546</v>
      </c>
      <c r="B263" t="s" s="11">
        <v>3547</v>
      </c>
      <c r="C263" s="12">
        <v>45265.777538715280</v>
      </c>
      <c r="D263" t="s" s="13">
        <v>35</v>
      </c>
      <c r="E263" t="s" s="13">
        <v>36</v>
      </c>
      <c r="F263" s="14">
        <v>1</v>
      </c>
      <c r="G263" s="15">
        <v>49.99</v>
      </c>
      <c r="H263" s="15">
        <v>49.99</v>
      </c>
    </row>
    <row r="264" ht="12.9" customHeight="1">
      <c r="A264" t="s" s="10">
        <v>3548</v>
      </c>
      <c r="B264" t="s" s="11">
        <v>1221</v>
      </c>
      <c r="C264" s="12">
        <v>45265.733317106482</v>
      </c>
      <c r="D264" t="s" s="13">
        <v>359</v>
      </c>
      <c r="E264" t="s" s="13">
        <v>360</v>
      </c>
      <c r="F264" s="14">
        <v>4</v>
      </c>
      <c r="G264" s="15">
        <v>29.99</v>
      </c>
      <c r="H264" s="15">
        <v>119.96</v>
      </c>
    </row>
    <row r="265" ht="12.9" customHeight="1">
      <c r="A265" t="s" s="10">
        <v>3549</v>
      </c>
      <c r="B265" t="s" s="11">
        <v>3550</v>
      </c>
      <c r="C265" s="12">
        <v>45265.117977997688</v>
      </c>
      <c r="D265" t="s" s="13">
        <v>11</v>
      </c>
      <c r="E265" t="s" s="13">
        <v>12</v>
      </c>
      <c r="F265" s="14">
        <v>1</v>
      </c>
      <c r="G265" s="15">
        <v>399.99</v>
      </c>
      <c r="H265" s="15">
        <v>399.99</v>
      </c>
    </row>
    <row r="266" ht="12.9" customHeight="1">
      <c r="A266" t="s" s="10">
        <v>3551</v>
      </c>
      <c r="B266" t="s" s="11">
        <v>2292</v>
      </c>
      <c r="C266" s="12">
        <v>45265.117929571759</v>
      </c>
      <c r="D266" t="s" s="13">
        <v>589</v>
      </c>
      <c r="E266" t="s" s="13">
        <v>590</v>
      </c>
      <c r="F266" s="14">
        <v>3</v>
      </c>
      <c r="G266" s="15">
        <v>7.49</v>
      </c>
      <c r="H266" s="15">
        <v>22.47</v>
      </c>
    </row>
    <row r="267" ht="12.9" customHeight="1">
      <c r="A267" t="s" s="10">
        <v>3552</v>
      </c>
      <c r="B267" t="s" s="11">
        <v>3553</v>
      </c>
      <c r="C267" s="12">
        <v>45265.106021053238</v>
      </c>
      <c r="D267" t="s" s="13">
        <v>95</v>
      </c>
      <c r="E267" t="s" s="13">
        <v>12</v>
      </c>
      <c r="F267" s="14">
        <v>2</v>
      </c>
      <c r="G267" s="15">
        <v>349.99</v>
      </c>
      <c r="H267" s="15">
        <v>699.98</v>
      </c>
    </row>
    <row r="268" ht="12.9" customHeight="1">
      <c r="A268" t="s" s="10">
        <v>3554</v>
      </c>
      <c r="B268" t="s" s="11">
        <v>3555</v>
      </c>
      <c r="C268" s="12">
        <v>45265.105937083332</v>
      </c>
      <c r="D268" t="s" s="13">
        <v>35</v>
      </c>
      <c r="E268" t="s" s="13">
        <v>36</v>
      </c>
      <c r="F268" s="14">
        <v>2</v>
      </c>
      <c r="G268" s="15">
        <v>49.99</v>
      </c>
      <c r="H268" s="15">
        <v>99.98</v>
      </c>
    </row>
    <row r="269" ht="12.9" customHeight="1">
      <c r="A269" t="s" s="10">
        <v>3556</v>
      </c>
      <c r="B269" t="s" s="11">
        <v>3557</v>
      </c>
      <c r="C269" s="12">
        <v>45265.105708819443</v>
      </c>
      <c r="D269" t="s" s="13">
        <v>171</v>
      </c>
      <c r="E269" t="s" s="13">
        <v>172</v>
      </c>
      <c r="F269" s="14">
        <v>1</v>
      </c>
      <c r="G269" s="15">
        <v>549.99</v>
      </c>
      <c r="H269" s="15">
        <v>549.99</v>
      </c>
    </row>
    <row r="270" ht="12.9" customHeight="1">
      <c r="A270" t="s" s="10">
        <v>3558</v>
      </c>
      <c r="B270" t="s" s="11">
        <v>3559</v>
      </c>
      <c r="C270" s="12">
        <v>45265.0934116088</v>
      </c>
      <c r="D270" t="s" s="13">
        <v>77</v>
      </c>
      <c r="E270" t="s" s="13">
        <v>78</v>
      </c>
      <c r="F270" s="14">
        <v>2</v>
      </c>
      <c r="G270" s="15">
        <v>19.99</v>
      </c>
      <c r="H270" s="15">
        <v>39.98</v>
      </c>
    </row>
    <row r="271" ht="12.9" customHeight="1">
      <c r="A271" t="s" s="10">
        <v>3560</v>
      </c>
      <c r="B271" t="s" s="11">
        <v>3231</v>
      </c>
      <c r="C271" s="12">
        <v>45265.089054837961</v>
      </c>
      <c r="D271" t="s" s="13">
        <v>123</v>
      </c>
      <c r="E271" t="s" s="13">
        <v>124</v>
      </c>
      <c r="F271" s="14">
        <v>2</v>
      </c>
      <c r="G271" s="15">
        <v>179.99</v>
      </c>
      <c r="H271" s="15">
        <v>359.98</v>
      </c>
    </row>
    <row r="272" ht="12.9" customHeight="1">
      <c r="A272" t="s" s="10">
        <v>3560</v>
      </c>
      <c r="B272" t="s" s="11">
        <v>3231</v>
      </c>
      <c r="C272" s="12">
        <v>45265.089054837961</v>
      </c>
      <c r="D272" t="s" s="13">
        <v>1695</v>
      </c>
      <c r="E272" t="s" s="13">
        <v>140</v>
      </c>
      <c r="F272" s="14">
        <v>2</v>
      </c>
      <c r="G272" s="15">
        <v>49.99</v>
      </c>
      <c r="H272" s="15">
        <v>99.98</v>
      </c>
    </row>
    <row r="273" ht="12.9" customHeight="1">
      <c r="A273" t="s" s="10">
        <v>3560</v>
      </c>
      <c r="B273" t="s" s="11">
        <v>3231</v>
      </c>
      <c r="C273" s="12">
        <v>45265.089054837961</v>
      </c>
      <c r="D273" t="s" s="13">
        <v>15</v>
      </c>
      <c r="E273" t="s" s="13">
        <v>16</v>
      </c>
      <c r="F273" s="14">
        <v>2</v>
      </c>
      <c r="G273" s="15">
        <v>9.99</v>
      </c>
      <c r="H273" s="15">
        <v>19.98</v>
      </c>
    </row>
    <row r="274" ht="12.9" customHeight="1">
      <c r="A274" t="s" s="10">
        <v>3561</v>
      </c>
      <c r="B274" t="s" s="11">
        <v>2931</v>
      </c>
      <c r="C274" s="12">
        <v>45265</v>
      </c>
      <c r="D274" t="s" s="13">
        <v>3216</v>
      </c>
      <c r="E274" t="s" s="13">
        <v>3217</v>
      </c>
      <c r="F274" s="14">
        <v>1</v>
      </c>
      <c r="G274" s="15">
        <v>0</v>
      </c>
      <c r="H274" s="15">
        <v>0</v>
      </c>
    </row>
    <row r="275" ht="12.9" customHeight="1">
      <c r="A275" t="s" s="10">
        <v>3562</v>
      </c>
      <c r="B275" t="s" s="11">
        <v>3563</v>
      </c>
      <c r="C275" s="12">
        <v>45264.875605706016</v>
      </c>
      <c r="D275" t="s" s="13">
        <v>35</v>
      </c>
      <c r="E275" t="s" s="13">
        <v>36</v>
      </c>
      <c r="F275" s="14">
        <v>2</v>
      </c>
      <c r="G275" s="15">
        <v>49.99</v>
      </c>
      <c r="H275" s="15">
        <v>99.98</v>
      </c>
    </row>
    <row r="276" ht="12.9" customHeight="1">
      <c r="A276" t="s" s="10">
        <v>3564</v>
      </c>
      <c r="B276" t="s" s="11">
        <v>2847</v>
      </c>
      <c r="C276" s="12">
        <v>45264.863233379627</v>
      </c>
      <c r="D276" t="s" s="13">
        <v>73</v>
      </c>
      <c r="E276" t="s" s="13">
        <v>74</v>
      </c>
      <c r="F276" s="14">
        <v>1</v>
      </c>
      <c r="G276" s="15">
        <v>399.99</v>
      </c>
      <c r="H276" s="15">
        <v>399.99</v>
      </c>
    </row>
    <row r="277" ht="12.9" customHeight="1">
      <c r="A277" t="s" s="10">
        <v>3565</v>
      </c>
      <c r="B277" t="s" s="11">
        <v>188</v>
      </c>
      <c r="C277" s="12">
        <v>45264.810350532411</v>
      </c>
      <c r="D277" t="s" s="13">
        <v>589</v>
      </c>
      <c r="E277" t="s" s="13">
        <v>590</v>
      </c>
      <c r="F277" s="14">
        <v>1</v>
      </c>
      <c r="G277" s="15">
        <v>7.49</v>
      </c>
      <c r="H277" s="15">
        <v>7.49</v>
      </c>
    </row>
    <row r="278" ht="12.9" customHeight="1">
      <c r="A278" t="s" s="10">
        <v>3566</v>
      </c>
      <c r="B278" t="s" s="11">
        <v>3567</v>
      </c>
      <c r="C278" s="12">
        <v>45264.8093665162</v>
      </c>
      <c r="D278" t="s" s="13">
        <v>412</v>
      </c>
      <c r="E278" t="s" s="13">
        <v>413</v>
      </c>
      <c r="F278" s="14">
        <v>10</v>
      </c>
      <c r="G278" s="15">
        <v>1.99</v>
      </c>
      <c r="H278" s="15">
        <v>19.9</v>
      </c>
    </row>
    <row r="279" ht="12.9" customHeight="1">
      <c r="A279" t="s" s="10">
        <v>3568</v>
      </c>
      <c r="B279" t="s" s="11">
        <v>3569</v>
      </c>
      <c r="C279" s="12">
        <v>45264.806947777775</v>
      </c>
      <c r="D279" t="s" s="13">
        <v>50</v>
      </c>
      <c r="E279" t="s" s="13">
        <v>83</v>
      </c>
      <c r="F279" s="14">
        <v>3</v>
      </c>
      <c r="G279" s="15">
        <v>29.99</v>
      </c>
      <c r="H279" s="15">
        <v>89.97</v>
      </c>
    </row>
    <row r="280" ht="12.9" customHeight="1">
      <c r="A280" t="s" s="10">
        <v>3570</v>
      </c>
      <c r="B280" t="s" s="11">
        <v>3571</v>
      </c>
      <c r="C280" s="12">
        <v>45264.806072627318</v>
      </c>
      <c r="D280" t="s" s="13">
        <v>412</v>
      </c>
      <c r="E280" t="s" s="13">
        <v>413</v>
      </c>
      <c r="F280" s="14">
        <v>8</v>
      </c>
      <c r="G280" s="15">
        <v>1.99</v>
      </c>
      <c r="H280" s="15">
        <v>15.92</v>
      </c>
    </row>
    <row r="281" ht="12.9" customHeight="1">
      <c r="A281" t="s" s="10">
        <v>3570</v>
      </c>
      <c r="B281" t="s" s="11">
        <v>3571</v>
      </c>
      <c r="C281" s="12">
        <v>45264.806072627318</v>
      </c>
      <c r="D281" t="s" s="13">
        <v>52</v>
      </c>
      <c r="E281" t="s" s="13">
        <v>321</v>
      </c>
      <c r="F281" s="14">
        <v>2</v>
      </c>
      <c r="G281" s="15">
        <v>19.99</v>
      </c>
      <c r="H281" s="15">
        <v>39.98</v>
      </c>
    </row>
    <row r="282" ht="12.9" customHeight="1">
      <c r="A282" t="s" s="10">
        <v>3572</v>
      </c>
      <c r="B282" t="s" s="11">
        <v>3573</v>
      </c>
      <c r="C282" s="12">
        <v>45264.805737476854</v>
      </c>
      <c r="D282" t="s" s="13">
        <v>39</v>
      </c>
      <c r="E282" t="s" s="13">
        <v>40</v>
      </c>
      <c r="F282" s="14">
        <v>1</v>
      </c>
      <c r="G282" s="15">
        <v>109.99</v>
      </c>
      <c r="H282" s="15">
        <v>109.99</v>
      </c>
    </row>
    <row r="283" ht="12.9" customHeight="1">
      <c r="A283" t="s" s="10">
        <v>3574</v>
      </c>
      <c r="B283" t="s" s="11">
        <v>2847</v>
      </c>
      <c r="C283" s="12">
        <v>45264.80370375</v>
      </c>
      <c r="D283" t="s" s="13">
        <v>81</v>
      </c>
      <c r="E283" t="s" s="13">
        <v>82</v>
      </c>
      <c r="F283" s="14">
        <v>1</v>
      </c>
      <c r="G283" s="15">
        <v>849.99</v>
      </c>
      <c r="H283" s="15">
        <v>849.99</v>
      </c>
    </row>
    <row r="284" ht="12.9" customHeight="1">
      <c r="A284" t="s" s="10">
        <v>3574</v>
      </c>
      <c r="B284" t="s" s="11">
        <v>2847</v>
      </c>
      <c r="C284" s="12">
        <v>45264.80370375</v>
      </c>
      <c r="D284" t="s" s="13">
        <v>23</v>
      </c>
      <c r="E284" t="s" s="13">
        <v>24</v>
      </c>
      <c r="F284" s="14">
        <v>1</v>
      </c>
      <c r="G284" s="15">
        <v>0</v>
      </c>
      <c r="H284" s="15">
        <v>0</v>
      </c>
    </row>
    <row r="285" ht="12.9" customHeight="1">
      <c r="A285" t="s" s="10">
        <v>3574</v>
      </c>
      <c r="B285" t="s" s="11">
        <v>2847</v>
      </c>
      <c r="C285" s="12">
        <v>45264.80370375</v>
      </c>
      <c r="D285" t="s" s="13">
        <v>50</v>
      </c>
      <c r="E285" t="s" s="13">
        <v>83</v>
      </c>
      <c r="F285" s="14">
        <v>1</v>
      </c>
      <c r="G285" s="15">
        <v>0</v>
      </c>
      <c r="H285" s="15">
        <v>0</v>
      </c>
    </row>
    <row r="286" ht="12.9" customHeight="1">
      <c r="A286" t="s" s="10">
        <v>3574</v>
      </c>
      <c r="B286" t="s" s="11">
        <v>2847</v>
      </c>
      <c r="C286" s="12">
        <v>45264.80370375</v>
      </c>
      <c r="D286" t="s" s="13">
        <v>84</v>
      </c>
      <c r="E286" t="s" s="13">
        <v>2685</v>
      </c>
      <c r="F286" s="14">
        <v>1</v>
      </c>
      <c r="G286" s="15">
        <v>0</v>
      </c>
      <c r="H286" s="15">
        <v>0</v>
      </c>
    </row>
    <row r="287" ht="12.9" customHeight="1">
      <c r="A287" t="s" s="10">
        <v>3575</v>
      </c>
      <c r="B287" t="s" s="11">
        <v>3576</v>
      </c>
      <c r="C287" s="12">
        <v>45264.803526898148</v>
      </c>
      <c r="D287" t="s" s="13">
        <v>73</v>
      </c>
      <c r="E287" t="s" s="13">
        <v>74</v>
      </c>
      <c r="F287" s="14">
        <v>3</v>
      </c>
      <c r="G287" s="15">
        <v>399.99</v>
      </c>
      <c r="H287" s="15">
        <v>1199.97</v>
      </c>
    </row>
    <row r="288" ht="12.9" customHeight="1">
      <c r="A288" t="s" s="10">
        <v>3577</v>
      </c>
      <c r="B288" t="s" s="11">
        <v>3578</v>
      </c>
      <c r="C288" s="12">
        <v>45264.754503020835</v>
      </c>
      <c r="D288" t="s" s="13">
        <v>23</v>
      </c>
      <c r="E288" t="s" s="13">
        <v>24</v>
      </c>
      <c r="F288" s="14">
        <v>1</v>
      </c>
      <c r="G288" s="15">
        <v>149.99</v>
      </c>
      <c r="H288" s="15">
        <v>149.99</v>
      </c>
    </row>
    <row r="289" ht="12.9" customHeight="1">
      <c r="A289" t="s" s="10">
        <v>3579</v>
      </c>
      <c r="B289" t="s" s="11">
        <v>3580</v>
      </c>
      <c r="C289" s="12">
        <v>45264.746704479170</v>
      </c>
      <c r="D289" t="s" s="13">
        <v>95</v>
      </c>
      <c r="E289" t="s" s="13">
        <v>12</v>
      </c>
      <c r="F289" s="14">
        <v>2</v>
      </c>
      <c r="G289" s="15">
        <v>349.99</v>
      </c>
      <c r="H289" s="15">
        <v>699.98</v>
      </c>
    </row>
    <row r="290" ht="12.9" customHeight="1">
      <c r="A290" t="s" s="10">
        <v>3579</v>
      </c>
      <c r="B290" t="s" s="11">
        <v>3580</v>
      </c>
      <c r="C290" s="12">
        <v>45264.746704479170</v>
      </c>
      <c r="D290" t="s" s="13">
        <v>602</v>
      </c>
      <c r="E290" t="s" s="13">
        <v>686</v>
      </c>
      <c r="F290" s="14">
        <v>2</v>
      </c>
      <c r="G290" s="15">
        <v>299.99</v>
      </c>
      <c r="H290" s="15">
        <v>599.98</v>
      </c>
    </row>
    <row r="291" ht="12.9" customHeight="1">
      <c r="A291" t="s" s="10">
        <v>3581</v>
      </c>
      <c r="B291" t="s" s="11">
        <v>2222</v>
      </c>
      <c r="C291" s="12">
        <v>45264</v>
      </c>
      <c r="D291" t="s" s="13">
        <v>2223</v>
      </c>
      <c r="E291" t="s" s="13">
        <v>2224</v>
      </c>
      <c r="F291" s="14">
        <v>2</v>
      </c>
      <c r="G291" s="15">
        <v>0</v>
      </c>
      <c r="H291" s="15">
        <v>0</v>
      </c>
    </row>
    <row r="292" ht="25.9" customHeight="1">
      <c r="A292" t="s" s="10">
        <v>3582</v>
      </c>
      <c r="B292" t="s" s="11">
        <v>3583</v>
      </c>
      <c r="C292" s="12">
        <v>45264</v>
      </c>
      <c r="D292" t="s" s="13">
        <v>254</v>
      </c>
      <c r="E292" t="s" s="52">
        <v>3584</v>
      </c>
      <c r="F292" s="14">
        <v>1</v>
      </c>
      <c r="G292" s="15">
        <v>100</v>
      </c>
      <c r="H292" s="15">
        <v>100</v>
      </c>
    </row>
    <row r="293" ht="12.9" customHeight="1">
      <c r="A293" t="s" s="10">
        <v>3582</v>
      </c>
      <c r="B293" t="s" s="11">
        <v>3583</v>
      </c>
      <c r="C293" s="12">
        <v>45264</v>
      </c>
      <c r="D293" t="s" s="13">
        <v>63</v>
      </c>
      <c r="E293" s="16"/>
      <c r="F293" s="14">
        <v>1</v>
      </c>
      <c r="G293" s="15">
        <v>18</v>
      </c>
      <c r="H293" s="15">
        <v>18</v>
      </c>
    </row>
    <row r="294" ht="12.9" customHeight="1">
      <c r="A294" t="s" s="10">
        <v>3585</v>
      </c>
      <c r="B294" t="s" s="11">
        <v>122</v>
      </c>
      <c r="C294" s="12">
        <v>45261</v>
      </c>
      <c r="D294" t="s" s="13">
        <v>254</v>
      </c>
      <c r="E294" t="s" s="13">
        <v>3586</v>
      </c>
      <c r="F294" s="14">
        <v>1</v>
      </c>
      <c r="G294" s="15">
        <v>0</v>
      </c>
      <c r="H294" s="15">
        <v>0</v>
      </c>
    </row>
    <row r="295" ht="12.9" customHeight="1">
      <c r="A295" t="s" s="10">
        <v>3585</v>
      </c>
      <c r="B295" t="s" s="11">
        <v>122</v>
      </c>
      <c r="C295" s="12">
        <v>45261</v>
      </c>
      <c r="D295" t="s" s="13">
        <v>780</v>
      </c>
      <c r="E295" t="s" s="13">
        <v>780</v>
      </c>
      <c r="F295" s="14">
        <v>1</v>
      </c>
      <c r="G295" s="15">
        <v>0</v>
      </c>
      <c r="H295" s="15">
        <v>0</v>
      </c>
    </row>
    <row r="296" ht="12.9" customHeight="1">
      <c r="A296" t="s" s="10">
        <v>3585</v>
      </c>
      <c r="B296" t="s" s="11">
        <v>122</v>
      </c>
      <c r="C296" s="12">
        <v>45261</v>
      </c>
      <c r="D296" t="s" s="13">
        <v>119</v>
      </c>
      <c r="E296" t="s" s="13">
        <v>120</v>
      </c>
      <c r="F296" s="14">
        <v>2</v>
      </c>
      <c r="G296" s="15">
        <v>0</v>
      </c>
      <c r="H296" s="15">
        <v>0</v>
      </c>
    </row>
    <row r="297" ht="12.9" customHeight="1">
      <c r="A297" t="s" s="10">
        <v>3585</v>
      </c>
      <c r="B297" t="s" s="11">
        <v>122</v>
      </c>
      <c r="C297" s="12">
        <v>45261</v>
      </c>
      <c r="D297" t="s" s="13">
        <v>2125</v>
      </c>
      <c r="E297" t="s" s="13">
        <v>2126</v>
      </c>
      <c r="F297" s="14">
        <v>1</v>
      </c>
      <c r="G297" s="15">
        <v>0</v>
      </c>
      <c r="H297" s="15">
        <v>0</v>
      </c>
    </row>
    <row r="298" ht="12.9" customHeight="1">
      <c r="A298" t="s" s="10">
        <v>3585</v>
      </c>
      <c r="B298" t="s" s="11">
        <v>122</v>
      </c>
      <c r="C298" s="12">
        <v>45261</v>
      </c>
      <c r="D298" t="s" s="13">
        <v>3587</v>
      </c>
      <c r="E298" t="s" s="13">
        <v>3588</v>
      </c>
      <c r="F298" s="14">
        <v>2</v>
      </c>
      <c r="G298" s="15">
        <v>0</v>
      </c>
      <c r="H298" s="15">
        <v>0</v>
      </c>
    </row>
    <row r="299" ht="12.9" customHeight="1">
      <c r="A299" t="s" s="10">
        <v>3585</v>
      </c>
      <c r="B299" t="s" s="11">
        <v>122</v>
      </c>
      <c r="C299" s="12">
        <v>45261</v>
      </c>
      <c r="D299" t="s" s="13">
        <v>2947</v>
      </c>
      <c r="E299" t="s" s="13">
        <v>2948</v>
      </c>
      <c r="F299" s="14">
        <v>2</v>
      </c>
      <c r="G299" s="15">
        <v>0</v>
      </c>
      <c r="H299" s="15">
        <v>0</v>
      </c>
    </row>
    <row r="300" ht="12.9" customHeight="1">
      <c r="A300" t="s" s="10">
        <v>3585</v>
      </c>
      <c r="B300" t="s" s="11">
        <v>122</v>
      </c>
      <c r="C300" s="12">
        <v>45261</v>
      </c>
      <c r="D300" t="s" s="13">
        <v>2073</v>
      </c>
      <c r="E300" t="s" s="13">
        <v>2074</v>
      </c>
      <c r="F300" s="14">
        <v>2</v>
      </c>
      <c r="G300" s="15">
        <v>0</v>
      </c>
      <c r="H300" s="15">
        <v>0</v>
      </c>
    </row>
    <row r="301" ht="12.9" customHeight="1">
      <c r="A301" t="s" s="10">
        <v>3585</v>
      </c>
      <c r="B301" t="s" s="11">
        <v>122</v>
      </c>
      <c r="C301" s="12">
        <v>45261</v>
      </c>
      <c r="D301" t="s" s="13">
        <v>2223</v>
      </c>
      <c r="E301" t="s" s="13">
        <v>2224</v>
      </c>
      <c r="F301" s="14">
        <v>1</v>
      </c>
      <c r="G301" s="15">
        <v>0</v>
      </c>
      <c r="H301" s="15">
        <v>0</v>
      </c>
    </row>
    <row r="302" ht="12.9" customHeight="1">
      <c r="A302" t="s" s="10">
        <v>3589</v>
      </c>
      <c r="B302" t="s" s="11">
        <v>3590</v>
      </c>
      <c r="C302" s="12">
        <v>45261</v>
      </c>
      <c r="D302" t="s" s="13">
        <v>254</v>
      </c>
      <c r="E302" t="s" s="13">
        <v>3591</v>
      </c>
      <c r="F302" s="14">
        <v>1</v>
      </c>
      <c r="G302" s="15">
        <v>0</v>
      </c>
      <c r="H302" s="15">
        <v>0</v>
      </c>
    </row>
    <row r="303" ht="12.9" customHeight="1">
      <c r="A303" t="s" s="10">
        <v>3589</v>
      </c>
      <c r="B303" t="s" s="11">
        <v>3590</v>
      </c>
      <c r="C303" s="12">
        <v>45261</v>
      </c>
      <c r="D303" t="s" s="13">
        <v>3467</v>
      </c>
      <c r="E303" t="s" s="13">
        <v>3468</v>
      </c>
      <c r="F303" s="14">
        <v>4</v>
      </c>
      <c r="G303" s="15">
        <v>0</v>
      </c>
      <c r="H303" s="15">
        <v>0</v>
      </c>
    </row>
    <row r="304" ht="12.9" customHeight="1">
      <c r="A304" t="s" s="10">
        <v>3589</v>
      </c>
      <c r="B304" t="s" s="11">
        <v>3590</v>
      </c>
      <c r="C304" s="12">
        <v>45261</v>
      </c>
      <c r="D304" t="s" s="13">
        <v>258</v>
      </c>
      <c r="E304" t="s" s="13">
        <v>3592</v>
      </c>
      <c r="F304" s="14">
        <v>4</v>
      </c>
      <c r="G304" s="15">
        <v>0</v>
      </c>
      <c r="H304" s="15">
        <v>0</v>
      </c>
    </row>
    <row r="305" ht="12.9" customHeight="1">
      <c r="A305" t="s" s="10">
        <v>3593</v>
      </c>
      <c r="B305" t="s" s="11">
        <v>2643</v>
      </c>
      <c r="C305" s="12">
        <v>45261</v>
      </c>
      <c r="D305" t="s" s="13">
        <v>23</v>
      </c>
      <c r="E305" t="s" s="13">
        <v>24</v>
      </c>
      <c r="F305" s="14">
        <v>1</v>
      </c>
      <c r="G305" s="15">
        <v>149.99</v>
      </c>
      <c r="H305" s="15">
        <v>149.99</v>
      </c>
    </row>
    <row r="307" ht="15.55" customHeight="1">
      <c r="I307" t="s" s="2">
        <v>3594</v>
      </c>
      <c r="J307" s="2"/>
      <c r="K307" s="2"/>
      <c r="L307" s="2"/>
      <c r="M307" s="2"/>
      <c r="N307" s="2"/>
      <c r="O307" s="2"/>
    </row>
    <row r="309" ht="13.1" customHeight="1">
      <c r="I309" t="s" s="20">
        <v>2</v>
      </c>
      <c r="J309" t="s" s="21">
        <v>1</v>
      </c>
      <c r="K309" t="s" s="21">
        <v>616</v>
      </c>
      <c r="L309" t="s" s="22">
        <v>4</v>
      </c>
      <c r="M309" t="s" s="23">
        <v>617</v>
      </c>
      <c r="N309" t="s" s="3">
        <v>618</v>
      </c>
      <c r="O309" t="s" s="3">
        <v>619</v>
      </c>
    </row>
    <row r="310" ht="15.4" customHeight="1">
      <c r="I310" t="s" s="121">
        <v>161</v>
      </c>
      <c r="J310" s="122"/>
      <c r="K310" s="122"/>
      <c r="L310" s="123"/>
      <c r="M310" s="124">
        <v>25</v>
      </c>
      <c r="N310" s="141">
        <v>2274.985</v>
      </c>
      <c r="O310" s="141">
        <v>7674.94</v>
      </c>
    </row>
    <row r="311" ht="15.55" customHeight="1">
      <c r="I311" t="s" s="126">
        <v>3140</v>
      </c>
      <c r="J311" s="127"/>
      <c r="K311" s="127"/>
      <c r="L311" s="128"/>
      <c r="M311" s="129">
        <v>1</v>
      </c>
      <c r="N311" s="142">
        <v>599.99</v>
      </c>
      <c r="O311" s="142">
        <v>599.99</v>
      </c>
    </row>
    <row r="312" ht="15.55" customHeight="1">
      <c r="I312" t="s" s="126">
        <v>3474</v>
      </c>
      <c r="J312" s="127"/>
      <c r="K312" s="127"/>
      <c r="L312" s="128"/>
      <c r="M312" s="129">
        <v>1</v>
      </c>
      <c r="N312" s="142">
        <v>349.99</v>
      </c>
      <c r="O312" s="142">
        <v>349.99</v>
      </c>
    </row>
    <row r="313" ht="15.55" customHeight="1">
      <c r="I313" t="s" s="126">
        <v>3401</v>
      </c>
      <c r="J313" s="127"/>
      <c r="K313" s="127"/>
      <c r="L313" s="128"/>
      <c r="M313" s="129">
        <v>8</v>
      </c>
      <c r="N313" s="142">
        <v>129.98</v>
      </c>
      <c r="O313" s="142">
        <v>519.92</v>
      </c>
    </row>
    <row r="314" ht="15.55" customHeight="1">
      <c r="I314" t="s" s="126">
        <v>2643</v>
      </c>
      <c r="J314" s="127"/>
      <c r="K314" s="127"/>
      <c r="L314" s="128"/>
      <c r="M314" s="129">
        <v>1</v>
      </c>
      <c r="N314" s="142">
        <v>149.99</v>
      </c>
      <c r="O314" s="142">
        <v>149.99</v>
      </c>
    </row>
    <row r="315" ht="15.55" customHeight="1">
      <c r="I315" t="s" s="126">
        <v>3376</v>
      </c>
      <c r="J315" s="127"/>
      <c r="K315" s="127"/>
      <c r="L315" s="128"/>
      <c r="M315" s="129">
        <v>6</v>
      </c>
      <c r="N315" s="142">
        <v>99.95</v>
      </c>
      <c r="O315" s="142">
        <v>109.94</v>
      </c>
    </row>
    <row r="316" ht="15.55" customHeight="1">
      <c r="I316" t="s" s="126">
        <v>2829</v>
      </c>
      <c r="J316" s="127"/>
      <c r="K316" s="127"/>
      <c r="L316" s="128"/>
      <c r="M316" s="129">
        <v>22</v>
      </c>
      <c r="N316" s="142">
        <v>467.615</v>
      </c>
      <c r="O316" s="142">
        <v>903.4924999999999</v>
      </c>
    </row>
    <row r="317" ht="15.55" customHeight="1">
      <c r="I317" t="s" s="126">
        <v>3209</v>
      </c>
      <c r="J317" s="127"/>
      <c r="K317" s="127"/>
      <c r="L317" s="128"/>
      <c r="M317" s="129">
        <v>2</v>
      </c>
      <c r="N317" s="142">
        <v>129.98</v>
      </c>
      <c r="O317" s="142">
        <v>129.98</v>
      </c>
    </row>
    <row r="318" ht="15.55" customHeight="1">
      <c r="I318" t="s" s="126">
        <v>3476</v>
      </c>
      <c r="J318" s="127"/>
      <c r="K318" s="127"/>
      <c r="L318" s="128"/>
      <c r="M318" s="129">
        <v>7</v>
      </c>
      <c r="N318" s="142">
        <v>402.45</v>
      </c>
      <c r="O318" s="142">
        <v>402.45</v>
      </c>
    </row>
    <row r="319" ht="15.55" customHeight="1">
      <c r="I319" t="s" s="126">
        <v>1704</v>
      </c>
      <c r="J319" s="127"/>
      <c r="K319" s="127"/>
      <c r="L319" s="128"/>
      <c r="M319" s="129">
        <v>2</v>
      </c>
      <c r="N319" s="142">
        <v>49.98</v>
      </c>
      <c r="O319" s="142">
        <v>49.98</v>
      </c>
    </row>
    <row r="320" ht="15.55" customHeight="1">
      <c r="I320" t="s" s="126">
        <v>3550</v>
      </c>
      <c r="J320" s="127"/>
      <c r="K320" s="127"/>
      <c r="L320" s="128"/>
      <c r="M320" s="129">
        <v>1</v>
      </c>
      <c r="N320" s="142">
        <v>399.99</v>
      </c>
      <c r="O320" s="142">
        <v>399.99</v>
      </c>
    </row>
    <row r="321" ht="15.55" customHeight="1">
      <c r="I321" t="s" s="126">
        <v>3555</v>
      </c>
      <c r="J321" s="127"/>
      <c r="K321" s="127"/>
      <c r="L321" s="128"/>
      <c r="M321" s="129">
        <v>2</v>
      </c>
      <c r="N321" s="142">
        <v>49.99</v>
      </c>
      <c r="O321" s="142">
        <v>99.98</v>
      </c>
    </row>
    <row r="322" ht="15.55" customHeight="1">
      <c r="I322" t="s" s="126">
        <v>3354</v>
      </c>
      <c r="J322" s="127"/>
      <c r="K322" s="127"/>
      <c r="L322" s="128"/>
      <c r="M322" s="129">
        <v>1</v>
      </c>
      <c r="N322" s="142">
        <v>49.99</v>
      </c>
      <c r="O322" s="142">
        <v>49.99</v>
      </c>
    </row>
    <row r="323" ht="15.55" customHeight="1">
      <c r="I323" t="s" s="126">
        <v>3231</v>
      </c>
      <c r="J323" s="127"/>
      <c r="K323" s="127"/>
      <c r="L323" s="128"/>
      <c r="M323" s="129">
        <v>16</v>
      </c>
      <c r="N323" s="142">
        <v>259.96</v>
      </c>
      <c r="O323" s="142">
        <v>679.84</v>
      </c>
    </row>
    <row r="324" ht="15.55" customHeight="1">
      <c r="I324" t="s" s="126">
        <v>3422</v>
      </c>
      <c r="J324" s="127"/>
      <c r="K324" s="127"/>
      <c r="L324" s="128"/>
      <c r="M324" s="129">
        <v>8</v>
      </c>
      <c r="N324" s="142">
        <v>332.45</v>
      </c>
      <c r="O324" s="142">
        <v>478.04</v>
      </c>
    </row>
    <row r="325" ht="15.55" customHeight="1">
      <c r="I325" t="s" s="126">
        <v>3563</v>
      </c>
      <c r="J325" s="127"/>
      <c r="K325" s="127"/>
      <c r="L325" s="128"/>
      <c r="M325" s="129">
        <v>2</v>
      </c>
      <c r="N325" s="142">
        <v>49.99</v>
      </c>
      <c r="O325" s="142">
        <v>99.98</v>
      </c>
    </row>
    <row r="326" ht="15.55" customHeight="1">
      <c r="I326" t="s" s="126">
        <v>3472</v>
      </c>
      <c r="J326" s="127"/>
      <c r="K326" s="127"/>
      <c r="L326" s="128"/>
      <c r="M326" s="129">
        <v>1</v>
      </c>
      <c r="N326" s="142">
        <v>399.99</v>
      </c>
      <c r="O326" s="142">
        <v>399.99</v>
      </c>
    </row>
    <row r="327" ht="15.55" customHeight="1">
      <c r="I327" t="s" s="126">
        <v>3426</v>
      </c>
      <c r="J327" s="127"/>
      <c r="K327" s="127"/>
      <c r="L327" s="128"/>
      <c r="M327" s="129">
        <v>2</v>
      </c>
      <c r="N327" s="142">
        <v>1599.98</v>
      </c>
      <c r="O327" s="142">
        <v>1599.98</v>
      </c>
    </row>
    <row r="328" ht="15.55" customHeight="1">
      <c r="I328" t="s" s="126">
        <v>2632</v>
      </c>
      <c r="J328" s="127"/>
      <c r="K328" s="127"/>
      <c r="L328" s="128"/>
      <c r="M328" s="129">
        <v>2</v>
      </c>
      <c r="N328" s="142">
        <v>599.99</v>
      </c>
      <c r="O328" s="142">
        <v>1199.98</v>
      </c>
    </row>
    <row r="329" ht="15.55" customHeight="1">
      <c r="I329" t="s" s="126">
        <v>831</v>
      </c>
      <c r="J329" s="127"/>
      <c r="K329" s="127"/>
      <c r="L329" s="128"/>
      <c r="M329" s="129">
        <v>184</v>
      </c>
      <c r="N329" s="142">
        <v>113.9925</v>
      </c>
      <c r="O329" s="142">
        <v>2903.76</v>
      </c>
    </row>
    <row r="330" ht="15.55" customHeight="1">
      <c r="I330" t="s" s="126">
        <v>3374</v>
      </c>
      <c r="J330" s="127"/>
      <c r="K330" s="127"/>
      <c r="L330" s="128"/>
      <c r="M330" s="129">
        <v>2</v>
      </c>
      <c r="N330" s="142">
        <v>49.99</v>
      </c>
      <c r="O330" s="142">
        <v>99.98</v>
      </c>
    </row>
    <row r="331" ht="15.55" customHeight="1">
      <c r="I331" t="s" s="126">
        <v>2972</v>
      </c>
      <c r="J331" s="127"/>
      <c r="K331" s="127"/>
      <c r="L331" s="128"/>
      <c r="M331" s="129">
        <v>12</v>
      </c>
      <c r="N331" s="142">
        <v>1549.99</v>
      </c>
      <c r="O331" s="142">
        <v>2824.98</v>
      </c>
    </row>
    <row r="332" ht="15.55" customHeight="1">
      <c r="I332" t="s" s="126">
        <v>391</v>
      </c>
      <c r="J332" s="127"/>
      <c r="K332" s="127"/>
      <c r="L332" s="128"/>
      <c r="M332" s="129">
        <v>53</v>
      </c>
      <c r="N332" s="142">
        <v>3289.575</v>
      </c>
      <c r="O332" s="142">
        <v>6379.355</v>
      </c>
    </row>
    <row r="333" ht="15.55" customHeight="1">
      <c r="I333" t="s" s="126">
        <v>911</v>
      </c>
      <c r="J333" s="127"/>
      <c r="K333" s="127"/>
      <c r="L333" s="128"/>
      <c r="M333" s="129">
        <v>20</v>
      </c>
      <c r="N333" s="142">
        <v>7.99</v>
      </c>
      <c r="O333" s="142">
        <v>159.8</v>
      </c>
    </row>
    <row r="334" ht="15.55" customHeight="1">
      <c r="I334" t="s" s="126">
        <v>3383</v>
      </c>
      <c r="J334" s="127"/>
      <c r="K334" s="127"/>
      <c r="L334" s="128"/>
      <c r="M334" s="129">
        <v>1</v>
      </c>
      <c r="N334" s="142">
        <v>349.99</v>
      </c>
      <c r="O334" s="142">
        <v>349.99</v>
      </c>
    </row>
    <row r="335" ht="15.55" customHeight="1">
      <c r="I335" t="s" s="126">
        <v>3378</v>
      </c>
      <c r="J335" s="127"/>
      <c r="K335" s="127"/>
      <c r="L335" s="128"/>
      <c r="M335" s="129">
        <v>1</v>
      </c>
      <c r="N335" s="142">
        <v>109.99</v>
      </c>
      <c r="O335" s="142">
        <v>109.99</v>
      </c>
    </row>
    <row r="336" ht="15.55" customHeight="1">
      <c r="I336" t="s" s="126">
        <v>3573</v>
      </c>
      <c r="J336" s="127"/>
      <c r="K336" s="127"/>
      <c r="L336" s="128"/>
      <c r="M336" s="129">
        <v>1</v>
      </c>
      <c r="N336" s="142">
        <v>109.99</v>
      </c>
      <c r="O336" s="142">
        <v>109.99</v>
      </c>
    </row>
    <row r="337" ht="15.55" customHeight="1">
      <c r="I337" t="s" s="126">
        <v>188</v>
      </c>
      <c r="J337" s="127"/>
      <c r="K337" s="127"/>
      <c r="L337" s="128"/>
      <c r="M337" s="129">
        <v>1</v>
      </c>
      <c r="N337" s="142">
        <v>7.49</v>
      </c>
      <c r="O337" s="142">
        <v>7.49</v>
      </c>
    </row>
    <row r="338" ht="15.55" customHeight="1">
      <c r="I338" t="s" s="126">
        <v>3453</v>
      </c>
      <c r="J338" s="127"/>
      <c r="K338" s="127"/>
      <c r="L338" s="128"/>
      <c r="M338" s="129">
        <v>1</v>
      </c>
      <c r="N338" s="142">
        <v>349.99</v>
      </c>
      <c r="O338" s="142">
        <v>349.99</v>
      </c>
    </row>
    <row r="339" ht="15.55" customHeight="1">
      <c r="I339" t="s" s="126">
        <v>3526</v>
      </c>
      <c r="J339" s="127"/>
      <c r="K339" s="127"/>
      <c r="L339" s="128"/>
      <c r="M339" s="129">
        <v>1</v>
      </c>
      <c r="N339" s="142">
        <v>9.99</v>
      </c>
      <c r="O339" s="142">
        <v>9.99</v>
      </c>
    </row>
    <row r="340" ht="15.55" customHeight="1">
      <c r="I340" t="s" s="126">
        <v>1874</v>
      </c>
      <c r="J340" s="127"/>
      <c r="K340" s="127"/>
      <c r="L340" s="128"/>
      <c r="M340" s="129">
        <v>73.3</v>
      </c>
      <c r="N340" s="142">
        <v>117</v>
      </c>
      <c r="O340" s="142">
        <v>664.5</v>
      </c>
    </row>
    <row r="341" ht="15.55" customHeight="1">
      <c r="I341" t="s" s="126">
        <v>3578</v>
      </c>
      <c r="J341" s="127"/>
      <c r="K341" s="127"/>
      <c r="L341" s="128"/>
      <c r="M341" s="129">
        <v>1</v>
      </c>
      <c r="N341" s="142">
        <v>149.99</v>
      </c>
      <c r="O341" s="142">
        <v>149.99</v>
      </c>
    </row>
    <row r="342" ht="15.55" customHeight="1">
      <c r="I342" t="s" s="126">
        <v>3559</v>
      </c>
      <c r="J342" s="127"/>
      <c r="K342" s="127"/>
      <c r="L342" s="128"/>
      <c r="M342" s="129">
        <v>2</v>
      </c>
      <c r="N342" s="142">
        <v>19.99</v>
      </c>
      <c r="O342" s="142">
        <v>39.98</v>
      </c>
    </row>
    <row r="343" ht="15.55" customHeight="1">
      <c r="I343" t="s" s="126">
        <v>3364</v>
      </c>
      <c r="J343" s="127"/>
      <c r="K343" s="127"/>
      <c r="L343" s="128"/>
      <c r="M343" s="129">
        <v>1</v>
      </c>
      <c r="N343" s="142">
        <v>399.99</v>
      </c>
      <c r="O343" s="142">
        <v>399.99</v>
      </c>
    </row>
    <row r="344" ht="15.55" customHeight="1">
      <c r="I344" t="s" s="126">
        <v>3465</v>
      </c>
      <c r="J344" s="127"/>
      <c r="K344" s="127"/>
      <c r="L344" s="128"/>
      <c r="M344" s="129">
        <v>11</v>
      </c>
      <c r="N344" s="142">
        <v>0</v>
      </c>
      <c r="O344" s="142">
        <v>0</v>
      </c>
    </row>
    <row r="345" ht="15.55" customHeight="1">
      <c r="I345" t="s" s="126">
        <v>3576</v>
      </c>
      <c r="J345" s="127"/>
      <c r="K345" s="127"/>
      <c r="L345" s="128"/>
      <c r="M345" s="129">
        <v>3</v>
      </c>
      <c r="N345" s="142">
        <v>399.99</v>
      </c>
      <c r="O345" s="142">
        <v>1199.97</v>
      </c>
    </row>
    <row r="346" ht="15.55" customHeight="1">
      <c r="I346" t="s" s="126">
        <v>3484</v>
      </c>
      <c r="J346" s="127"/>
      <c r="K346" s="127"/>
      <c r="L346" s="128"/>
      <c r="M346" s="129">
        <v>4</v>
      </c>
      <c r="N346" s="142">
        <v>129.98</v>
      </c>
      <c r="O346" s="142">
        <v>259.96</v>
      </c>
    </row>
    <row r="347" ht="15.55" customHeight="1">
      <c r="I347" t="s" s="126">
        <v>797</v>
      </c>
      <c r="J347" s="127"/>
      <c r="K347" s="127"/>
      <c r="L347" s="128"/>
      <c r="M347" s="129">
        <v>1</v>
      </c>
      <c r="N347" s="142">
        <v>374.99</v>
      </c>
      <c r="O347" s="142">
        <v>374.99</v>
      </c>
    </row>
    <row r="348" ht="15.55" customHeight="1">
      <c r="I348" t="s" s="126">
        <v>368</v>
      </c>
      <c r="J348" s="127"/>
      <c r="K348" s="127"/>
      <c r="L348" s="128"/>
      <c r="M348" s="129">
        <v>65</v>
      </c>
      <c r="N348" s="142">
        <v>3691.88</v>
      </c>
      <c r="O348" s="142">
        <v>10639.63</v>
      </c>
    </row>
    <row r="349" ht="15.55" customHeight="1">
      <c r="I349" t="s" s="126">
        <v>896</v>
      </c>
      <c r="J349" s="127"/>
      <c r="K349" s="127"/>
      <c r="L349" s="128"/>
      <c r="M349" s="129">
        <v>106</v>
      </c>
      <c r="N349" s="142">
        <v>98.98999999999999</v>
      </c>
      <c r="O349" s="142">
        <v>554.95</v>
      </c>
    </row>
    <row r="350" ht="15.55" customHeight="1">
      <c r="I350" t="s" s="126">
        <v>3352</v>
      </c>
      <c r="J350" s="127"/>
      <c r="K350" s="127"/>
      <c r="L350" s="128"/>
      <c r="M350" s="129">
        <v>5</v>
      </c>
      <c r="N350" s="142">
        <v>69.97</v>
      </c>
      <c r="O350" s="142">
        <v>129.95</v>
      </c>
    </row>
    <row r="351" ht="15.55" customHeight="1">
      <c r="I351" t="s" s="126">
        <v>3509</v>
      </c>
      <c r="J351" s="127"/>
      <c r="K351" s="127"/>
      <c r="L351" s="128"/>
      <c r="M351" s="129">
        <v>1</v>
      </c>
      <c r="N351" s="142">
        <v>49.99</v>
      </c>
      <c r="O351" s="142">
        <v>49.99</v>
      </c>
    </row>
    <row r="352" ht="15.55" customHeight="1">
      <c r="I352" t="s" s="126">
        <v>1541</v>
      </c>
      <c r="J352" s="127"/>
      <c r="K352" s="127"/>
      <c r="L352" s="128"/>
      <c r="M352" s="129">
        <v>1</v>
      </c>
      <c r="N352" s="142">
        <v>49.99</v>
      </c>
      <c r="O352" s="142">
        <v>49.99</v>
      </c>
    </row>
    <row r="353" ht="15.55" customHeight="1">
      <c r="I353" t="s" s="126">
        <v>3447</v>
      </c>
      <c r="J353" s="127"/>
      <c r="K353" s="127"/>
      <c r="L353" s="128"/>
      <c r="M353" s="129">
        <v>1</v>
      </c>
      <c r="N353" s="142">
        <v>349.99</v>
      </c>
      <c r="O353" s="142">
        <v>349.99</v>
      </c>
    </row>
    <row r="354" ht="15.55" customHeight="1">
      <c r="I354" t="s" s="126">
        <v>3381</v>
      </c>
      <c r="J354" s="127"/>
      <c r="K354" s="127"/>
      <c r="L354" s="128"/>
      <c r="M354" s="129">
        <v>1</v>
      </c>
      <c r="N354" s="142">
        <v>349.99</v>
      </c>
      <c r="O354" s="142">
        <v>349.99</v>
      </c>
    </row>
    <row r="355" ht="15.55" customHeight="1">
      <c r="I355" t="s" s="126">
        <v>3419</v>
      </c>
      <c r="J355" s="127"/>
      <c r="K355" s="127"/>
      <c r="L355" s="128"/>
      <c r="M355" s="129">
        <v>1</v>
      </c>
      <c r="N355" s="142">
        <v>0</v>
      </c>
      <c r="O355" s="142">
        <v>0</v>
      </c>
    </row>
    <row r="356" ht="15.55" customHeight="1">
      <c r="I356" t="s" s="126">
        <v>3451</v>
      </c>
      <c r="J356" s="127"/>
      <c r="K356" s="127"/>
      <c r="L356" s="128"/>
      <c r="M356" s="129">
        <v>2</v>
      </c>
      <c r="N356" s="142">
        <v>59.98</v>
      </c>
      <c r="O356" s="142">
        <v>59.98</v>
      </c>
    </row>
    <row r="357" ht="15.55" customHeight="1">
      <c r="I357" t="s" s="126">
        <v>1221</v>
      </c>
      <c r="J357" s="127"/>
      <c r="K357" s="127"/>
      <c r="L357" s="128"/>
      <c r="M357" s="129">
        <v>4</v>
      </c>
      <c r="N357" s="142">
        <v>29.99</v>
      </c>
      <c r="O357" s="142">
        <v>119.96</v>
      </c>
    </row>
    <row r="358" ht="15.55" customHeight="1">
      <c r="I358" t="s" s="126">
        <v>3357</v>
      </c>
      <c r="J358" s="127"/>
      <c r="K358" s="127"/>
      <c r="L358" s="128"/>
      <c r="M358" s="129">
        <v>4</v>
      </c>
      <c r="N358" s="142">
        <v>279.97</v>
      </c>
      <c r="O358" s="142">
        <v>429.96</v>
      </c>
    </row>
    <row r="359" ht="15.55" customHeight="1">
      <c r="I359" t="s" s="126">
        <v>1027</v>
      </c>
      <c r="J359" s="127"/>
      <c r="K359" s="127"/>
      <c r="L359" s="128"/>
      <c r="M359" s="129">
        <v>20</v>
      </c>
      <c r="N359" s="142">
        <v>179.99</v>
      </c>
      <c r="O359" s="142">
        <v>3599.8</v>
      </c>
    </row>
    <row r="360" ht="15.55" customHeight="1">
      <c r="I360" t="s" s="126">
        <v>3557</v>
      </c>
      <c r="J360" s="127"/>
      <c r="K360" s="127"/>
      <c r="L360" s="128"/>
      <c r="M360" s="129">
        <v>1</v>
      </c>
      <c r="N360" s="142">
        <v>549.99</v>
      </c>
      <c r="O360" s="142">
        <v>549.99</v>
      </c>
    </row>
    <row r="361" ht="15.55" customHeight="1">
      <c r="I361" t="s" s="126">
        <v>3567</v>
      </c>
      <c r="J361" s="127"/>
      <c r="K361" s="127"/>
      <c r="L361" s="128"/>
      <c r="M361" s="129">
        <v>10</v>
      </c>
      <c r="N361" s="142">
        <v>1.99</v>
      </c>
      <c r="O361" s="142">
        <v>19.9</v>
      </c>
    </row>
    <row r="362" ht="15.55" customHeight="1">
      <c r="I362" t="s" s="126">
        <v>3547</v>
      </c>
      <c r="J362" s="127"/>
      <c r="K362" s="127"/>
      <c r="L362" s="128"/>
      <c r="M362" s="129">
        <v>1</v>
      </c>
      <c r="N362" s="142">
        <v>49.99</v>
      </c>
      <c r="O362" s="142">
        <v>49.99</v>
      </c>
    </row>
    <row r="363" ht="15.55" customHeight="1">
      <c r="I363" t="s" s="126">
        <v>3424</v>
      </c>
      <c r="J363" s="127"/>
      <c r="K363" s="127"/>
      <c r="L363" s="128"/>
      <c r="M363" s="129">
        <v>1</v>
      </c>
      <c r="N363" s="142">
        <v>399.99</v>
      </c>
      <c r="O363" s="142">
        <v>399.99</v>
      </c>
    </row>
    <row r="364" ht="15.55" customHeight="1">
      <c r="I364" t="s" s="126">
        <v>3407</v>
      </c>
      <c r="J364" s="127"/>
      <c r="K364" s="127"/>
      <c r="L364" s="128"/>
      <c r="M364" s="129">
        <v>3</v>
      </c>
      <c r="N364" s="142">
        <v>22.99</v>
      </c>
      <c r="O364" s="142">
        <v>68.97</v>
      </c>
    </row>
    <row r="365" ht="15.55" customHeight="1">
      <c r="I365" t="s" s="126">
        <v>353</v>
      </c>
      <c r="J365" s="127"/>
      <c r="K365" s="127"/>
      <c r="L365" s="128"/>
      <c r="M365" s="129">
        <v>7</v>
      </c>
      <c r="N365" s="142">
        <v>1306.2045</v>
      </c>
      <c r="O365" s="142">
        <v>1373.682</v>
      </c>
    </row>
    <row r="366" ht="15.55" customHeight="1">
      <c r="I366" t="s" s="126">
        <v>2222</v>
      </c>
      <c r="J366" s="127"/>
      <c r="K366" s="127"/>
      <c r="L366" s="128"/>
      <c r="M366" s="129">
        <v>8</v>
      </c>
      <c r="N366" s="142">
        <v>0</v>
      </c>
      <c r="O366" s="142">
        <v>0</v>
      </c>
    </row>
    <row r="367" ht="15.55" customHeight="1">
      <c r="I367" t="s" s="126">
        <v>3370</v>
      </c>
      <c r="J367" s="127"/>
      <c r="K367" s="127"/>
      <c r="L367" s="128"/>
      <c r="M367" s="129">
        <v>1</v>
      </c>
      <c r="N367" s="142">
        <v>0</v>
      </c>
      <c r="O367" s="142">
        <v>0</v>
      </c>
    </row>
    <row r="368" ht="15.55" customHeight="1">
      <c r="I368" t="s" s="126">
        <v>2096</v>
      </c>
      <c r="J368" s="127"/>
      <c r="K368" s="127"/>
      <c r="L368" s="128"/>
      <c r="M368" s="129">
        <v>12</v>
      </c>
      <c r="N368" s="142">
        <v>1379.98</v>
      </c>
      <c r="O368" s="142">
        <v>2759.96</v>
      </c>
    </row>
    <row r="369" ht="15.55" customHeight="1">
      <c r="I369" t="s" s="126">
        <v>3430</v>
      </c>
      <c r="J369" s="127"/>
      <c r="K369" s="127"/>
      <c r="L369" s="128"/>
      <c r="M369" s="129">
        <v>17</v>
      </c>
      <c r="N369" s="142">
        <v>319.97</v>
      </c>
      <c r="O369" s="142">
        <v>609.9299999999999</v>
      </c>
    </row>
    <row r="370" ht="15.55" customHeight="1">
      <c r="I370" t="s" s="126">
        <v>3506</v>
      </c>
      <c r="J370" s="127"/>
      <c r="K370" s="127"/>
      <c r="L370" s="128"/>
      <c r="M370" s="129">
        <v>3</v>
      </c>
      <c r="N370" s="142">
        <v>211.99</v>
      </c>
      <c r="O370" s="142">
        <v>211.99</v>
      </c>
    </row>
    <row r="371" ht="15.55" customHeight="1">
      <c r="I371" t="s" s="126">
        <v>2292</v>
      </c>
      <c r="J371" s="127"/>
      <c r="K371" s="127"/>
      <c r="L371" s="128"/>
      <c r="M371" s="129">
        <v>3</v>
      </c>
      <c r="N371" s="142">
        <v>7.49</v>
      </c>
      <c r="O371" s="142">
        <v>22.47</v>
      </c>
    </row>
    <row r="372" ht="15.55" customHeight="1">
      <c r="I372" t="s" s="126">
        <v>3389</v>
      </c>
      <c r="J372" s="127"/>
      <c r="K372" s="127"/>
      <c r="L372" s="128"/>
      <c r="M372" s="129">
        <v>8</v>
      </c>
      <c r="N372" s="142">
        <v>994.98</v>
      </c>
      <c r="O372" s="142">
        <v>1989.96</v>
      </c>
    </row>
    <row r="373" ht="15.55" customHeight="1">
      <c r="I373" t="s" s="126">
        <v>3492</v>
      </c>
      <c r="J373" s="127"/>
      <c r="K373" s="127"/>
      <c r="L373" s="128"/>
      <c r="M373" s="129">
        <v>1</v>
      </c>
      <c r="N373" s="142">
        <v>399.99</v>
      </c>
      <c r="O373" s="142">
        <v>399.99</v>
      </c>
    </row>
    <row r="374" ht="15.55" customHeight="1">
      <c r="I374" t="s" s="126">
        <v>3495</v>
      </c>
      <c r="J374" s="127"/>
      <c r="K374" s="127"/>
      <c r="L374" s="128"/>
      <c r="M374" s="129">
        <v>2</v>
      </c>
      <c r="N374" s="142">
        <v>59.98</v>
      </c>
      <c r="O374" s="142">
        <v>59.98</v>
      </c>
    </row>
    <row r="375" ht="15.55" customHeight="1">
      <c r="I375" t="s" s="126">
        <v>3159</v>
      </c>
      <c r="J375" s="127"/>
      <c r="K375" s="127"/>
      <c r="L375" s="128"/>
      <c r="M375" s="129">
        <v>6</v>
      </c>
      <c r="N375" s="142">
        <v>409.98</v>
      </c>
      <c r="O375" s="142">
        <v>449.94</v>
      </c>
    </row>
    <row r="376" ht="15.55" customHeight="1">
      <c r="I376" t="s" s="126">
        <v>3534</v>
      </c>
      <c r="J376" s="127"/>
      <c r="K376" s="127"/>
      <c r="L376" s="128"/>
      <c r="M376" s="129">
        <v>1</v>
      </c>
      <c r="N376" s="142">
        <v>59.99</v>
      </c>
      <c r="O376" s="142">
        <v>59.99</v>
      </c>
    </row>
    <row r="377" ht="15.55" customHeight="1">
      <c r="I377" t="s" s="126">
        <v>3528</v>
      </c>
      <c r="J377" s="127"/>
      <c r="K377" s="127"/>
      <c r="L377" s="128"/>
      <c r="M377" s="129">
        <v>4</v>
      </c>
      <c r="N377" s="142">
        <v>129.98</v>
      </c>
      <c r="O377" s="142">
        <v>259.96</v>
      </c>
    </row>
    <row r="378" ht="15.55" customHeight="1">
      <c r="I378" t="s" s="126">
        <v>3437</v>
      </c>
      <c r="J378" s="127"/>
      <c r="K378" s="127"/>
      <c r="L378" s="128"/>
      <c r="M378" s="129">
        <v>2</v>
      </c>
      <c r="N378" s="142">
        <v>314.2325</v>
      </c>
      <c r="O378" s="142">
        <v>314.2325</v>
      </c>
    </row>
    <row r="379" ht="15.55" customHeight="1">
      <c r="I379" t="s" s="126">
        <v>1410</v>
      </c>
      <c r="J379" s="127"/>
      <c r="K379" s="127"/>
      <c r="L379" s="128"/>
      <c r="M379" s="129">
        <v>3</v>
      </c>
      <c r="N379" s="142">
        <v>849.99</v>
      </c>
      <c r="O379" s="142">
        <v>849.99</v>
      </c>
    </row>
    <row r="380" ht="15.55" customHeight="1">
      <c r="I380" t="s" s="126">
        <v>3387</v>
      </c>
      <c r="J380" s="127"/>
      <c r="K380" s="127"/>
      <c r="L380" s="128"/>
      <c r="M380" s="129">
        <v>18</v>
      </c>
      <c r="N380" s="142">
        <v>1974.97</v>
      </c>
      <c r="O380" s="142">
        <v>5099.94</v>
      </c>
    </row>
    <row r="381" ht="15.55" customHeight="1">
      <c r="I381" t="s" s="126">
        <v>42</v>
      </c>
      <c r="J381" s="127"/>
      <c r="K381" s="127"/>
      <c r="L381" s="128"/>
      <c r="M381" s="129">
        <v>11</v>
      </c>
      <c r="N381" s="142">
        <v>228</v>
      </c>
      <c r="O381" s="142">
        <v>688</v>
      </c>
    </row>
    <row r="382" ht="15.55" customHeight="1">
      <c r="I382" t="s" s="126">
        <v>3583</v>
      </c>
      <c r="J382" s="127"/>
      <c r="K382" s="127"/>
      <c r="L382" s="128"/>
      <c r="M382" s="129">
        <v>2</v>
      </c>
      <c r="N382" s="142">
        <v>118</v>
      </c>
      <c r="O382" s="142">
        <v>118</v>
      </c>
    </row>
    <row r="383" ht="15.55" customHeight="1">
      <c r="I383" t="s" s="126">
        <v>3410</v>
      </c>
      <c r="J383" s="127"/>
      <c r="K383" s="127"/>
      <c r="L383" s="128"/>
      <c r="M383" s="129">
        <v>3</v>
      </c>
      <c r="N383" s="142">
        <v>179.97</v>
      </c>
      <c r="O383" s="142">
        <v>179.97</v>
      </c>
    </row>
    <row r="384" ht="15.55" customHeight="1">
      <c r="I384" t="s" s="126">
        <v>1200</v>
      </c>
      <c r="J384" s="127"/>
      <c r="K384" s="127"/>
      <c r="L384" s="128"/>
      <c r="M384" s="129">
        <v>2</v>
      </c>
      <c r="N384" s="142">
        <v>599.9924999999999</v>
      </c>
      <c r="O384" s="142">
        <v>1199.985</v>
      </c>
    </row>
    <row r="385" ht="15.55" customHeight="1">
      <c r="I385" t="s" s="126">
        <v>1985</v>
      </c>
      <c r="J385" s="127"/>
      <c r="K385" s="127"/>
      <c r="L385" s="128"/>
      <c r="M385" s="129">
        <v>35</v>
      </c>
      <c r="N385" s="142">
        <v>394.98</v>
      </c>
      <c r="O385" s="142">
        <v>2449.85</v>
      </c>
    </row>
    <row r="386" ht="15.55" customHeight="1">
      <c r="I386" t="s" s="126">
        <v>3502</v>
      </c>
      <c r="J386" s="127"/>
      <c r="K386" s="127"/>
      <c r="L386" s="128"/>
      <c r="M386" s="129">
        <v>1</v>
      </c>
      <c r="N386" s="142">
        <v>349.99</v>
      </c>
      <c r="O386" s="142">
        <v>349.99</v>
      </c>
    </row>
    <row r="387" ht="15.55" customHeight="1">
      <c r="I387" t="s" s="126">
        <v>3590</v>
      </c>
      <c r="J387" s="127"/>
      <c r="K387" s="127"/>
      <c r="L387" s="128"/>
      <c r="M387" s="129">
        <v>9</v>
      </c>
      <c r="N387" s="142">
        <v>0</v>
      </c>
      <c r="O387" s="142">
        <v>0</v>
      </c>
    </row>
    <row r="388" ht="15.55" customHeight="1">
      <c r="I388" t="s" s="126">
        <v>3360</v>
      </c>
      <c r="J388" s="127"/>
      <c r="K388" s="127"/>
      <c r="L388" s="128"/>
      <c r="M388" s="129">
        <v>1</v>
      </c>
      <c r="N388" s="142">
        <v>349.99</v>
      </c>
      <c r="O388" s="142">
        <v>349.99</v>
      </c>
    </row>
    <row r="389" ht="15.55" customHeight="1">
      <c r="I389" t="s" s="126">
        <v>3428</v>
      </c>
      <c r="J389" s="127"/>
      <c r="K389" s="127"/>
      <c r="L389" s="128"/>
      <c r="M389" s="129">
        <v>2</v>
      </c>
      <c r="N389" s="142">
        <v>499.99</v>
      </c>
      <c r="O389" s="142">
        <v>999.98</v>
      </c>
    </row>
    <row r="390" ht="15.55" customHeight="1">
      <c r="I390" t="s" s="126">
        <v>3226</v>
      </c>
      <c r="J390" s="127"/>
      <c r="K390" s="127"/>
      <c r="L390" s="128"/>
      <c r="M390" s="129">
        <v>1</v>
      </c>
      <c r="N390" s="142">
        <v>49.99</v>
      </c>
      <c r="O390" s="142">
        <v>49.99</v>
      </c>
    </row>
    <row r="391" ht="15.55" customHeight="1">
      <c r="I391" t="s" s="126">
        <v>3488</v>
      </c>
      <c r="J391" s="127"/>
      <c r="K391" s="127"/>
      <c r="L391" s="128"/>
      <c r="M391" s="129">
        <v>2</v>
      </c>
      <c r="N391" s="142">
        <v>1599.98</v>
      </c>
      <c r="O391" s="142">
        <v>1599.98</v>
      </c>
    </row>
    <row r="392" ht="15.55" customHeight="1">
      <c r="I392" t="s" s="126">
        <v>3569</v>
      </c>
      <c r="J392" s="127"/>
      <c r="K392" s="127"/>
      <c r="L392" s="128"/>
      <c r="M392" s="129">
        <v>3</v>
      </c>
      <c r="N392" s="142">
        <v>29.99</v>
      </c>
      <c r="O392" s="142">
        <v>89.97</v>
      </c>
    </row>
    <row r="393" ht="15.55" customHeight="1">
      <c r="I393" t="s" s="126">
        <v>3497</v>
      </c>
      <c r="J393" s="127"/>
      <c r="K393" s="127"/>
      <c r="L393" s="128"/>
      <c r="M393" s="129">
        <v>2</v>
      </c>
      <c r="N393" s="142">
        <v>49.99</v>
      </c>
      <c r="O393" s="142">
        <v>99.98</v>
      </c>
    </row>
    <row r="394" ht="15.55" customHeight="1">
      <c r="I394" t="s" s="126">
        <v>3553</v>
      </c>
      <c r="J394" s="127"/>
      <c r="K394" s="127"/>
      <c r="L394" s="128"/>
      <c r="M394" s="129">
        <v>2</v>
      </c>
      <c r="N394" s="142">
        <v>349.99</v>
      </c>
      <c r="O394" s="142">
        <v>699.98</v>
      </c>
    </row>
    <row r="395" ht="15.55" customHeight="1">
      <c r="I395" t="s" s="126">
        <v>3523</v>
      </c>
      <c r="J395" s="127"/>
      <c r="K395" s="127"/>
      <c r="L395" s="128"/>
      <c r="M395" s="129">
        <v>2</v>
      </c>
      <c r="N395" s="142">
        <v>0</v>
      </c>
      <c r="O395" s="142">
        <v>0</v>
      </c>
    </row>
    <row r="396" ht="15.55" customHeight="1">
      <c r="I396" t="s" s="126">
        <v>3478</v>
      </c>
      <c r="J396" s="127"/>
      <c r="K396" s="127"/>
      <c r="L396" s="128"/>
      <c r="M396" s="129">
        <v>4</v>
      </c>
      <c r="N396" s="142">
        <v>124.99</v>
      </c>
      <c r="O396" s="142">
        <v>249.98</v>
      </c>
    </row>
    <row r="397" ht="15.55" customHeight="1">
      <c r="I397" t="s" s="126">
        <v>2094</v>
      </c>
      <c r="J397" s="127"/>
      <c r="K397" s="127"/>
      <c r="L397" s="128"/>
      <c r="M397" s="129">
        <v>1</v>
      </c>
      <c r="N397" s="142">
        <v>59.99</v>
      </c>
      <c r="O397" s="142">
        <v>59.99</v>
      </c>
    </row>
    <row r="398" ht="15.55" customHeight="1">
      <c r="I398" t="s" s="126">
        <v>3455</v>
      </c>
      <c r="J398" s="127"/>
      <c r="K398" s="127"/>
      <c r="L398" s="128"/>
      <c r="M398" s="129">
        <v>34</v>
      </c>
      <c r="N398" s="142">
        <v>66.34</v>
      </c>
      <c r="O398" s="142">
        <v>66.34</v>
      </c>
    </row>
    <row r="399" ht="15.55" customHeight="1">
      <c r="I399" t="s" s="126">
        <v>62</v>
      </c>
      <c r="J399" s="127"/>
      <c r="K399" s="127"/>
      <c r="L399" s="128"/>
      <c r="M399" s="129">
        <v>350</v>
      </c>
      <c r="N399" s="142">
        <v>407.72</v>
      </c>
      <c r="O399" s="142">
        <v>3075.64</v>
      </c>
    </row>
    <row r="400" ht="15.55" customHeight="1">
      <c r="I400" t="s" s="126">
        <v>122</v>
      </c>
      <c r="J400" s="127"/>
      <c r="K400" s="127"/>
      <c r="L400" s="128"/>
      <c r="M400" s="129">
        <v>12</v>
      </c>
      <c r="N400" s="142">
        <v>0</v>
      </c>
      <c r="O400" s="142">
        <v>0</v>
      </c>
    </row>
    <row r="401" ht="15.55" customHeight="1">
      <c r="I401" t="s" s="126">
        <v>2931</v>
      </c>
      <c r="J401" s="127"/>
      <c r="K401" s="127"/>
      <c r="L401" s="128"/>
      <c r="M401" s="129">
        <v>27</v>
      </c>
      <c r="N401" s="142">
        <v>98.985</v>
      </c>
      <c r="O401" s="142">
        <v>314.85</v>
      </c>
    </row>
    <row r="402" ht="15.55" customHeight="1">
      <c r="I402" t="s" s="126">
        <v>3362</v>
      </c>
      <c r="J402" s="127"/>
      <c r="K402" s="127"/>
      <c r="L402" s="128"/>
      <c r="M402" s="129">
        <v>1</v>
      </c>
      <c r="N402" s="142">
        <v>399.99</v>
      </c>
      <c r="O402" s="142">
        <v>399.99</v>
      </c>
    </row>
    <row r="403" ht="15.55" customHeight="1">
      <c r="I403" t="s" s="126">
        <v>2323</v>
      </c>
      <c r="J403" s="127"/>
      <c r="K403" s="127"/>
      <c r="L403" s="128"/>
      <c r="M403" s="129">
        <v>9</v>
      </c>
      <c r="N403" s="142">
        <v>0</v>
      </c>
      <c r="O403" s="142">
        <v>0</v>
      </c>
    </row>
    <row r="404" ht="15.55" customHeight="1">
      <c r="I404" t="s" s="126">
        <v>3470</v>
      </c>
      <c r="J404" s="127"/>
      <c r="K404" s="127"/>
      <c r="L404" s="128"/>
      <c r="M404" s="129">
        <v>8</v>
      </c>
      <c r="N404" s="142">
        <v>129.98</v>
      </c>
      <c r="O404" s="142">
        <v>519.92</v>
      </c>
    </row>
    <row r="405" ht="15.55" customHeight="1">
      <c r="I405" t="s" s="126">
        <v>2847</v>
      </c>
      <c r="J405" s="127"/>
      <c r="K405" s="127"/>
      <c r="L405" s="128"/>
      <c r="M405" s="129">
        <v>5</v>
      </c>
      <c r="N405" s="142">
        <v>1249.98</v>
      </c>
      <c r="O405" s="142">
        <v>1249.98</v>
      </c>
    </row>
    <row r="406" ht="15.55" customHeight="1">
      <c r="I406" t="s" s="126">
        <v>3571</v>
      </c>
      <c r="J406" s="127"/>
      <c r="K406" s="127"/>
      <c r="L406" s="128"/>
      <c r="M406" s="129">
        <v>10</v>
      </c>
      <c r="N406" s="142">
        <v>21.98</v>
      </c>
      <c r="O406" s="142">
        <v>55.9</v>
      </c>
    </row>
    <row r="407" ht="15.55" customHeight="1">
      <c r="I407" t="s" s="126">
        <v>206</v>
      </c>
      <c r="J407" s="127"/>
      <c r="K407" s="127"/>
      <c r="L407" s="128"/>
      <c r="M407" s="129">
        <v>12</v>
      </c>
      <c r="N407" s="142">
        <v>1449.98</v>
      </c>
      <c r="O407" s="142">
        <v>2899.96</v>
      </c>
    </row>
    <row r="408" ht="15.55" customHeight="1">
      <c r="I408" t="s" s="126">
        <v>881</v>
      </c>
      <c r="J408" s="127"/>
      <c r="K408" s="127"/>
      <c r="L408" s="128"/>
      <c r="M408" s="129">
        <v>86</v>
      </c>
      <c r="N408" s="142">
        <v>1505.1825</v>
      </c>
      <c r="O408" s="142">
        <v>5732.7775</v>
      </c>
    </row>
    <row r="409" ht="15.55" customHeight="1">
      <c r="I409" t="s" s="126">
        <v>2884</v>
      </c>
      <c r="J409" s="127"/>
      <c r="K409" s="127"/>
      <c r="L409" s="128"/>
      <c r="M409" s="129">
        <v>1</v>
      </c>
      <c r="N409" s="142">
        <v>1199.99</v>
      </c>
      <c r="O409" s="142">
        <v>1199.99</v>
      </c>
    </row>
    <row r="410" ht="15.55" customHeight="1">
      <c r="I410" t="s" s="126">
        <v>2916</v>
      </c>
      <c r="J410" s="127"/>
      <c r="K410" s="127"/>
      <c r="L410" s="128"/>
      <c r="M410" s="129">
        <v>1</v>
      </c>
      <c r="N410" s="142">
        <v>399.99</v>
      </c>
      <c r="O410" s="142">
        <v>399.99</v>
      </c>
    </row>
    <row r="411" ht="15.55" customHeight="1">
      <c r="I411" t="s" s="126">
        <v>3545</v>
      </c>
      <c r="J411" s="127"/>
      <c r="K411" s="127"/>
      <c r="L411" s="128"/>
      <c r="M411" s="129">
        <v>1</v>
      </c>
      <c r="N411" s="142">
        <v>399.99</v>
      </c>
      <c r="O411" s="142">
        <v>399.99</v>
      </c>
    </row>
    <row r="412" ht="15.55" customHeight="1">
      <c r="I412" t="s" s="126">
        <v>3580</v>
      </c>
      <c r="J412" s="127"/>
      <c r="K412" s="127"/>
      <c r="L412" s="128"/>
      <c r="M412" s="129">
        <v>4</v>
      </c>
      <c r="N412" s="142">
        <v>649.98</v>
      </c>
      <c r="O412" s="142">
        <v>1299.96</v>
      </c>
    </row>
    <row r="413" ht="15.55" customHeight="1">
      <c r="I413" t="s" s="126">
        <v>3372</v>
      </c>
      <c r="J413" s="127"/>
      <c r="K413" s="127"/>
      <c r="L413" s="128"/>
      <c r="M413" s="129">
        <v>2</v>
      </c>
      <c r="N413" s="142">
        <v>99.98999999999999</v>
      </c>
      <c r="O413" s="142">
        <v>199.98</v>
      </c>
    </row>
    <row r="414" ht="15.55" customHeight="1">
      <c r="I414" t="s" s="126">
        <v>3164</v>
      </c>
      <c r="J414" s="127"/>
      <c r="K414" s="127"/>
      <c r="L414" s="128"/>
      <c r="M414" s="129">
        <v>2</v>
      </c>
      <c r="N414" s="142">
        <v>349.99</v>
      </c>
      <c r="O414" s="142">
        <v>699.98</v>
      </c>
    </row>
    <row r="415" ht="15.4" customHeight="1">
      <c r="I415" t="s" s="132">
        <v>3391</v>
      </c>
      <c r="J415" s="133"/>
      <c r="K415" s="133"/>
      <c r="L415" s="134"/>
      <c r="M415" s="135">
        <v>1</v>
      </c>
      <c r="N415" s="143">
        <v>349.99</v>
      </c>
      <c r="O415" s="143">
        <v>349.99</v>
      </c>
    </row>
    <row r="416" ht="13.1" customHeight="1">
      <c r="I416" t="s" s="33">
        <v>620</v>
      </c>
      <c r="M416" s="34">
        <v>1455.3</v>
      </c>
      <c r="N416" s="35">
        <v>44359.4445</v>
      </c>
      <c r="O416" s="35">
        <v>92229.0545</v>
      </c>
    </row>
    <row r="418" ht="15.55" customHeight="1">
      <c r="P418" t="s" s="2">
        <v>3595</v>
      </c>
      <c r="Q418" s="2"/>
    </row>
    <row r="419" ht="13.1" customHeight="1">
      <c r="P419" t="s" s="37">
        <v>4</v>
      </c>
      <c r="Q419" t="s" s="145">
        <v>617</v>
      </c>
    </row>
    <row r="420" ht="13.1" customHeight="1">
      <c r="P420" t="s" s="38">
        <v>2961</v>
      </c>
      <c r="Q420" s="34">
        <v>21</v>
      </c>
    </row>
    <row r="421" ht="12.9" customHeight="1">
      <c r="P421" t="s" s="40">
        <v>1046</v>
      </c>
      <c r="Q421" s="146">
        <v>4</v>
      </c>
    </row>
    <row r="422" ht="12.9" customHeight="1">
      <c r="P422" t="s" s="40">
        <v>3514</v>
      </c>
      <c r="Q422" s="146">
        <v>6</v>
      </c>
    </row>
    <row r="423" ht="12.9" customHeight="1">
      <c r="P423" t="s" s="40">
        <v>3516</v>
      </c>
      <c r="Q423" s="146">
        <v>6</v>
      </c>
    </row>
    <row r="424" ht="12.9" customHeight="1">
      <c r="P424" t="s" s="40">
        <v>1891</v>
      </c>
      <c r="Q424" s="146">
        <v>20</v>
      </c>
    </row>
    <row r="425" ht="12.9" customHeight="1">
      <c r="P425" t="s" s="40">
        <v>2073</v>
      </c>
      <c r="Q425" s="146">
        <v>2</v>
      </c>
    </row>
    <row r="426" ht="12.9" customHeight="1">
      <c r="P426" t="s" s="40">
        <v>3431</v>
      </c>
      <c r="Q426" s="146">
        <v>3</v>
      </c>
    </row>
    <row r="427" ht="12.9" customHeight="1">
      <c r="P427" t="s" s="40">
        <v>775</v>
      </c>
      <c r="Q427" s="146">
        <v>7</v>
      </c>
    </row>
    <row r="428" ht="12.9" customHeight="1">
      <c r="P428" t="s" s="40">
        <v>3513</v>
      </c>
      <c r="Q428" s="146">
        <v>4</v>
      </c>
    </row>
    <row r="429" ht="12.9" customHeight="1">
      <c r="P429" t="s" s="40">
        <v>1892</v>
      </c>
      <c r="Q429" s="146">
        <v>20</v>
      </c>
    </row>
    <row r="430" ht="12.9" customHeight="1">
      <c r="P430" t="s" s="40">
        <v>780</v>
      </c>
      <c r="Q430" s="146">
        <v>6</v>
      </c>
    </row>
    <row r="431" ht="12.9" customHeight="1">
      <c r="P431" t="s" s="40">
        <v>1247</v>
      </c>
      <c r="Q431" s="146">
        <v>3</v>
      </c>
    </row>
    <row r="432" ht="12.9" customHeight="1">
      <c r="P432" t="s" s="40">
        <v>3543</v>
      </c>
      <c r="Q432" s="146">
        <v>5</v>
      </c>
    </row>
    <row r="433" ht="12.9" customHeight="1">
      <c r="P433" t="s" s="40">
        <v>778</v>
      </c>
      <c r="Q433" s="146">
        <v>5</v>
      </c>
    </row>
    <row r="434" ht="12.9" customHeight="1">
      <c r="P434" t="s" s="40">
        <v>1986</v>
      </c>
      <c r="Q434" s="146">
        <v>13</v>
      </c>
    </row>
    <row r="435" ht="12.9" customHeight="1">
      <c r="P435" t="s" s="40">
        <v>266</v>
      </c>
      <c r="Q435" s="146">
        <v>15</v>
      </c>
    </row>
    <row r="436" ht="12.9" customHeight="1">
      <c r="P436" t="s" s="40">
        <v>2947</v>
      </c>
      <c r="Q436" s="146">
        <v>2</v>
      </c>
    </row>
    <row r="437" ht="12.9" customHeight="1">
      <c r="P437" t="s" s="40">
        <v>123</v>
      </c>
      <c r="Q437" s="146">
        <v>39</v>
      </c>
    </row>
    <row r="438" ht="12.9" customHeight="1">
      <c r="P438" t="s" s="40">
        <v>19</v>
      </c>
      <c r="Q438" s="146">
        <v>52</v>
      </c>
    </row>
    <row r="439" ht="12.9" customHeight="1">
      <c r="P439" t="s" s="40">
        <v>2787</v>
      </c>
      <c r="Q439" s="146">
        <v>3</v>
      </c>
    </row>
    <row r="440" ht="12.9" customHeight="1">
      <c r="P440" t="s" s="40">
        <v>227</v>
      </c>
      <c r="Q440" s="146">
        <v>4</v>
      </c>
    </row>
    <row r="441" ht="12.9" customHeight="1">
      <c r="P441" t="s" s="40">
        <v>167</v>
      </c>
      <c r="Q441" s="146">
        <v>4</v>
      </c>
    </row>
    <row r="442" ht="12.9" customHeight="1">
      <c r="P442" t="s" s="40">
        <v>54</v>
      </c>
      <c r="Q442" s="146">
        <v>11</v>
      </c>
    </row>
    <row r="443" ht="12.9" customHeight="1">
      <c r="P443" t="s" s="40">
        <v>1695</v>
      </c>
      <c r="Q443" s="146">
        <v>7</v>
      </c>
    </row>
    <row r="444" ht="12.9" customHeight="1">
      <c r="P444" t="s" s="40">
        <v>57</v>
      </c>
      <c r="Q444" s="146">
        <v>8</v>
      </c>
    </row>
    <row r="445" ht="12.9" customHeight="1">
      <c r="P445" t="s" s="40">
        <v>84</v>
      </c>
      <c r="Q445" s="146">
        <v>21</v>
      </c>
    </row>
    <row r="446" ht="12.9" customHeight="1">
      <c r="P446" t="s" s="40">
        <v>412</v>
      </c>
      <c r="Q446" s="146">
        <v>22</v>
      </c>
    </row>
    <row r="447" ht="12.9" customHeight="1">
      <c r="P447" t="s" s="40">
        <v>119</v>
      </c>
      <c r="Q447" s="146">
        <v>21</v>
      </c>
    </row>
    <row r="448" ht="12.9" customHeight="1">
      <c r="P448" t="s" s="40">
        <v>589</v>
      </c>
      <c r="Q448" s="146">
        <v>4</v>
      </c>
    </row>
    <row r="449" ht="12.9" customHeight="1">
      <c r="P449" t="s" s="40">
        <v>587</v>
      </c>
      <c r="Q449" s="146">
        <v>2</v>
      </c>
    </row>
    <row r="450" ht="12.9" customHeight="1">
      <c r="P450" t="s" s="40">
        <v>225</v>
      </c>
      <c r="Q450" s="146">
        <v>2</v>
      </c>
    </row>
    <row r="451" ht="12.9" customHeight="1">
      <c r="P451" t="s" s="40">
        <v>585</v>
      </c>
      <c r="Q451" s="146">
        <v>6</v>
      </c>
    </row>
    <row r="452" ht="12.9" customHeight="1">
      <c r="P452" t="s" s="40">
        <v>125</v>
      </c>
      <c r="Q452" s="146">
        <v>18</v>
      </c>
    </row>
    <row r="453" ht="12.9" customHeight="1">
      <c r="P453" t="s" s="40">
        <v>299</v>
      </c>
      <c r="Q453" s="146">
        <v>18</v>
      </c>
    </row>
    <row r="454" ht="12.9" customHeight="1">
      <c r="P454" t="s" s="40">
        <v>882</v>
      </c>
      <c r="Q454" s="146">
        <v>32</v>
      </c>
    </row>
    <row r="455" ht="12.9" customHeight="1">
      <c r="P455" t="s" s="40">
        <v>239</v>
      </c>
      <c r="Q455" s="146">
        <v>2</v>
      </c>
    </row>
    <row r="456" ht="12.9" customHeight="1">
      <c r="P456" t="s" s="40">
        <v>487</v>
      </c>
      <c r="Q456" s="146">
        <v>3</v>
      </c>
    </row>
    <row r="457" ht="12.9" customHeight="1">
      <c r="P457" t="s" s="40">
        <v>39</v>
      </c>
      <c r="Q457" s="146">
        <v>4</v>
      </c>
    </row>
    <row r="458" ht="12.9" customHeight="1">
      <c r="P458" t="s" s="40">
        <v>213</v>
      </c>
      <c r="Q458" s="146">
        <v>2</v>
      </c>
    </row>
    <row r="459" ht="12.9" customHeight="1">
      <c r="P459" t="s" s="40">
        <v>1054</v>
      </c>
      <c r="Q459" s="146">
        <v>2</v>
      </c>
    </row>
    <row r="460" ht="12.9" customHeight="1">
      <c r="P460" t="s" s="40">
        <v>354</v>
      </c>
      <c r="Q460" s="146">
        <v>3</v>
      </c>
    </row>
    <row r="461" ht="12.9" customHeight="1">
      <c r="P461" t="s" s="40">
        <v>23</v>
      </c>
      <c r="Q461" s="146">
        <v>17</v>
      </c>
    </row>
    <row r="462" ht="12.9" customHeight="1">
      <c r="P462" t="s" s="40">
        <v>133</v>
      </c>
      <c r="Q462" s="146">
        <v>4</v>
      </c>
    </row>
    <row r="463" ht="12.9" customHeight="1">
      <c r="P463" t="s" s="40">
        <v>470</v>
      </c>
      <c r="Q463" s="146">
        <v>5</v>
      </c>
    </row>
    <row r="464" ht="12.9" customHeight="1">
      <c r="P464" t="s" s="40">
        <v>602</v>
      </c>
      <c r="Q464" s="146">
        <v>5</v>
      </c>
    </row>
    <row r="465" ht="12.9" customHeight="1">
      <c r="P465" t="s" s="40">
        <v>1257</v>
      </c>
      <c r="Q465" s="146">
        <v>2</v>
      </c>
    </row>
    <row r="466" ht="12.9" customHeight="1">
      <c r="P466" t="s" s="40">
        <v>35</v>
      </c>
      <c r="Q466" s="146">
        <v>14</v>
      </c>
    </row>
    <row r="467" ht="12.9" customHeight="1">
      <c r="P467" t="s" s="40">
        <v>89</v>
      </c>
      <c r="Q467" s="146">
        <v>2</v>
      </c>
    </row>
    <row r="468" ht="12.9" customHeight="1">
      <c r="P468" t="s" s="40">
        <v>52</v>
      </c>
      <c r="Q468" s="146">
        <v>16</v>
      </c>
    </row>
    <row r="469" ht="12.9" customHeight="1">
      <c r="P469" t="s" s="40">
        <v>359</v>
      </c>
      <c r="Q469" s="146">
        <v>7</v>
      </c>
    </row>
    <row r="470" ht="12.9" customHeight="1">
      <c r="P470" t="s" s="40">
        <v>1731</v>
      </c>
      <c r="Q470" s="146">
        <v>3</v>
      </c>
    </row>
    <row r="471" ht="12.9" customHeight="1">
      <c r="P471" t="s" s="40">
        <v>77</v>
      </c>
      <c r="Q471" s="146">
        <v>7</v>
      </c>
    </row>
    <row r="472" ht="12.9" customHeight="1">
      <c r="P472" t="s" s="40">
        <v>146</v>
      </c>
      <c r="Q472" s="146">
        <v>29</v>
      </c>
    </row>
    <row r="473" ht="12.9" customHeight="1">
      <c r="P473" t="s" s="40">
        <v>258</v>
      </c>
      <c r="Q473" s="146">
        <v>4</v>
      </c>
    </row>
    <row r="474" ht="12.9" customHeight="1">
      <c r="P474" t="s" s="40">
        <v>95</v>
      </c>
      <c r="Q474" s="146">
        <v>17</v>
      </c>
    </row>
    <row r="475" ht="12.9" customHeight="1">
      <c r="P475" t="s" s="40">
        <v>171</v>
      </c>
      <c r="Q475" s="146">
        <v>1</v>
      </c>
    </row>
    <row r="476" ht="12.9" customHeight="1">
      <c r="P476" t="s" s="40">
        <v>11</v>
      </c>
      <c r="Q476" s="146">
        <v>4</v>
      </c>
    </row>
    <row r="477" ht="12.9" customHeight="1">
      <c r="P477" t="s" s="40">
        <v>31</v>
      </c>
      <c r="Q477" s="146">
        <v>3</v>
      </c>
    </row>
    <row r="478" ht="12.9" customHeight="1">
      <c r="P478" t="s" s="40">
        <v>81</v>
      </c>
      <c r="Q478" s="146">
        <v>14</v>
      </c>
    </row>
    <row r="479" ht="12.9" customHeight="1">
      <c r="P479" t="s" s="40">
        <v>722</v>
      </c>
      <c r="Q479" s="146">
        <v>2</v>
      </c>
    </row>
    <row r="480" ht="12.9" customHeight="1">
      <c r="P480" t="s" s="40">
        <v>50</v>
      </c>
      <c r="Q480" s="146">
        <v>40</v>
      </c>
    </row>
    <row r="481" ht="12.9" customHeight="1">
      <c r="P481" t="s" s="40">
        <v>1896</v>
      </c>
      <c r="Q481" s="146">
        <v>1</v>
      </c>
    </row>
    <row r="482" ht="12.9" customHeight="1">
      <c r="P482" t="s" s="40">
        <v>48</v>
      </c>
      <c r="Q482" s="146">
        <v>8</v>
      </c>
    </row>
    <row r="483" ht="12.9" customHeight="1">
      <c r="P483" t="s" s="40">
        <v>489</v>
      </c>
      <c r="Q483" s="146">
        <v>4</v>
      </c>
    </row>
    <row r="484" ht="12.9" customHeight="1">
      <c r="P484" t="s" s="40">
        <v>491</v>
      </c>
      <c r="Q484" s="146">
        <v>12</v>
      </c>
    </row>
    <row r="485" ht="12.9" customHeight="1">
      <c r="P485" t="s" s="40">
        <v>493</v>
      </c>
      <c r="Q485" s="146">
        <v>4</v>
      </c>
    </row>
    <row r="486" ht="12.9" customHeight="1">
      <c r="P486" t="s" s="40">
        <v>3396</v>
      </c>
      <c r="Q486" s="146">
        <v>50</v>
      </c>
    </row>
    <row r="487" ht="12.9" customHeight="1">
      <c r="P487" t="s" s="40">
        <v>3398</v>
      </c>
      <c r="Q487" s="146">
        <v>50</v>
      </c>
    </row>
    <row r="488" ht="12.9" customHeight="1">
      <c r="P488" t="s" s="40">
        <v>59</v>
      </c>
      <c r="Q488" s="146">
        <v>6</v>
      </c>
    </row>
    <row r="489" ht="12.9" customHeight="1">
      <c r="P489" t="s" s="40">
        <v>3216</v>
      </c>
      <c r="Q489" s="146">
        <v>3</v>
      </c>
    </row>
    <row r="490" ht="12.9" customHeight="1">
      <c r="P490" t="s" s="40">
        <v>698</v>
      </c>
      <c r="Q490" s="146">
        <v>10</v>
      </c>
    </row>
    <row r="491" ht="12.9" customHeight="1">
      <c r="P491" t="s" s="40">
        <v>73</v>
      </c>
      <c r="Q491" s="146">
        <v>16</v>
      </c>
    </row>
    <row r="492" ht="12.9" customHeight="1">
      <c r="P492" t="s" s="40">
        <v>559</v>
      </c>
      <c r="Q492" s="146">
        <v>450</v>
      </c>
    </row>
    <row r="493" ht="12.9" customHeight="1">
      <c r="P493" t="s" s="40">
        <v>15</v>
      </c>
      <c r="Q493" s="146">
        <v>61</v>
      </c>
    </row>
    <row r="494" ht="12.9" customHeight="1">
      <c r="P494" t="s" s="40">
        <v>3433</v>
      </c>
      <c r="Q494" s="146">
        <v>3</v>
      </c>
    </row>
    <row r="495" ht="12.9" customHeight="1">
      <c r="P495" t="s" s="40">
        <v>356</v>
      </c>
      <c r="Q495" s="146">
        <v>2</v>
      </c>
    </row>
    <row r="496" ht="12.9" customHeight="1">
      <c r="P496" t="s" s="40">
        <v>207</v>
      </c>
      <c r="Q496" s="146">
        <v>9</v>
      </c>
    </row>
    <row r="497" ht="12.9" customHeight="1">
      <c r="P497" t="s" s="40">
        <v>1044</v>
      </c>
      <c r="Q497" s="146">
        <v>4</v>
      </c>
    </row>
    <row r="498" ht="12.9" customHeight="1">
      <c r="P498" t="s" s="40">
        <v>3480</v>
      </c>
      <c r="Q498" s="146">
        <v>2</v>
      </c>
    </row>
    <row r="499" ht="12.9" customHeight="1">
      <c r="P499" t="s" s="40">
        <v>3460</v>
      </c>
      <c r="Q499" s="146">
        <v>2</v>
      </c>
    </row>
    <row r="500" ht="12.9" customHeight="1">
      <c r="P500" t="s" s="40">
        <v>3467</v>
      </c>
      <c r="Q500" s="146">
        <v>12</v>
      </c>
    </row>
    <row r="501" ht="12.9" customHeight="1">
      <c r="P501" t="s" s="40">
        <v>402</v>
      </c>
      <c r="Q501" s="146">
        <v>4</v>
      </c>
    </row>
    <row r="502" ht="12.9" customHeight="1">
      <c r="P502" t="s" s="40">
        <v>3063</v>
      </c>
      <c r="Q502" s="146">
        <v>4</v>
      </c>
    </row>
    <row r="503" ht="12.9" customHeight="1">
      <c r="P503" t="s" s="40">
        <v>3440</v>
      </c>
      <c r="Q503" s="146">
        <v>1</v>
      </c>
    </row>
    <row r="504" ht="12.9" customHeight="1">
      <c r="P504" t="s" s="40">
        <v>3442</v>
      </c>
      <c r="Q504" s="146">
        <v>1</v>
      </c>
    </row>
    <row r="505" ht="12.9" customHeight="1">
      <c r="P505" t="s" s="40">
        <v>1707</v>
      </c>
      <c r="Q505" s="146">
        <v>5</v>
      </c>
    </row>
    <row r="506" ht="12.9" customHeight="1">
      <c r="P506" t="s" s="40">
        <v>1914</v>
      </c>
      <c r="Q506" s="146">
        <v>6</v>
      </c>
    </row>
    <row r="507" ht="12.9" customHeight="1">
      <c r="P507" t="s" s="40">
        <v>409</v>
      </c>
      <c r="Q507" s="146">
        <v>1</v>
      </c>
    </row>
    <row r="508" ht="12.9" customHeight="1">
      <c r="P508" t="s" s="40">
        <v>2223</v>
      </c>
      <c r="Q508" s="146">
        <v>3</v>
      </c>
    </row>
    <row r="509" ht="12.9" customHeight="1">
      <c r="P509" t="s" s="40">
        <v>691</v>
      </c>
      <c r="Q509" s="146">
        <v>2</v>
      </c>
    </row>
    <row r="510" ht="12.9" customHeight="1">
      <c r="P510" t="s" s="40">
        <v>3542</v>
      </c>
      <c r="Q510" s="146">
        <v>4</v>
      </c>
    </row>
    <row r="511" ht="12.9" customHeight="1">
      <c r="P511" t="s" s="40">
        <v>3443</v>
      </c>
      <c r="Q511" s="146">
        <v>1</v>
      </c>
    </row>
    <row r="512" ht="12.9" customHeight="1">
      <c r="P512" t="s" s="40">
        <v>254</v>
      </c>
      <c r="Q512" s="146">
        <v>18.3</v>
      </c>
    </row>
    <row r="513" ht="12.9" customHeight="1">
      <c r="P513" t="s" s="40">
        <v>3587</v>
      </c>
      <c r="Q513" s="146">
        <v>2</v>
      </c>
    </row>
    <row r="514" ht="12.9" customHeight="1">
      <c r="P514" t="s" s="40">
        <v>63</v>
      </c>
      <c r="Q514" s="146">
        <v>21</v>
      </c>
    </row>
    <row r="515" ht="12.9" customHeight="1">
      <c r="P515" t="s" s="40">
        <v>47</v>
      </c>
      <c r="Q515" s="146">
        <v>1</v>
      </c>
    </row>
    <row r="516" ht="12.9" customHeight="1">
      <c r="P516" t="s" s="40">
        <v>2512</v>
      </c>
      <c r="Q516" s="146">
        <v>14</v>
      </c>
    </row>
    <row r="517" ht="12.9" customHeight="1">
      <c r="P517" t="s" s="40">
        <v>3394</v>
      </c>
      <c r="Q517" s="146">
        <v>5</v>
      </c>
    </row>
    <row r="518" ht="12.9" customHeight="1">
      <c r="P518" t="s" s="40">
        <v>3405</v>
      </c>
      <c r="Q518" s="146">
        <v>10</v>
      </c>
    </row>
    <row r="519" ht="12.9" customHeight="1">
      <c r="P519" t="s" s="40">
        <v>3403</v>
      </c>
      <c r="Q519" s="146">
        <v>10</v>
      </c>
    </row>
    <row r="520" ht="12.9" customHeight="1">
      <c r="P520" t="s" s="40">
        <v>3462</v>
      </c>
      <c r="Q520" s="146">
        <v>2</v>
      </c>
    </row>
    <row r="521" ht="12.9" customHeight="1">
      <c r="P521" t="s" s="40">
        <v>2125</v>
      </c>
      <c r="Q521" s="146">
        <v>1</v>
      </c>
    </row>
    <row r="522" ht="12.9" customHeight="1">
      <c r="P522" t="s" s="40">
        <v>762</v>
      </c>
      <c r="Q522" s="146">
        <v>1</v>
      </c>
    </row>
    <row r="523" ht="13.1" customHeight="1">
      <c r="P523" t="s" s="42">
        <v>2711</v>
      </c>
      <c r="Q523" s="147">
        <v>1</v>
      </c>
    </row>
    <row r="524" ht="13.1" customHeight="1">
      <c r="P524" t="s" s="44">
        <v>620</v>
      </c>
      <c r="Q524" s="34">
        <v>1455.3</v>
      </c>
    </row>
    <row r="526" ht="15.55" customHeight="1">
      <c r="R526" t="s" s="2">
        <v>3596</v>
      </c>
      <c r="S526" s="2"/>
    </row>
    <row r="527" ht="13.1" customHeight="1">
      <c r="R527" t="s" s="37">
        <v>4</v>
      </c>
      <c r="S527" t="s" s="145">
        <v>619</v>
      </c>
    </row>
    <row r="528" ht="13.1" customHeight="1">
      <c r="R528" t="s" s="38">
        <v>2961</v>
      </c>
      <c r="S528" s="50">
        <v>137.94</v>
      </c>
    </row>
    <row r="529" ht="12.9" customHeight="1">
      <c r="R529" t="s" s="40">
        <v>1046</v>
      </c>
      <c r="S529" s="149">
        <v>0</v>
      </c>
    </row>
    <row r="530" ht="12.9" customHeight="1">
      <c r="R530" t="s" s="40">
        <v>3514</v>
      </c>
      <c r="S530" s="150">
        <v>36</v>
      </c>
    </row>
    <row r="531" ht="12.9" customHeight="1">
      <c r="R531" t="s" s="40">
        <v>3516</v>
      </c>
      <c r="S531" s="150">
        <v>24.03</v>
      </c>
    </row>
    <row r="532" ht="12.9" customHeight="1">
      <c r="R532" t="s" s="40">
        <v>1891</v>
      </c>
      <c r="S532" s="149">
        <v>0</v>
      </c>
    </row>
    <row r="533" ht="12.9" customHeight="1">
      <c r="R533" t="s" s="40">
        <v>2073</v>
      </c>
      <c r="S533" s="149">
        <v>0</v>
      </c>
    </row>
    <row r="534" ht="12.9" customHeight="1">
      <c r="R534" t="s" s="40">
        <v>3431</v>
      </c>
      <c r="S534" s="149">
        <v>0</v>
      </c>
    </row>
    <row r="535" ht="12.9" customHeight="1">
      <c r="R535" t="s" s="40">
        <v>775</v>
      </c>
      <c r="S535" s="149">
        <v>0</v>
      </c>
    </row>
    <row r="536" ht="12.9" customHeight="1">
      <c r="R536" t="s" s="40">
        <v>3513</v>
      </c>
      <c r="S536" s="150">
        <v>445.5</v>
      </c>
    </row>
    <row r="537" ht="12.9" customHeight="1">
      <c r="R537" t="s" s="40">
        <v>1892</v>
      </c>
      <c r="S537" s="149">
        <v>0</v>
      </c>
    </row>
    <row r="538" ht="12.9" customHeight="1">
      <c r="R538" t="s" s="40">
        <v>780</v>
      </c>
      <c r="S538" s="149">
        <v>0</v>
      </c>
    </row>
    <row r="539" ht="12.9" customHeight="1">
      <c r="R539" t="s" s="40">
        <v>1247</v>
      </c>
      <c r="S539" s="149">
        <v>0</v>
      </c>
    </row>
    <row r="540" ht="12.9" customHeight="1">
      <c r="R540" t="s" s="40">
        <v>3543</v>
      </c>
      <c r="S540" s="150">
        <v>200</v>
      </c>
    </row>
    <row r="541" ht="12.9" customHeight="1">
      <c r="R541" t="s" s="40">
        <v>778</v>
      </c>
      <c r="S541" s="150">
        <v>1499.95</v>
      </c>
    </row>
    <row r="542" ht="12.9" customHeight="1">
      <c r="R542" t="s" s="40">
        <v>1986</v>
      </c>
      <c r="S542" s="150">
        <v>1189.87</v>
      </c>
    </row>
    <row r="543" ht="12.9" customHeight="1">
      <c r="R543" t="s" s="40">
        <v>266</v>
      </c>
      <c r="S543" s="149">
        <v>0</v>
      </c>
    </row>
    <row r="544" ht="12.9" customHeight="1">
      <c r="R544" t="s" s="40">
        <v>2947</v>
      </c>
      <c r="S544" s="149">
        <v>0</v>
      </c>
    </row>
    <row r="545" ht="12.9" customHeight="1">
      <c r="R545" t="s" s="40">
        <v>123</v>
      </c>
      <c r="S545" s="150">
        <v>6296.53</v>
      </c>
    </row>
    <row r="546" ht="12.9" customHeight="1">
      <c r="R546" t="s" s="40">
        <v>19</v>
      </c>
      <c r="S546" s="150">
        <v>5279.56</v>
      </c>
    </row>
    <row r="547" ht="12.9" customHeight="1">
      <c r="R547" t="s" s="40">
        <v>2787</v>
      </c>
      <c r="S547" s="150">
        <v>68.97</v>
      </c>
    </row>
    <row r="548" ht="12.9" customHeight="1">
      <c r="R548" t="s" s="40">
        <v>227</v>
      </c>
      <c r="S548" s="150">
        <v>104.965</v>
      </c>
    </row>
    <row r="549" ht="12.9" customHeight="1">
      <c r="R549" t="s" s="40">
        <v>167</v>
      </c>
      <c r="S549" s="150">
        <v>89.97</v>
      </c>
    </row>
    <row r="550" ht="12.9" customHeight="1">
      <c r="R550" t="s" s="40">
        <v>54</v>
      </c>
      <c r="S550" s="150">
        <v>69.93000000000001</v>
      </c>
    </row>
    <row r="551" ht="12.9" customHeight="1">
      <c r="R551" t="s" s="40">
        <v>1695</v>
      </c>
      <c r="S551" s="150">
        <v>349.93</v>
      </c>
    </row>
    <row r="552" ht="12.9" customHeight="1">
      <c r="R552" t="s" s="40">
        <v>57</v>
      </c>
      <c r="S552" s="150">
        <v>4799.94</v>
      </c>
    </row>
    <row r="553" ht="12.9" customHeight="1">
      <c r="R553" t="s" s="40">
        <v>84</v>
      </c>
      <c r="S553" s="150">
        <v>60</v>
      </c>
    </row>
    <row r="554" ht="12.9" customHeight="1">
      <c r="R554" t="s" s="40">
        <v>412</v>
      </c>
      <c r="S554" s="150">
        <v>35.82</v>
      </c>
    </row>
    <row r="555" ht="12.9" customHeight="1">
      <c r="R555" t="s" s="40">
        <v>119</v>
      </c>
      <c r="S555" s="150">
        <v>19.9</v>
      </c>
    </row>
    <row r="556" ht="12.9" customHeight="1">
      <c r="R556" t="s" s="40">
        <v>589</v>
      </c>
      <c r="S556" s="150">
        <v>29.96</v>
      </c>
    </row>
    <row r="557" ht="12.9" customHeight="1">
      <c r="R557" t="s" s="40">
        <v>587</v>
      </c>
      <c r="S557" s="149">
        <v>0</v>
      </c>
    </row>
    <row r="558" ht="12.9" customHeight="1">
      <c r="R558" t="s" s="40">
        <v>225</v>
      </c>
      <c r="S558" s="150">
        <v>999.98</v>
      </c>
    </row>
    <row r="559" ht="12.9" customHeight="1">
      <c r="R559" t="s" s="40">
        <v>585</v>
      </c>
      <c r="S559" s="150">
        <v>2249.955</v>
      </c>
    </row>
    <row r="560" ht="12.9" customHeight="1">
      <c r="R560" t="s" s="40">
        <v>125</v>
      </c>
      <c r="S560" s="150">
        <v>903.6</v>
      </c>
    </row>
    <row r="561" ht="12.9" customHeight="1">
      <c r="R561" t="s" s="40">
        <v>299</v>
      </c>
      <c r="S561" s="150">
        <v>973.6</v>
      </c>
    </row>
    <row r="562" ht="12.9" customHeight="1">
      <c r="R562" t="s" s="40">
        <v>882</v>
      </c>
      <c r="S562" s="150">
        <v>1799.76</v>
      </c>
    </row>
    <row r="563" ht="12.9" customHeight="1">
      <c r="R563" t="s" s="40">
        <v>239</v>
      </c>
      <c r="S563" s="150">
        <v>199.98</v>
      </c>
    </row>
    <row r="564" ht="12.9" customHeight="1">
      <c r="R564" t="s" s="40">
        <v>487</v>
      </c>
      <c r="S564" s="150">
        <v>329.97</v>
      </c>
    </row>
    <row r="565" ht="12.9" customHeight="1">
      <c r="R565" t="s" s="40">
        <v>39</v>
      </c>
      <c r="S565" s="150">
        <v>439.96</v>
      </c>
    </row>
    <row r="566" ht="12.9" customHeight="1">
      <c r="R566" t="s" s="40">
        <v>213</v>
      </c>
      <c r="S566" s="150">
        <v>850</v>
      </c>
    </row>
    <row r="567" ht="12.9" customHeight="1">
      <c r="R567" t="s" s="40">
        <v>1054</v>
      </c>
      <c r="S567" s="150">
        <v>299.98</v>
      </c>
    </row>
    <row r="568" ht="12.9" customHeight="1">
      <c r="R568" t="s" s="40">
        <v>354</v>
      </c>
      <c r="S568" s="150">
        <v>374.975</v>
      </c>
    </row>
    <row r="569" ht="12.9" customHeight="1">
      <c r="R569" t="s" s="40">
        <v>23</v>
      </c>
      <c r="S569" s="150">
        <v>734.951</v>
      </c>
    </row>
    <row r="570" ht="12.9" customHeight="1">
      <c r="R570" t="s" s="40">
        <v>133</v>
      </c>
      <c r="S570" s="150">
        <v>175</v>
      </c>
    </row>
    <row r="571" ht="12.9" customHeight="1">
      <c r="R571" t="s" s="40">
        <v>470</v>
      </c>
      <c r="S571" s="150">
        <v>674.985</v>
      </c>
    </row>
    <row r="572" ht="12.9" customHeight="1">
      <c r="R572" t="s" s="40">
        <v>602</v>
      </c>
      <c r="S572" s="150">
        <v>1074.98</v>
      </c>
    </row>
    <row r="573" ht="12.9" customHeight="1">
      <c r="R573" t="s" s="40">
        <v>1257</v>
      </c>
      <c r="S573" s="150">
        <v>850</v>
      </c>
    </row>
    <row r="574" ht="12.9" customHeight="1">
      <c r="R574" t="s" s="40">
        <v>35</v>
      </c>
      <c r="S574" s="150">
        <v>699.86</v>
      </c>
    </row>
    <row r="575" ht="12.9" customHeight="1">
      <c r="R575" t="s" s="40">
        <v>89</v>
      </c>
      <c r="S575" s="150">
        <v>119.98</v>
      </c>
    </row>
    <row r="576" ht="12.9" customHeight="1">
      <c r="R576" t="s" s="40">
        <v>52</v>
      </c>
      <c r="S576" s="150">
        <v>149.925</v>
      </c>
    </row>
    <row r="577" ht="12.9" customHeight="1">
      <c r="R577" t="s" s="40">
        <v>359</v>
      </c>
      <c r="S577" s="150">
        <v>209.93</v>
      </c>
    </row>
    <row r="578" ht="12.9" customHeight="1">
      <c r="R578" t="s" s="40">
        <v>1731</v>
      </c>
      <c r="S578" s="150">
        <v>56.2275</v>
      </c>
    </row>
    <row r="579" ht="12.9" customHeight="1">
      <c r="R579" t="s" s="40">
        <v>77</v>
      </c>
      <c r="S579" s="150">
        <v>139.93</v>
      </c>
    </row>
    <row r="580" ht="12.9" customHeight="1">
      <c r="R580" t="s" s="40">
        <v>146</v>
      </c>
      <c r="S580" s="150">
        <v>493.51</v>
      </c>
    </row>
    <row r="581" ht="12.9" customHeight="1">
      <c r="R581" t="s" s="40">
        <v>258</v>
      </c>
      <c r="S581" s="149">
        <v>0</v>
      </c>
    </row>
    <row r="582" ht="12.9" customHeight="1">
      <c r="R582" t="s" s="40">
        <v>95</v>
      </c>
      <c r="S582" s="150">
        <v>5687.3375</v>
      </c>
    </row>
    <row r="583" ht="12.9" customHeight="1">
      <c r="R583" t="s" s="40">
        <v>171</v>
      </c>
      <c r="S583" s="150">
        <v>549.99</v>
      </c>
    </row>
    <row r="584" ht="12.9" customHeight="1">
      <c r="R584" t="s" s="40">
        <v>11</v>
      </c>
      <c r="S584" s="150">
        <v>1567.43</v>
      </c>
    </row>
    <row r="585" ht="12.9" customHeight="1">
      <c r="R585" t="s" s="40">
        <v>31</v>
      </c>
      <c r="S585" s="150">
        <v>1799.97</v>
      </c>
    </row>
    <row r="586" ht="12.9" customHeight="1">
      <c r="R586" t="s" s="40">
        <v>81</v>
      </c>
      <c r="S586" s="150">
        <v>11899.86</v>
      </c>
    </row>
    <row r="587" ht="12.9" customHeight="1">
      <c r="R587" t="s" s="40">
        <v>722</v>
      </c>
      <c r="S587" s="150">
        <v>1304.985</v>
      </c>
    </row>
    <row r="588" ht="12.9" customHeight="1">
      <c r="R588" t="s" s="40">
        <v>50</v>
      </c>
      <c r="S588" s="150">
        <v>464.845</v>
      </c>
    </row>
    <row r="589" ht="12.9" customHeight="1">
      <c r="R589" t="s" s="40">
        <v>1896</v>
      </c>
      <c r="S589" s="149">
        <v>0</v>
      </c>
    </row>
    <row r="590" ht="12.9" customHeight="1">
      <c r="R590" t="s" s="40">
        <v>48</v>
      </c>
      <c r="S590" s="150">
        <v>10399.92</v>
      </c>
    </row>
    <row r="591" ht="12.9" customHeight="1">
      <c r="R591" t="s" s="40">
        <v>489</v>
      </c>
      <c r="S591" s="150">
        <v>4799.97</v>
      </c>
    </row>
    <row r="592" ht="12.9" customHeight="1">
      <c r="R592" t="s" s="40">
        <v>491</v>
      </c>
      <c r="S592" s="149">
        <v>0</v>
      </c>
    </row>
    <row r="593" ht="12.9" customHeight="1">
      <c r="R593" t="s" s="40">
        <v>493</v>
      </c>
      <c r="S593" s="149">
        <v>0</v>
      </c>
    </row>
    <row r="594" ht="12.9" customHeight="1">
      <c r="R594" t="s" s="40">
        <v>3396</v>
      </c>
      <c r="S594" s="150">
        <v>200</v>
      </c>
    </row>
    <row r="595" ht="12.9" customHeight="1">
      <c r="R595" t="s" s="40">
        <v>3398</v>
      </c>
      <c r="S595" s="150">
        <v>200</v>
      </c>
    </row>
    <row r="596" ht="12.9" customHeight="1">
      <c r="R596" t="s" s="40">
        <v>59</v>
      </c>
      <c r="S596" s="150">
        <v>6779.9435</v>
      </c>
    </row>
    <row r="597" ht="12.9" customHeight="1">
      <c r="R597" t="s" s="40">
        <v>3216</v>
      </c>
      <c r="S597" s="149">
        <v>0</v>
      </c>
    </row>
    <row r="598" ht="12.9" customHeight="1">
      <c r="R598" t="s" s="40">
        <v>698</v>
      </c>
      <c r="S598" s="150">
        <v>149.925</v>
      </c>
    </row>
    <row r="599" ht="12.9" customHeight="1">
      <c r="R599" t="s" s="40">
        <v>73</v>
      </c>
      <c r="S599" s="150">
        <v>6199.845</v>
      </c>
    </row>
    <row r="600" ht="12.9" customHeight="1">
      <c r="R600" t="s" s="40">
        <v>559</v>
      </c>
      <c r="S600" s="150">
        <v>100</v>
      </c>
    </row>
    <row r="601" ht="12.9" customHeight="1">
      <c r="R601" t="s" s="40">
        <v>15</v>
      </c>
      <c r="S601" s="150">
        <v>479.48</v>
      </c>
    </row>
    <row r="602" ht="12.9" customHeight="1">
      <c r="R602" t="s" s="40">
        <v>3433</v>
      </c>
      <c r="S602" s="149">
        <v>0</v>
      </c>
    </row>
    <row r="603" ht="12.9" customHeight="1">
      <c r="R603" t="s" s="40">
        <v>356</v>
      </c>
      <c r="S603" s="149">
        <v>0</v>
      </c>
    </row>
    <row r="604" ht="12.9" customHeight="1">
      <c r="R604" t="s" s="40">
        <v>207</v>
      </c>
      <c r="S604" s="149">
        <v>0</v>
      </c>
    </row>
    <row r="605" ht="12.9" customHeight="1">
      <c r="R605" t="s" s="40">
        <v>1044</v>
      </c>
      <c r="S605" s="149">
        <v>0</v>
      </c>
    </row>
    <row r="606" ht="12.9" customHeight="1">
      <c r="R606" t="s" s="40">
        <v>3480</v>
      </c>
      <c r="S606" s="150">
        <v>280</v>
      </c>
    </row>
    <row r="607" ht="12.9" customHeight="1">
      <c r="R607" t="s" s="40">
        <v>3460</v>
      </c>
      <c r="S607" s="149">
        <v>0</v>
      </c>
    </row>
    <row r="608" ht="12.9" customHeight="1">
      <c r="R608" t="s" s="40">
        <v>3467</v>
      </c>
      <c r="S608" s="149">
        <v>0</v>
      </c>
    </row>
    <row r="609" ht="12.9" customHeight="1">
      <c r="R609" t="s" s="40">
        <v>402</v>
      </c>
      <c r="S609" s="149">
        <v>0</v>
      </c>
    </row>
    <row r="610" ht="12.9" customHeight="1">
      <c r="R610" t="s" s="40">
        <v>3063</v>
      </c>
      <c r="S610" s="149">
        <v>0</v>
      </c>
    </row>
    <row r="611" ht="12.9" customHeight="1">
      <c r="R611" t="s" s="40">
        <v>3440</v>
      </c>
      <c r="S611" s="149">
        <v>0</v>
      </c>
    </row>
    <row r="612" ht="12.9" customHeight="1">
      <c r="R612" t="s" s="40">
        <v>3442</v>
      </c>
      <c r="S612" s="149">
        <v>0</v>
      </c>
    </row>
    <row r="613" ht="12.9" customHeight="1">
      <c r="R613" t="s" s="40">
        <v>1707</v>
      </c>
      <c r="S613" s="149">
        <v>0</v>
      </c>
    </row>
    <row r="614" ht="12.9" customHeight="1">
      <c r="R614" t="s" s="40">
        <v>1914</v>
      </c>
      <c r="S614" s="150">
        <v>240</v>
      </c>
    </row>
    <row r="615" ht="12.9" customHeight="1">
      <c r="R615" t="s" s="40">
        <v>409</v>
      </c>
      <c r="S615" s="149">
        <v>0</v>
      </c>
    </row>
    <row r="616" ht="12.9" customHeight="1">
      <c r="R616" t="s" s="40">
        <v>2223</v>
      </c>
      <c r="S616" s="149">
        <v>0</v>
      </c>
    </row>
    <row r="617" ht="12.9" customHeight="1">
      <c r="R617" t="s" s="40">
        <v>691</v>
      </c>
      <c r="S617" s="150">
        <v>599.98</v>
      </c>
    </row>
    <row r="618" ht="12.9" customHeight="1">
      <c r="R618" t="s" s="40">
        <v>3542</v>
      </c>
      <c r="S618" s="150">
        <v>400</v>
      </c>
    </row>
    <row r="619" ht="12.9" customHeight="1">
      <c r="R619" t="s" s="40">
        <v>3443</v>
      </c>
      <c r="S619" s="149">
        <v>0</v>
      </c>
    </row>
    <row r="620" ht="12.9" customHeight="1">
      <c r="R620" t="s" s="40">
        <v>254</v>
      </c>
      <c r="S620" s="150">
        <v>822.5</v>
      </c>
    </row>
    <row r="621" ht="12.9" customHeight="1">
      <c r="R621" t="s" s="40">
        <v>3587</v>
      </c>
      <c r="S621" s="149">
        <v>0</v>
      </c>
    </row>
    <row r="622" ht="12.9" customHeight="1">
      <c r="R622" t="s" s="40">
        <v>63</v>
      </c>
      <c r="S622" s="150">
        <v>1374.74</v>
      </c>
    </row>
    <row r="623" ht="12.9" customHeight="1">
      <c r="R623" t="s" s="40">
        <v>47</v>
      </c>
      <c r="S623" s="150">
        <v>68.73</v>
      </c>
    </row>
    <row r="624" ht="12.9" customHeight="1">
      <c r="R624" t="s" s="40">
        <v>2512</v>
      </c>
      <c r="S624" s="149">
        <v>0</v>
      </c>
    </row>
    <row r="625" ht="12.9" customHeight="1">
      <c r="R625" t="s" s="40">
        <v>3394</v>
      </c>
      <c r="S625" s="150">
        <v>79.95</v>
      </c>
    </row>
    <row r="626" ht="12.9" customHeight="1">
      <c r="R626" t="s" s="40">
        <v>3405</v>
      </c>
      <c r="S626" s="150">
        <v>119.925</v>
      </c>
    </row>
    <row r="627" ht="12.9" customHeight="1">
      <c r="R627" t="s" s="40">
        <v>3403</v>
      </c>
      <c r="S627" s="150">
        <v>119.925</v>
      </c>
    </row>
    <row r="628" ht="12.9" customHeight="1">
      <c r="R628" t="s" s="40">
        <v>3462</v>
      </c>
      <c r="S628" s="149">
        <v>0</v>
      </c>
    </row>
    <row r="629" ht="12.9" customHeight="1">
      <c r="R629" t="s" s="40">
        <v>2125</v>
      </c>
      <c r="S629" s="149">
        <v>0</v>
      </c>
    </row>
    <row r="630" ht="12.9" customHeight="1">
      <c r="R630" t="s" s="40">
        <v>762</v>
      </c>
      <c r="S630" s="149">
        <v>0</v>
      </c>
    </row>
    <row r="631" ht="13.1" customHeight="1">
      <c r="R631" t="s" s="42">
        <v>2711</v>
      </c>
      <c r="S631" s="151">
        <v>0</v>
      </c>
    </row>
    <row r="632" ht="13.1" customHeight="1">
      <c r="R632" t="s" s="44">
        <v>620</v>
      </c>
      <c r="S632" s="50">
        <v>92229.0545</v>
      </c>
    </row>
  </sheetData>
  <mergeCells count="4">
    <mergeCell ref="A1:H1"/>
    <mergeCell ref="I307:O307"/>
    <mergeCell ref="P418:Q418"/>
    <mergeCell ref="R526:S526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2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320" customWidth="1"/>
    <col min="9" max="9" width="28.375" style="321" customWidth="1"/>
    <col min="10" max="15" width="13.3516" style="321" customWidth="1"/>
    <col min="16" max="16" width="34.9844" style="322" customWidth="1"/>
    <col min="17" max="17" width="13.3516" style="322" customWidth="1"/>
    <col min="18" max="18" width="37.6406" style="323" customWidth="1"/>
    <col min="19" max="19" width="13.3516" style="323" customWidth="1"/>
    <col min="20" max="16384" width="16.3516" style="323" customWidth="1"/>
  </cols>
  <sheetData>
    <row r="1" ht="15.55" customHeight="1">
      <c r="A1" t="s" s="2">
        <v>3597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3598</v>
      </c>
      <c r="B3" t="s" s="5">
        <v>911</v>
      </c>
      <c r="C3" s="6">
        <v>45260</v>
      </c>
      <c r="D3" t="s" s="7">
        <v>559</v>
      </c>
      <c r="E3" t="s" s="7">
        <v>560</v>
      </c>
      <c r="F3" s="8">
        <v>100</v>
      </c>
      <c r="G3" s="9">
        <v>0</v>
      </c>
      <c r="H3" s="9">
        <v>0</v>
      </c>
    </row>
    <row r="4" ht="12.9" customHeight="1">
      <c r="A4" t="s" s="10">
        <v>3599</v>
      </c>
      <c r="B4" t="s" s="11">
        <v>3534</v>
      </c>
      <c r="C4" s="12">
        <v>45259.730283043980</v>
      </c>
      <c r="D4" t="s" s="13">
        <v>89</v>
      </c>
      <c r="E4" t="s" s="13">
        <v>90</v>
      </c>
      <c r="F4" s="14">
        <v>1</v>
      </c>
      <c r="G4" s="15">
        <v>59.99</v>
      </c>
      <c r="H4" s="15">
        <v>59.99</v>
      </c>
    </row>
    <row r="5" ht="12.9" customHeight="1">
      <c r="A5" t="s" s="10">
        <v>3600</v>
      </c>
      <c r="B5" t="s" s="11">
        <v>3534</v>
      </c>
      <c r="C5" s="12">
        <v>45259.728274837966</v>
      </c>
      <c r="D5" t="s" s="13">
        <v>89</v>
      </c>
      <c r="E5" t="s" s="13">
        <v>90</v>
      </c>
      <c r="F5" s="14">
        <v>1</v>
      </c>
      <c r="G5" s="15">
        <v>59.99</v>
      </c>
      <c r="H5" s="15">
        <v>59.99</v>
      </c>
    </row>
    <row r="6" ht="12.9" customHeight="1">
      <c r="A6" t="s" s="10">
        <v>3601</v>
      </c>
      <c r="B6" t="s" s="11">
        <v>3602</v>
      </c>
      <c r="C6" s="12">
        <v>45259.040432881942</v>
      </c>
      <c r="D6" t="s" s="13">
        <v>31</v>
      </c>
      <c r="E6" t="s" s="13">
        <v>32</v>
      </c>
      <c r="F6" s="14">
        <v>1</v>
      </c>
      <c r="G6" s="15">
        <v>599.99</v>
      </c>
      <c r="H6" s="15">
        <v>599.99</v>
      </c>
    </row>
    <row r="7" ht="12.9" customHeight="1">
      <c r="A7" t="s" s="10">
        <v>3603</v>
      </c>
      <c r="B7" t="s" s="11">
        <v>2382</v>
      </c>
      <c r="C7" s="12">
        <v>45259</v>
      </c>
      <c r="D7" t="s" s="13">
        <v>81</v>
      </c>
      <c r="E7" t="s" s="13">
        <v>82</v>
      </c>
      <c r="F7" s="14">
        <v>4</v>
      </c>
      <c r="G7" s="15">
        <v>637.4924999999999</v>
      </c>
      <c r="H7" s="15">
        <v>2549.97</v>
      </c>
    </row>
    <row r="8" ht="12.9" customHeight="1">
      <c r="A8" t="s" s="10">
        <v>3603</v>
      </c>
      <c r="B8" t="s" s="11">
        <v>2382</v>
      </c>
      <c r="C8" s="12">
        <v>45259</v>
      </c>
      <c r="D8" t="s" s="13">
        <v>50</v>
      </c>
      <c r="E8" t="s" s="13">
        <v>83</v>
      </c>
      <c r="F8" s="14">
        <v>4</v>
      </c>
      <c r="G8" s="15">
        <v>0</v>
      </c>
      <c r="H8" s="15">
        <v>0</v>
      </c>
    </row>
    <row r="9" ht="12.9" customHeight="1">
      <c r="A9" t="s" s="10">
        <v>3603</v>
      </c>
      <c r="B9" t="s" s="11">
        <v>2382</v>
      </c>
      <c r="C9" s="12">
        <v>45259</v>
      </c>
      <c r="D9" t="s" s="13">
        <v>133</v>
      </c>
      <c r="E9" t="s" s="13">
        <v>134</v>
      </c>
      <c r="F9" s="14">
        <v>4</v>
      </c>
      <c r="G9" s="15">
        <v>37.5</v>
      </c>
      <c r="H9" s="15">
        <v>150</v>
      </c>
    </row>
    <row r="10" ht="12.9" customHeight="1">
      <c r="A10" t="s" s="10">
        <v>3603</v>
      </c>
      <c r="B10" t="s" s="11">
        <v>2382</v>
      </c>
      <c r="C10" s="12">
        <v>45259</v>
      </c>
      <c r="D10" t="s" s="13">
        <v>468</v>
      </c>
      <c r="E10" t="s" s="13">
        <v>3604</v>
      </c>
      <c r="F10" s="14">
        <v>6</v>
      </c>
      <c r="G10" s="15">
        <v>1874.9925</v>
      </c>
      <c r="H10" s="15">
        <v>11249.955</v>
      </c>
    </row>
    <row r="11" ht="12.9" customHeight="1">
      <c r="A11" t="s" s="10">
        <v>3603</v>
      </c>
      <c r="B11" t="s" s="11">
        <v>2382</v>
      </c>
      <c r="C11" s="12">
        <v>45259</v>
      </c>
      <c r="D11" t="s" s="13">
        <v>50</v>
      </c>
      <c r="E11" t="s" s="13">
        <v>83</v>
      </c>
      <c r="F11" s="14">
        <v>6</v>
      </c>
      <c r="G11" s="15">
        <v>0</v>
      </c>
      <c r="H11" s="15">
        <v>0</v>
      </c>
    </row>
    <row r="12" ht="12.9" customHeight="1">
      <c r="A12" t="s" s="10">
        <v>3603</v>
      </c>
      <c r="B12" t="s" s="11">
        <v>2382</v>
      </c>
      <c r="C12" s="12">
        <v>45259</v>
      </c>
      <c r="D12" t="s" s="13">
        <v>133</v>
      </c>
      <c r="E12" t="s" s="13">
        <v>134</v>
      </c>
      <c r="F12" s="14">
        <v>24</v>
      </c>
      <c r="G12" s="15">
        <v>37.5</v>
      </c>
      <c r="H12" s="15">
        <v>900</v>
      </c>
    </row>
    <row r="13" ht="12.9" customHeight="1">
      <c r="A13" t="s" s="10">
        <v>3603</v>
      </c>
      <c r="B13" t="s" s="11">
        <v>2382</v>
      </c>
      <c r="C13" s="12">
        <v>45259</v>
      </c>
      <c r="D13" t="s" s="13">
        <v>15</v>
      </c>
      <c r="E13" t="s" s="13">
        <v>16</v>
      </c>
      <c r="F13" s="14">
        <v>28</v>
      </c>
      <c r="G13" s="15">
        <v>0</v>
      </c>
      <c r="H13" s="15">
        <v>0</v>
      </c>
    </row>
    <row r="14" ht="12.9" customHeight="1">
      <c r="A14" t="s" s="10">
        <v>3603</v>
      </c>
      <c r="B14" t="s" s="11">
        <v>2382</v>
      </c>
      <c r="C14" s="12">
        <v>45259</v>
      </c>
      <c r="D14" t="s" s="13">
        <v>54</v>
      </c>
      <c r="E14" t="s" s="13">
        <v>93</v>
      </c>
      <c r="F14" s="14">
        <v>28</v>
      </c>
      <c r="G14" s="15">
        <v>0</v>
      </c>
      <c r="H14" s="15">
        <v>0</v>
      </c>
    </row>
    <row r="15" ht="12.9" customHeight="1">
      <c r="A15" t="s" s="10">
        <v>3603</v>
      </c>
      <c r="B15" t="s" s="11">
        <v>2382</v>
      </c>
      <c r="C15" s="12">
        <v>45259</v>
      </c>
      <c r="D15" t="s" s="13">
        <v>95</v>
      </c>
      <c r="E15" t="s" s="13">
        <v>12</v>
      </c>
      <c r="F15" s="14">
        <v>2</v>
      </c>
      <c r="G15" s="15">
        <v>262.4925</v>
      </c>
      <c r="H15" s="15">
        <v>524.985</v>
      </c>
    </row>
    <row r="16" ht="12.9" customHeight="1">
      <c r="A16" t="s" s="10">
        <v>3603</v>
      </c>
      <c r="B16" t="s" s="11">
        <v>2382</v>
      </c>
      <c r="C16" s="12">
        <v>45259</v>
      </c>
      <c r="D16" t="s" s="13">
        <v>59</v>
      </c>
      <c r="E16" t="s" s="13">
        <v>60</v>
      </c>
      <c r="F16" s="14">
        <v>8</v>
      </c>
      <c r="G16" s="15">
        <v>899.9924999999999</v>
      </c>
      <c r="H16" s="15">
        <v>7199.94</v>
      </c>
    </row>
    <row r="17" ht="12.9" customHeight="1">
      <c r="A17" t="s" s="10">
        <v>3603</v>
      </c>
      <c r="B17" t="s" s="11">
        <v>2382</v>
      </c>
      <c r="C17" s="12">
        <v>45259</v>
      </c>
      <c r="D17" t="s" s="13">
        <v>73</v>
      </c>
      <c r="E17" t="s" s="13">
        <v>74</v>
      </c>
      <c r="F17" s="14">
        <v>6</v>
      </c>
      <c r="G17" s="15">
        <v>299.9925</v>
      </c>
      <c r="H17" s="15">
        <v>1799.955</v>
      </c>
    </row>
    <row r="18" ht="12.9" customHeight="1">
      <c r="A18" t="s" s="10">
        <v>3603</v>
      </c>
      <c r="B18" t="s" s="11">
        <v>2382</v>
      </c>
      <c r="C18" s="12">
        <v>45259</v>
      </c>
      <c r="D18" t="s" s="13">
        <v>19</v>
      </c>
      <c r="E18" t="s" s="13">
        <v>20</v>
      </c>
      <c r="F18" s="14">
        <v>6</v>
      </c>
      <c r="G18" s="15">
        <v>89.99250000000001</v>
      </c>
      <c r="H18" s="15">
        <v>539.955</v>
      </c>
    </row>
    <row r="19" ht="12.9" customHeight="1">
      <c r="A19" t="s" s="10">
        <v>3603</v>
      </c>
      <c r="B19" t="s" s="11">
        <v>2382</v>
      </c>
      <c r="C19" s="12">
        <v>45259</v>
      </c>
      <c r="D19" t="s" s="13">
        <v>3605</v>
      </c>
      <c r="E19" t="s" s="13">
        <v>3606</v>
      </c>
      <c r="F19" s="14">
        <v>1</v>
      </c>
      <c r="G19" s="15">
        <v>2399.9925</v>
      </c>
      <c r="H19" s="15">
        <v>2399.9925</v>
      </c>
    </row>
    <row r="20" ht="12.9" customHeight="1">
      <c r="A20" t="s" s="10">
        <v>3603</v>
      </c>
      <c r="B20" t="s" s="11">
        <v>2382</v>
      </c>
      <c r="C20" s="12">
        <v>45259</v>
      </c>
      <c r="D20" t="s" s="13">
        <v>63</v>
      </c>
      <c r="E20" s="16"/>
      <c r="F20" s="14">
        <v>1</v>
      </c>
      <c r="G20" s="15">
        <v>1087</v>
      </c>
      <c r="H20" s="15">
        <v>1087</v>
      </c>
    </row>
    <row r="21" ht="12.9" customHeight="1">
      <c r="A21" t="s" s="10">
        <v>3607</v>
      </c>
      <c r="B21" t="s" s="11">
        <v>831</v>
      </c>
      <c r="C21" s="12">
        <v>45259</v>
      </c>
      <c r="D21" t="s" s="13">
        <v>698</v>
      </c>
      <c r="E21" t="s" s="13">
        <v>699</v>
      </c>
      <c r="F21" s="14">
        <v>14</v>
      </c>
      <c r="G21" s="15">
        <v>14.9925</v>
      </c>
      <c r="H21" s="15">
        <v>209.895</v>
      </c>
    </row>
    <row r="22" ht="12.9" customHeight="1">
      <c r="A22" t="s" s="10">
        <v>3608</v>
      </c>
      <c r="B22" t="s" s="11">
        <v>3609</v>
      </c>
      <c r="C22" s="12">
        <v>45259</v>
      </c>
      <c r="D22" t="s" s="13">
        <v>23</v>
      </c>
      <c r="E22" t="s" s="13">
        <v>24</v>
      </c>
      <c r="F22" s="14">
        <v>4</v>
      </c>
      <c r="G22" s="15">
        <v>149.99</v>
      </c>
      <c r="H22" s="15">
        <v>599.96</v>
      </c>
    </row>
    <row r="23" ht="12.9" customHeight="1">
      <c r="A23" t="s" s="10">
        <v>3608</v>
      </c>
      <c r="B23" t="s" s="11">
        <v>3609</v>
      </c>
      <c r="C23" s="12">
        <v>45259</v>
      </c>
      <c r="D23" t="s" s="13">
        <v>354</v>
      </c>
      <c r="E23" t="s" s="13">
        <v>355</v>
      </c>
      <c r="F23" s="14">
        <v>4</v>
      </c>
      <c r="G23" s="15">
        <v>149.99</v>
      </c>
      <c r="H23" s="15">
        <v>599.96</v>
      </c>
    </row>
    <row r="24" ht="12.9" customHeight="1">
      <c r="A24" t="s" s="10">
        <v>3608</v>
      </c>
      <c r="B24" t="s" s="11">
        <v>3609</v>
      </c>
      <c r="C24" s="12">
        <v>45259</v>
      </c>
      <c r="D24" t="s" s="13">
        <v>470</v>
      </c>
      <c r="E24" t="s" s="13">
        <v>517</v>
      </c>
      <c r="F24" s="14">
        <v>1</v>
      </c>
      <c r="G24" s="15">
        <v>249.99</v>
      </c>
      <c r="H24" s="15">
        <v>249.99</v>
      </c>
    </row>
    <row r="25" ht="12.9" customHeight="1">
      <c r="A25" t="s" s="10">
        <v>3608</v>
      </c>
      <c r="B25" t="s" s="11">
        <v>3609</v>
      </c>
      <c r="C25" s="12">
        <v>45259</v>
      </c>
      <c r="D25" t="s" s="13">
        <v>77</v>
      </c>
      <c r="E25" t="s" s="13">
        <v>78</v>
      </c>
      <c r="F25" s="14">
        <v>6</v>
      </c>
      <c r="G25" s="15">
        <v>19.99</v>
      </c>
      <c r="H25" s="15">
        <v>119.94</v>
      </c>
    </row>
    <row r="26" ht="12.9" customHeight="1">
      <c r="A26" t="s" s="10">
        <v>3608</v>
      </c>
      <c r="B26" t="s" s="11">
        <v>3609</v>
      </c>
      <c r="C26" s="12">
        <v>45259</v>
      </c>
      <c r="D26" t="s" s="13">
        <v>359</v>
      </c>
      <c r="E26" t="s" s="13">
        <v>360</v>
      </c>
      <c r="F26" s="14">
        <v>6</v>
      </c>
      <c r="G26" s="15">
        <v>29.99</v>
      </c>
      <c r="H26" s="15">
        <v>179.94</v>
      </c>
    </row>
    <row r="27" ht="12.9" customHeight="1">
      <c r="A27" t="s" s="10">
        <v>3608</v>
      </c>
      <c r="B27" t="s" s="11">
        <v>3609</v>
      </c>
      <c r="C27" s="12">
        <v>45259</v>
      </c>
      <c r="D27" t="s" s="13">
        <v>3610</v>
      </c>
      <c r="E27" t="s" s="13">
        <v>3542</v>
      </c>
      <c r="F27" s="14">
        <v>3</v>
      </c>
      <c r="G27" s="15">
        <v>125</v>
      </c>
      <c r="H27" s="15">
        <v>375</v>
      </c>
    </row>
    <row r="28" ht="12.9" customHeight="1">
      <c r="A28" t="s" s="10">
        <v>3608</v>
      </c>
      <c r="B28" t="s" s="11">
        <v>3609</v>
      </c>
      <c r="C28" s="12">
        <v>45259</v>
      </c>
      <c r="D28" t="s" s="13">
        <v>1914</v>
      </c>
      <c r="E28" t="s" s="13">
        <v>1915</v>
      </c>
      <c r="F28" s="14">
        <v>3</v>
      </c>
      <c r="G28" s="15">
        <v>40</v>
      </c>
      <c r="H28" s="15">
        <v>120</v>
      </c>
    </row>
    <row r="29" ht="12.9" customHeight="1">
      <c r="A29" t="s" s="10">
        <v>3608</v>
      </c>
      <c r="B29" t="s" s="11">
        <v>3609</v>
      </c>
      <c r="C29" s="12">
        <v>45259</v>
      </c>
      <c r="D29" t="s" s="13">
        <v>3611</v>
      </c>
      <c r="E29" t="s" s="13">
        <v>3612</v>
      </c>
      <c r="F29" s="14">
        <v>3</v>
      </c>
      <c r="G29" s="15">
        <v>0</v>
      </c>
      <c r="H29" s="15">
        <v>0</v>
      </c>
    </row>
    <row r="30" ht="12.9" customHeight="1">
      <c r="A30" t="s" s="10">
        <v>3608</v>
      </c>
      <c r="B30" t="s" s="11">
        <v>3609</v>
      </c>
      <c r="C30" s="12">
        <v>45259</v>
      </c>
      <c r="D30" t="s" s="13">
        <v>2549</v>
      </c>
      <c r="E30" t="s" s="13">
        <v>2550</v>
      </c>
      <c r="F30" s="14">
        <v>3</v>
      </c>
      <c r="G30" s="15">
        <v>0</v>
      </c>
      <c r="H30" s="15">
        <v>0</v>
      </c>
    </row>
    <row r="31" ht="12.9" customHeight="1">
      <c r="A31" t="s" s="10">
        <v>3608</v>
      </c>
      <c r="B31" t="s" s="11">
        <v>3609</v>
      </c>
      <c r="C31" s="12">
        <v>45259</v>
      </c>
      <c r="D31" t="s" s="13">
        <v>47</v>
      </c>
      <c r="E31" s="16"/>
      <c r="F31" s="14">
        <v>1</v>
      </c>
      <c r="G31" s="15">
        <v>70</v>
      </c>
      <c r="H31" s="15">
        <v>70</v>
      </c>
    </row>
    <row r="32" ht="12.9" customHeight="1">
      <c r="A32" t="s" s="10">
        <v>3613</v>
      </c>
      <c r="B32" t="s" s="11">
        <v>3389</v>
      </c>
      <c r="C32" s="12">
        <v>45258.730090844911</v>
      </c>
      <c r="D32" t="s" s="13">
        <v>73</v>
      </c>
      <c r="E32" t="s" s="13">
        <v>74</v>
      </c>
      <c r="F32" s="14">
        <v>1</v>
      </c>
      <c r="G32" s="15">
        <v>399.99</v>
      </c>
      <c r="H32" s="15">
        <v>399.99</v>
      </c>
    </row>
    <row r="33" ht="12.9" customHeight="1">
      <c r="A33" t="s" s="10">
        <v>3614</v>
      </c>
      <c r="B33" t="s" s="11">
        <v>3615</v>
      </c>
      <c r="C33" s="12">
        <v>45258.2072790625</v>
      </c>
      <c r="D33" t="s" s="13">
        <v>1695</v>
      </c>
      <c r="E33" t="s" s="13">
        <v>140</v>
      </c>
      <c r="F33" s="14">
        <v>1</v>
      </c>
      <c r="G33" s="15">
        <v>49.99</v>
      </c>
      <c r="H33" s="15">
        <v>49.99</v>
      </c>
    </row>
    <row r="34" ht="12.9" customHeight="1">
      <c r="A34" t="s" s="10">
        <v>3614</v>
      </c>
      <c r="B34" t="s" s="11">
        <v>3615</v>
      </c>
      <c r="C34" s="12">
        <v>45258.2072790625</v>
      </c>
      <c r="D34" t="s" s="13">
        <v>15</v>
      </c>
      <c r="E34" t="s" s="13">
        <v>16</v>
      </c>
      <c r="F34" s="14">
        <v>1</v>
      </c>
      <c r="G34" s="15">
        <v>9.99</v>
      </c>
      <c r="H34" s="15">
        <v>9.99</v>
      </c>
    </row>
    <row r="35" ht="12.9" customHeight="1">
      <c r="A35" t="s" s="10">
        <v>3616</v>
      </c>
      <c r="B35" t="s" s="11">
        <v>3617</v>
      </c>
      <c r="C35" s="12">
        <v>45258.179468854163</v>
      </c>
      <c r="D35" t="s" s="13">
        <v>19</v>
      </c>
      <c r="E35" t="s" s="13">
        <v>20</v>
      </c>
      <c r="F35" s="14">
        <v>2</v>
      </c>
      <c r="G35" s="15">
        <v>119.99</v>
      </c>
      <c r="H35" s="15">
        <v>239.98</v>
      </c>
    </row>
    <row r="36" ht="12.9" customHeight="1">
      <c r="A36" t="s" s="10">
        <v>3616</v>
      </c>
      <c r="B36" t="s" s="11">
        <v>3617</v>
      </c>
      <c r="C36" s="12">
        <v>45258.179468854163</v>
      </c>
      <c r="D36" t="s" s="13">
        <v>15</v>
      </c>
      <c r="E36" t="s" s="13">
        <v>16</v>
      </c>
      <c r="F36" s="14">
        <v>2</v>
      </c>
      <c r="G36" s="15">
        <v>9.99</v>
      </c>
      <c r="H36" s="15">
        <v>19.98</v>
      </c>
    </row>
    <row r="37" ht="12.9" customHeight="1">
      <c r="A37" t="s" s="10">
        <v>3616</v>
      </c>
      <c r="B37" t="s" s="11">
        <v>3617</v>
      </c>
      <c r="C37" s="12">
        <v>45258.179468854163</v>
      </c>
      <c r="D37" t="s" s="13">
        <v>123</v>
      </c>
      <c r="E37" t="s" s="13">
        <v>124</v>
      </c>
      <c r="F37" s="14">
        <v>1</v>
      </c>
      <c r="G37" s="15">
        <v>179.99</v>
      </c>
      <c r="H37" s="15">
        <v>179.99</v>
      </c>
    </row>
    <row r="38" ht="12.9" customHeight="1">
      <c r="A38" t="s" s="10">
        <v>3616</v>
      </c>
      <c r="B38" t="s" s="11">
        <v>3617</v>
      </c>
      <c r="C38" s="12">
        <v>45258.179468854163</v>
      </c>
      <c r="D38" t="s" s="13">
        <v>299</v>
      </c>
      <c r="E38" t="s" s="13">
        <v>300</v>
      </c>
      <c r="F38" s="14">
        <v>4</v>
      </c>
      <c r="G38" s="15">
        <v>69.98999999999999</v>
      </c>
      <c r="H38" s="15">
        <v>279.96</v>
      </c>
    </row>
    <row r="39" ht="12.9" customHeight="1">
      <c r="A39" t="s" s="10">
        <v>3616</v>
      </c>
      <c r="B39" t="s" s="11">
        <v>3617</v>
      </c>
      <c r="C39" s="12">
        <v>45258.179468854163</v>
      </c>
      <c r="D39" t="s" s="13">
        <v>146</v>
      </c>
      <c r="E39" t="s" s="13">
        <v>147</v>
      </c>
      <c r="F39" s="14">
        <v>4</v>
      </c>
      <c r="G39" s="15">
        <v>19.99</v>
      </c>
      <c r="H39" s="15">
        <v>79.95999999999999</v>
      </c>
    </row>
    <row r="40" ht="12.9" customHeight="1">
      <c r="A40" t="s" s="10">
        <v>3616</v>
      </c>
      <c r="B40" t="s" s="11">
        <v>3617</v>
      </c>
      <c r="C40" s="12">
        <v>45258.179468854163</v>
      </c>
      <c r="D40" t="s" s="13">
        <v>146</v>
      </c>
      <c r="E40" t="s" s="13">
        <v>147</v>
      </c>
      <c r="F40" s="14">
        <v>5</v>
      </c>
      <c r="G40" s="15">
        <v>19.99</v>
      </c>
      <c r="H40" s="15">
        <v>99.95</v>
      </c>
    </row>
    <row r="41" ht="12.9" customHeight="1">
      <c r="A41" t="s" s="10">
        <v>3616</v>
      </c>
      <c r="B41" t="s" s="11">
        <v>3617</v>
      </c>
      <c r="C41" s="12">
        <v>45258.179468854163</v>
      </c>
      <c r="D41" t="s" s="13">
        <v>1695</v>
      </c>
      <c r="E41" t="s" s="13">
        <v>140</v>
      </c>
      <c r="F41" s="14">
        <v>2</v>
      </c>
      <c r="G41" s="15">
        <v>49.99</v>
      </c>
      <c r="H41" s="15">
        <v>99.98</v>
      </c>
    </row>
    <row r="42" ht="12.9" customHeight="1">
      <c r="A42" t="s" s="10">
        <v>3616</v>
      </c>
      <c r="B42" t="s" s="11">
        <v>3617</v>
      </c>
      <c r="C42" s="12">
        <v>45258.179468854163</v>
      </c>
      <c r="D42" t="s" s="13">
        <v>15</v>
      </c>
      <c r="E42" t="s" s="13">
        <v>16</v>
      </c>
      <c r="F42" s="14">
        <v>2</v>
      </c>
      <c r="G42" s="15">
        <v>9.99</v>
      </c>
      <c r="H42" s="15">
        <v>19.98</v>
      </c>
    </row>
    <row r="43" ht="12.9" customHeight="1">
      <c r="A43" t="s" s="10">
        <v>3616</v>
      </c>
      <c r="B43" t="s" s="11">
        <v>3617</v>
      </c>
      <c r="C43" s="12">
        <v>45258.179468854163</v>
      </c>
      <c r="D43" t="s" s="13">
        <v>77</v>
      </c>
      <c r="E43" t="s" s="13">
        <v>78</v>
      </c>
      <c r="F43" s="14">
        <v>4</v>
      </c>
      <c r="G43" s="15">
        <v>19.99</v>
      </c>
      <c r="H43" s="15">
        <v>79.95999999999999</v>
      </c>
    </row>
    <row r="44" ht="12.9" customHeight="1">
      <c r="A44" t="s" s="10">
        <v>3616</v>
      </c>
      <c r="B44" t="s" s="11">
        <v>3617</v>
      </c>
      <c r="C44" s="12">
        <v>45258.179468854163</v>
      </c>
      <c r="D44" t="s" s="13">
        <v>359</v>
      </c>
      <c r="E44" t="s" s="13">
        <v>360</v>
      </c>
      <c r="F44" s="14">
        <v>4</v>
      </c>
      <c r="G44" s="15">
        <v>29.99</v>
      </c>
      <c r="H44" s="15">
        <v>119.96</v>
      </c>
    </row>
    <row r="45" ht="12.9" customHeight="1">
      <c r="A45" t="s" s="10">
        <v>3616</v>
      </c>
      <c r="B45" t="s" s="11">
        <v>3617</v>
      </c>
      <c r="C45" s="12">
        <v>45258.179468854163</v>
      </c>
      <c r="D45" t="s" s="13">
        <v>52</v>
      </c>
      <c r="E45" t="s" s="13">
        <v>321</v>
      </c>
      <c r="F45" s="14">
        <v>2</v>
      </c>
      <c r="G45" s="15">
        <v>19.99</v>
      </c>
      <c r="H45" s="15">
        <v>39.98</v>
      </c>
    </row>
    <row r="46" ht="12.9" customHeight="1">
      <c r="A46" t="s" s="10">
        <v>3616</v>
      </c>
      <c r="B46" t="s" s="11">
        <v>3617</v>
      </c>
      <c r="C46" s="12">
        <v>45258.179468854163</v>
      </c>
      <c r="D46" t="s" s="13">
        <v>119</v>
      </c>
      <c r="E46" t="s" s="13">
        <v>120</v>
      </c>
      <c r="F46" s="14">
        <v>10</v>
      </c>
      <c r="G46" s="15">
        <v>1.99</v>
      </c>
      <c r="H46" s="15">
        <v>19.9</v>
      </c>
    </row>
    <row r="47" ht="12.9" customHeight="1">
      <c r="A47" t="s" s="10">
        <v>3618</v>
      </c>
      <c r="B47" t="s" s="11">
        <v>3573</v>
      </c>
      <c r="C47" s="12">
        <v>45258.105157083337</v>
      </c>
      <c r="D47" t="s" s="13">
        <v>54</v>
      </c>
      <c r="E47" t="s" s="13">
        <v>93</v>
      </c>
      <c r="F47" s="14">
        <v>1</v>
      </c>
      <c r="G47" s="15">
        <v>9.99</v>
      </c>
      <c r="H47" s="15">
        <v>9.99</v>
      </c>
    </row>
    <row r="48" ht="12.9" customHeight="1">
      <c r="A48" t="s" s="10">
        <v>3618</v>
      </c>
      <c r="B48" t="s" s="11">
        <v>3573</v>
      </c>
      <c r="C48" s="12">
        <v>45258.105157083337</v>
      </c>
      <c r="D48" t="s" s="13">
        <v>19</v>
      </c>
      <c r="E48" t="s" s="13">
        <v>20</v>
      </c>
      <c r="F48" s="14">
        <v>1</v>
      </c>
      <c r="G48" s="15">
        <v>119.99</v>
      </c>
      <c r="H48" s="15">
        <v>119.99</v>
      </c>
    </row>
    <row r="49" ht="12.9" customHeight="1">
      <c r="A49" t="s" s="10">
        <v>3618</v>
      </c>
      <c r="B49" t="s" s="11">
        <v>3573</v>
      </c>
      <c r="C49" s="12">
        <v>45258.105157083337</v>
      </c>
      <c r="D49" t="s" s="13">
        <v>15</v>
      </c>
      <c r="E49" t="s" s="13">
        <v>16</v>
      </c>
      <c r="F49" s="14">
        <v>1</v>
      </c>
      <c r="G49" s="15">
        <v>9.99</v>
      </c>
      <c r="H49" s="15">
        <v>9.99</v>
      </c>
    </row>
    <row r="50" ht="12.9" customHeight="1">
      <c r="A50" t="s" s="10">
        <v>3618</v>
      </c>
      <c r="B50" t="s" s="11">
        <v>3573</v>
      </c>
      <c r="C50" s="12">
        <v>45258.105157083337</v>
      </c>
      <c r="D50" t="s" s="13">
        <v>1695</v>
      </c>
      <c r="E50" t="s" s="13">
        <v>140</v>
      </c>
      <c r="F50" s="14">
        <v>1</v>
      </c>
      <c r="G50" s="15">
        <v>49.99</v>
      </c>
      <c r="H50" s="15">
        <v>49.99</v>
      </c>
    </row>
    <row r="51" ht="12.9" customHeight="1">
      <c r="A51" t="s" s="10">
        <v>3618</v>
      </c>
      <c r="B51" t="s" s="11">
        <v>3573</v>
      </c>
      <c r="C51" s="12">
        <v>45258.105157083337</v>
      </c>
      <c r="D51" t="s" s="13">
        <v>15</v>
      </c>
      <c r="E51" t="s" s="13">
        <v>16</v>
      </c>
      <c r="F51" s="14">
        <v>1</v>
      </c>
      <c r="G51" s="15">
        <v>9.99</v>
      </c>
      <c r="H51" s="15">
        <v>9.99</v>
      </c>
    </row>
    <row r="52" ht="12.9" customHeight="1">
      <c r="A52" t="s" s="10">
        <v>3619</v>
      </c>
      <c r="B52" t="s" s="11">
        <v>831</v>
      </c>
      <c r="C52" s="12">
        <v>45258</v>
      </c>
      <c r="D52" t="s" s="13">
        <v>3620</v>
      </c>
      <c r="E52" t="s" s="13">
        <v>3621</v>
      </c>
      <c r="F52" s="14">
        <v>2</v>
      </c>
      <c r="G52" s="15">
        <v>0</v>
      </c>
      <c r="H52" s="15">
        <v>0</v>
      </c>
    </row>
    <row r="53" ht="12.9" customHeight="1">
      <c r="A53" t="s" s="10">
        <v>3619</v>
      </c>
      <c r="B53" t="s" s="11">
        <v>831</v>
      </c>
      <c r="C53" s="12">
        <v>45258</v>
      </c>
      <c r="D53" t="s" s="13">
        <v>3622</v>
      </c>
      <c r="E53" t="s" s="13">
        <v>3623</v>
      </c>
      <c r="F53" s="14">
        <v>2</v>
      </c>
      <c r="G53" s="15">
        <v>28.5</v>
      </c>
      <c r="H53" s="15">
        <v>57</v>
      </c>
    </row>
    <row r="54" ht="12.9" customHeight="1">
      <c r="A54" t="s" s="10">
        <v>3619</v>
      </c>
      <c r="B54" t="s" s="11">
        <v>831</v>
      </c>
      <c r="C54" s="12">
        <v>45258</v>
      </c>
      <c r="D54" t="s" s="13">
        <v>1891</v>
      </c>
      <c r="E54" t="s" s="13">
        <v>1891</v>
      </c>
      <c r="F54" s="14">
        <v>10</v>
      </c>
      <c r="G54" s="15">
        <v>0</v>
      </c>
      <c r="H54" s="15">
        <v>0</v>
      </c>
    </row>
    <row r="55" ht="12.9" customHeight="1">
      <c r="A55" t="s" s="10">
        <v>3619</v>
      </c>
      <c r="B55" t="s" s="11">
        <v>831</v>
      </c>
      <c r="C55" s="12">
        <v>45258</v>
      </c>
      <c r="D55" t="s" s="13">
        <v>691</v>
      </c>
      <c r="E55" t="s" s="13">
        <v>692</v>
      </c>
      <c r="F55" s="14">
        <v>8</v>
      </c>
      <c r="G55" s="15">
        <v>275</v>
      </c>
      <c r="H55" s="15">
        <v>2200</v>
      </c>
    </row>
    <row r="56" ht="12.9" customHeight="1">
      <c r="A56" t="s" s="10">
        <v>3619</v>
      </c>
      <c r="B56" t="s" s="11">
        <v>831</v>
      </c>
      <c r="C56" s="12">
        <v>45258</v>
      </c>
      <c r="D56" t="s" s="13">
        <v>63</v>
      </c>
      <c r="E56" s="16"/>
      <c r="F56" s="14">
        <v>1</v>
      </c>
      <c r="G56" s="15">
        <v>28</v>
      </c>
      <c r="H56" s="15">
        <v>28</v>
      </c>
    </row>
    <row r="57" ht="12.9" customHeight="1">
      <c r="A57" t="s" s="10">
        <v>3624</v>
      </c>
      <c r="B57" t="s" s="11">
        <v>831</v>
      </c>
      <c r="C57" s="12">
        <v>45258</v>
      </c>
      <c r="D57" t="s" s="13">
        <v>602</v>
      </c>
      <c r="E57" t="s" s="13">
        <v>686</v>
      </c>
      <c r="F57" s="14">
        <v>3</v>
      </c>
      <c r="G57" s="15">
        <v>224.9925</v>
      </c>
      <c r="H57" s="15">
        <v>674.9775</v>
      </c>
    </row>
    <row r="58" ht="12.9" customHeight="1">
      <c r="A58" t="s" s="10">
        <v>3624</v>
      </c>
      <c r="B58" t="s" s="11">
        <v>831</v>
      </c>
      <c r="C58" s="12">
        <v>45258</v>
      </c>
      <c r="D58" t="s" s="13">
        <v>63</v>
      </c>
      <c r="E58" s="16"/>
      <c r="F58" s="14">
        <v>1</v>
      </c>
      <c r="G58" s="15">
        <v>19</v>
      </c>
      <c r="H58" s="15">
        <v>19</v>
      </c>
    </row>
    <row r="59" ht="12.9" customHeight="1">
      <c r="A59" t="s" s="10">
        <v>3625</v>
      </c>
      <c r="B59" t="s" s="11">
        <v>1981</v>
      </c>
      <c r="C59" s="12">
        <v>45257.936298715278</v>
      </c>
      <c r="D59" t="s" s="13">
        <v>54</v>
      </c>
      <c r="E59" t="s" s="13">
        <v>93</v>
      </c>
      <c r="F59" s="14">
        <v>3</v>
      </c>
      <c r="G59" s="15">
        <v>9.99</v>
      </c>
      <c r="H59" s="15">
        <v>29.97</v>
      </c>
    </row>
    <row r="60" ht="12.9" customHeight="1">
      <c r="A60" t="s" s="10">
        <v>3625</v>
      </c>
      <c r="B60" t="s" s="11">
        <v>1981</v>
      </c>
      <c r="C60" s="12">
        <v>45257.936298715278</v>
      </c>
      <c r="D60" t="s" s="13">
        <v>35</v>
      </c>
      <c r="E60" t="s" s="13">
        <v>36</v>
      </c>
      <c r="F60" s="14">
        <v>1</v>
      </c>
      <c r="G60" s="15">
        <v>49.99</v>
      </c>
      <c r="H60" s="15">
        <v>49.99</v>
      </c>
    </row>
    <row r="61" ht="12.9" customHeight="1">
      <c r="A61" t="s" s="10">
        <v>3625</v>
      </c>
      <c r="B61" t="s" s="11">
        <v>1981</v>
      </c>
      <c r="C61" s="12">
        <v>45257.936298715278</v>
      </c>
      <c r="D61" t="s" s="13">
        <v>345</v>
      </c>
      <c r="E61" t="s" s="13">
        <v>346</v>
      </c>
      <c r="F61" s="14">
        <v>1</v>
      </c>
      <c r="G61" s="15">
        <v>219.99</v>
      </c>
      <c r="H61" s="15">
        <v>219.99</v>
      </c>
    </row>
    <row r="62" ht="12.9" customHeight="1">
      <c r="A62" t="s" s="10">
        <v>3625</v>
      </c>
      <c r="B62" t="s" s="11">
        <v>1981</v>
      </c>
      <c r="C62" s="12">
        <v>45257.936298715278</v>
      </c>
      <c r="D62" t="s" s="13">
        <v>299</v>
      </c>
      <c r="E62" t="s" s="13">
        <v>300</v>
      </c>
      <c r="F62" s="14">
        <v>8</v>
      </c>
      <c r="G62" s="15">
        <v>69.98999999999999</v>
      </c>
      <c r="H62" s="15">
        <v>559.92</v>
      </c>
    </row>
    <row r="63" ht="12.9" customHeight="1">
      <c r="A63" t="s" s="10">
        <v>3626</v>
      </c>
      <c r="B63" t="s" s="11">
        <v>3627</v>
      </c>
      <c r="C63" s="12">
        <v>45257.877988993052</v>
      </c>
      <c r="D63" t="s" s="13">
        <v>50</v>
      </c>
      <c r="E63" t="s" s="13">
        <v>83</v>
      </c>
      <c r="F63" s="14">
        <v>1</v>
      </c>
      <c r="G63" s="15">
        <v>29.99</v>
      </c>
      <c r="H63" s="15">
        <v>29.99</v>
      </c>
    </row>
    <row r="64" ht="12.9" customHeight="1">
      <c r="A64" t="s" s="10">
        <v>3628</v>
      </c>
      <c r="B64" t="s" s="11">
        <v>2727</v>
      </c>
      <c r="C64" s="12">
        <v>45257.718073807868</v>
      </c>
      <c r="D64" t="s" s="13">
        <v>48</v>
      </c>
      <c r="E64" t="s" s="13">
        <v>49</v>
      </c>
      <c r="F64" s="14">
        <v>2</v>
      </c>
      <c r="G64" s="15">
        <v>1299.99</v>
      </c>
      <c r="H64" s="15">
        <v>2599.98</v>
      </c>
    </row>
    <row r="65" ht="12.9" customHeight="1">
      <c r="A65" t="s" s="10">
        <v>3628</v>
      </c>
      <c r="B65" t="s" s="11">
        <v>2727</v>
      </c>
      <c r="C65" s="12">
        <v>45257.718073807868</v>
      </c>
      <c r="D65" t="s" s="13">
        <v>50</v>
      </c>
      <c r="E65" t="s" s="13">
        <v>83</v>
      </c>
      <c r="F65" s="14">
        <v>2</v>
      </c>
      <c r="G65" s="15">
        <v>0</v>
      </c>
      <c r="H65" s="15">
        <v>0</v>
      </c>
    </row>
    <row r="66" ht="12.9" customHeight="1">
      <c r="A66" t="s" s="10">
        <v>3628</v>
      </c>
      <c r="B66" t="s" s="11">
        <v>2727</v>
      </c>
      <c r="C66" s="12">
        <v>45257.718073807868</v>
      </c>
      <c r="D66" t="s" s="13">
        <v>52</v>
      </c>
      <c r="E66" t="s" s="13">
        <v>321</v>
      </c>
      <c r="F66" s="14">
        <v>2</v>
      </c>
      <c r="G66" s="15">
        <v>0</v>
      </c>
      <c r="H66" s="15">
        <v>0</v>
      </c>
    </row>
    <row r="67" ht="12.9" customHeight="1">
      <c r="A67" t="s" s="10">
        <v>3628</v>
      </c>
      <c r="B67" t="s" s="11">
        <v>2727</v>
      </c>
      <c r="C67" s="12">
        <v>45257.718073807868</v>
      </c>
      <c r="D67" t="s" s="13">
        <v>84</v>
      </c>
      <c r="E67" t="s" s="13">
        <v>2685</v>
      </c>
      <c r="F67" s="14">
        <v>2</v>
      </c>
      <c r="G67" s="15">
        <v>0</v>
      </c>
      <c r="H67" s="15">
        <v>0</v>
      </c>
    </row>
    <row r="68" ht="12.9" customHeight="1">
      <c r="A68" t="s" s="10">
        <v>3628</v>
      </c>
      <c r="B68" t="s" s="11">
        <v>2727</v>
      </c>
      <c r="C68" s="12">
        <v>45257.718073807868</v>
      </c>
      <c r="D68" t="s" s="13">
        <v>23</v>
      </c>
      <c r="E68" t="s" s="13">
        <v>24</v>
      </c>
      <c r="F68" s="14">
        <v>2</v>
      </c>
      <c r="G68" s="15">
        <v>0</v>
      </c>
      <c r="H68" s="15">
        <v>0</v>
      </c>
    </row>
    <row r="69" ht="12.9" customHeight="1">
      <c r="A69" t="s" s="10">
        <v>3628</v>
      </c>
      <c r="B69" t="s" s="11">
        <v>2727</v>
      </c>
      <c r="C69" s="12">
        <v>45257.718073807868</v>
      </c>
      <c r="D69" t="s" s="13">
        <v>50</v>
      </c>
      <c r="E69" t="s" s="13">
        <v>83</v>
      </c>
      <c r="F69" s="14">
        <v>1</v>
      </c>
      <c r="G69" s="15">
        <v>29.99</v>
      </c>
      <c r="H69" s="15">
        <v>29.99</v>
      </c>
    </row>
    <row r="70" ht="12.9" customHeight="1">
      <c r="A70" t="s" s="10">
        <v>3628</v>
      </c>
      <c r="B70" t="s" s="11">
        <v>2727</v>
      </c>
      <c r="C70" s="12">
        <v>45257.718073807868</v>
      </c>
      <c r="D70" t="s" s="13">
        <v>462</v>
      </c>
      <c r="E70" t="s" s="13">
        <v>463</v>
      </c>
      <c r="F70" s="14">
        <v>2</v>
      </c>
      <c r="G70" s="15">
        <v>199.99</v>
      </c>
      <c r="H70" s="15">
        <v>399.98</v>
      </c>
    </row>
    <row r="71" ht="12.9" customHeight="1">
      <c r="A71" t="s" s="10">
        <v>3628</v>
      </c>
      <c r="B71" t="s" s="11">
        <v>2727</v>
      </c>
      <c r="C71" s="12">
        <v>45257.718073807868</v>
      </c>
      <c r="D71" t="s" s="13">
        <v>1875</v>
      </c>
      <c r="E71" t="s" s="13">
        <v>2272</v>
      </c>
      <c r="F71" s="14">
        <v>2</v>
      </c>
      <c r="G71" s="15">
        <v>249.99</v>
      </c>
      <c r="H71" s="15">
        <v>499.98</v>
      </c>
    </row>
    <row r="72" ht="12.9" customHeight="1">
      <c r="A72" t="s" s="10">
        <v>3629</v>
      </c>
      <c r="B72" t="s" s="11">
        <v>3630</v>
      </c>
      <c r="C72" s="12">
        <v>45257.154448229165</v>
      </c>
      <c r="D72" t="s" s="13">
        <v>95</v>
      </c>
      <c r="E72" t="s" s="13">
        <v>12</v>
      </c>
      <c r="F72" s="14">
        <v>1</v>
      </c>
      <c r="G72" s="15">
        <v>324.99</v>
      </c>
      <c r="H72" s="15">
        <v>324.99</v>
      </c>
    </row>
    <row r="73" ht="12.9" customHeight="1">
      <c r="A73" t="s" s="10">
        <v>3631</v>
      </c>
      <c r="B73" t="s" s="11">
        <v>1686</v>
      </c>
      <c r="C73" s="12">
        <v>45257</v>
      </c>
      <c r="D73" t="s" s="13">
        <v>1729</v>
      </c>
      <c r="E73" t="s" s="13">
        <v>1730</v>
      </c>
      <c r="F73" s="14">
        <v>1</v>
      </c>
      <c r="G73" s="15">
        <v>19.99</v>
      </c>
      <c r="H73" s="15">
        <v>19.99</v>
      </c>
    </row>
    <row r="74" ht="12.9" customHeight="1">
      <c r="A74" t="s" s="10">
        <v>3631</v>
      </c>
      <c r="B74" t="s" s="11">
        <v>1686</v>
      </c>
      <c r="C74" s="12">
        <v>45257</v>
      </c>
      <c r="D74" t="s" s="13">
        <v>63</v>
      </c>
      <c r="E74" s="16"/>
      <c r="F74" s="14">
        <v>1</v>
      </c>
      <c r="G74" s="15">
        <v>10</v>
      </c>
      <c r="H74" s="15">
        <v>10</v>
      </c>
    </row>
    <row r="75" ht="12.9" customHeight="1">
      <c r="A75" t="s" s="10">
        <v>3632</v>
      </c>
      <c r="B75" t="s" s="11">
        <v>161</v>
      </c>
      <c r="C75" s="12">
        <v>45257</v>
      </c>
      <c r="D75" t="s" s="13">
        <v>3480</v>
      </c>
      <c r="E75" t="s" s="13">
        <v>3480</v>
      </c>
      <c r="F75" s="14">
        <v>2</v>
      </c>
      <c r="G75" s="15">
        <v>150</v>
      </c>
      <c r="H75" s="15">
        <v>300</v>
      </c>
    </row>
    <row r="76" ht="12.9" customHeight="1">
      <c r="A76" t="s" s="10">
        <v>3632</v>
      </c>
      <c r="B76" t="s" s="11">
        <v>161</v>
      </c>
      <c r="C76" s="12">
        <v>45257</v>
      </c>
      <c r="D76" t="s" s="13">
        <v>63</v>
      </c>
      <c r="E76" s="16"/>
      <c r="F76" s="14">
        <v>1</v>
      </c>
      <c r="G76" s="15">
        <v>15</v>
      </c>
      <c r="H76" s="15">
        <v>15</v>
      </c>
    </row>
    <row r="77" ht="12.9" customHeight="1">
      <c r="A77" t="s" s="10">
        <v>3633</v>
      </c>
      <c r="B77" t="s" s="11">
        <v>3634</v>
      </c>
      <c r="C77" s="12">
        <v>45256.6951796412</v>
      </c>
      <c r="D77" t="s" s="13">
        <v>50</v>
      </c>
      <c r="E77" t="s" s="13">
        <v>83</v>
      </c>
      <c r="F77" s="14">
        <v>1</v>
      </c>
      <c r="G77" s="15">
        <v>29.99</v>
      </c>
      <c r="H77" s="15">
        <v>29.99</v>
      </c>
    </row>
    <row r="78" ht="12.9" customHeight="1">
      <c r="A78" t="s" s="10">
        <v>3635</v>
      </c>
      <c r="B78" t="s" s="11">
        <v>3636</v>
      </c>
      <c r="C78" s="12">
        <v>45256.629185763886</v>
      </c>
      <c r="D78" t="s" s="13">
        <v>50</v>
      </c>
      <c r="E78" t="s" s="13">
        <v>83</v>
      </c>
      <c r="F78" s="14">
        <v>4</v>
      </c>
      <c r="G78" s="15">
        <v>29.99</v>
      </c>
      <c r="H78" s="15">
        <v>119.96</v>
      </c>
    </row>
    <row r="79" ht="12.9" customHeight="1">
      <c r="A79" t="s" s="10">
        <v>3637</v>
      </c>
      <c r="B79" t="s" s="11">
        <v>3638</v>
      </c>
      <c r="C79" s="12">
        <v>45255.206812569442</v>
      </c>
      <c r="D79" t="s" s="13">
        <v>11</v>
      </c>
      <c r="E79" t="s" s="13">
        <v>12</v>
      </c>
      <c r="F79" s="14">
        <v>1</v>
      </c>
      <c r="G79" s="15">
        <v>399.99</v>
      </c>
      <c r="H79" s="15">
        <v>399.99</v>
      </c>
    </row>
    <row r="80" ht="12.9" customHeight="1">
      <c r="A80" t="s" s="10">
        <v>3639</v>
      </c>
      <c r="B80" t="s" s="11">
        <v>3569</v>
      </c>
      <c r="C80" s="12">
        <v>45254.902180370373</v>
      </c>
      <c r="D80" t="s" s="13">
        <v>73</v>
      </c>
      <c r="E80" t="s" s="13">
        <v>74</v>
      </c>
      <c r="F80" s="14">
        <v>1</v>
      </c>
      <c r="G80" s="15">
        <v>399.99</v>
      </c>
      <c r="H80" s="15">
        <v>399.99</v>
      </c>
    </row>
    <row r="81" ht="12.9" customHeight="1">
      <c r="A81" t="s" s="10">
        <v>3639</v>
      </c>
      <c r="B81" t="s" s="11">
        <v>3569</v>
      </c>
      <c r="C81" s="12">
        <v>45254.902180370373</v>
      </c>
      <c r="D81" t="s" s="13">
        <v>225</v>
      </c>
      <c r="E81" t="s" s="13">
        <v>226</v>
      </c>
      <c r="F81" s="14">
        <v>2</v>
      </c>
      <c r="G81" s="15">
        <v>499.99</v>
      </c>
      <c r="H81" s="15">
        <v>999.98</v>
      </c>
    </row>
    <row r="82" ht="12.9" customHeight="1">
      <c r="A82" t="s" s="10">
        <v>3639</v>
      </c>
      <c r="B82" t="s" s="11">
        <v>3569</v>
      </c>
      <c r="C82" s="12">
        <v>45254.902180370373</v>
      </c>
      <c r="D82" t="s" s="13">
        <v>227</v>
      </c>
      <c r="E82" t="s" s="13">
        <v>228</v>
      </c>
      <c r="F82" s="14">
        <v>2</v>
      </c>
      <c r="G82" s="15">
        <v>0</v>
      </c>
      <c r="H82" s="15">
        <v>0</v>
      </c>
    </row>
    <row r="83" ht="12.9" customHeight="1">
      <c r="A83" t="s" s="10">
        <v>3639</v>
      </c>
      <c r="B83" t="s" s="11">
        <v>3569</v>
      </c>
      <c r="C83" s="12">
        <v>45254.902180370373</v>
      </c>
      <c r="D83" t="s" s="13">
        <v>23</v>
      </c>
      <c r="E83" t="s" s="13">
        <v>24</v>
      </c>
      <c r="F83" s="14">
        <v>2</v>
      </c>
      <c r="G83" s="15">
        <v>149.99</v>
      </c>
      <c r="H83" s="15">
        <v>299.98</v>
      </c>
    </row>
    <row r="84" ht="12.9" customHeight="1">
      <c r="A84" t="s" s="10">
        <v>3640</v>
      </c>
      <c r="B84" t="s" s="11">
        <v>3641</v>
      </c>
      <c r="C84" s="12">
        <v>45254.62283</v>
      </c>
      <c r="D84" t="s" s="13">
        <v>95</v>
      </c>
      <c r="E84" t="s" s="13">
        <v>12</v>
      </c>
      <c r="F84" s="14">
        <v>1</v>
      </c>
      <c r="G84" s="15">
        <v>349.99</v>
      </c>
      <c r="H84" s="15">
        <v>349.99</v>
      </c>
    </row>
    <row r="85" ht="12.9" customHeight="1">
      <c r="A85" t="s" s="10">
        <v>3642</v>
      </c>
      <c r="B85" t="s" s="11">
        <v>1412</v>
      </c>
      <c r="C85" s="12">
        <v>45253.817666215276</v>
      </c>
      <c r="D85" t="s" s="13">
        <v>171</v>
      </c>
      <c r="E85" t="s" s="13">
        <v>172</v>
      </c>
      <c r="F85" s="14">
        <v>1</v>
      </c>
      <c r="G85" s="15">
        <v>549.99</v>
      </c>
      <c r="H85" s="15">
        <v>549.99</v>
      </c>
    </row>
    <row r="86" ht="12.9" customHeight="1">
      <c r="A86" t="s" s="10">
        <v>3643</v>
      </c>
      <c r="B86" t="s" s="11">
        <v>3644</v>
      </c>
      <c r="C86" s="12">
        <v>45252.9458365625</v>
      </c>
      <c r="D86" t="s" s="13">
        <v>19</v>
      </c>
      <c r="E86" t="s" s="13">
        <v>20</v>
      </c>
      <c r="F86" s="14">
        <v>1</v>
      </c>
      <c r="G86" s="15">
        <v>119.99</v>
      </c>
      <c r="H86" s="15">
        <v>119.99</v>
      </c>
    </row>
    <row r="87" ht="12.9" customHeight="1">
      <c r="A87" t="s" s="10">
        <v>3643</v>
      </c>
      <c r="B87" t="s" s="11">
        <v>3644</v>
      </c>
      <c r="C87" s="12">
        <v>45252.9458365625</v>
      </c>
      <c r="D87" t="s" s="13">
        <v>15</v>
      </c>
      <c r="E87" t="s" s="13">
        <v>16</v>
      </c>
      <c r="F87" s="14">
        <v>1</v>
      </c>
      <c r="G87" s="15">
        <v>9.99</v>
      </c>
      <c r="H87" s="15">
        <v>9.99</v>
      </c>
    </row>
    <row r="88" ht="12.9" customHeight="1">
      <c r="A88" t="s" s="10">
        <v>3645</v>
      </c>
      <c r="B88" t="s" s="11">
        <v>3646</v>
      </c>
      <c r="C88" s="12">
        <v>45252.939856909725</v>
      </c>
      <c r="D88" t="s" s="13">
        <v>54</v>
      </c>
      <c r="E88" t="s" s="13">
        <v>93</v>
      </c>
      <c r="F88" s="14">
        <v>2</v>
      </c>
      <c r="G88" s="15">
        <v>9.99</v>
      </c>
      <c r="H88" s="15">
        <v>19.98</v>
      </c>
    </row>
    <row r="89" ht="12.9" customHeight="1">
      <c r="A89" t="s" s="10">
        <v>3647</v>
      </c>
      <c r="B89" t="s" s="11">
        <v>3648</v>
      </c>
      <c r="C89" s="12">
        <v>45252.764487789354</v>
      </c>
      <c r="D89" t="s" s="13">
        <v>35</v>
      </c>
      <c r="E89" t="s" s="13">
        <v>36</v>
      </c>
      <c r="F89" s="14">
        <v>2</v>
      </c>
      <c r="G89" s="15">
        <v>49.99</v>
      </c>
      <c r="H89" s="15">
        <v>99.98</v>
      </c>
    </row>
    <row r="90" ht="12.9" customHeight="1">
      <c r="A90" t="s" s="10">
        <v>3649</v>
      </c>
      <c r="B90" t="s" s="11">
        <v>3650</v>
      </c>
      <c r="C90" s="12">
        <v>45252.063566597222</v>
      </c>
      <c r="D90" t="s" s="13">
        <v>35</v>
      </c>
      <c r="E90" t="s" s="13">
        <v>36</v>
      </c>
      <c r="F90" s="14">
        <v>2</v>
      </c>
      <c r="G90" s="15">
        <v>49.99</v>
      </c>
      <c r="H90" s="15">
        <v>99.98</v>
      </c>
    </row>
    <row r="91" ht="12.9" customHeight="1">
      <c r="A91" t="s" s="10">
        <v>3651</v>
      </c>
      <c r="B91" t="s" s="11">
        <v>1401</v>
      </c>
      <c r="C91" s="12">
        <v>45252</v>
      </c>
      <c r="D91" t="s" s="13">
        <v>254</v>
      </c>
      <c r="E91" t="s" s="13">
        <v>3652</v>
      </c>
      <c r="F91" s="14">
        <v>1</v>
      </c>
      <c r="G91" s="15">
        <v>0</v>
      </c>
      <c r="H91" s="15">
        <v>0</v>
      </c>
    </row>
    <row r="92" ht="12.9" customHeight="1">
      <c r="A92" t="s" s="10">
        <v>3651</v>
      </c>
      <c r="B92" t="s" s="11">
        <v>1401</v>
      </c>
      <c r="C92" s="12">
        <v>45252</v>
      </c>
      <c r="D92" t="s" s="13">
        <v>3653</v>
      </c>
      <c r="E92" t="s" s="13">
        <v>3654</v>
      </c>
      <c r="F92" s="14">
        <v>1</v>
      </c>
      <c r="G92" s="15">
        <v>0</v>
      </c>
      <c r="H92" s="15">
        <v>0</v>
      </c>
    </row>
    <row r="93" ht="12.9" customHeight="1">
      <c r="A93" t="s" s="10">
        <v>3655</v>
      </c>
      <c r="B93" t="s" s="11">
        <v>3656</v>
      </c>
      <c r="C93" s="12">
        <v>45252</v>
      </c>
      <c r="D93" t="s" s="13">
        <v>81</v>
      </c>
      <c r="E93" t="s" s="13">
        <v>82</v>
      </c>
      <c r="F93" s="14">
        <v>3</v>
      </c>
      <c r="G93" s="15">
        <v>849.99</v>
      </c>
      <c r="H93" s="15">
        <v>2549.97</v>
      </c>
    </row>
    <row r="94" ht="12.9" customHeight="1">
      <c r="A94" t="s" s="10">
        <v>3655</v>
      </c>
      <c r="B94" t="s" s="11">
        <v>3656</v>
      </c>
      <c r="C94" s="12">
        <v>45252</v>
      </c>
      <c r="D94" t="s" s="13">
        <v>50</v>
      </c>
      <c r="E94" t="s" s="13">
        <v>83</v>
      </c>
      <c r="F94" s="14">
        <v>3</v>
      </c>
      <c r="G94" s="15">
        <v>0</v>
      </c>
      <c r="H94" s="15">
        <v>0</v>
      </c>
    </row>
    <row r="95" ht="12.9" customHeight="1">
      <c r="A95" t="s" s="10">
        <v>3655</v>
      </c>
      <c r="B95" t="s" s="11">
        <v>3656</v>
      </c>
      <c r="C95" s="12">
        <v>45252</v>
      </c>
      <c r="D95" t="s" s="13">
        <v>54</v>
      </c>
      <c r="E95" t="s" s="13">
        <v>93</v>
      </c>
      <c r="F95" s="14">
        <v>3</v>
      </c>
      <c r="G95" s="15">
        <v>0</v>
      </c>
      <c r="H95" s="15">
        <v>0</v>
      </c>
    </row>
    <row r="96" ht="12.9" customHeight="1">
      <c r="A96" t="s" s="10">
        <v>3655</v>
      </c>
      <c r="B96" t="s" s="11">
        <v>3656</v>
      </c>
      <c r="C96" s="12">
        <v>45252</v>
      </c>
      <c r="D96" t="s" s="13">
        <v>15</v>
      </c>
      <c r="E96" t="s" s="13">
        <v>16</v>
      </c>
      <c r="F96" s="14">
        <v>3</v>
      </c>
      <c r="G96" s="15">
        <v>0</v>
      </c>
      <c r="H96" s="15">
        <v>0</v>
      </c>
    </row>
    <row r="97" ht="12.9" customHeight="1">
      <c r="A97" t="s" s="10">
        <v>3655</v>
      </c>
      <c r="B97" t="s" s="11">
        <v>3656</v>
      </c>
      <c r="C97" s="12">
        <v>45252</v>
      </c>
      <c r="D97" t="s" s="13">
        <v>133</v>
      </c>
      <c r="E97" t="s" s="13">
        <v>3657</v>
      </c>
      <c r="F97" s="14">
        <v>3</v>
      </c>
      <c r="G97" s="15">
        <v>50</v>
      </c>
      <c r="H97" s="15">
        <v>150</v>
      </c>
    </row>
    <row r="98" ht="12.9" customHeight="1">
      <c r="A98" t="s" s="10">
        <v>3655</v>
      </c>
      <c r="B98" t="s" s="11">
        <v>3656</v>
      </c>
      <c r="C98" s="12">
        <v>45252</v>
      </c>
      <c r="D98" t="s" s="13">
        <v>73</v>
      </c>
      <c r="E98" t="s" s="13">
        <v>74</v>
      </c>
      <c r="F98" s="14">
        <v>1</v>
      </c>
      <c r="G98" s="15">
        <v>399.99</v>
      </c>
      <c r="H98" s="15">
        <v>399.99</v>
      </c>
    </row>
    <row r="99" ht="12.9" customHeight="1">
      <c r="A99" t="s" s="10">
        <v>3655</v>
      </c>
      <c r="B99" t="s" s="11">
        <v>3656</v>
      </c>
      <c r="C99" s="12">
        <v>45252</v>
      </c>
      <c r="D99" t="s" s="13">
        <v>19</v>
      </c>
      <c r="E99" t="s" s="13">
        <v>20</v>
      </c>
      <c r="F99" s="14">
        <v>3</v>
      </c>
      <c r="G99" s="15">
        <v>119.99</v>
      </c>
      <c r="H99" s="15">
        <v>359.97</v>
      </c>
    </row>
    <row r="100" ht="12.9" customHeight="1">
      <c r="A100" t="s" s="10">
        <v>3658</v>
      </c>
      <c r="B100" t="s" s="11">
        <v>2643</v>
      </c>
      <c r="C100" s="12">
        <v>45252</v>
      </c>
      <c r="D100" t="s" s="13">
        <v>225</v>
      </c>
      <c r="E100" t="s" s="13">
        <v>226</v>
      </c>
      <c r="F100" s="14">
        <v>1</v>
      </c>
      <c r="G100" s="15">
        <v>499.99</v>
      </c>
      <c r="H100" s="15">
        <v>499.99</v>
      </c>
    </row>
    <row r="101" ht="12.9" customHeight="1">
      <c r="A101" t="s" s="10">
        <v>3658</v>
      </c>
      <c r="B101" t="s" s="11">
        <v>2643</v>
      </c>
      <c r="C101" s="12">
        <v>45252</v>
      </c>
      <c r="D101" t="s" s="13">
        <v>227</v>
      </c>
      <c r="E101" t="s" s="13">
        <v>228</v>
      </c>
      <c r="F101" s="14">
        <v>1</v>
      </c>
      <c r="G101" s="15">
        <v>0</v>
      </c>
      <c r="H101" s="15">
        <v>0</v>
      </c>
    </row>
    <row r="102" ht="12.9" customHeight="1">
      <c r="A102" t="s" s="10">
        <v>3659</v>
      </c>
      <c r="B102" t="s" s="11">
        <v>42</v>
      </c>
      <c r="C102" s="12">
        <v>45252</v>
      </c>
      <c r="D102" t="s" s="13">
        <v>3660</v>
      </c>
      <c r="E102" t="s" s="13">
        <v>3661</v>
      </c>
      <c r="F102" s="14">
        <v>5</v>
      </c>
      <c r="G102" s="15">
        <v>328.68</v>
      </c>
      <c r="H102" s="15">
        <v>1643.4</v>
      </c>
    </row>
    <row r="103" ht="12.9" customHeight="1">
      <c r="A103" t="s" s="10">
        <v>3659</v>
      </c>
      <c r="B103" t="s" s="11">
        <v>42</v>
      </c>
      <c r="C103" s="12">
        <v>45252</v>
      </c>
      <c r="D103" t="s" s="13">
        <v>3660</v>
      </c>
      <c r="E103" t="s" s="13">
        <v>3662</v>
      </c>
      <c r="F103" s="14">
        <v>1</v>
      </c>
      <c r="G103" s="15">
        <v>0</v>
      </c>
      <c r="H103" s="15">
        <v>0</v>
      </c>
    </row>
    <row r="104" ht="12.9" customHeight="1">
      <c r="A104" t="s" s="10">
        <v>3659</v>
      </c>
      <c r="B104" t="s" s="11">
        <v>42</v>
      </c>
      <c r="C104" s="12">
        <v>45252</v>
      </c>
      <c r="D104" t="s" s="13">
        <v>63</v>
      </c>
      <c r="E104" s="16"/>
      <c r="F104" s="14">
        <v>1</v>
      </c>
      <c r="G104" s="15">
        <v>62</v>
      </c>
      <c r="H104" s="15">
        <v>62</v>
      </c>
    </row>
    <row r="105" ht="12.9" customHeight="1">
      <c r="A105" t="s" s="10">
        <v>3663</v>
      </c>
      <c r="B105" t="s" s="11">
        <v>1913</v>
      </c>
      <c r="C105" s="12">
        <v>45252</v>
      </c>
      <c r="D105" t="s" s="13">
        <v>1394</v>
      </c>
      <c r="E105" t="s" s="13">
        <v>1395</v>
      </c>
      <c r="F105" s="14">
        <v>1</v>
      </c>
      <c r="G105" s="15">
        <v>45</v>
      </c>
      <c r="H105" s="15">
        <v>45</v>
      </c>
    </row>
    <row r="106" ht="12.9" customHeight="1">
      <c r="A106" t="s" s="10">
        <v>3663</v>
      </c>
      <c r="B106" t="s" s="11">
        <v>1913</v>
      </c>
      <c r="C106" s="12">
        <v>45252</v>
      </c>
      <c r="D106" t="s" s="13">
        <v>63</v>
      </c>
      <c r="E106" s="16"/>
      <c r="F106" s="14">
        <v>1</v>
      </c>
      <c r="G106" s="15">
        <v>12</v>
      </c>
      <c r="H106" s="15">
        <v>12</v>
      </c>
    </row>
    <row r="107" ht="12.9" customHeight="1">
      <c r="A107" t="s" s="10">
        <v>3664</v>
      </c>
      <c r="B107" t="s" s="11">
        <v>1904</v>
      </c>
      <c r="C107" s="12">
        <v>45251.894084872685</v>
      </c>
      <c r="D107" t="s" s="13">
        <v>19</v>
      </c>
      <c r="E107" t="s" s="13">
        <v>20</v>
      </c>
      <c r="F107" s="14">
        <v>4</v>
      </c>
      <c r="G107" s="15">
        <v>119.99</v>
      </c>
      <c r="H107" s="15">
        <v>479.96</v>
      </c>
    </row>
    <row r="108" ht="12.9" customHeight="1">
      <c r="A108" t="s" s="10">
        <v>3664</v>
      </c>
      <c r="B108" t="s" s="11">
        <v>1904</v>
      </c>
      <c r="C108" s="12">
        <v>45251.894084872685</v>
      </c>
      <c r="D108" t="s" s="13">
        <v>15</v>
      </c>
      <c r="E108" t="s" s="13">
        <v>16</v>
      </c>
      <c r="F108" s="14">
        <v>4</v>
      </c>
      <c r="G108" s="15">
        <v>9.99</v>
      </c>
      <c r="H108" s="15">
        <v>39.96</v>
      </c>
    </row>
    <row r="109" ht="12.9" customHeight="1">
      <c r="A109" t="s" s="10">
        <v>3664</v>
      </c>
      <c r="B109" t="s" s="11">
        <v>1904</v>
      </c>
      <c r="C109" s="12">
        <v>45251.894084872685</v>
      </c>
      <c r="D109" t="s" s="13">
        <v>54</v>
      </c>
      <c r="E109" t="s" s="13">
        <v>93</v>
      </c>
      <c r="F109" s="14">
        <v>4</v>
      </c>
      <c r="G109" s="15">
        <v>9.99</v>
      </c>
      <c r="H109" s="15">
        <v>39.96</v>
      </c>
    </row>
    <row r="110" ht="12.9" customHeight="1">
      <c r="A110" t="s" s="10">
        <v>3665</v>
      </c>
      <c r="B110" t="s" s="11">
        <v>3666</v>
      </c>
      <c r="C110" s="12">
        <v>45251.561069548610</v>
      </c>
      <c r="D110" t="s" s="13">
        <v>2787</v>
      </c>
      <c r="E110" t="s" s="13">
        <v>2788</v>
      </c>
      <c r="F110" s="14">
        <v>2</v>
      </c>
      <c r="G110" s="15">
        <v>22.99</v>
      </c>
      <c r="H110" s="15">
        <v>45.98</v>
      </c>
    </row>
    <row r="111" ht="12.9" customHeight="1">
      <c r="A111" t="s" s="10">
        <v>3667</v>
      </c>
      <c r="B111" t="s" s="11">
        <v>161</v>
      </c>
      <c r="C111" s="12">
        <v>45251</v>
      </c>
      <c r="D111" t="s" s="13">
        <v>998</v>
      </c>
      <c r="E111" t="s" s="13">
        <v>999</v>
      </c>
      <c r="F111" s="14">
        <v>1</v>
      </c>
      <c r="G111" s="15">
        <v>900</v>
      </c>
      <c r="H111" s="15">
        <v>900</v>
      </c>
    </row>
    <row r="112" ht="12.9" customHeight="1">
      <c r="A112" t="s" s="10">
        <v>3667</v>
      </c>
      <c r="B112" t="s" s="11">
        <v>161</v>
      </c>
      <c r="C112" s="12">
        <v>45251</v>
      </c>
      <c r="D112" t="s" s="13">
        <v>50</v>
      </c>
      <c r="E112" t="s" s="13">
        <v>83</v>
      </c>
      <c r="F112" s="14">
        <v>1</v>
      </c>
      <c r="G112" s="15">
        <v>0</v>
      </c>
      <c r="H112" s="15">
        <v>0</v>
      </c>
    </row>
    <row r="113" ht="12.9" customHeight="1">
      <c r="A113" t="s" s="10">
        <v>3667</v>
      </c>
      <c r="B113" t="s" s="11">
        <v>161</v>
      </c>
      <c r="C113" s="12">
        <v>45251</v>
      </c>
      <c r="D113" t="s" s="13">
        <v>63</v>
      </c>
      <c r="E113" s="16"/>
      <c r="F113" s="14">
        <v>1</v>
      </c>
      <c r="G113" s="15">
        <v>65</v>
      </c>
      <c r="H113" s="15">
        <v>65</v>
      </c>
    </row>
    <row r="114" ht="12.9" customHeight="1">
      <c r="A114" t="s" s="10">
        <v>3668</v>
      </c>
      <c r="B114" t="s" s="11">
        <v>3669</v>
      </c>
      <c r="C114" s="12">
        <v>45250.918680300929</v>
      </c>
      <c r="D114" t="s" s="13">
        <v>59</v>
      </c>
      <c r="E114" t="s" s="13">
        <v>60</v>
      </c>
      <c r="F114" s="14">
        <v>2</v>
      </c>
      <c r="G114" s="15">
        <v>1199.99</v>
      </c>
      <c r="H114" s="15">
        <v>2399.98</v>
      </c>
    </row>
    <row r="115" ht="12.9" customHeight="1">
      <c r="A115" t="s" s="10">
        <v>3670</v>
      </c>
      <c r="B115" t="s" s="11">
        <v>1686</v>
      </c>
      <c r="C115" s="12">
        <v>45250.885302662035</v>
      </c>
      <c r="D115" t="s" s="13">
        <v>23</v>
      </c>
      <c r="E115" t="s" s="13">
        <v>24</v>
      </c>
      <c r="F115" s="14">
        <v>1</v>
      </c>
      <c r="G115" s="15">
        <v>149.99</v>
      </c>
      <c r="H115" s="15">
        <v>149.99</v>
      </c>
    </row>
    <row r="116" ht="12.9" customHeight="1">
      <c r="A116" t="s" s="10">
        <v>3671</v>
      </c>
      <c r="B116" t="s" s="11">
        <v>3672</v>
      </c>
      <c r="C116" s="12">
        <v>45250.855755</v>
      </c>
      <c r="D116" t="s" s="13">
        <v>77</v>
      </c>
      <c r="E116" t="s" s="13">
        <v>78</v>
      </c>
      <c r="F116" s="14">
        <v>1</v>
      </c>
      <c r="G116" s="15">
        <v>19.99</v>
      </c>
      <c r="H116" s="15">
        <v>19.99</v>
      </c>
    </row>
    <row r="117" ht="12.9" customHeight="1">
      <c r="A117" t="s" s="10">
        <v>3671</v>
      </c>
      <c r="B117" t="s" s="11">
        <v>3672</v>
      </c>
      <c r="C117" s="12">
        <v>45250.855755</v>
      </c>
      <c r="D117" t="s" s="13">
        <v>39</v>
      </c>
      <c r="E117" t="s" s="13">
        <v>40</v>
      </c>
      <c r="F117" s="14">
        <v>1</v>
      </c>
      <c r="G117" s="15">
        <v>109.99</v>
      </c>
      <c r="H117" s="15">
        <v>109.99</v>
      </c>
    </row>
    <row r="118" ht="12.9" customHeight="1">
      <c r="A118" t="s" s="10">
        <v>3673</v>
      </c>
      <c r="B118" t="s" s="11">
        <v>1269</v>
      </c>
      <c r="C118" s="12">
        <v>45250.749731168980</v>
      </c>
      <c r="D118" t="s" s="13">
        <v>39</v>
      </c>
      <c r="E118" t="s" s="13">
        <v>40</v>
      </c>
      <c r="F118" s="14">
        <v>1</v>
      </c>
      <c r="G118" s="15">
        <v>109.99</v>
      </c>
      <c r="H118" s="15">
        <v>109.99</v>
      </c>
    </row>
    <row r="119" ht="12.9" customHeight="1">
      <c r="A119" t="s" s="10">
        <v>3674</v>
      </c>
      <c r="B119" t="s" s="11">
        <v>3675</v>
      </c>
      <c r="C119" s="12">
        <v>45250.639832754627</v>
      </c>
      <c r="D119" t="s" s="13">
        <v>39</v>
      </c>
      <c r="E119" t="s" s="13">
        <v>40</v>
      </c>
      <c r="F119" s="14">
        <v>1</v>
      </c>
      <c r="G119" s="15">
        <v>109.99</v>
      </c>
      <c r="H119" s="15">
        <v>109.99</v>
      </c>
    </row>
    <row r="120" ht="12.9" customHeight="1">
      <c r="A120" t="s" s="10">
        <v>3676</v>
      </c>
      <c r="B120" t="s" s="11">
        <v>3677</v>
      </c>
      <c r="C120" s="12">
        <v>45250.039447534720</v>
      </c>
      <c r="D120" t="s" s="13">
        <v>95</v>
      </c>
      <c r="E120" t="s" s="13">
        <v>12</v>
      </c>
      <c r="F120" s="14">
        <v>1</v>
      </c>
      <c r="G120" s="15">
        <v>349.99</v>
      </c>
      <c r="H120" s="15">
        <v>349.99</v>
      </c>
    </row>
    <row r="121" ht="12.9" customHeight="1">
      <c r="A121" t="s" s="10">
        <v>3678</v>
      </c>
      <c r="B121" t="s" s="11">
        <v>476</v>
      </c>
      <c r="C121" s="12">
        <v>45250</v>
      </c>
      <c r="D121" t="s" s="13">
        <v>998</v>
      </c>
      <c r="E121" t="s" s="13">
        <v>1367</v>
      </c>
      <c r="F121" s="14">
        <v>5</v>
      </c>
      <c r="G121" s="15">
        <v>900</v>
      </c>
      <c r="H121" s="15">
        <v>4500</v>
      </c>
    </row>
    <row r="122" ht="12.9" customHeight="1">
      <c r="A122" t="s" s="10">
        <v>3678</v>
      </c>
      <c r="B122" t="s" s="11">
        <v>476</v>
      </c>
      <c r="C122" s="12">
        <v>45250</v>
      </c>
      <c r="D122" t="s" s="13">
        <v>1155</v>
      </c>
      <c r="E122" t="s" s="13">
        <v>3679</v>
      </c>
      <c r="F122" s="14">
        <v>2</v>
      </c>
      <c r="G122" s="15">
        <v>2625</v>
      </c>
      <c r="H122" s="15">
        <v>5250</v>
      </c>
    </row>
    <row r="123" ht="12.9" customHeight="1">
      <c r="A123" t="s" s="10">
        <v>3678</v>
      </c>
      <c r="B123" t="s" s="11">
        <v>476</v>
      </c>
      <c r="C123" s="12">
        <v>45250</v>
      </c>
      <c r="D123" t="s" s="13">
        <v>1155</v>
      </c>
      <c r="E123" t="s" s="13">
        <v>3680</v>
      </c>
      <c r="F123" s="14">
        <v>4</v>
      </c>
      <c r="G123" s="15">
        <v>2625</v>
      </c>
      <c r="H123" s="15">
        <v>10500</v>
      </c>
    </row>
    <row r="124" ht="12.9" customHeight="1">
      <c r="A124" t="s" s="10">
        <v>3678</v>
      </c>
      <c r="B124" t="s" s="11">
        <v>476</v>
      </c>
      <c r="C124" s="12">
        <v>45250</v>
      </c>
      <c r="D124" t="s" s="13">
        <v>50</v>
      </c>
      <c r="E124" t="s" s="13">
        <v>83</v>
      </c>
      <c r="F124" s="14">
        <v>11</v>
      </c>
      <c r="G124" s="15">
        <v>0</v>
      </c>
      <c r="H124" s="15">
        <v>0</v>
      </c>
    </row>
    <row r="125" ht="12.9" customHeight="1">
      <c r="A125" t="s" s="10">
        <v>3678</v>
      </c>
      <c r="B125" t="s" s="11">
        <v>476</v>
      </c>
      <c r="C125" s="12">
        <v>45250</v>
      </c>
      <c r="D125" t="s" s="13">
        <v>47</v>
      </c>
      <c r="E125" s="16"/>
      <c r="F125" s="14">
        <v>1</v>
      </c>
      <c r="G125" s="15">
        <v>300</v>
      </c>
      <c r="H125" s="15">
        <v>300</v>
      </c>
    </row>
    <row r="126" ht="12.9" customHeight="1">
      <c r="A126" t="s" s="10">
        <v>3681</v>
      </c>
      <c r="B126" t="s" s="11">
        <v>329</v>
      </c>
      <c r="C126" s="12">
        <v>45250</v>
      </c>
      <c r="D126" t="s" s="13">
        <v>2223</v>
      </c>
      <c r="E126" t="s" s="13">
        <v>2224</v>
      </c>
      <c r="F126" s="14">
        <v>6</v>
      </c>
      <c r="G126" s="15">
        <v>25</v>
      </c>
      <c r="H126" s="15">
        <v>150</v>
      </c>
    </row>
    <row r="127" ht="12.9" customHeight="1">
      <c r="A127" t="s" s="10">
        <v>3681</v>
      </c>
      <c r="B127" t="s" s="11">
        <v>329</v>
      </c>
      <c r="C127" s="12">
        <v>45250</v>
      </c>
      <c r="D127" t="s" s="13">
        <v>47</v>
      </c>
      <c r="E127" s="16"/>
      <c r="F127" s="14">
        <v>1</v>
      </c>
      <c r="G127" s="15">
        <v>39</v>
      </c>
      <c r="H127" s="15">
        <v>39</v>
      </c>
    </row>
    <row r="128" ht="12.9" customHeight="1">
      <c r="A128" t="s" s="10">
        <v>3682</v>
      </c>
      <c r="B128" t="s" s="11">
        <v>3683</v>
      </c>
      <c r="C128" s="12">
        <v>45250</v>
      </c>
      <c r="D128" t="s" s="13">
        <v>254</v>
      </c>
      <c r="E128" t="s" s="13">
        <v>3684</v>
      </c>
      <c r="F128" s="14">
        <v>1</v>
      </c>
      <c r="G128" s="15">
        <v>0</v>
      </c>
      <c r="H128" s="15">
        <v>0</v>
      </c>
    </row>
    <row r="129" ht="12.9" customHeight="1">
      <c r="A129" t="s" s="10">
        <v>3682</v>
      </c>
      <c r="B129" t="s" s="11">
        <v>3683</v>
      </c>
      <c r="C129" s="12">
        <v>45250</v>
      </c>
      <c r="D129" t="s" s="13">
        <v>726</v>
      </c>
      <c r="E129" t="s" s="13">
        <v>726</v>
      </c>
      <c r="F129" s="14">
        <v>1</v>
      </c>
      <c r="G129" s="15">
        <v>0</v>
      </c>
      <c r="H129" s="15">
        <v>0</v>
      </c>
    </row>
    <row r="130" ht="12.9" customHeight="1">
      <c r="A130" t="s" s="10">
        <v>3682</v>
      </c>
      <c r="B130" t="s" s="11">
        <v>3683</v>
      </c>
      <c r="C130" s="12">
        <v>45250</v>
      </c>
      <c r="D130" t="s" s="13">
        <v>2672</v>
      </c>
      <c r="E130" t="s" s="13">
        <v>2673</v>
      </c>
      <c r="F130" s="14">
        <v>1</v>
      </c>
      <c r="G130" s="15">
        <v>0</v>
      </c>
      <c r="H130" s="15">
        <v>0</v>
      </c>
    </row>
    <row r="131" ht="12.9" customHeight="1">
      <c r="A131" t="s" s="10">
        <v>3682</v>
      </c>
      <c r="B131" t="s" s="11">
        <v>3683</v>
      </c>
      <c r="C131" s="12">
        <v>45250</v>
      </c>
      <c r="D131" t="s" s="13">
        <v>3685</v>
      </c>
      <c r="E131" t="s" s="13">
        <v>3686</v>
      </c>
      <c r="F131" s="14">
        <v>1</v>
      </c>
      <c r="G131" s="15">
        <v>0</v>
      </c>
      <c r="H131" s="15">
        <v>0</v>
      </c>
    </row>
    <row r="132" ht="12.9" customHeight="1">
      <c r="A132" t="s" s="10">
        <v>3687</v>
      </c>
      <c r="B132" t="s" s="11">
        <v>1401</v>
      </c>
      <c r="C132" s="12">
        <v>45250</v>
      </c>
      <c r="D132" t="s" s="13">
        <v>48</v>
      </c>
      <c r="E132" t="s" s="13">
        <v>49</v>
      </c>
      <c r="F132" s="14">
        <v>2</v>
      </c>
      <c r="G132" s="15">
        <v>974.9924999999999</v>
      </c>
      <c r="H132" s="15">
        <v>1949.985</v>
      </c>
    </row>
    <row r="133" ht="12.9" customHeight="1">
      <c r="A133" t="s" s="10">
        <v>3687</v>
      </c>
      <c r="B133" t="s" s="11">
        <v>1401</v>
      </c>
      <c r="C133" s="12">
        <v>45250</v>
      </c>
      <c r="D133" t="s" s="13">
        <v>50</v>
      </c>
      <c r="E133" t="s" s="13">
        <v>83</v>
      </c>
      <c r="F133" s="14">
        <v>2</v>
      </c>
      <c r="G133" s="15">
        <v>0</v>
      </c>
      <c r="H133" s="15">
        <v>0</v>
      </c>
    </row>
    <row r="134" ht="12.9" customHeight="1">
      <c r="A134" t="s" s="10">
        <v>3687</v>
      </c>
      <c r="B134" t="s" s="11">
        <v>1401</v>
      </c>
      <c r="C134" s="12">
        <v>45250</v>
      </c>
      <c r="D134" t="s" s="13">
        <v>84</v>
      </c>
      <c r="E134" t="s" s="13">
        <v>2685</v>
      </c>
      <c r="F134" s="14">
        <v>2</v>
      </c>
      <c r="G134" s="15">
        <v>0</v>
      </c>
      <c r="H134" s="15">
        <v>0</v>
      </c>
    </row>
    <row r="135" ht="12.9" customHeight="1">
      <c r="A135" t="s" s="10">
        <v>3687</v>
      </c>
      <c r="B135" t="s" s="11">
        <v>1401</v>
      </c>
      <c r="C135" s="12">
        <v>45250</v>
      </c>
      <c r="D135" t="s" s="13">
        <v>52</v>
      </c>
      <c r="E135" t="s" s="13">
        <v>321</v>
      </c>
      <c r="F135" s="14">
        <v>2</v>
      </c>
      <c r="G135" s="15">
        <v>0</v>
      </c>
      <c r="H135" s="15">
        <v>0</v>
      </c>
    </row>
    <row r="136" ht="12.9" customHeight="1">
      <c r="A136" t="s" s="10">
        <v>3687</v>
      </c>
      <c r="B136" t="s" s="11">
        <v>1401</v>
      </c>
      <c r="C136" s="12">
        <v>45250</v>
      </c>
      <c r="D136" t="s" s="13">
        <v>23</v>
      </c>
      <c r="E136" t="s" s="13">
        <v>24</v>
      </c>
      <c r="F136" s="14">
        <v>2</v>
      </c>
      <c r="G136" s="15">
        <v>0</v>
      </c>
      <c r="H136" s="15">
        <v>0</v>
      </c>
    </row>
    <row r="137" ht="12.9" customHeight="1">
      <c r="A137" t="s" s="10">
        <v>3687</v>
      </c>
      <c r="B137" t="s" s="11">
        <v>1401</v>
      </c>
      <c r="C137" s="12">
        <v>45250</v>
      </c>
      <c r="D137" t="s" s="13">
        <v>73</v>
      </c>
      <c r="E137" t="s" s="13">
        <v>74</v>
      </c>
      <c r="F137" s="14">
        <v>1</v>
      </c>
      <c r="G137" s="15">
        <v>299.9925</v>
      </c>
      <c r="H137" s="15">
        <v>299.9925</v>
      </c>
    </row>
    <row r="138" ht="12.9" customHeight="1">
      <c r="A138" t="s" s="10">
        <v>3687</v>
      </c>
      <c r="B138" t="s" s="11">
        <v>1401</v>
      </c>
      <c r="C138" s="12">
        <v>45250</v>
      </c>
      <c r="D138" t="s" s="13">
        <v>2509</v>
      </c>
      <c r="E138" t="s" s="13">
        <v>2814</v>
      </c>
      <c r="F138" s="14">
        <v>1</v>
      </c>
      <c r="G138" s="15">
        <v>67.4991</v>
      </c>
      <c r="H138" s="15">
        <v>67.4991</v>
      </c>
    </row>
    <row r="139" ht="12.9" customHeight="1">
      <c r="A139" t="s" s="10">
        <v>3687</v>
      </c>
      <c r="B139" t="s" s="11">
        <v>1401</v>
      </c>
      <c r="C139" s="12">
        <v>45250</v>
      </c>
      <c r="D139" t="s" s="13">
        <v>63</v>
      </c>
      <c r="E139" s="16"/>
      <c r="F139" s="14">
        <v>1</v>
      </c>
      <c r="G139" s="15">
        <v>42</v>
      </c>
      <c r="H139" s="15">
        <v>42</v>
      </c>
    </row>
    <row r="140" ht="12.9" customHeight="1">
      <c r="A140" t="s" s="10">
        <v>3688</v>
      </c>
      <c r="B140" t="s" s="11">
        <v>3689</v>
      </c>
      <c r="C140" s="12">
        <v>45249.940137314814</v>
      </c>
      <c r="D140" t="s" s="13">
        <v>39</v>
      </c>
      <c r="E140" t="s" s="13">
        <v>40</v>
      </c>
      <c r="F140" s="14">
        <v>1</v>
      </c>
      <c r="G140" s="15">
        <v>109.99</v>
      </c>
      <c r="H140" s="15">
        <v>109.99</v>
      </c>
    </row>
    <row r="141" ht="12.9" customHeight="1">
      <c r="A141" t="s" s="10">
        <v>3688</v>
      </c>
      <c r="B141" t="s" s="11">
        <v>3689</v>
      </c>
      <c r="C141" s="12">
        <v>45249.940137314814</v>
      </c>
      <c r="D141" t="s" s="13">
        <v>84</v>
      </c>
      <c r="E141" t="s" s="13">
        <v>2685</v>
      </c>
      <c r="F141" s="14">
        <v>1</v>
      </c>
      <c r="G141" s="15">
        <v>15</v>
      </c>
      <c r="H141" s="15">
        <v>15</v>
      </c>
    </row>
    <row r="142" ht="12.9" customHeight="1">
      <c r="A142" t="s" s="10">
        <v>3690</v>
      </c>
      <c r="B142" t="s" s="11">
        <v>3691</v>
      </c>
      <c r="C142" s="12">
        <v>45249.875878217594</v>
      </c>
      <c r="D142" t="s" s="13">
        <v>35</v>
      </c>
      <c r="E142" t="s" s="13">
        <v>36</v>
      </c>
      <c r="F142" s="14">
        <v>2</v>
      </c>
      <c r="G142" s="15">
        <v>49.99</v>
      </c>
      <c r="H142" s="15">
        <v>99.98</v>
      </c>
    </row>
    <row r="143" ht="12.9" customHeight="1">
      <c r="A143" t="s" s="10">
        <v>3692</v>
      </c>
      <c r="B143" t="s" s="11">
        <v>3693</v>
      </c>
      <c r="C143" s="12">
        <v>45248.254324652778</v>
      </c>
      <c r="D143" t="s" s="13">
        <v>171</v>
      </c>
      <c r="E143" t="s" s="13">
        <v>172</v>
      </c>
      <c r="F143" s="14">
        <v>1</v>
      </c>
      <c r="G143" s="15">
        <v>549.99</v>
      </c>
      <c r="H143" s="15">
        <v>549.99</v>
      </c>
    </row>
    <row r="144" ht="12.9" customHeight="1">
      <c r="A144" t="s" s="10">
        <v>3694</v>
      </c>
      <c r="B144" t="s" s="11">
        <v>3695</v>
      </c>
      <c r="C144" s="12">
        <v>45247.7562025463</v>
      </c>
      <c r="D144" t="s" s="13">
        <v>73</v>
      </c>
      <c r="E144" t="s" s="13">
        <v>74</v>
      </c>
      <c r="F144" s="14">
        <v>1</v>
      </c>
      <c r="G144" s="15">
        <v>399.99</v>
      </c>
      <c r="H144" s="15">
        <v>399.99</v>
      </c>
    </row>
    <row r="145" ht="12.9" customHeight="1">
      <c r="A145" t="s" s="10">
        <v>3696</v>
      </c>
      <c r="B145" t="s" s="11">
        <v>3697</v>
      </c>
      <c r="C145" s="12">
        <v>45247.105792615737</v>
      </c>
      <c r="D145" t="s" s="13">
        <v>35</v>
      </c>
      <c r="E145" t="s" s="13">
        <v>36</v>
      </c>
      <c r="F145" s="14">
        <v>3</v>
      </c>
      <c r="G145" s="15">
        <v>49.99</v>
      </c>
      <c r="H145" s="15">
        <v>149.97</v>
      </c>
    </row>
    <row r="146" ht="12.9" customHeight="1">
      <c r="A146" t="s" s="10">
        <v>3698</v>
      </c>
      <c r="B146" t="s" s="11">
        <v>3699</v>
      </c>
      <c r="C146" s="12">
        <v>45247.042232268519</v>
      </c>
      <c r="D146" t="s" s="13">
        <v>369</v>
      </c>
      <c r="E146" t="s" s="13">
        <v>370</v>
      </c>
      <c r="F146" s="14">
        <v>1</v>
      </c>
      <c r="G146" s="15">
        <v>12.99</v>
      </c>
      <c r="H146" s="15">
        <v>12.99</v>
      </c>
    </row>
    <row r="147" ht="12.9" customHeight="1">
      <c r="A147" t="s" s="10">
        <v>3700</v>
      </c>
      <c r="B147" t="s" s="11">
        <v>3701</v>
      </c>
      <c r="C147" s="12">
        <v>45247</v>
      </c>
      <c r="D147" t="s" s="13">
        <v>81</v>
      </c>
      <c r="E147" t="s" s="13">
        <v>82</v>
      </c>
      <c r="F147" s="14">
        <v>2</v>
      </c>
      <c r="G147" s="15">
        <v>809.99</v>
      </c>
      <c r="H147" s="15">
        <v>1619.98</v>
      </c>
    </row>
    <row r="148" ht="12.9" customHeight="1">
      <c r="A148" t="s" s="10">
        <v>3700</v>
      </c>
      <c r="B148" t="s" s="11">
        <v>3701</v>
      </c>
      <c r="C148" s="12">
        <v>45247</v>
      </c>
      <c r="D148" t="s" s="13">
        <v>50</v>
      </c>
      <c r="E148" t="s" s="13">
        <v>83</v>
      </c>
      <c r="F148" s="14">
        <v>2</v>
      </c>
      <c r="G148" s="15">
        <v>0</v>
      </c>
      <c r="H148" s="15">
        <v>0</v>
      </c>
    </row>
    <row r="149" ht="12.9" customHeight="1">
      <c r="A149" t="s" s="10">
        <v>3700</v>
      </c>
      <c r="B149" t="s" s="11">
        <v>3701</v>
      </c>
      <c r="C149" s="12">
        <v>45247</v>
      </c>
      <c r="D149" t="s" s="13">
        <v>54</v>
      </c>
      <c r="E149" t="s" s="13">
        <v>93</v>
      </c>
      <c r="F149" s="14">
        <v>2</v>
      </c>
      <c r="G149" s="15">
        <v>0</v>
      </c>
      <c r="H149" s="15">
        <v>0</v>
      </c>
    </row>
    <row r="150" ht="12.9" customHeight="1">
      <c r="A150" t="s" s="10">
        <v>3700</v>
      </c>
      <c r="B150" t="s" s="11">
        <v>3701</v>
      </c>
      <c r="C150" s="12">
        <v>45247</v>
      </c>
      <c r="D150" t="s" s="13">
        <v>15</v>
      </c>
      <c r="E150" t="s" s="13">
        <v>16</v>
      </c>
      <c r="F150" s="14">
        <v>2</v>
      </c>
      <c r="G150" s="15">
        <v>0</v>
      </c>
      <c r="H150" s="15">
        <v>0</v>
      </c>
    </row>
    <row r="151" ht="12.9" customHeight="1">
      <c r="A151" t="s" s="10">
        <v>3700</v>
      </c>
      <c r="B151" t="s" s="11">
        <v>3701</v>
      </c>
      <c r="C151" s="12">
        <v>45247</v>
      </c>
      <c r="D151" t="s" s="13">
        <v>2519</v>
      </c>
      <c r="E151" t="s" s="13">
        <v>1692</v>
      </c>
      <c r="F151" s="14">
        <v>1</v>
      </c>
      <c r="G151" s="15">
        <v>0</v>
      </c>
      <c r="H151" s="15">
        <v>0</v>
      </c>
    </row>
    <row r="152" ht="12.9" customHeight="1">
      <c r="A152" t="s" s="10">
        <v>3700</v>
      </c>
      <c r="B152" t="s" s="11">
        <v>3701</v>
      </c>
      <c r="C152" s="12">
        <v>45247</v>
      </c>
      <c r="D152" t="s" s="13">
        <v>1257</v>
      </c>
      <c r="E152" t="s" s="13">
        <v>3702</v>
      </c>
      <c r="F152" s="14">
        <v>1</v>
      </c>
      <c r="G152" s="15">
        <v>0</v>
      </c>
      <c r="H152" s="15">
        <v>0</v>
      </c>
    </row>
    <row r="153" ht="25.9" customHeight="1">
      <c r="A153" t="s" s="10">
        <v>3703</v>
      </c>
      <c r="B153" t="s" s="11">
        <v>3590</v>
      </c>
      <c r="C153" s="12">
        <v>45247</v>
      </c>
      <c r="D153" t="s" s="13">
        <v>254</v>
      </c>
      <c r="E153" t="s" s="52">
        <v>3704</v>
      </c>
      <c r="F153" s="14">
        <v>1</v>
      </c>
      <c r="G153" s="15">
        <v>50</v>
      </c>
      <c r="H153" s="15">
        <v>50</v>
      </c>
    </row>
    <row r="154" ht="12.9" customHeight="1">
      <c r="A154" t="s" s="10">
        <v>3703</v>
      </c>
      <c r="B154" t="s" s="11">
        <v>3590</v>
      </c>
      <c r="C154" s="12">
        <v>45247</v>
      </c>
      <c r="D154" t="s" s="13">
        <v>1394</v>
      </c>
      <c r="E154" t="s" s="13">
        <v>1395</v>
      </c>
      <c r="F154" s="14">
        <v>1</v>
      </c>
      <c r="G154" s="15">
        <v>0</v>
      </c>
      <c r="H154" s="15">
        <v>0</v>
      </c>
    </row>
    <row r="155" ht="12.9" customHeight="1">
      <c r="A155" t="s" s="10">
        <v>3703</v>
      </c>
      <c r="B155" t="s" s="11">
        <v>3590</v>
      </c>
      <c r="C155" s="12">
        <v>45247</v>
      </c>
      <c r="D155" t="s" s="13">
        <v>63</v>
      </c>
      <c r="E155" s="16"/>
      <c r="F155" s="14">
        <v>1</v>
      </c>
      <c r="G155" s="15">
        <v>21</v>
      </c>
      <c r="H155" s="15">
        <v>21</v>
      </c>
    </row>
    <row r="156" ht="12.9" customHeight="1">
      <c r="A156" t="s" s="10">
        <v>3705</v>
      </c>
      <c r="B156" t="s" s="11">
        <v>3706</v>
      </c>
      <c r="C156" s="12">
        <v>45246.723578576391</v>
      </c>
      <c r="D156" t="s" s="13">
        <v>73</v>
      </c>
      <c r="E156" t="s" s="13">
        <v>74</v>
      </c>
      <c r="F156" s="14">
        <v>1</v>
      </c>
      <c r="G156" s="15">
        <v>399.99</v>
      </c>
      <c r="H156" s="15">
        <v>399.99</v>
      </c>
    </row>
    <row r="157" ht="12.9" customHeight="1">
      <c r="A157" t="s" s="10">
        <v>3707</v>
      </c>
      <c r="B157" t="s" s="11">
        <v>3708</v>
      </c>
      <c r="C157" s="12">
        <v>45246.258330347220</v>
      </c>
      <c r="D157" t="s" s="13">
        <v>54</v>
      </c>
      <c r="E157" t="s" s="13">
        <v>93</v>
      </c>
      <c r="F157" s="14">
        <v>2</v>
      </c>
      <c r="G157" s="15">
        <v>9.99</v>
      </c>
      <c r="H157" s="15">
        <v>19.98</v>
      </c>
    </row>
    <row r="158" ht="12.9" customHeight="1">
      <c r="A158" t="s" s="10">
        <v>3709</v>
      </c>
      <c r="B158" t="s" s="11">
        <v>3710</v>
      </c>
      <c r="C158" s="12">
        <v>45246</v>
      </c>
      <c r="D158" t="s" s="13">
        <v>59</v>
      </c>
      <c r="E158" t="s" s="13">
        <v>60</v>
      </c>
      <c r="F158" s="14">
        <v>4</v>
      </c>
      <c r="G158" s="15">
        <v>899.9924999999999</v>
      </c>
      <c r="H158" s="15">
        <v>3599.97</v>
      </c>
    </row>
    <row r="159" ht="12.9" customHeight="1">
      <c r="A159" t="s" s="10">
        <v>3709</v>
      </c>
      <c r="B159" t="s" s="11">
        <v>3710</v>
      </c>
      <c r="C159" s="12">
        <v>45246</v>
      </c>
      <c r="D159" t="s" s="13">
        <v>63</v>
      </c>
      <c r="E159" s="16"/>
      <c r="F159" s="14">
        <v>1</v>
      </c>
      <c r="G159" s="15">
        <v>173</v>
      </c>
      <c r="H159" s="15">
        <v>173</v>
      </c>
    </row>
    <row r="160" ht="12.9" customHeight="1">
      <c r="A160" t="s" s="10">
        <v>3711</v>
      </c>
      <c r="B160" t="s" s="11">
        <v>2323</v>
      </c>
      <c r="C160" s="12">
        <v>45246</v>
      </c>
      <c r="D160" t="s" s="13">
        <v>57</v>
      </c>
      <c r="E160" t="s" s="13">
        <v>58</v>
      </c>
      <c r="F160" s="14">
        <v>6</v>
      </c>
      <c r="G160" s="15">
        <v>599.9924999999999</v>
      </c>
      <c r="H160" s="15">
        <v>3599.955</v>
      </c>
    </row>
    <row r="161" ht="12.9" customHeight="1">
      <c r="A161" t="s" s="10">
        <v>3711</v>
      </c>
      <c r="B161" t="s" s="11">
        <v>2323</v>
      </c>
      <c r="C161" s="12">
        <v>45246</v>
      </c>
      <c r="D161" t="s" s="13">
        <v>589</v>
      </c>
      <c r="E161" t="s" s="13">
        <v>590</v>
      </c>
      <c r="F161" s="14">
        <v>3</v>
      </c>
      <c r="G161" s="15">
        <v>0</v>
      </c>
      <c r="H161" s="15">
        <v>0</v>
      </c>
    </row>
    <row r="162" ht="12.9" customHeight="1">
      <c r="A162" t="s" s="10">
        <v>3711</v>
      </c>
      <c r="B162" t="s" s="11">
        <v>2323</v>
      </c>
      <c r="C162" s="12">
        <v>45246</v>
      </c>
      <c r="D162" t="s" s="13">
        <v>119</v>
      </c>
      <c r="E162" t="s" s="13">
        <v>120</v>
      </c>
      <c r="F162" s="14">
        <v>10</v>
      </c>
      <c r="G162" s="15">
        <v>0</v>
      </c>
      <c r="H162" s="15">
        <v>0</v>
      </c>
    </row>
    <row r="163" ht="12.9" customHeight="1">
      <c r="A163" t="s" s="10">
        <v>3711</v>
      </c>
      <c r="B163" t="s" s="11">
        <v>2323</v>
      </c>
      <c r="C163" s="12">
        <v>45246</v>
      </c>
      <c r="D163" t="s" s="13">
        <v>50</v>
      </c>
      <c r="E163" t="s" s="13">
        <v>83</v>
      </c>
      <c r="F163" s="14">
        <v>2</v>
      </c>
      <c r="G163" s="15">
        <v>22.4925</v>
      </c>
      <c r="H163" s="15">
        <v>44.985</v>
      </c>
    </row>
    <row r="164" ht="12.9" customHeight="1">
      <c r="A164" t="s" s="10">
        <v>3711</v>
      </c>
      <c r="B164" t="s" s="11">
        <v>2323</v>
      </c>
      <c r="C164" s="12">
        <v>45246</v>
      </c>
      <c r="D164" t="s" s="13">
        <v>47</v>
      </c>
      <c r="E164" s="16"/>
      <c r="F164" s="14">
        <v>1</v>
      </c>
      <c r="G164" s="15">
        <v>40</v>
      </c>
      <c r="H164" s="15">
        <v>40</v>
      </c>
    </row>
    <row r="165" ht="12.9" customHeight="1">
      <c r="A165" t="s" s="10">
        <v>3712</v>
      </c>
      <c r="B165" t="s" s="11">
        <v>3713</v>
      </c>
      <c r="C165" s="12">
        <v>45245.781994537036</v>
      </c>
      <c r="D165" t="s" s="13">
        <v>50</v>
      </c>
      <c r="E165" t="s" s="13">
        <v>83</v>
      </c>
      <c r="F165" s="14">
        <v>1</v>
      </c>
      <c r="G165" s="15">
        <v>29.99</v>
      </c>
      <c r="H165" s="15">
        <v>29.99</v>
      </c>
    </row>
    <row r="166" ht="12.9" customHeight="1">
      <c r="A166" t="s" s="10">
        <v>3714</v>
      </c>
      <c r="B166" t="s" s="11">
        <v>3715</v>
      </c>
      <c r="C166" s="12">
        <v>45245.181459849540</v>
      </c>
      <c r="D166" t="s" s="13">
        <v>11</v>
      </c>
      <c r="E166" t="s" s="13">
        <v>12</v>
      </c>
      <c r="F166" s="14">
        <v>1</v>
      </c>
      <c r="G166" s="15">
        <v>399.99</v>
      </c>
      <c r="H166" s="15">
        <v>399.99</v>
      </c>
    </row>
    <row r="167" ht="12.9" customHeight="1">
      <c r="A167" t="s" s="10">
        <v>3716</v>
      </c>
      <c r="B167" t="s" s="11">
        <v>3717</v>
      </c>
      <c r="C167" s="12">
        <v>45244.907804386574</v>
      </c>
      <c r="D167" t="s" s="13">
        <v>81</v>
      </c>
      <c r="E167" t="s" s="13">
        <v>82</v>
      </c>
      <c r="F167" s="14">
        <v>1</v>
      </c>
      <c r="G167" s="15">
        <v>849.99</v>
      </c>
      <c r="H167" s="15">
        <v>849.99</v>
      </c>
    </row>
    <row r="168" ht="12.9" customHeight="1">
      <c r="A168" t="s" s="10">
        <v>3716</v>
      </c>
      <c r="B168" t="s" s="11">
        <v>3717</v>
      </c>
      <c r="C168" s="12">
        <v>45244.907804386574</v>
      </c>
      <c r="D168" t="s" s="13">
        <v>470</v>
      </c>
      <c r="E168" t="s" s="13">
        <v>517</v>
      </c>
      <c r="F168" s="14">
        <v>1</v>
      </c>
      <c r="G168" s="15">
        <v>100</v>
      </c>
      <c r="H168" s="15">
        <v>100</v>
      </c>
    </row>
    <row r="169" ht="12.9" customHeight="1">
      <c r="A169" t="s" s="10">
        <v>3716</v>
      </c>
      <c r="B169" t="s" s="11">
        <v>3717</v>
      </c>
      <c r="C169" s="12">
        <v>45244.907804386574</v>
      </c>
      <c r="D169" t="s" s="13">
        <v>50</v>
      </c>
      <c r="E169" t="s" s="13">
        <v>83</v>
      </c>
      <c r="F169" s="14">
        <v>1</v>
      </c>
      <c r="G169" s="15">
        <v>0</v>
      </c>
      <c r="H169" s="15">
        <v>0</v>
      </c>
    </row>
    <row r="170" ht="12.9" customHeight="1">
      <c r="A170" t="s" s="10">
        <v>3716</v>
      </c>
      <c r="B170" t="s" s="11">
        <v>3717</v>
      </c>
      <c r="C170" s="12">
        <v>45244.907804386574</v>
      </c>
      <c r="D170" t="s" s="13">
        <v>84</v>
      </c>
      <c r="E170" t="s" s="13">
        <v>2685</v>
      </c>
      <c r="F170" s="14">
        <v>1</v>
      </c>
      <c r="G170" s="15">
        <v>0</v>
      </c>
      <c r="H170" s="15">
        <v>0</v>
      </c>
    </row>
    <row r="171" ht="12.9" customHeight="1">
      <c r="A171" t="s" s="10">
        <v>3716</v>
      </c>
      <c r="B171" t="s" s="11">
        <v>3717</v>
      </c>
      <c r="C171" s="12">
        <v>45244.907804386574</v>
      </c>
      <c r="D171" t="s" s="13">
        <v>81</v>
      </c>
      <c r="E171" t="s" s="13">
        <v>82</v>
      </c>
      <c r="F171" s="14">
        <v>1</v>
      </c>
      <c r="G171" s="15">
        <v>849.99</v>
      </c>
      <c r="H171" s="15">
        <v>849.99</v>
      </c>
    </row>
    <row r="172" ht="12.9" customHeight="1">
      <c r="A172" t="s" s="10">
        <v>3716</v>
      </c>
      <c r="B172" t="s" s="11">
        <v>3717</v>
      </c>
      <c r="C172" s="12">
        <v>45244.907804386574</v>
      </c>
      <c r="D172" t="s" s="13">
        <v>602</v>
      </c>
      <c r="E172" t="s" s="13">
        <v>686</v>
      </c>
      <c r="F172" s="14">
        <v>1</v>
      </c>
      <c r="G172" s="15">
        <v>175</v>
      </c>
      <c r="H172" s="15">
        <v>175</v>
      </c>
    </row>
    <row r="173" ht="12.9" customHeight="1">
      <c r="A173" t="s" s="10">
        <v>3716</v>
      </c>
      <c r="B173" t="s" s="11">
        <v>3717</v>
      </c>
      <c r="C173" s="12">
        <v>45244.907804386574</v>
      </c>
      <c r="D173" t="s" s="13">
        <v>50</v>
      </c>
      <c r="E173" t="s" s="13">
        <v>83</v>
      </c>
      <c r="F173" s="14">
        <v>1</v>
      </c>
      <c r="G173" s="15">
        <v>0</v>
      </c>
      <c r="H173" s="15">
        <v>0</v>
      </c>
    </row>
    <row r="174" ht="12.9" customHeight="1">
      <c r="A174" t="s" s="10">
        <v>3716</v>
      </c>
      <c r="B174" t="s" s="11">
        <v>3717</v>
      </c>
      <c r="C174" s="12">
        <v>45244.907804386574</v>
      </c>
      <c r="D174" t="s" s="13">
        <v>84</v>
      </c>
      <c r="E174" t="s" s="13">
        <v>2685</v>
      </c>
      <c r="F174" s="14">
        <v>1</v>
      </c>
      <c r="G174" s="15">
        <v>0</v>
      </c>
      <c r="H174" s="15">
        <v>0</v>
      </c>
    </row>
    <row r="175" ht="12.9" customHeight="1">
      <c r="A175" t="s" s="10">
        <v>3716</v>
      </c>
      <c r="B175" t="s" s="11">
        <v>3717</v>
      </c>
      <c r="C175" s="12">
        <v>45244.907804386574</v>
      </c>
      <c r="D175" t="s" s="13">
        <v>73</v>
      </c>
      <c r="E175" t="s" s="13">
        <v>74</v>
      </c>
      <c r="F175" s="14">
        <v>1</v>
      </c>
      <c r="G175" s="15">
        <v>399.99</v>
      </c>
      <c r="H175" s="15">
        <v>399.99</v>
      </c>
    </row>
    <row r="176" ht="12.9" customHeight="1">
      <c r="A176" t="s" s="10">
        <v>3718</v>
      </c>
      <c r="B176" t="s" s="11">
        <v>3719</v>
      </c>
      <c r="C176" s="12">
        <v>45244.891474791664</v>
      </c>
      <c r="D176" t="s" s="13">
        <v>95</v>
      </c>
      <c r="E176" t="s" s="13">
        <v>12</v>
      </c>
      <c r="F176" s="14">
        <v>1</v>
      </c>
      <c r="G176" s="15">
        <v>349.99</v>
      </c>
      <c r="H176" s="15">
        <v>349.99</v>
      </c>
    </row>
    <row r="177" ht="12.9" customHeight="1">
      <c r="A177" t="s" s="10">
        <v>3720</v>
      </c>
      <c r="B177" t="s" s="11">
        <v>3721</v>
      </c>
      <c r="C177" s="12">
        <v>45244.860264849536</v>
      </c>
      <c r="D177" t="s" s="13">
        <v>95</v>
      </c>
      <c r="E177" t="s" s="13">
        <v>12</v>
      </c>
      <c r="F177" s="14">
        <v>1</v>
      </c>
      <c r="G177" s="15">
        <v>349.99</v>
      </c>
      <c r="H177" s="15">
        <v>349.99</v>
      </c>
    </row>
    <row r="178" ht="12.9" customHeight="1">
      <c r="A178" t="s" s="10">
        <v>3722</v>
      </c>
      <c r="B178" t="s" s="11">
        <v>3723</v>
      </c>
      <c r="C178" s="12">
        <v>45244.781516793984</v>
      </c>
      <c r="D178" t="s" s="13">
        <v>35</v>
      </c>
      <c r="E178" t="s" s="13">
        <v>36</v>
      </c>
      <c r="F178" s="14">
        <v>2</v>
      </c>
      <c r="G178" s="15">
        <v>49.99</v>
      </c>
      <c r="H178" s="15">
        <v>99.98</v>
      </c>
    </row>
    <row r="179" ht="12.9" customHeight="1">
      <c r="A179" t="s" s="10">
        <v>3724</v>
      </c>
      <c r="B179" t="s" s="11">
        <v>1881</v>
      </c>
      <c r="C179" s="12">
        <v>45244.779066805553</v>
      </c>
      <c r="D179" t="s" s="13">
        <v>73</v>
      </c>
      <c r="E179" t="s" s="13">
        <v>74</v>
      </c>
      <c r="F179" s="14">
        <v>1</v>
      </c>
      <c r="G179" s="15">
        <v>399.99</v>
      </c>
      <c r="H179" s="15">
        <v>399.99</v>
      </c>
    </row>
    <row r="180" ht="12.9" customHeight="1">
      <c r="A180" t="s" s="10">
        <v>3725</v>
      </c>
      <c r="B180" t="s" s="11">
        <v>3726</v>
      </c>
      <c r="C180" s="12">
        <v>45244.748962662037</v>
      </c>
      <c r="D180" t="s" s="13">
        <v>73</v>
      </c>
      <c r="E180" t="s" s="13">
        <v>74</v>
      </c>
      <c r="F180" s="14">
        <v>1</v>
      </c>
      <c r="G180" s="15">
        <v>399.99</v>
      </c>
      <c r="H180" s="15">
        <v>399.99</v>
      </c>
    </row>
    <row r="181" ht="12.9" customHeight="1">
      <c r="A181" t="s" s="10">
        <v>3727</v>
      </c>
      <c r="B181" t="s" s="11">
        <v>1241</v>
      </c>
      <c r="C181" s="12">
        <v>45244.057377175923</v>
      </c>
      <c r="D181" t="s" s="13">
        <v>15</v>
      </c>
      <c r="E181" t="s" s="13">
        <v>16</v>
      </c>
      <c r="F181" s="14">
        <v>1</v>
      </c>
      <c r="G181" s="15">
        <v>9.99</v>
      </c>
      <c r="H181" s="15">
        <v>9.99</v>
      </c>
    </row>
    <row r="182" ht="12.9" customHeight="1">
      <c r="A182" t="s" s="10">
        <v>3727</v>
      </c>
      <c r="B182" t="s" s="11">
        <v>1241</v>
      </c>
      <c r="C182" s="12">
        <v>45244.057377175923</v>
      </c>
      <c r="D182" t="s" s="13">
        <v>1069</v>
      </c>
      <c r="E182" t="s" s="13">
        <v>1070</v>
      </c>
      <c r="F182" s="14">
        <v>1</v>
      </c>
      <c r="G182" s="15">
        <v>99.98999999999999</v>
      </c>
      <c r="H182" s="15">
        <v>99.98999999999999</v>
      </c>
    </row>
    <row r="183" ht="12.9" customHeight="1">
      <c r="A183" t="s" s="10">
        <v>3728</v>
      </c>
      <c r="B183" t="s" s="11">
        <v>1439</v>
      </c>
      <c r="C183" s="12">
        <v>45244.0498477662</v>
      </c>
      <c r="D183" t="s" s="13">
        <v>50</v>
      </c>
      <c r="E183" t="s" s="13">
        <v>83</v>
      </c>
      <c r="F183" s="14">
        <v>4</v>
      </c>
      <c r="G183" s="15">
        <v>29.99</v>
      </c>
      <c r="H183" s="15">
        <v>119.96</v>
      </c>
    </row>
    <row r="184" ht="12.9" customHeight="1">
      <c r="A184" t="s" s="10">
        <v>3729</v>
      </c>
      <c r="B184" t="s" s="11">
        <v>3730</v>
      </c>
      <c r="C184" s="12">
        <v>45243.834659317130</v>
      </c>
      <c r="D184" t="s" s="13">
        <v>123</v>
      </c>
      <c r="E184" t="s" s="13">
        <v>124</v>
      </c>
      <c r="F184" s="14">
        <v>1</v>
      </c>
      <c r="G184" s="15">
        <v>179.99</v>
      </c>
      <c r="H184" s="15">
        <v>179.99</v>
      </c>
    </row>
    <row r="185" ht="12.9" customHeight="1">
      <c r="A185" t="s" s="10">
        <v>3729</v>
      </c>
      <c r="B185" t="s" s="11">
        <v>3730</v>
      </c>
      <c r="C185" s="12">
        <v>45243.834659317130</v>
      </c>
      <c r="D185" t="s" s="13">
        <v>882</v>
      </c>
      <c r="E185" t="s" s="13">
        <v>883</v>
      </c>
      <c r="F185" s="14">
        <v>1</v>
      </c>
      <c r="G185" s="15">
        <v>74.98999999999999</v>
      </c>
      <c r="H185" s="15">
        <v>74.98999999999999</v>
      </c>
    </row>
    <row r="186" ht="12.9" customHeight="1">
      <c r="A186" t="s" s="10">
        <v>3731</v>
      </c>
      <c r="B186" t="s" s="11">
        <v>3732</v>
      </c>
      <c r="C186" s="12">
        <v>45243.792303888891</v>
      </c>
      <c r="D186" t="s" s="13">
        <v>35</v>
      </c>
      <c r="E186" t="s" s="13">
        <v>36</v>
      </c>
      <c r="F186" s="14">
        <v>1</v>
      </c>
      <c r="G186" s="15">
        <v>49.99</v>
      </c>
      <c r="H186" s="15">
        <v>49.99</v>
      </c>
    </row>
    <row r="187" ht="12.9" customHeight="1">
      <c r="A187" t="s" s="10">
        <v>3731</v>
      </c>
      <c r="B187" t="s" s="11">
        <v>3732</v>
      </c>
      <c r="C187" s="12">
        <v>45243.792303888891</v>
      </c>
      <c r="D187" t="s" s="13">
        <v>171</v>
      </c>
      <c r="E187" t="s" s="13">
        <v>172</v>
      </c>
      <c r="F187" s="14">
        <v>1</v>
      </c>
      <c r="G187" s="15">
        <v>549.99</v>
      </c>
      <c r="H187" s="15">
        <v>549.99</v>
      </c>
    </row>
    <row r="188" ht="12.9" customHeight="1">
      <c r="A188" t="s" s="10">
        <v>3733</v>
      </c>
      <c r="B188" t="s" s="11">
        <v>3734</v>
      </c>
      <c r="C188" s="12">
        <v>45243.7045075</v>
      </c>
      <c r="D188" t="s" s="13">
        <v>89</v>
      </c>
      <c r="E188" t="s" s="13">
        <v>90</v>
      </c>
      <c r="F188" s="14">
        <v>1</v>
      </c>
      <c r="G188" s="15">
        <v>59.99</v>
      </c>
      <c r="H188" s="15">
        <v>59.99</v>
      </c>
    </row>
    <row r="189" ht="12.9" customHeight="1">
      <c r="A189" t="s" s="10">
        <v>3735</v>
      </c>
      <c r="B189" t="s" s="11">
        <v>3736</v>
      </c>
      <c r="C189" s="12">
        <v>45243.684794467590</v>
      </c>
      <c r="D189" t="s" s="13">
        <v>179</v>
      </c>
      <c r="E189" t="s" s="13">
        <v>180</v>
      </c>
      <c r="F189" s="14">
        <v>6</v>
      </c>
      <c r="G189" s="15">
        <v>49.99</v>
      </c>
      <c r="H189" s="15">
        <v>299.94</v>
      </c>
    </row>
    <row r="190" ht="12.9" customHeight="1">
      <c r="A190" t="s" s="10">
        <v>3737</v>
      </c>
      <c r="B190" t="s" s="11">
        <v>3738</v>
      </c>
      <c r="C190" s="12">
        <v>45242.781533553243</v>
      </c>
      <c r="D190" t="s" s="13">
        <v>73</v>
      </c>
      <c r="E190" t="s" s="13">
        <v>74</v>
      </c>
      <c r="F190" s="14">
        <v>1</v>
      </c>
      <c r="G190" s="15">
        <v>399.99</v>
      </c>
      <c r="H190" s="15">
        <v>399.99</v>
      </c>
    </row>
    <row r="191" ht="12.9" customHeight="1">
      <c r="A191" t="s" s="10">
        <v>3739</v>
      </c>
      <c r="B191" t="s" s="11">
        <v>3740</v>
      </c>
      <c r="C191" s="12">
        <v>45242.287613819448</v>
      </c>
      <c r="D191" t="s" s="13">
        <v>48</v>
      </c>
      <c r="E191" t="s" s="13">
        <v>49</v>
      </c>
      <c r="F191" s="14">
        <v>2</v>
      </c>
      <c r="G191" s="15">
        <v>1299.99</v>
      </c>
      <c r="H191" s="15">
        <v>2599.98</v>
      </c>
    </row>
    <row r="192" ht="12.9" customHeight="1">
      <c r="A192" t="s" s="10">
        <v>3739</v>
      </c>
      <c r="B192" t="s" s="11">
        <v>3740</v>
      </c>
      <c r="C192" s="12">
        <v>45242.287613819448</v>
      </c>
      <c r="D192" t="s" s="13">
        <v>50</v>
      </c>
      <c r="E192" t="s" s="13">
        <v>83</v>
      </c>
      <c r="F192" s="14">
        <v>2</v>
      </c>
      <c r="G192" s="15">
        <v>0</v>
      </c>
      <c r="H192" s="15">
        <v>0</v>
      </c>
    </row>
    <row r="193" ht="12.9" customHeight="1">
      <c r="A193" t="s" s="10">
        <v>3739</v>
      </c>
      <c r="B193" t="s" s="11">
        <v>3740</v>
      </c>
      <c r="C193" s="12">
        <v>45242.287613819448</v>
      </c>
      <c r="D193" t="s" s="13">
        <v>52</v>
      </c>
      <c r="E193" t="s" s="13">
        <v>321</v>
      </c>
      <c r="F193" s="14">
        <v>2</v>
      </c>
      <c r="G193" s="15">
        <v>0</v>
      </c>
      <c r="H193" s="15">
        <v>0</v>
      </c>
    </row>
    <row r="194" ht="12.9" customHeight="1">
      <c r="A194" t="s" s="10">
        <v>3739</v>
      </c>
      <c r="B194" t="s" s="11">
        <v>3740</v>
      </c>
      <c r="C194" s="12">
        <v>45242.287613819448</v>
      </c>
      <c r="D194" t="s" s="13">
        <v>84</v>
      </c>
      <c r="E194" t="s" s="13">
        <v>2685</v>
      </c>
      <c r="F194" s="14">
        <v>2</v>
      </c>
      <c r="G194" s="15">
        <v>0</v>
      </c>
      <c r="H194" s="15">
        <v>0</v>
      </c>
    </row>
    <row r="195" ht="12.9" customHeight="1">
      <c r="A195" t="s" s="10">
        <v>3739</v>
      </c>
      <c r="B195" t="s" s="11">
        <v>3740</v>
      </c>
      <c r="C195" s="12">
        <v>45242.287613819448</v>
      </c>
      <c r="D195" t="s" s="13">
        <v>133</v>
      </c>
      <c r="E195" t="s" s="13">
        <v>134</v>
      </c>
      <c r="F195" s="14">
        <v>2</v>
      </c>
      <c r="G195" s="15">
        <v>50</v>
      </c>
      <c r="H195" s="15">
        <v>100</v>
      </c>
    </row>
    <row r="196" ht="12.9" customHeight="1">
      <c r="A196" t="s" s="10">
        <v>3741</v>
      </c>
      <c r="B196" t="s" s="11">
        <v>3672</v>
      </c>
      <c r="C196" s="12">
        <v>45241.2643568287</v>
      </c>
      <c r="D196" t="s" s="13">
        <v>73</v>
      </c>
      <c r="E196" t="s" s="13">
        <v>74</v>
      </c>
      <c r="F196" s="14">
        <v>1</v>
      </c>
      <c r="G196" s="15">
        <v>399.99</v>
      </c>
      <c r="H196" s="15">
        <v>399.99</v>
      </c>
    </row>
    <row r="197" ht="12.9" customHeight="1">
      <c r="A197" t="s" s="10">
        <v>3742</v>
      </c>
      <c r="B197" t="s" s="11">
        <v>3743</v>
      </c>
      <c r="C197" s="12">
        <v>45241.058470208336</v>
      </c>
      <c r="D197" t="s" s="13">
        <v>73</v>
      </c>
      <c r="E197" t="s" s="13">
        <v>74</v>
      </c>
      <c r="F197" s="14">
        <v>1</v>
      </c>
      <c r="G197" s="15">
        <v>399.99</v>
      </c>
      <c r="H197" s="15">
        <v>399.99</v>
      </c>
    </row>
    <row r="198" ht="12.9" customHeight="1">
      <c r="A198" t="s" s="10">
        <v>3742</v>
      </c>
      <c r="B198" t="s" s="11">
        <v>3743</v>
      </c>
      <c r="C198" s="12">
        <v>45241.058470208336</v>
      </c>
      <c r="D198" t="s" s="13">
        <v>81</v>
      </c>
      <c r="E198" t="s" s="13">
        <v>82</v>
      </c>
      <c r="F198" s="14">
        <v>4</v>
      </c>
      <c r="G198" s="15">
        <v>849.99</v>
      </c>
      <c r="H198" s="15">
        <v>3399.96</v>
      </c>
    </row>
    <row r="199" ht="12.9" customHeight="1">
      <c r="A199" t="s" s="10">
        <v>3742</v>
      </c>
      <c r="B199" t="s" s="11">
        <v>3743</v>
      </c>
      <c r="C199" s="12">
        <v>45241.058470208336</v>
      </c>
      <c r="D199" t="s" s="13">
        <v>23</v>
      </c>
      <c r="E199" t="s" s="13">
        <v>24</v>
      </c>
      <c r="F199" s="14">
        <v>4</v>
      </c>
      <c r="G199" s="15">
        <v>0</v>
      </c>
      <c r="H199" s="15">
        <v>0</v>
      </c>
    </row>
    <row r="200" ht="12.9" customHeight="1">
      <c r="A200" t="s" s="10">
        <v>3742</v>
      </c>
      <c r="B200" t="s" s="11">
        <v>3743</v>
      </c>
      <c r="C200" s="12">
        <v>45241.058470208336</v>
      </c>
      <c r="D200" t="s" s="13">
        <v>50</v>
      </c>
      <c r="E200" t="s" s="13">
        <v>83</v>
      </c>
      <c r="F200" s="14">
        <v>4</v>
      </c>
      <c r="G200" s="15">
        <v>0</v>
      </c>
      <c r="H200" s="15">
        <v>0</v>
      </c>
    </row>
    <row r="201" ht="12.9" customHeight="1">
      <c r="A201" t="s" s="10">
        <v>3742</v>
      </c>
      <c r="B201" t="s" s="11">
        <v>3743</v>
      </c>
      <c r="C201" s="12">
        <v>45241.058470208336</v>
      </c>
      <c r="D201" t="s" s="13">
        <v>84</v>
      </c>
      <c r="E201" t="s" s="13">
        <v>2685</v>
      </c>
      <c r="F201" s="14">
        <v>4</v>
      </c>
      <c r="G201" s="15">
        <v>0</v>
      </c>
      <c r="H201" s="15">
        <v>0</v>
      </c>
    </row>
    <row r="202" ht="12.9" customHeight="1">
      <c r="A202" t="s" s="10">
        <v>3744</v>
      </c>
      <c r="B202" t="s" s="11">
        <v>3745</v>
      </c>
      <c r="C202" s="12">
        <v>45240.895336053240</v>
      </c>
      <c r="D202" t="s" s="13">
        <v>171</v>
      </c>
      <c r="E202" t="s" s="13">
        <v>172</v>
      </c>
      <c r="F202" s="14">
        <v>1</v>
      </c>
      <c r="G202" s="15">
        <v>549.99</v>
      </c>
      <c r="H202" s="15">
        <v>549.99</v>
      </c>
    </row>
    <row r="203" ht="12.9" customHeight="1">
      <c r="A203" t="s" s="10">
        <v>3746</v>
      </c>
      <c r="B203" t="s" s="11">
        <v>3747</v>
      </c>
      <c r="C203" s="12">
        <v>45240.890589537034</v>
      </c>
      <c r="D203" t="s" s="13">
        <v>59</v>
      </c>
      <c r="E203" t="s" s="13">
        <v>60</v>
      </c>
      <c r="F203" s="14">
        <v>1</v>
      </c>
      <c r="G203" s="15">
        <v>1199.99</v>
      </c>
      <c r="H203" s="15">
        <v>1199.99</v>
      </c>
    </row>
    <row r="204" ht="12.9" customHeight="1">
      <c r="A204" t="s" s="10">
        <v>3748</v>
      </c>
      <c r="B204" t="s" s="11">
        <v>3749</v>
      </c>
      <c r="C204" s="12">
        <v>45240.8820125</v>
      </c>
      <c r="D204" t="s" s="13">
        <v>77</v>
      </c>
      <c r="E204" t="s" s="13">
        <v>78</v>
      </c>
      <c r="F204" s="14">
        <v>2</v>
      </c>
      <c r="G204" s="15">
        <v>19.99</v>
      </c>
      <c r="H204" s="15">
        <v>39.98</v>
      </c>
    </row>
    <row r="205" ht="12.9" customHeight="1">
      <c r="A205" t="s" s="10">
        <v>3748</v>
      </c>
      <c r="B205" t="s" s="11">
        <v>3749</v>
      </c>
      <c r="C205" s="12">
        <v>45240.8820125</v>
      </c>
      <c r="D205" t="s" s="13">
        <v>84</v>
      </c>
      <c r="E205" t="s" s="13">
        <v>2685</v>
      </c>
      <c r="F205" s="14">
        <v>2</v>
      </c>
      <c r="G205" s="15">
        <v>15</v>
      </c>
      <c r="H205" s="15">
        <v>30</v>
      </c>
    </row>
    <row r="206" ht="12.9" customHeight="1">
      <c r="A206" t="s" s="10">
        <v>3748</v>
      </c>
      <c r="B206" t="s" s="11">
        <v>3749</v>
      </c>
      <c r="C206" s="12">
        <v>45240.8820125</v>
      </c>
      <c r="D206" t="s" s="13">
        <v>19</v>
      </c>
      <c r="E206" t="s" s="13">
        <v>20</v>
      </c>
      <c r="F206" s="14">
        <v>2</v>
      </c>
      <c r="G206" s="15">
        <v>119.99</v>
      </c>
      <c r="H206" s="15">
        <v>239.98</v>
      </c>
    </row>
    <row r="207" ht="12.9" customHeight="1">
      <c r="A207" t="s" s="10">
        <v>3748</v>
      </c>
      <c r="B207" t="s" s="11">
        <v>3749</v>
      </c>
      <c r="C207" s="12">
        <v>45240.8820125</v>
      </c>
      <c r="D207" t="s" s="13">
        <v>15</v>
      </c>
      <c r="E207" t="s" s="13">
        <v>16</v>
      </c>
      <c r="F207" s="14">
        <v>2</v>
      </c>
      <c r="G207" s="15">
        <v>9.99</v>
      </c>
      <c r="H207" s="15">
        <v>19.98</v>
      </c>
    </row>
    <row r="208" ht="12.9" customHeight="1">
      <c r="A208" t="s" s="10">
        <v>3748</v>
      </c>
      <c r="B208" t="s" s="11">
        <v>3749</v>
      </c>
      <c r="C208" s="12">
        <v>45240.8820125</v>
      </c>
      <c r="D208" t="s" s="13">
        <v>3750</v>
      </c>
      <c r="E208" t="s" s="13">
        <v>3751</v>
      </c>
      <c r="F208" s="14">
        <v>2</v>
      </c>
      <c r="G208" s="15">
        <v>299.99</v>
      </c>
      <c r="H208" s="15">
        <v>599.98</v>
      </c>
    </row>
    <row r="209" ht="12.9" customHeight="1">
      <c r="A209" t="s" s="10">
        <v>3752</v>
      </c>
      <c r="B209" t="s" s="11">
        <v>3726</v>
      </c>
      <c r="C209" s="12">
        <v>45240</v>
      </c>
      <c r="D209" t="s" s="13">
        <v>254</v>
      </c>
      <c r="E209" t="s" s="13">
        <v>3753</v>
      </c>
      <c r="F209" s="14">
        <v>1</v>
      </c>
      <c r="G209" s="15">
        <v>0</v>
      </c>
      <c r="H209" s="15">
        <v>0</v>
      </c>
    </row>
    <row r="210" ht="12.9" customHeight="1">
      <c r="A210" t="s" s="10">
        <v>3752</v>
      </c>
      <c r="B210" t="s" s="11">
        <v>3726</v>
      </c>
      <c r="C210" s="12">
        <v>45240</v>
      </c>
      <c r="D210" t="s" s="13">
        <v>762</v>
      </c>
      <c r="E210" t="s" s="13">
        <v>763</v>
      </c>
      <c r="F210" s="14">
        <v>1</v>
      </c>
      <c r="G210" s="15">
        <v>0</v>
      </c>
      <c r="H210" s="15">
        <v>0</v>
      </c>
    </row>
    <row r="211" ht="12.9" customHeight="1">
      <c r="A211" t="s" s="10">
        <v>3754</v>
      </c>
      <c r="B211" t="s" s="11">
        <v>3755</v>
      </c>
      <c r="C211" s="12">
        <v>45240</v>
      </c>
      <c r="D211" t="s" s="13">
        <v>254</v>
      </c>
      <c r="E211" t="s" s="13">
        <v>3756</v>
      </c>
      <c r="F211" s="14">
        <v>1</v>
      </c>
      <c r="G211" s="15">
        <v>0</v>
      </c>
      <c r="H211" s="15">
        <v>0</v>
      </c>
    </row>
    <row r="212" ht="12.9" customHeight="1">
      <c r="A212" t="s" s="10">
        <v>3754</v>
      </c>
      <c r="B212" t="s" s="11">
        <v>3755</v>
      </c>
      <c r="C212" s="12">
        <v>45240</v>
      </c>
      <c r="D212" t="s" s="13">
        <v>726</v>
      </c>
      <c r="E212" t="s" s="13">
        <v>726</v>
      </c>
      <c r="F212" s="14">
        <v>1</v>
      </c>
      <c r="G212" s="15">
        <v>0</v>
      </c>
      <c r="H212" s="15">
        <v>0</v>
      </c>
    </row>
    <row r="213" ht="12.9" customHeight="1">
      <c r="A213" t="s" s="10">
        <v>3757</v>
      </c>
      <c r="B213" t="s" s="11">
        <v>3758</v>
      </c>
      <c r="C213" s="12">
        <v>45240</v>
      </c>
      <c r="D213" t="s" s="13">
        <v>254</v>
      </c>
      <c r="E213" t="s" s="13">
        <v>3759</v>
      </c>
      <c r="F213" s="14">
        <v>1</v>
      </c>
      <c r="G213" s="15">
        <v>0</v>
      </c>
      <c r="H213" s="15">
        <v>0</v>
      </c>
    </row>
    <row r="214" ht="12.9" customHeight="1">
      <c r="A214" t="s" s="10">
        <v>3760</v>
      </c>
      <c r="B214" t="s" s="11">
        <v>1570</v>
      </c>
      <c r="C214" s="12">
        <v>45240</v>
      </c>
      <c r="D214" t="s" s="13">
        <v>489</v>
      </c>
      <c r="E214" t="s" s="13">
        <v>490</v>
      </c>
      <c r="F214" s="14">
        <v>5</v>
      </c>
      <c r="G214" s="15">
        <v>1199.9925</v>
      </c>
      <c r="H214" s="15">
        <v>5999.9625</v>
      </c>
    </row>
    <row r="215" ht="12.9" customHeight="1">
      <c r="A215" t="s" s="10">
        <v>3760</v>
      </c>
      <c r="B215" t="s" s="11">
        <v>1570</v>
      </c>
      <c r="C215" s="12">
        <v>45240</v>
      </c>
      <c r="D215" t="s" s="13">
        <v>491</v>
      </c>
      <c r="E215" t="s" s="13">
        <v>2680</v>
      </c>
      <c r="F215" s="14">
        <v>12</v>
      </c>
      <c r="G215" s="15">
        <v>0</v>
      </c>
      <c r="H215" s="15">
        <v>0</v>
      </c>
    </row>
    <row r="216" ht="12.9" customHeight="1">
      <c r="A216" t="s" s="10">
        <v>3760</v>
      </c>
      <c r="B216" t="s" s="11">
        <v>1570</v>
      </c>
      <c r="C216" s="12">
        <v>45240</v>
      </c>
      <c r="D216" t="s" s="13">
        <v>1633</v>
      </c>
      <c r="E216" t="s" s="13">
        <v>2981</v>
      </c>
      <c r="F216" s="14">
        <v>3</v>
      </c>
      <c r="G216" s="15">
        <v>0</v>
      </c>
      <c r="H216" s="15">
        <v>0</v>
      </c>
    </row>
    <row r="217" ht="12.9" customHeight="1">
      <c r="A217" t="s" s="10">
        <v>3760</v>
      </c>
      <c r="B217" t="s" s="11">
        <v>1570</v>
      </c>
      <c r="C217" s="12">
        <v>45240</v>
      </c>
      <c r="D217" t="s" s="13">
        <v>493</v>
      </c>
      <c r="E217" t="s" s="13">
        <v>2681</v>
      </c>
      <c r="F217" s="14">
        <v>5</v>
      </c>
      <c r="G217" s="15">
        <v>0</v>
      </c>
      <c r="H217" s="15">
        <v>0</v>
      </c>
    </row>
    <row r="218" ht="12.9" customHeight="1">
      <c r="A218" t="s" s="10">
        <v>3760</v>
      </c>
      <c r="B218" t="s" s="11">
        <v>1570</v>
      </c>
      <c r="C218" s="12">
        <v>45240</v>
      </c>
      <c r="D218" t="s" s="13">
        <v>57</v>
      </c>
      <c r="E218" t="s" s="13">
        <v>58</v>
      </c>
      <c r="F218" s="14">
        <v>2</v>
      </c>
      <c r="G218" s="15">
        <v>599.9924999999999</v>
      </c>
      <c r="H218" s="15">
        <v>1199.985</v>
      </c>
    </row>
    <row r="219" ht="12.9" customHeight="1">
      <c r="A219" t="s" s="10">
        <v>3760</v>
      </c>
      <c r="B219" t="s" s="11">
        <v>1570</v>
      </c>
      <c r="C219" s="12">
        <v>45240</v>
      </c>
      <c r="D219" t="s" s="13">
        <v>442</v>
      </c>
      <c r="E219" t="s" s="13">
        <v>3761</v>
      </c>
      <c r="F219" s="14">
        <v>1</v>
      </c>
      <c r="G219" s="15">
        <v>-484.78</v>
      </c>
      <c r="H219" s="15">
        <v>-484.78</v>
      </c>
    </row>
    <row r="220" ht="12.9" customHeight="1">
      <c r="A220" t="s" s="10">
        <v>3760</v>
      </c>
      <c r="B220" t="s" s="11">
        <v>1570</v>
      </c>
      <c r="C220" s="12">
        <v>45240</v>
      </c>
      <c r="D220" t="s" s="13">
        <v>63</v>
      </c>
      <c r="E220" s="16"/>
      <c r="F220" s="14">
        <v>1</v>
      </c>
      <c r="G220" s="15">
        <v>325</v>
      </c>
      <c r="H220" s="15">
        <v>325</v>
      </c>
    </row>
    <row r="221" ht="12.9" customHeight="1">
      <c r="A221" t="s" s="10">
        <v>3760</v>
      </c>
      <c r="B221" t="s" s="11">
        <v>1570</v>
      </c>
      <c r="C221" s="12">
        <v>45240</v>
      </c>
      <c r="D221" t="s" s="13">
        <v>861</v>
      </c>
      <c r="E221" s="16"/>
      <c r="F221" s="14">
        <v>1</v>
      </c>
      <c r="G221" s="15">
        <v>616.01</v>
      </c>
      <c r="H221" s="15">
        <v>616.01</v>
      </c>
    </row>
    <row r="222" ht="12.9" customHeight="1">
      <c r="A222" t="s" s="10">
        <v>3762</v>
      </c>
      <c r="B222" t="s" s="11">
        <v>3763</v>
      </c>
      <c r="C222" s="12">
        <v>45239.972486550927</v>
      </c>
      <c r="D222" t="s" s="13">
        <v>15</v>
      </c>
      <c r="E222" t="s" s="13">
        <v>16</v>
      </c>
      <c r="F222" s="14">
        <v>10</v>
      </c>
      <c r="G222" s="15">
        <v>8.49</v>
      </c>
      <c r="H222" s="15">
        <v>84.90000000000001</v>
      </c>
    </row>
    <row r="223" ht="12.9" customHeight="1">
      <c r="A223" t="s" s="10">
        <v>3764</v>
      </c>
      <c r="B223" t="s" s="11">
        <v>3765</v>
      </c>
      <c r="C223" s="12">
        <v>45239.925654722225</v>
      </c>
      <c r="D223" t="s" s="13">
        <v>95</v>
      </c>
      <c r="E223" t="s" s="13">
        <v>12</v>
      </c>
      <c r="F223" s="14">
        <v>1</v>
      </c>
      <c r="G223" s="15">
        <v>349.99</v>
      </c>
      <c r="H223" s="15">
        <v>349.99</v>
      </c>
    </row>
    <row r="224" ht="12.9" customHeight="1">
      <c r="A224" t="s" s="10">
        <v>3766</v>
      </c>
      <c r="B224" t="s" s="11">
        <v>2182</v>
      </c>
      <c r="C224" s="12">
        <v>45239.915046655093</v>
      </c>
      <c r="D224" t="s" s="13">
        <v>95</v>
      </c>
      <c r="E224" t="s" s="13">
        <v>12</v>
      </c>
      <c r="F224" s="14">
        <v>2</v>
      </c>
      <c r="G224" s="15">
        <v>349.99</v>
      </c>
      <c r="H224" s="15">
        <v>699.98</v>
      </c>
    </row>
    <row r="225" ht="12.9" customHeight="1">
      <c r="A225" t="s" s="10">
        <v>3767</v>
      </c>
      <c r="B225" t="s" s="11">
        <v>3768</v>
      </c>
      <c r="C225" s="12">
        <v>45239.810588726854</v>
      </c>
      <c r="D225" t="s" s="13">
        <v>31</v>
      </c>
      <c r="E225" t="s" s="13">
        <v>32</v>
      </c>
      <c r="F225" s="14">
        <v>1</v>
      </c>
      <c r="G225" s="15">
        <v>599.99</v>
      </c>
      <c r="H225" s="15">
        <v>599.99</v>
      </c>
    </row>
    <row r="226" ht="12.9" customHeight="1">
      <c r="A226" t="s" s="10">
        <v>3767</v>
      </c>
      <c r="B226" t="s" s="11">
        <v>3768</v>
      </c>
      <c r="C226" s="12">
        <v>45239.810588726854</v>
      </c>
      <c r="D226" t="s" s="13">
        <v>35</v>
      </c>
      <c r="E226" t="s" s="13">
        <v>36</v>
      </c>
      <c r="F226" s="14">
        <v>1</v>
      </c>
      <c r="G226" s="15">
        <v>49.99</v>
      </c>
      <c r="H226" s="15">
        <v>49.99</v>
      </c>
    </row>
    <row r="227" ht="12.9" customHeight="1">
      <c r="A227" t="s" s="10">
        <v>3769</v>
      </c>
      <c r="B227" t="s" s="11">
        <v>3770</v>
      </c>
      <c r="C227" s="12">
        <v>45239.707845486111</v>
      </c>
      <c r="D227" t="s" s="13">
        <v>35</v>
      </c>
      <c r="E227" t="s" s="13">
        <v>36</v>
      </c>
      <c r="F227" s="14">
        <v>1</v>
      </c>
      <c r="G227" s="15">
        <v>49.99</v>
      </c>
      <c r="H227" s="15">
        <v>49.99</v>
      </c>
    </row>
    <row r="228" ht="12.9" customHeight="1">
      <c r="A228" t="s" s="10">
        <v>3771</v>
      </c>
      <c r="B228" t="s" s="11">
        <v>3772</v>
      </c>
      <c r="C228" s="12">
        <v>45239.136440277776</v>
      </c>
      <c r="D228" t="s" s="13">
        <v>73</v>
      </c>
      <c r="E228" t="s" s="13">
        <v>74</v>
      </c>
      <c r="F228" s="14">
        <v>1</v>
      </c>
      <c r="G228" s="15">
        <v>399.99</v>
      </c>
      <c r="H228" s="15">
        <v>399.99</v>
      </c>
    </row>
    <row r="229" ht="12.9" customHeight="1">
      <c r="A229" t="s" s="10">
        <v>3773</v>
      </c>
      <c r="B229" t="s" s="11">
        <v>2292</v>
      </c>
      <c r="C229" s="12">
        <v>45239</v>
      </c>
      <c r="D229" t="s" s="13">
        <v>73</v>
      </c>
      <c r="E229" t="s" s="13">
        <v>74</v>
      </c>
      <c r="F229" s="14">
        <v>5</v>
      </c>
      <c r="G229" s="15">
        <v>374.99</v>
      </c>
      <c r="H229" s="15">
        <v>1874.95</v>
      </c>
    </row>
    <row r="230" ht="12.9" customHeight="1">
      <c r="A230" t="s" s="10">
        <v>3774</v>
      </c>
      <c r="B230" t="s" s="11">
        <v>122</v>
      </c>
      <c r="C230" s="12">
        <v>45239</v>
      </c>
      <c r="D230" t="s" s="13">
        <v>81</v>
      </c>
      <c r="E230" t="s" s="13">
        <v>82</v>
      </c>
      <c r="F230" s="14">
        <v>2</v>
      </c>
      <c r="G230" s="15">
        <v>637.4924999999999</v>
      </c>
      <c r="H230" s="15">
        <v>1274.985</v>
      </c>
    </row>
    <row r="231" ht="12.9" customHeight="1">
      <c r="A231" t="s" s="10">
        <v>3774</v>
      </c>
      <c r="B231" t="s" s="11">
        <v>122</v>
      </c>
      <c r="C231" s="12">
        <v>45239</v>
      </c>
      <c r="D231" t="s" s="13">
        <v>50</v>
      </c>
      <c r="E231" t="s" s="13">
        <v>83</v>
      </c>
      <c r="F231" s="14">
        <v>2</v>
      </c>
      <c r="G231" s="15">
        <v>0</v>
      </c>
      <c r="H231" s="15">
        <v>0</v>
      </c>
    </row>
    <row r="232" ht="12.9" customHeight="1">
      <c r="A232" t="s" s="10">
        <v>3774</v>
      </c>
      <c r="B232" t="s" s="11">
        <v>122</v>
      </c>
      <c r="C232" s="12">
        <v>45239</v>
      </c>
      <c r="D232" t="s" s="13">
        <v>23</v>
      </c>
      <c r="E232" t="s" s="13">
        <v>24</v>
      </c>
      <c r="F232" s="14">
        <v>2</v>
      </c>
      <c r="G232" s="15">
        <v>0</v>
      </c>
      <c r="H232" s="15">
        <v>0</v>
      </c>
    </row>
    <row r="233" ht="12.9" customHeight="1">
      <c r="A233" t="s" s="10">
        <v>3774</v>
      </c>
      <c r="B233" t="s" s="11">
        <v>122</v>
      </c>
      <c r="C233" s="12">
        <v>45239</v>
      </c>
      <c r="D233" t="s" s="13">
        <v>84</v>
      </c>
      <c r="E233" t="s" s="13">
        <v>2685</v>
      </c>
      <c r="F233" s="14">
        <v>2</v>
      </c>
      <c r="G233" s="15">
        <v>0</v>
      </c>
      <c r="H233" s="15">
        <v>0</v>
      </c>
    </row>
    <row r="234" ht="12.9" customHeight="1">
      <c r="A234" t="s" s="10">
        <v>3774</v>
      </c>
      <c r="B234" t="s" s="11">
        <v>122</v>
      </c>
      <c r="C234" s="12">
        <v>45239</v>
      </c>
      <c r="D234" t="s" s="13">
        <v>73</v>
      </c>
      <c r="E234" t="s" s="13">
        <v>74</v>
      </c>
      <c r="F234" s="14">
        <v>1</v>
      </c>
      <c r="G234" s="15">
        <v>299.9925</v>
      </c>
      <c r="H234" s="15">
        <v>299.9925</v>
      </c>
    </row>
    <row r="235" ht="12.9" customHeight="1">
      <c r="A235" t="s" s="10">
        <v>3774</v>
      </c>
      <c r="B235" t="s" s="11">
        <v>122</v>
      </c>
      <c r="C235" s="12">
        <v>45239</v>
      </c>
      <c r="D235" t="s" s="13">
        <v>63</v>
      </c>
      <c r="E235" s="16"/>
      <c r="F235" s="14">
        <v>1</v>
      </c>
      <c r="G235" s="15">
        <v>74.93000000000001</v>
      </c>
      <c r="H235" s="15">
        <v>74.93000000000001</v>
      </c>
    </row>
    <row r="236" ht="12.9" customHeight="1">
      <c r="A236" t="s" s="10">
        <v>3775</v>
      </c>
      <c r="B236" t="s" s="11">
        <v>3776</v>
      </c>
      <c r="C236" s="12">
        <v>45238.989008611112</v>
      </c>
      <c r="D236" t="s" s="13">
        <v>171</v>
      </c>
      <c r="E236" t="s" s="13">
        <v>172</v>
      </c>
      <c r="F236" s="14">
        <v>1</v>
      </c>
      <c r="G236" s="15">
        <v>549.99</v>
      </c>
      <c r="H236" s="15">
        <v>549.99</v>
      </c>
    </row>
    <row r="237" ht="12.9" customHeight="1">
      <c r="A237" t="s" s="10">
        <v>3777</v>
      </c>
      <c r="B237" t="s" s="11">
        <v>3697</v>
      </c>
      <c r="C237" s="12">
        <v>45238.935313622685</v>
      </c>
      <c r="D237" t="s" s="13">
        <v>23</v>
      </c>
      <c r="E237" t="s" s="13">
        <v>24</v>
      </c>
      <c r="F237" s="14">
        <v>1</v>
      </c>
      <c r="G237" s="15">
        <v>149.99</v>
      </c>
      <c r="H237" s="15">
        <v>149.99</v>
      </c>
    </row>
    <row r="238" ht="12.9" customHeight="1">
      <c r="A238" t="s" s="10">
        <v>3777</v>
      </c>
      <c r="B238" t="s" s="11">
        <v>3697</v>
      </c>
      <c r="C238" s="12">
        <v>45238.935313622685</v>
      </c>
      <c r="D238" t="s" s="13">
        <v>35</v>
      </c>
      <c r="E238" t="s" s="13">
        <v>36</v>
      </c>
      <c r="F238" s="14">
        <v>1</v>
      </c>
      <c r="G238" s="15">
        <v>49.99</v>
      </c>
      <c r="H238" s="15">
        <v>49.99</v>
      </c>
    </row>
    <row r="239" ht="12.9" customHeight="1">
      <c r="A239" t="s" s="10">
        <v>3777</v>
      </c>
      <c r="B239" t="s" s="11">
        <v>3697</v>
      </c>
      <c r="C239" s="12">
        <v>45238.935313622685</v>
      </c>
      <c r="D239" t="s" s="13">
        <v>89</v>
      </c>
      <c r="E239" t="s" s="13">
        <v>90</v>
      </c>
      <c r="F239" s="14">
        <v>1</v>
      </c>
      <c r="G239" s="15">
        <v>59.99</v>
      </c>
      <c r="H239" s="15">
        <v>59.99</v>
      </c>
    </row>
    <row r="240" ht="12.9" customHeight="1">
      <c r="A240" t="s" s="10">
        <v>3778</v>
      </c>
      <c r="B240" t="s" s="11">
        <v>3779</v>
      </c>
      <c r="C240" s="12">
        <v>45238.845614120371</v>
      </c>
      <c r="D240" t="s" s="13">
        <v>35</v>
      </c>
      <c r="E240" t="s" s="13">
        <v>36</v>
      </c>
      <c r="F240" s="14">
        <v>1</v>
      </c>
      <c r="G240" s="15">
        <v>49.99</v>
      </c>
      <c r="H240" s="15">
        <v>49.99</v>
      </c>
    </row>
    <row r="241" ht="12.9" customHeight="1">
      <c r="A241" t="s" s="10">
        <v>3780</v>
      </c>
      <c r="B241" t="s" s="11">
        <v>3781</v>
      </c>
      <c r="C241" s="12">
        <v>45238.757255752316</v>
      </c>
      <c r="D241" t="s" s="13">
        <v>73</v>
      </c>
      <c r="E241" t="s" s="13">
        <v>74</v>
      </c>
      <c r="F241" s="14">
        <v>2</v>
      </c>
      <c r="G241" s="15">
        <v>399.99</v>
      </c>
      <c r="H241" s="15">
        <v>799.98</v>
      </c>
    </row>
    <row r="242" ht="12.9" customHeight="1">
      <c r="A242" t="s" s="10">
        <v>3782</v>
      </c>
      <c r="B242" t="s" s="11">
        <v>3783</v>
      </c>
      <c r="C242" s="12">
        <v>45238.0475662963</v>
      </c>
      <c r="D242" t="s" s="13">
        <v>35</v>
      </c>
      <c r="E242" t="s" s="13">
        <v>36</v>
      </c>
      <c r="F242" s="14">
        <v>1</v>
      </c>
      <c r="G242" s="15">
        <v>49.99</v>
      </c>
      <c r="H242" s="15">
        <v>49.99</v>
      </c>
    </row>
    <row r="243" ht="12.9" customHeight="1">
      <c r="A243" t="s" s="10">
        <v>3784</v>
      </c>
      <c r="B243" t="s" s="11">
        <v>3781</v>
      </c>
      <c r="C243" s="12">
        <v>45238</v>
      </c>
      <c r="D243" t="s" s="13">
        <v>3785</v>
      </c>
      <c r="E243" s="16"/>
      <c r="F243" s="14">
        <v>1</v>
      </c>
      <c r="G243" s="15">
        <v>48.46</v>
      </c>
      <c r="H243" s="15">
        <v>48.46</v>
      </c>
    </row>
    <row r="244" ht="12.9" customHeight="1">
      <c r="A244" t="s" s="10">
        <v>3786</v>
      </c>
      <c r="B244" t="s" s="11">
        <v>473</v>
      </c>
      <c r="C244" s="12">
        <v>45238</v>
      </c>
      <c r="D244" t="s" s="13">
        <v>359</v>
      </c>
      <c r="E244" t="s" s="13">
        <v>360</v>
      </c>
      <c r="F244" s="14">
        <v>10</v>
      </c>
      <c r="G244" s="15">
        <v>22.4925</v>
      </c>
      <c r="H244" s="15">
        <v>224.925</v>
      </c>
    </row>
    <row r="245" ht="12.9" customHeight="1">
      <c r="A245" t="s" s="10">
        <v>3786</v>
      </c>
      <c r="B245" t="s" s="11">
        <v>473</v>
      </c>
      <c r="C245" s="12">
        <v>45238</v>
      </c>
      <c r="D245" t="s" s="13">
        <v>47</v>
      </c>
      <c r="E245" s="16"/>
      <c r="F245" s="14">
        <v>1</v>
      </c>
      <c r="G245" s="15">
        <v>25</v>
      </c>
      <c r="H245" s="15">
        <v>25</v>
      </c>
    </row>
    <row r="246" ht="12.9" customHeight="1">
      <c r="A246" t="s" s="10">
        <v>3787</v>
      </c>
      <c r="B246" t="s" s="11">
        <v>789</v>
      </c>
      <c r="C246" s="12">
        <v>45237.872088726850</v>
      </c>
      <c r="D246" t="s" s="13">
        <v>35</v>
      </c>
      <c r="E246" t="s" s="13">
        <v>36</v>
      </c>
      <c r="F246" s="14">
        <v>5</v>
      </c>
      <c r="G246" s="15">
        <v>49.99</v>
      </c>
      <c r="H246" s="15">
        <v>249.95</v>
      </c>
    </row>
    <row r="247" ht="12.9" customHeight="1">
      <c r="A247" t="s" s="10">
        <v>3788</v>
      </c>
      <c r="B247" t="s" s="11">
        <v>3789</v>
      </c>
      <c r="C247" s="12">
        <v>45237.860970358794</v>
      </c>
      <c r="D247" t="s" s="13">
        <v>73</v>
      </c>
      <c r="E247" t="s" s="13">
        <v>74</v>
      </c>
      <c r="F247" s="14">
        <v>2</v>
      </c>
      <c r="G247" s="15">
        <v>399.99</v>
      </c>
      <c r="H247" s="15">
        <v>799.98</v>
      </c>
    </row>
    <row r="248" ht="12.9" customHeight="1">
      <c r="A248" t="s" s="10">
        <v>3788</v>
      </c>
      <c r="B248" t="s" s="11">
        <v>3789</v>
      </c>
      <c r="C248" s="12">
        <v>45237.860970358794</v>
      </c>
      <c r="D248" t="s" s="13">
        <v>89</v>
      </c>
      <c r="E248" t="s" s="13">
        <v>90</v>
      </c>
      <c r="F248" s="14">
        <v>1</v>
      </c>
      <c r="G248" s="15">
        <v>59.99</v>
      </c>
      <c r="H248" s="15">
        <v>59.99</v>
      </c>
    </row>
    <row r="249" ht="12.9" customHeight="1">
      <c r="A249" t="s" s="10">
        <v>3788</v>
      </c>
      <c r="B249" t="s" s="11">
        <v>3789</v>
      </c>
      <c r="C249" s="12">
        <v>45237.860970358794</v>
      </c>
      <c r="D249" t="s" s="13">
        <v>81</v>
      </c>
      <c r="E249" t="s" s="13">
        <v>82</v>
      </c>
      <c r="F249" s="14">
        <v>2</v>
      </c>
      <c r="G249" s="15">
        <v>849.99</v>
      </c>
      <c r="H249" s="15">
        <v>1699.98</v>
      </c>
    </row>
    <row r="250" ht="12.9" customHeight="1">
      <c r="A250" t="s" s="10">
        <v>3788</v>
      </c>
      <c r="B250" t="s" s="11">
        <v>3789</v>
      </c>
      <c r="C250" s="12">
        <v>45237.860970358794</v>
      </c>
      <c r="D250" t="s" s="13">
        <v>133</v>
      </c>
      <c r="E250" t="s" s="13">
        <v>134</v>
      </c>
      <c r="F250" s="14">
        <v>2</v>
      </c>
      <c r="G250" s="15">
        <v>50</v>
      </c>
      <c r="H250" s="15">
        <v>100</v>
      </c>
    </row>
    <row r="251" ht="12.9" customHeight="1">
      <c r="A251" t="s" s="10">
        <v>3788</v>
      </c>
      <c r="B251" t="s" s="11">
        <v>3789</v>
      </c>
      <c r="C251" s="12">
        <v>45237.860970358794</v>
      </c>
      <c r="D251" t="s" s="13">
        <v>227</v>
      </c>
      <c r="E251" t="s" s="13">
        <v>228</v>
      </c>
      <c r="F251" s="14">
        <v>4</v>
      </c>
      <c r="G251" s="15">
        <v>29.99</v>
      </c>
      <c r="H251" s="15">
        <v>119.96</v>
      </c>
    </row>
    <row r="252" ht="12.9" customHeight="1">
      <c r="A252" t="s" s="10">
        <v>3788</v>
      </c>
      <c r="B252" t="s" s="11">
        <v>3789</v>
      </c>
      <c r="C252" s="12">
        <v>45237.860970358794</v>
      </c>
      <c r="D252" t="s" s="13">
        <v>660</v>
      </c>
      <c r="E252" t="s" s="13">
        <v>661</v>
      </c>
      <c r="F252" s="14">
        <v>2</v>
      </c>
      <c r="G252" s="15">
        <v>5.99</v>
      </c>
      <c r="H252" s="15">
        <v>11.98</v>
      </c>
    </row>
    <row r="253" ht="12.9" customHeight="1">
      <c r="A253" t="s" s="10">
        <v>3788</v>
      </c>
      <c r="B253" t="s" s="11">
        <v>3789</v>
      </c>
      <c r="C253" s="12">
        <v>45237.860970358794</v>
      </c>
      <c r="D253" t="s" s="13">
        <v>50</v>
      </c>
      <c r="E253" t="s" s="13">
        <v>83</v>
      </c>
      <c r="F253" s="14">
        <v>2</v>
      </c>
      <c r="G253" s="15">
        <v>0</v>
      </c>
      <c r="H253" s="15">
        <v>0</v>
      </c>
    </row>
    <row r="254" ht="12.9" customHeight="1">
      <c r="A254" t="s" s="10">
        <v>3788</v>
      </c>
      <c r="B254" t="s" s="11">
        <v>3789</v>
      </c>
      <c r="C254" s="12">
        <v>45237.860970358794</v>
      </c>
      <c r="D254" t="s" s="13">
        <v>84</v>
      </c>
      <c r="E254" t="s" s="13">
        <v>2685</v>
      </c>
      <c r="F254" s="14">
        <v>2</v>
      </c>
      <c r="G254" s="15">
        <v>0</v>
      </c>
      <c r="H254" s="15">
        <v>0</v>
      </c>
    </row>
    <row r="255" ht="12.9" customHeight="1">
      <c r="A255" t="s" s="10">
        <v>3788</v>
      </c>
      <c r="B255" t="s" s="11">
        <v>3789</v>
      </c>
      <c r="C255" s="12">
        <v>45237.860970358794</v>
      </c>
      <c r="D255" t="s" s="13">
        <v>11</v>
      </c>
      <c r="E255" t="s" s="13">
        <v>12</v>
      </c>
      <c r="F255" s="14">
        <v>1</v>
      </c>
      <c r="G255" s="15">
        <v>399.99</v>
      </c>
      <c r="H255" s="15">
        <v>399.99</v>
      </c>
    </row>
    <row r="256" ht="12.9" customHeight="1">
      <c r="A256" t="s" s="10">
        <v>3790</v>
      </c>
      <c r="B256" t="s" s="11">
        <v>2714</v>
      </c>
      <c r="C256" s="12">
        <v>45237.775891527781</v>
      </c>
      <c r="D256" t="s" s="13">
        <v>1717</v>
      </c>
      <c r="E256" t="s" s="13">
        <v>1718</v>
      </c>
      <c r="F256" s="14">
        <v>2</v>
      </c>
      <c r="G256" s="15">
        <v>99.98999999999999</v>
      </c>
      <c r="H256" s="15">
        <v>199.98</v>
      </c>
    </row>
    <row r="257" ht="12.9" customHeight="1">
      <c r="A257" t="s" s="10">
        <v>3790</v>
      </c>
      <c r="B257" t="s" s="11">
        <v>2714</v>
      </c>
      <c r="C257" s="12">
        <v>45237.775891527781</v>
      </c>
      <c r="D257" t="s" s="13">
        <v>239</v>
      </c>
      <c r="E257" t="s" s="13">
        <v>240</v>
      </c>
      <c r="F257" s="14">
        <v>2</v>
      </c>
      <c r="G257" s="15">
        <v>99.98999999999999</v>
      </c>
      <c r="H257" s="15">
        <v>199.98</v>
      </c>
    </row>
    <row r="258" ht="12.9" customHeight="1">
      <c r="A258" t="s" s="10">
        <v>3790</v>
      </c>
      <c r="B258" t="s" s="11">
        <v>2714</v>
      </c>
      <c r="C258" s="12">
        <v>45237.775891527781</v>
      </c>
      <c r="D258" t="s" s="13">
        <v>462</v>
      </c>
      <c r="E258" t="s" s="13">
        <v>463</v>
      </c>
      <c r="F258" s="14">
        <v>2</v>
      </c>
      <c r="G258" s="15">
        <v>199.99</v>
      </c>
      <c r="H258" s="15">
        <v>399.98</v>
      </c>
    </row>
    <row r="259" ht="12.9" customHeight="1">
      <c r="A259" t="s" s="10">
        <v>3791</v>
      </c>
      <c r="B259" t="s" s="11">
        <v>3792</v>
      </c>
      <c r="C259" s="12">
        <v>45237</v>
      </c>
      <c r="D259" t="s" s="13">
        <v>254</v>
      </c>
      <c r="E259" t="s" s="13">
        <v>3793</v>
      </c>
      <c r="F259" s="14">
        <v>1</v>
      </c>
      <c r="G259" s="15">
        <v>0</v>
      </c>
      <c r="H259" s="15">
        <v>0</v>
      </c>
    </row>
    <row r="260" ht="12.9" customHeight="1">
      <c r="A260" t="s" s="10">
        <v>3794</v>
      </c>
      <c r="B260" t="s" s="11">
        <v>911</v>
      </c>
      <c r="C260" s="12">
        <v>45237</v>
      </c>
      <c r="D260" t="s" s="13">
        <v>585</v>
      </c>
      <c r="E260" t="s" s="13">
        <v>586</v>
      </c>
      <c r="F260" s="14">
        <v>4</v>
      </c>
      <c r="G260" s="15">
        <v>499.99</v>
      </c>
      <c r="H260" s="15">
        <v>1999.96</v>
      </c>
    </row>
    <row r="261" ht="12.9" customHeight="1">
      <c r="A261" t="s" s="10">
        <v>3795</v>
      </c>
      <c r="B261" t="s" s="11">
        <v>3796</v>
      </c>
      <c r="C261" s="12">
        <v>45236.924873067132</v>
      </c>
      <c r="D261" t="s" s="13">
        <v>19</v>
      </c>
      <c r="E261" t="s" s="13">
        <v>20</v>
      </c>
      <c r="F261" s="14">
        <v>7</v>
      </c>
      <c r="G261" s="15">
        <v>119.99</v>
      </c>
      <c r="H261" s="15">
        <v>839.9299999999999</v>
      </c>
    </row>
    <row r="262" ht="12.9" customHeight="1">
      <c r="A262" t="s" s="10">
        <v>3795</v>
      </c>
      <c r="B262" t="s" s="11">
        <v>3796</v>
      </c>
      <c r="C262" s="12">
        <v>45236.924873067132</v>
      </c>
      <c r="D262" t="s" s="13">
        <v>15</v>
      </c>
      <c r="E262" t="s" s="13">
        <v>16</v>
      </c>
      <c r="F262" s="14">
        <v>7</v>
      </c>
      <c r="G262" s="15">
        <v>8.99</v>
      </c>
      <c r="H262" s="15">
        <v>62.93</v>
      </c>
    </row>
    <row r="263" ht="12.9" customHeight="1">
      <c r="A263" t="s" s="10">
        <v>3795</v>
      </c>
      <c r="B263" t="s" s="11">
        <v>3796</v>
      </c>
      <c r="C263" s="12">
        <v>45236.924873067132</v>
      </c>
      <c r="D263" t="s" s="13">
        <v>1717</v>
      </c>
      <c r="E263" t="s" s="13">
        <v>1718</v>
      </c>
      <c r="F263" s="14">
        <v>4</v>
      </c>
      <c r="G263" s="15">
        <v>99.98999999999999</v>
      </c>
      <c r="H263" s="15">
        <v>399.96</v>
      </c>
    </row>
    <row r="264" ht="12.9" customHeight="1">
      <c r="A264" t="s" s="10">
        <v>3795</v>
      </c>
      <c r="B264" t="s" s="11">
        <v>3796</v>
      </c>
      <c r="C264" s="12">
        <v>45236.924873067132</v>
      </c>
      <c r="D264" t="s" s="13">
        <v>354</v>
      </c>
      <c r="E264" t="s" s="13">
        <v>355</v>
      </c>
      <c r="F264" s="14">
        <v>2</v>
      </c>
      <c r="G264" s="15">
        <v>149.99</v>
      </c>
      <c r="H264" s="15">
        <v>299.98</v>
      </c>
    </row>
    <row r="265" ht="12.9" customHeight="1">
      <c r="A265" t="s" s="10">
        <v>3795</v>
      </c>
      <c r="B265" t="s" s="11">
        <v>3796</v>
      </c>
      <c r="C265" s="12">
        <v>45236.924873067132</v>
      </c>
      <c r="D265" t="s" s="13">
        <v>239</v>
      </c>
      <c r="E265" t="s" s="13">
        <v>240</v>
      </c>
      <c r="F265" s="14">
        <v>6</v>
      </c>
      <c r="G265" s="15">
        <v>99.98999999999999</v>
      </c>
      <c r="H265" s="15">
        <v>599.9400000000001</v>
      </c>
    </row>
    <row r="266" ht="12.9" customHeight="1">
      <c r="A266" t="s" s="10">
        <v>3795</v>
      </c>
      <c r="B266" t="s" s="11">
        <v>3796</v>
      </c>
      <c r="C266" s="12">
        <v>45236.924873067132</v>
      </c>
      <c r="D266" t="s" s="13">
        <v>462</v>
      </c>
      <c r="E266" t="s" s="13">
        <v>463</v>
      </c>
      <c r="F266" s="14">
        <v>4</v>
      </c>
      <c r="G266" s="15">
        <v>199.99</v>
      </c>
      <c r="H266" s="15">
        <v>799.96</v>
      </c>
    </row>
    <row r="267" ht="12.9" customHeight="1">
      <c r="A267" t="s" s="10">
        <v>3797</v>
      </c>
      <c r="B267" t="s" s="11">
        <v>3372</v>
      </c>
      <c r="C267" s="12">
        <v>45236.831763576389</v>
      </c>
      <c r="D267" t="s" s="13">
        <v>354</v>
      </c>
      <c r="E267" t="s" s="13">
        <v>355</v>
      </c>
      <c r="F267" s="14">
        <v>4</v>
      </c>
      <c r="G267" s="15">
        <v>149.99</v>
      </c>
      <c r="H267" s="15">
        <v>599.96</v>
      </c>
    </row>
    <row r="268" ht="12.9" customHeight="1">
      <c r="A268" t="s" s="10">
        <v>3797</v>
      </c>
      <c r="B268" t="s" s="11">
        <v>3372</v>
      </c>
      <c r="C268" s="12">
        <v>45236.831763576389</v>
      </c>
      <c r="D268" t="s" s="13">
        <v>59</v>
      </c>
      <c r="E268" t="s" s="13">
        <v>60</v>
      </c>
      <c r="F268" s="14">
        <v>1</v>
      </c>
      <c r="G268" s="15">
        <v>1199.99</v>
      </c>
      <c r="H268" s="15">
        <v>1199.99</v>
      </c>
    </row>
    <row r="269" ht="12.9" customHeight="1">
      <c r="A269" t="s" s="10">
        <v>3797</v>
      </c>
      <c r="B269" t="s" s="11">
        <v>3372</v>
      </c>
      <c r="C269" s="12">
        <v>45236.831763576389</v>
      </c>
      <c r="D269" t="s" s="13">
        <v>81</v>
      </c>
      <c r="E269" t="s" s="13">
        <v>82</v>
      </c>
      <c r="F269" s="14">
        <v>2</v>
      </c>
      <c r="G269" s="15">
        <v>849.99</v>
      </c>
      <c r="H269" s="15">
        <v>1699.98</v>
      </c>
    </row>
    <row r="270" ht="12.9" customHeight="1">
      <c r="A270" t="s" s="10">
        <v>3797</v>
      </c>
      <c r="B270" t="s" s="11">
        <v>3372</v>
      </c>
      <c r="C270" s="12">
        <v>45236.831763576389</v>
      </c>
      <c r="D270" t="s" s="13">
        <v>23</v>
      </c>
      <c r="E270" t="s" s="13">
        <v>24</v>
      </c>
      <c r="F270" s="14">
        <v>2</v>
      </c>
      <c r="G270" s="15">
        <v>0</v>
      </c>
      <c r="H270" s="15">
        <v>0</v>
      </c>
    </row>
    <row r="271" ht="12.9" customHeight="1">
      <c r="A271" t="s" s="10">
        <v>3797</v>
      </c>
      <c r="B271" t="s" s="11">
        <v>3372</v>
      </c>
      <c r="C271" s="12">
        <v>45236.831763576389</v>
      </c>
      <c r="D271" t="s" s="13">
        <v>227</v>
      </c>
      <c r="E271" t="s" s="13">
        <v>228</v>
      </c>
      <c r="F271" s="14">
        <v>4</v>
      </c>
      <c r="G271" s="15">
        <v>29.99</v>
      </c>
      <c r="H271" s="15">
        <v>119.96</v>
      </c>
    </row>
    <row r="272" ht="12.9" customHeight="1">
      <c r="A272" t="s" s="10">
        <v>3797</v>
      </c>
      <c r="B272" t="s" s="11">
        <v>3372</v>
      </c>
      <c r="C272" s="12">
        <v>45236.831763576389</v>
      </c>
      <c r="D272" t="s" s="13">
        <v>50</v>
      </c>
      <c r="E272" t="s" s="13">
        <v>83</v>
      </c>
      <c r="F272" s="14">
        <v>2</v>
      </c>
      <c r="G272" s="15">
        <v>0</v>
      </c>
      <c r="H272" s="15">
        <v>0</v>
      </c>
    </row>
    <row r="273" ht="12.9" customHeight="1">
      <c r="A273" t="s" s="10">
        <v>3797</v>
      </c>
      <c r="B273" t="s" s="11">
        <v>3372</v>
      </c>
      <c r="C273" s="12">
        <v>45236.831763576389</v>
      </c>
      <c r="D273" t="s" s="13">
        <v>84</v>
      </c>
      <c r="E273" t="s" s="13">
        <v>2685</v>
      </c>
      <c r="F273" s="14">
        <v>2</v>
      </c>
      <c r="G273" s="15">
        <v>0</v>
      </c>
      <c r="H273" s="15">
        <v>0</v>
      </c>
    </row>
    <row r="274" ht="12.9" customHeight="1">
      <c r="A274" t="s" s="10">
        <v>3797</v>
      </c>
      <c r="B274" t="s" s="11">
        <v>3372</v>
      </c>
      <c r="C274" s="12">
        <v>45236.831763576389</v>
      </c>
      <c r="D274" t="s" s="13">
        <v>1695</v>
      </c>
      <c r="E274" t="s" s="13">
        <v>140</v>
      </c>
      <c r="F274" s="14">
        <v>2</v>
      </c>
      <c r="G274" s="15">
        <v>49.99</v>
      </c>
      <c r="H274" s="15">
        <v>99.98</v>
      </c>
    </row>
    <row r="275" ht="12.9" customHeight="1">
      <c r="A275" t="s" s="10">
        <v>3797</v>
      </c>
      <c r="B275" t="s" s="11">
        <v>3372</v>
      </c>
      <c r="C275" s="12">
        <v>45236.831763576389</v>
      </c>
      <c r="D275" t="s" s="13">
        <v>15</v>
      </c>
      <c r="E275" t="s" s="13">
        <v>16</v>
      </c>
      <c r="F275" s="14">
        <v>2</v>
      </c>
      <c r="G275" s="15">
        <v>9.99</v>
      </c>
      <c r="H275" s="15">
        <v>19.98</v>
      </c>
    </row>
    <row r="276" ht="12.9" customHeight="1">
      <c r="A276" t="s" s="10">
        <v>3798</v>
      </c>
      <c r="B276" t="s" s="11">
        <v>3799</v>
      </c>
      <c r="C276" s="12">
        <v>45236.7968456713</v>
      </c>
      <c r="D276" t="s" s="13">
        <v>11</v>
      </c>
      <c r="E276" t="s" s="13">
        <v>12</v>
      </c>
      <c r="F276" s="14">
        <v>1</v>
      </c>
      <c r="G276" s="15">
        <v>399.99</v>
      </c>
      <c r="H276" s="15">
        <v>399.99</v>
      </c>
    </row>
    <row r="277" ht="12.9" customHeight="1">
      <c r="A277" t="s" s="10">
        <v>3800</v>
      </c>
      <c r="B277" t="s" s="11">
        <v>3801</v>
      </c>
      <c r="C277" s="12">
        <v>45236.735359849539</v>
      </c>
      <c r="D277" t="s" s="13">
        <v>54</v>
      </c>
      <c r="E277" t="s" s="13">
        <v>93</v>
      </c>
      <c r="F277" s="14">
        <v>1</v>
      </c>
      <c r="G277" s="15">
        <v>9.99</v>
      </c>
      <c r="H277" s="15">
        <v>9.99</v>
      </c>
    </row>
    <row r="278" ht="12.9" customHeight="1">
      <c r="A278" t="s" s="10">
        <v>3800</v>
      </c>
      <c r="B278" t="s" s="11">
        <v>3801</v>
      </c>
      <c r="C278" s="12">
        <v>45236.735359849539</v>
      </c>
      <c r="D278" t="s" s="13">
        <v>15</v>
      </c>
      <c r="E278" t="s" s="13">
        <v>16</v>
      </c>
      <c r="F278" s="14">
        <v>1</v>
      </c>
      <c r="G278" s="15">
        <v>9.99</v>
      </c>
      <c r="H278" s="15">
        <v>9.99</v>
      </c>
    </row>
    <row r="279" ht="12.9" customHeight="1">
      <c r="A279" t="s" s="10">
        <v>3802</v>
      </c>
      <c r="B279" t="s" s="11">
        <v>3803</v>
      </c>
      <c r="C279" s="12">
        <v>45236.7249158449</v>
      </c>
      <c r="D279" t="s" s="13">
        <v>589</v>
      </c>
      <c r="E279" t="s" s="13">
        <v>590</v>
      </c>
      <c r="F279" s="14">
        <v>2</v>
      </c>
      <c r="G279" s="15">
        <v>7.49</v>
      </c>
      <c r="H279" s="15">
        <v>14.98</v>
      </c>
    </row>
    <row r="280" ht="12.9" customHeight="1">
      <c r="A280" t="s" s="10">
        <v>3802</v>
      </c>
      <c r="B280" t="s" s="11">
        <v>3803</v>
      </c>
      <c r="C280" s="12">
        <v>45236.7249158449</v>
      </c>
      <c r="D280" t="s" s="13">
        <v>369</v>
      </c>
      <c r="E280" t="s" s="13">
        <v>370</v>
      </c>
      <c r="F280" s="14">
        <v>1</v>
      </c>
      <c r="G280" s="15">
        <v>12.99</v>
      </c>
      <c r="H280" s="15">
        <v>12.99</v>
      </c>
    </row>
    <row r="281" ht="12.9" customHeight="1">
      <c r="A281" t="s" s="10">
        <v>3802</v>
      </c>
      <c r="B281" t="s" s="11">
        <v>3803</v>
      </c>
      <c r="C281" s="12">
        <v>45236.7249158449</v>
      </c>
      <c r="D281" t="s" s="13">
        <v>50</v>
      </c>
      <c r="E281" t="s" s="13">
        <v>83</v>
      </c>
      <c r="F281" s="14">
        <v>1</v>
      </c>
      <c r="G281" s="15">
        <v>29.99</v>
      </c>
      <c r="H281" s="15">
        <v>29.99</v>
      </c>
    </row>
    <row r="282" ht="12.9" customHeight="1">
      <c r="A282" t="s" s="10">
        <v>3804</v>
      </c>
      <c r="B282" t="s" s="11">
        <v>3805</v>
      </c>
      <c r="C282" s="12">
        <v>45236.712501273149</v>
      </c>
      <c r="D282" t="s" s="13">
        <v>35</v>
      </c>
      <c r="E282" t="s" s="13">
        <v>36</v>
      </c>
      <c r="F282" s="14">
        <v>3</v>
      </c>
      <c r="G282" s="15">
        <v>49.99</v>
      </c>
      <c r="H282" s="15">
        <v>149.97</v>
      </c>
    </row>
    <row r="283" ht="12.9" customHeight="1">
      <c r="A283" t="s" s="10">
        <v>3806</v>
      </c>
      <c r="B283" t="s" s="11">
        <v>831</v>
      </c>
      <c r="C283" s="12">
        <v>45236</v>
      </c>
      <c r="D283" t="s" s="13">
        <v>468</v>
      </c>
      <c r="E283" t="s" s="13">
        <v>469</v>
      </c>
      <c r="F283" s="14">
        <v>4</v>
      </c>
      <c r="G283" s="15">
        <v>1874.9925</v>
      </c>
      <c r="H283" s="15">
        <v>7499.97</v>
      </c>
    </row>
    <row r="284" ht="12.9" customHeight="1">
      <c r="A284" t="s" s="10">
        <v>3806</v>
      </c>
      <c r="B284" t="s" s="11">
        <v>831</v>
      </c>
      <c r="C284" s="12">
        <v>45236</v>
      </c>
      <c r="D284" t="s" s="13">
        <v>133</v>
      </c>
      <c r="E284" t="s" s="13">
        <v>134</v>
      </c>
      <c r="F284" s="14">
        <v>16</v>
      </c>
      <c r="G284" s="15">
        <v>37.5</v>
      </c>
      <c r="H284" s="15">
        <v>600</v>
      </c>
    </row>
    <row r="285" ht="12.9" customHeight="1">
      <c r="A285" t="s" s="10">
        <v>3806</v>
      </c>
      <c r="B285" t="s" s="11">
        <v>831</v>
      </c>
      <c r="C285" s="12">
        <v>45236</v>
      </c>
      <c r="D285" t="s" s="13">
        <v>50</v>
      </c>
      <c r="E285" t="s" s="13">
        <v>83</v>
      </c>
      <c r="F285" s="14">
        <v>4</v>
      </c>
      <c r="G285" s="15">
        <v>0</v>
      </c>
      <c r="H285" s="15">
        <v>0</v>
      </c>
    </row>
    <row r="286" ht="12.9" customHeight="1">
      <c r="A286" t="s" s="10">
        <v>3806</v>
      </c>
      <c r="B286" t="s" s="11">
        <v>831</v>
      </c>
      <c r="C286" s="12">
        <v>45236</v>
      </c>
      <c r="D286" t="s" s="13">
        <v>54</v>
      </c>
      <c r="E286" t="s" s="13">
        <v>93</v>
      </c>
      <c r="F286" s="14">
        <v>16</v>
      </c>
      <c r="G286" s="15">
        <v>0</v>
      </c>
      <c r="H286" s="15">
        <v>0</v>
      </c>
    </row>
    <row r="287" ht="12.9" customHeight="1">
      <c r="A287" t="s" s="10">
        <v>3806</v>
      </c>
      <c r="B287" t="s" s="11">
        <v>831</v>
      </c>
      <c r="C287" s="12">
        <v>45236</v>
      </c>
      <c r="D287" t="s" s="13">
        <v>15</v>
      </c>
      <c r="E287" t="s" s="13">
        <v>16</v>
      </c>
      <c r="F287" s="14">
        <v>16</v>
      </c>
      <c r="G287" s="15">
        <v>0</v>
      </c>
      <c r="H287" s="15">
        <v>0</v>
      </c>
    </row>
    <row r="288" ht="12.9" customHeight="1">
      <c r="A288" t="s" s="10">
        <v>3806</v>
      </c>
      <c r="B288" t="s" s="11">
        <v>831</v>
      </c>
      <c r="C288" s="12">
        <v>45236</v>
      </c>
      <c r="D288" t="s" s="13">
        <v>59</v>
      </c>
      <c r="E288" t="s" s="13">
        <v>60</v>
      </c>
      <c r="F288" s="14">
        <v>1</v>
      </c>
      <c r="G288" s="15">
        <v>899.9924999999999</v>
      </c>
      <c r="H288" s="15">
        <v>899.9924999999999</v>
      </c>
    </row>
    <row r="289" ht="12.9" customHeight="1">
      <c r="A289" t="s" s="10">
        <v>3806</v>
      </c>
      <c r="B289" t="s" s="11">
        <v>831</v>
      </c>
      <c r="C289" s="12">
        <v>45236</v>
      </c>
      <c r="D289" t="s" s="13">
        <v>3807</v>
      </c>
      <c r="E289" t="s" s="13">
        <v>3808</v>
      </c>
      <c r="F289" s="14">
        <v>1</v>
      </c>
      <c r="G289" s="15">
        <v>-50</v>
      </c>
      <c r="H289" s="15">
        <v>-50</v>
      </c>
    </row>
    <row r="290" ht="12.9" customHeight="1">
      <c r="A290" t="s" s="10">
        <v>3806</v>
      </c>
      <c r="B290" t="s" s="11">
        <v>831</v>
      </c>
      <c r="C290" s="12">
        <v>45236</v>
      </c>
      <c r="D290" t="s" s="13">
        <v>63</v>
      </c>
      <c r="E290" s="16"/>
      <c r="F290" s="14">
        <v>1</v>
      </c>
      <c r="G290" s="15">
        <v>85</v>
      </c>
      <c r="H290" s="15">
        <v>85</v>
      </c>
    </row>
    <row r="291" ht="12.9" customHeight="1">
      <c r="A291" t="s" s="10">
        <v>3809</v>
      </c>
      <c r="B291" t="s" s="11">
        <v>896</v>
      </c>
      <c r="C291" s="12">
        <v>45236</v>
      </c>
      <c r="D291" t="s" s="13">
        <v>3396</v>
      </c>
      <c r="E291" t="s" s="13">
        <v>3397</v>
      </c>
      <c r="F291" s="14">
        <v>48</v>
      </c>
      <c r="G291" s="15">
        <v>4</v>
      </c>
      <c r="H291" s="15">
        <v>192</v>
      </c>
    </row>
    <row r="292" ht="12.9" customHeight="1">
      <c r="A292" t="s" s="10">
        <v>3809</v>
      </c>
      <c r="B292" t="s" s="11">
        <v>896</v>
      </c>
      <c r="C292" s="12">
        <v>45236</v>
      </c>
      <c r="D292" t="s" s="13">
        <v>3398</v>
      </c>
      <c r="E292" t="s" s="13">
        <v>3399</v>
      </c>
      <c r="F292" s="14">
        <v>97</v>
      </c>
      <c r="G292" s="15">
        <v>4</v>
      </c>
      <c r="H292" s="15">
        <v>388</v>
      </c>
    </row>
    <row r="293" ht="12.9" customHeight="1">
      <c r="A293" t="s" s="10">
        <v>3809</v>
      </c>
      <c r="B293" t="s" s="11">
        <v>896</v>
      </c>
      <c r="C293" s="12">
        <v>45236</v>
      </c>
      <c r="D293" t="s" s="13">
        <v>63</v>
      </c>
      <c r="E293" s="16"/>
      <c r="F293" s="14">
        <v>1</v>
      </c>
      <c r="G293" s="15">
        <v>45</v>
      </c>
      <c r="H293" s="15">
        <v>45</v>
      </c>
    </row>
    <row r="294" ht="12.9" customHeight="1">
      <c r="A294" t="s" s="10">
        <v>3810</v>
      </c>
      <c r="B294" t="s" s="11">
        <v>1981</v>
      </c>
      <c r="C294" s="12">
        <v>45235.884087870370</v>
      </c>
      <c r="D294" t="s" s="13">
        <v>146</v>
      </c>
      <c r="E294" t="s" s="13">
        <v>147</v>
      </c>
      <c r="F294" s="14">
        <v>4</v>
      </c>
      <c r="G294" s="15">
        <v>19.99</v>
      </c>
      <c r="H294" s="15">
        <v>79.95999999999999</v>
      </c>
    </row>
    <row r="295" ht="12.9" customHeight="1">
      <c r="A295" t="s" s="10">
        <v>3810</v>
      </c>
      <c r="B295" t="s" s="11">
        <v>1981</v>
      </c>
      <c r="C295" s="12">
        <v>45235.884087870370</v>
      </c>
      <c r="D295" t="s" s="13">
        <v>15</v>
      </c>
      <c r="E295" t="s" s="13">
        <v>16</v>
      </c>
      <c r="F295" s="14">
        <v>5</v>
      </c>
      <c r="G295" s="15">
        <v>8.99</v>
      </c>
      <c r="H295" s="15">
        <v>44.95</v>
      </c>
    </row>
    <row r="296" ht="12.9" customHeight="1">
      <c r="A296" t="s" s="10">
        <v>3811</v>
      </c>
      <c r="B296" t="s" s="11">
        <v>3812</v>
      </c>
      <c r="C296" s="12">
        <v>45235.844560219906</v>
      </c>
      <c r="D296" t="s" s="13">
        <v>59</v>
      </c>
      <c r="E296" t="s" s="13">
        <v>60</v>
      </c>
      <c r="F296" s="14">
        <v>1</v>
      </c>
      <c r="G296" s="15">
        <v>1199.99</v>
      </c>
      <c r="H296" s="15">
        <v>1199.99</v>
      </c>
    </row>
    <row r="297" ht="12.9" customHeight="1">
      <c r="A297" t="s" s="10">
        <v>3813</v>
      </c>
      <c r="B297" t="s" s="11">
        <v>3814</v>
      </c>
      <c r="C297" s="12">
        <v>45235.681073819447</v>
      </c>
      <c r="D297" t="s" s="13">
        <v>59</v>
      </c>
      <c r="E297" t="s" s="13">
        <v>60</v>
      </c>
      <c r="F297" s="14">
        <v>1</v>
      </c>
      <c r="G297" s="15">
        <v>1199.99</v>
      </c>
      <c r="H297" s="15">
        <v>1199.99</v>
      </c>
    </row>
    <row r="298" ht="12.9" customHeight="1">
      <c r="A298" t="s" s="10">
        <v>3815</v>
      </c>
      <c r="B298" t="s" s="11">
        <v>3816</v>
      </c>
      <c r="C298" s="12">
        <v>45234.806563564816</v>
      </c>
      <c r="D298" t="s" s="13">
        <v>133</v>
      </c>
      <c r="E298" t="s" s="13">
        <v>134</v>
      </c>
      <c r="F298" s="14">
        <v>2</v>
      </c>
      <c r="G298" s="15">
        <v>199.99</v>
      </c>
      <c r="H298" s="15">
        <v>399.98</v>
      </c>
    </row>
    <row r="299" ht="12.9" customHeight="1">
      <c r="A299" t="s" s="10">
        <v>3815</v>
      </c>
      <c r="B299" t="s" s="11">
        <v>3816</v>
      </c>
      <c r="C299" s="12">
        <v>45234.806563564816</v>
      </c>
      <c r="D299" t="s" s="13">
        <v>19</v>
      </c>
      <c r="E299" t="s" s="13">
        <v>20</v>
      </c>
      <c r="F299" s="14">
        <v>1</v>
      </c>
      <c r="G299" s="15">
        <v>119.99</v>
      </c>
      <c r="H299" s="15">
        <v>119.99</v>
      </c>
    </row>
    <row r="300" ht="12.9" customHeight="1">
      <c r="A300" t="s" s="10">
        <v>3815</v>
      </c>
      <c r="B300" t="s" s="11">
        <v>3816</v>
      </c>
      <c r="C300" s="12">
        <v>45234.806563564816</v>
      </c>
      <c r="D300" t="s" s="13">
        <v>15</v>
      </c>
      <c r="E300" t="s" s="13">
        <v>16</v>
      </c>
      <c r="F300" s="14">
        <v>1</v>
      </c>
      <c r="G300" s="15">
        <v>9.99</v>
      </c>
      <c r="H300" s="15">
        <v>9.99</v>
      </c>
    </row>
    <row r="301" ht="12.9" customHeight="1">
      <c r="A301" t="s" s="10">
        <v>3817</v>
      </c>
      <c r="B301" t="s" s="11">
        <v>3818</v>
      </c>
      <c r="C301" s="12">
        <v>45233.579516793980</v>
      </c>
      <c r="D301" t="s" s="13">
        <v>89</v>
      </c>
      <c r="E301" t="s" s="13">
        <v>90</v>
      </c>
      <c r="F301" s="14">
        <v>6</v>
      </c>
      <c r="G301" s="15">
        <v>59.99</v>
      </c>
      <c r="H301" s="15">
        <v>359.94</v>
      </c>
    </row>
    <row r="302" ht="12.9" customHeight="1">
      <c r="A302" t="s" s="10">
        <v>3819</v>
      </c>
      <c r="B302" t="s" s="11">
        <v>3779</v>
      </c>
      <c r="C302" s="12">
        <v>45232.725031956019</v>
      </c>
      <c r="D302" t="s" s="13">
        <v>31</v>
      </c>
      <c r="E302" t="s" s="13">
        <v>32</v>
      </c>
      <c r="F302" s="14">
        <v>1</v>
      </c>
      <c r="G302" s="15">
        <v>599.99</v>
      </c>
      <c r="H302" s="15">
        <v>599.99</v>
      </c>
    </row>
    <row r="303" ht="12.9" customHeight="1">
      <c r="A303" t="s" s="10">
        <v>3820</v>
      </c>
      <c r="B303" t="s" s="11">
        <v>1981</v>
      </c>
      <c r="C303" s="12">
        <v>45232.026217488426</v>
      </c>
      <c r="D303" t="s" s="13">
        <v>73</v>
      </c>
      <c r="E303" t="s" s="13">
        <v>74</v>
      </c>
      <c r="F303" s="14">
        <v>1</v>
      </c>
      <c r="G303" s="15">
        <v>399.99</v>
      </c>
      <c r="H303" s="15">
        <v>399.99</v>
      </c>
    </row>
    <row r="304" ht="12.9" customHeight="1">
      <c r="A304" t="s" s="10">
        <v>3820</v>
      </c>
      <c r="B304" t="s" s="11">
        <v>1981</v>
      </c>
      <c r="C304" s="12">
        <v>45232.026217488426</v>
      </c>
      <c r="D304" t="s" s="13">
        <v>123</v>
      </c>
      <c r="E304" t="s" s="13">
        <v>124</v>
      </c>
      <c r="F304" s="14">
        <v>2</v>
      </c>
      <c r="G304" s="15">
        <v>179.99</v>
      </c>
      <c r="H304" s="15">
        <v>359.98</v>
      </c>
    </row>
    <row r="305" ht="12.9" customHeight="1">
      <c r="A305" t="s" s="10">
        <v>3820</v>
      </c>
      <c r="B305" t="s" s="11">
        <v>1981</v>
      </c>
      <c r="C305" s="12">
        <v>45232.026217488426</v>
      </c>
      <c r="D305" t="s" s="13">
        <v>299</v>
      </c>
      <c r="E305" t="s" s="13">
        <v>300</v>
      </c>
      <c r="F305" s="14">
        <v>8</v>
      </c>
      <c r="G305" s="15">
        <v>69.98999999999999</v>
      </c>
      <c r="H305" s="15">
        <v>559.92</v>
      </c>
    </row>
    <row r="306" ht="12.9" customHeight="1">
      <c r="A306" t="s" s="10">
        <v>3820</v>
      </c>
      <c r="B306" t="s" s="11">
        <v>1981</v>
      </c>
      <c r="C306" s="12">
        <v>45232.026217488426</v>
      </c>
      <c r="D306" t="s" s="13">
        <v>54</v>
      </c>
      <c r="E306" t="s" s="13">
        <v>93</v>
      </c>
      <c r="F306" s="14">
        <v>2</v>
      </c>
      <c r="G306" s="15">
        <v>9.99</v>
      </c>
      <c r="H306" s="15">
        <v>19.98</v>
      </c>
    </row>
    <row r="307" ht="12.9" customHeight="1">
      <c r="A307" t="s" s="10">
        <v>3820</v>
      </c>
      <c r="B307" t="s" s="11">
        <v>1981</v>
      </c>
      <c r="C307" s="12">
        <v>45232.026217488426</v>
      </c>
      <c r="D307" t="s" s="13">
        <v>133</v>
      </c>
      <c r="E307" t="s" s="13">
        <v>134</v>
      </c>
      <c r="F307" s="14">
        <v>1</v>
      </c>
      <c r="G307" s="15">
        <v>199.99</v>
      </c>
      <c r="H307" s="15">
        <v>199.99</v>
      </c>
    </row>
    <row r="308" ht="12.9" customHeight="1">
      <c r="A308" t="s" s="10">
        <v>3820</v>
      </c>
      <c r="B308" t="s" s="11">
        <v>1981</v>
      </c>
      <c r="C308" s="12">
        <v>45232.026217488426</v>
      </c>
      <c r="D308" t="s" s="13">
        <v>123</v>
      </c>
      <c r="E308" t="s" s="13">
        <v>124</v>
      </c>
      <c r="F308" s="14">
        <v>2</v>
      </c>
      <c r="G308" s="15">
        <v>179.99</v>
      </c>
      <c r="H308" s="15">
        <v>359.98</v>
      </c>
    </row>
    <row r="309" ht="12.9" customHeight="1">
      <c r="A309" t="s" s="10">
        <v>3821</v>
      </c>
      <c r="B309" t="s" s="11">
        <v>210</v>
      </c>
      <c r="C309" s="12">
        <v>45232</v>
      </c>
      <c r="D309" t="s" s="13">
        <v>48</v>
      </c>
      <c r="E309" t="s" s="13">
        <v>49</v>
      </c>
      <c r="F309" s="14">
        <v>7</v>
      </c>
      <c r="G309" s="15">
        <v>974.9924999999999</v>
      </c>
      <c r="H309" s="15">
        <v>6824.9475</v>
      </c>
    </row>
    <row r="310" ht="12.9" customHeight="1">
      <c r="A310" t="s" s="10">
        <v>3821</v>
      </c>
      <c r="B310" t="s" s="11">
        <v>210</v>
      </c>
      <c r="C310" s="12">
        <v>45232</v>
      </c>
      <c r="D310" t="s" s="13">
        <v>23</v>
      </c>
      <c r="E310" t="s" s="13">
        <v>24</v>
      </c>
      <c r="F310" s="14">
        <v>7</v>
      </c>
      <c r="G310" s="15">
        <v>0</v>
      </c>
      <c r="H310" s="15">
        <v>0</v>
      </c>
    </row>
    <row r="311" ht="12.9" customHeight="1">
      <c r="A311" t="s" s="10">
        <v>3821</v>
      </c>
      <c r="B311" t="s" s="11">
        <v>210</v>
      </c>
      <c r="C311" s="12">
        <v>45232</v>
      </c>
      <c r="D311" t="s" s="13">
        <v>50</v>
      </c>
      <c r="E311" t="s" s="13">
        <v>83</v>
      </c>
      <c r="F311" s="14">
        <v>7</v>
      </c>
      <c r="G311" s="15">
        <v>0</v>
      </c>
      <c r="H311" s="15">
        <v>0</v>
      </c>
    </row>
    <row r="312" ht="12.9" customHeight="1">
      <c r="A312" t="s" s="10">
        <v>3821</v>
      </c>
      <c r="B312" t="s" s="11">
        <v>210</v>
      </c>
      <c r="C312" s="12">
        <v>45232</v>
      </c>
      <c r="D312" t="s" s="13">
        <v>52</v>
      </c>
      <c r="E312" t="s" s="13">
        <v>321</v>
      </c>
      <c r="F312" s="14">
        <v>7</v>
      </c>
      <c r="G312" s="15">
        <v>0</v>
      </c>
      <c r="H312" s="15">
        <v>0</v>
      </c>
    </row>
    <row r="313" ht="12.9" customHeight="1">
      <c r="A313" t="s" s="10">
        <v>3821</v>
      </c>
      <c r="B313" t="s" s="11">
        <v>210</v>
      </c>
      <c r="C313" s="12">
        <v>45232</v>
      </c>
      <c r="D313" t="s" s="13">
        <v>54</v>
      </c>
      <c r="E313" t="s" s="13">
        <v>93</v>
      </c>
      <c r="F313" s="14">
        <v>7</v>
      </c>
      <c r="G313" s="15">
        <v>0</v>
      </c>
      <c r="H313" s="15">
        <v>0</v>
      </c>
    </row>
    <row r="314" ht="12.9" customHeight="1">
      <c r="A314" t="s" s="10">
        <v>3821</v>
      </c>
      <c r="B314" t="s" s="11">
        <v>210</v>
      </c>
      <c r="C314" s="12">
        <v>45232</v>
      </c>
      <c r="D314" t="s" s="13">
        <v>15</v>
      </c>
      <c r="E314" t="s" s="13">
        <v>16</v>
      </c>
      <c r="F314" s="14">
        <v>7</v>
      </c>
      <c r="G314" s="15">
        <v>0</v>
      </c>
      <c r="H314" s="15">
        <v>0</v>
      </c>
    </row>
    <row r="315" ht="12.9" customHeight="1">
      <c r="A315" t="s" s="10">
        <v>3821</v>
      </c>
      <c r="B315" t="s" s="11">
        <v>210</v>
      </c>
      <c r="C315" s="12">
        <v>45232</v>
      </c>
      <c r="D315" t="s" s="13">
        <v>77</v>
      </c>
      <c r="E315" t="s" s="13">
        <v>78</v>
      </c>
      <c r="F315" s="14">
        <v>7</v>
      </c>
      <c r="G315" s="15">
        <v>14.9925</v>
      </c>
      <c r="H315" s="15">
        <v>104.9475</v>
      </c>
    </row>
    <row r="316" ht="12.9" customHeight="1">
      <c r="A316" t="s" s="10">
        <v>3821</v>
      </c>
      <c r="B316" t="s" s="11">
        <v>210</v>
      </c>
      <c r="C316" s="12">
        <v>45232</v>
      </c>
      <c r="D316" t="s" s="13">
        <v>359</v>
      </c>
      <c r="E316" t="s" s="13">
        <v>360</v>
      </c>
      <c r="F316" s="14">
        <v>7</v>
      </c>
      <c r="G316" s="15">
        <v>22.4925</v>
      </c>
      <c r="H316" s="15">
        <v>157.4475</v>
      </c>
    </row>
    <row r="317" ht="12.9" customHeight="1">
      <c r="A317" t="s" s="10">
        <v>3821</v>
      </c>
      <c r="B317" t="s" s="11">
        <v>210</v>
      </c>
      <c r="C317" s="12">
        <v>45232</v>
      </c>
      <c r="D317" t="s" s="13">
        <v>146</v>
      </c>
      <c r="E317" t="s" s="13">
        <v>147</v>
      </c>
      <c r="F317" s="14">
        <v>7</v>
      </c>
      <c r="G317" s="15">
        <v>14.9925</v>
      </c>
      <c r="H317" s="15">
        <v>104.9475</v>
      </c>
    </row>
    <row r="318" ht="12.9" customHeight="1">
      <c r="A318" t="s" s="10">
        <v>3821</v>
      </c>
      <c r="B318" t="s" s="11">
        <v>210</v>
      </c>
      <c r="C318" s="12">
        <v>45232</v>
      </c>
      <c r="D318" t="s" s="13">
        <v>3822</v>
      </c>
      <c r="E318" t="s" s="13">
        <v>3823</v>
      </c>
      <c r="F318" s="14">
        <v>1</v>
      </c>
      <c r="G318" s="15">
        <v>-1400</v>
      </c>
      <c r="H318" s="15">
        <v>-1400</v>
      </c>
    </row>
    <row r="319" ht="12.9" customHeight="1">
      <c r="A319" t="s" s="10">
        <v>3824</v>
      </c>
      <c r="B319" t="s" s="11">
        <v>831</v>
      </c>
      <c r="C319" s="12">
        <v>45232</v>
      </c>
      <c r="D319" t="s" s="13">
        <v>468</v>
      </c>
      <c r="E319" t="s" s="13">
        <v>469</v>
      </c>
      <c r="F319" s="14">
        <v>1</v>
      </c>
      <c r="G319" s="15">
        <v>1575</v>
      </c>
      <c r="H319" s="15">
        <v>1575</v>
      </c>
    </row>
    <row r="320" ht="12.9" customHeight="1">
      <c r="A320" t="s" s="10">
        <v>3824</v>
      </c>
      <c r="B320" t="s" s="11">
        <v>831</v>
      </c>
      <c r="C320" s="12">
        <v>45232</v>
      </c>
      <c r="D320" t="s" s="13">
        <v>50</v>
      </c>
      <c r="E320" t="s" s="13">
        <v>83</v>
      </c>
      <c r="F320" s="14">
        <v>1</v>
      </c>
      <c r="G320" s="15">
        <v>0</v>
      </c>
      <c r="H320" s="15">
        <v>0</v>
      </c>
    </row>
    <row r="321" ht="12.9" customHeight="1">
      <c r="A321" t="s" s="10">
        <v>3824</v>
      </c>
      <c r="B321" t="s" s="11">
        <v>831</v>
      </c>
      <c r="C321" s="12">
        <v>45232</v>
      </c>
      <c r="D321" t="s" s="13">
        <v>63</v>
      </c>
      <c r="E321" s="16"/>
      <c r="F321" s="14">
        <v>1</v>
      </c>
      <c r="G321" s="15">
        <v>45</v>
      </c>
      <c r="H321" s="15">
        <v>45</v>
      </c>
    </row>
    <row r="322" ht="12.9" customHeight="1">
      <c r="A322" t="s" s="10">
        <v>3825</v>
      </c>
      <c r="B322" t="s" s="11">
        <v>3826</v>
      </c>
      <c r="C322" s="12">
        <v>45231.613803368055</v>
      </c>
      <c r="D322" t="s" s="13">
        <v>50</v>
      </c>
      <c r="E322" t="s" s="13">
        <v>83</v>
      </c>
      <c r="F322" s="14">
        <v>1</v>
      </c>
      <c r="G322" s="15">
        <v>29.99</v>
      </c>
      <c r="H322" s="15">
        <v>29.99</v>
      </c>
    </row>
    <row r="323" ht="12.9" customHeight="1">
      <c r="A323" t="s" s="10">
        <v>3827</v>
      </c>
      <c r="B323" t="s" s="11">
        <v>3828</v>
      </c>
      <c r="C323" s="12">
        <v>45231.611655266206</v>
      </c>
      <c r="D323" t="s" s="13">
        <v>54</v>
      </c>
      <c r="E323" t="s" s="13">
        <v>93</v>
      </c>
      <c r="F323" s="14">
        <v>3</v>
      </c>
      <c r="G323" s="15">
        <v>9.99</v>
      </c>
      <c r="H323" s="15">
        <v>29.97</v>
      </c>
    </row>
    <row r="324" ht="12.9" customHeight="1">
      <c r="A324" t="s" s="10">
        <v>3829</v>
      </c>
      <c r="B324" t="s" s="11">
        <v>3830</v>
      </c>
      <c r="C324" s="12">
        <v>45231.247753923613</v>
      </c>
      <c r="D324" t="s" s="13">
        <v>11</v>
      </c>
      <c r="E324" t="s" s="13">
        <v>12</v>
      </c>
      <c r="F324" s="14">
        <v>2</v>
      </c>
      <c r="G324" s="15">
        <v>399.99</v>
      </c>
      <c r="H324" s="15">
        <v>799.98</v>
      </c>
    </row>
    <row r="325" ht="12.9" customHeight="1">
      <c r="A325" t="s" s="10">
        <v>3831</v>
      </c>
      <c r="B325" t="s" s="11">
        <v>3109</v>
      </c>
      <c r="C325" s="12">
        <v>45231.235996388888</v>
      </c>
      <c r="D325" t="s" s="13">
        <v>722</v>
      </c>
      <c r="E325" t="s" s="13">
        <v>82</v>
      </c>
      <c r="F325" s="14">
        <v>2</v>
      </c>
      <c r="G325" s="15">
        <v>869.99</v>
      </c>
      <c r="H325" s="15">
        <v>1739.98</v>
      </c>
    </row>
    <row r="326" ht="12.9" customHeight="1">
      <c r="A326" t="s" s="10">
        <v>3831</v>
      </c>
      <c r="B326" t="s" s="11">
        <v>3109</v>
      </c>
      <c r="C326" s="12">
        <v>45231.235996388888</v>
      </c>
      <c r="D326" t="s" s="13">
        <v>470</v>
      </c>
      <c r="E326" t="s" s="13">
        <v>517</v>
      </c>
      <c r="F326" s="14">
        <v>2</v>
      </c>
      <c r="G326" s="15">
        <v>100</v>
      </c>
      <c r="H326" s="15">
        <v>200</v>
      </c>
    </row>
    <row r="327" ht="12.9" customHeight="1">
      <c r="A327" t="s" s="10">
        <v>3831</v>
      </c>
      <c r="B327" t="s" s="11">
        <v>3109</v>
      </c>
      <c r="C327" s="12">
        <v>45231.235996388888</v>
      </c>
      <c r="D327" t="s" s="13">
        <v>50</v>
      </c>
      <c r="E327" t="s" s="13">
        <v>83</v>
      </c>
      <c r="F327" s="14">
        <v>2</v>
      </c>
      <c r="G327" s="15">
        <v>0</v>
      </c>
      <c r="H327" s="15">
        <v>0</v>
      </c>
    </row>
    <row r="328" ht="12.9" customHeight="1">
      <c r="A328" t="s" s="10">
        <v>3831</v>
      </c>
      <c r="B328" t="s" s="11">
        <v>3109</v>
      </c>
      <c r="C328" s="12">
        <v>45231.235996388888</v>
      </c>
      <c r="D328" t="s" s="13">
        <v>84</v>
      </c>
      <c r="E328" t="s" s="13">
        <v>2685</v>
      </c>
      <c r="F328" s="14">
        <v>2</v>
      </c>
      <c r="G328" s="15">
        <v>0</v>
      </c>
      <c r="H328" s="15">
        <v>0</v>
      </c>
    </row>
    <row r="329" ht="12.9" customHeight="1">
      <c r="A329" t="s" s="10">
        <v>3832</v>
      </c>
      <c r="B329" t="s" s="11">
        <v>3833</v>
      </c>
      <c r="C329" s="12">
        <v>45231.008630543984</v>
      </c>
      <c r="D329" t="s" s="13">
        <v>11</v>
      </c>
      <c r="E329" t="s" s="13">
        <v>12</v>
      </c>
      <c r="F329" s="14">
        <v>1</v>
      </c>
      <c r="G329" s="15">
        <v>399.99</v>
      </c>
      <c r="H329" s="15">
        <v>399.99</v>
      </c>
    </row>
    <row r="330" ht="12.9" customHeight="1">
      <c r="A330" t="s" s="10">
        <v>3834</v>
      </c>
      <c r="B330" t="s" s="11">
        <v>210</v>
      </c>
      <c r="C330" s="12">
        <v>45231</v>
      </c>
      <c r="D330" t="s" s="13">
        <v>258</v>
      </c>
      <c r="E330" t="s" s="13">
        <v>3592</v>
      </c>
      <c r="F330" s="14">
        <v>16</v>
      </c>
      <c r="G330" s="15">
        <v>18.7425</v>
      </c>
      <c r="H330" s="15">
        <v>299.88</v>
      </c>
    </row>
    <row r="331" ht="12.9" customHeight="1">
      <c r="A331" t="s" s="10">
        <v>3834</v>
      </c>
      <c r="B331" t="s" s="11">
        <v>210</v>
      </c>
      <c r="C331" s="12">
        <v>45231</v>
      </c>
      <c r="D331" t="s" s="13">
        <v>780</v>
      </c>
      <c r="E331" t="s" s="13">
        <v>780</v>
      </c>
      <c r="F331" s="14">
        <v>16</v>
      </c>
      <c r="G331" s="15">
        <v>0</v>
      </c>
      <c r="H331" s="15">
        <v>0</v>
      </c>
    </row>
    <row r="332" ht="12.9" customHeight="1">
      <c r="A332" t="s" s="10">
        <v>3834</v>
      </c>
      <c r="B332" t="s" s="11">
        <v>210</v>
      </c>
      <c r="C332" s="12">
        <v>45231</v>
      </c>
      <c r="D332" t="s" s="13">
        <v>1707</v>
      </c>
      <c r="E332" t="s" s="13">
        <v>1708</v>
      </c>
      <c r="F332" s="14">
        <v>16</v>
      </c>
      <c r="G332" s="15">
        <v>0</v>
      </c>
      <c r="H332" s="15">
        <v>0</v>
      </c>
    </row>
    <row r="333" ht="12.9" customHeight="1">
      <c r="A333" t="s" s="10">
        <v>3835</v>
      </c>
      <c r="B333" t="s" s="11">
        <v>122</v>
      </c>
      <c r="C333" s="12">
        <v>45231</v>
      </c>
      <c r="D333" t="s" s="13">
        <v>3653</v>
      </c>
      <c r="E333" t="s" s="13">
        <v>3654</v>
      </c>
      <c r="F333" s="14">
        <v>1</v>
      </c>
      <c r="G333" s="15">
        <v>0</v>
      </c>
      <c r="H333" s="15">
        <v>0</v>
      </c>
    </row>
    <row r="334" ht="12.9" customHeight="1">
      <c r="A334" t="s" s="10">
        <v>3836</v>
      </c>
      <c r="B334" t="s" s="11">
        <v>62</v>
      </c>
      <c r="C334" s="12">
        <v>45231</v>
      </c>
      <c r="D334" t="s" s="13">
        <v>73</v>
      </c>
      <c r="E334" t="s" s="13">
        <v>74</v>
      </c>
      <c r="F334" s="14">
        <v>2</v>
      </c>
      <c r="G334" s="15">
        <v>299.9925</v>
      </c>
      <c r="H334" s="15">
        <v>599.985</v>
      </c>
    </row>
    <row r="335" ht="12.9" customHeight="1">
      <c r="A335" t="s" s="10">
        <v>3836</v>
      </c>
      <c r="B335" t="s" s="11">
        <v>62</v>
      </c>
      <c r="C335" s="12">
        <v>45231</v>
      </c>
      <c r="D335" t="s" s="13">
        <v>63</v>
      </c>
      <c r="E335" s="16"/>
      <c r="F335" s="14">
        <v>1</v>
      </c>
      <c r="G335" s="15">
        <v>65</v>
      </c>
      <c r="H335" s="15">
        <v>65</v>
      </c>
    </row>
    <row r="337" ht="15.55" customHeight="1">
      <c r="I337" t="s" s="2">
        <v>3837</v>
      </c>
      <c r="J337" s="2"/>
      <c r="K337" s="2"/>
      <c r="L337" s="2"/>
      <c r="M337" s="2"/>
      <c r="N337" s="2"/>
      <c r="O337" s="2"/>
    </row>
    <row r="339" ht="13.1" customHeight="1">
      <c r="I339" t="s" s="20">
        <v>2</v>
      </c>
      <c r="J339" t="s" s="21">
        <v>1</v>
      </c>
      <c r="K339" t="s" s="21">
        <v>616</v>
      </c>
      <c r="L339" t="s" s="22">
        <v>4</v>
      </c>
      <c r="M339" t="s" s="23">
        <v>617</v>
      </c>
      <c r="N339" t="s" s="3">
        <v>618</v>
      </c>
      <c r="O339" t="s" s="3">
        <v>619</v>
      </c>
    </row>
    <row r="340" ht="15.4" customHeight="1">
      <c r="I340" t="s" s="121">
        <v>210</v>
      </c>
      <c r="J340" s="122"/>
      <c r="K340" s="122"/>
      <c r="L340" s="123"/>
      <c r="M340" s="124">
        <v>112</v>
      </c>
      <c r="N340" s="141">
        <v>-353.7875</v>
      </c>
      <c r="O340" s="141">
        <v>6092.17</v>
      </c>
    </row>
    <row r="341" ht="15.55" customHeight="1">
      <c r="I341" t="s" s="126">
        <v>3796</v>
      </c>
      <c r="J341" s="127"/>
      <c r="K341" s="127"/>
      <c r="L341" s="128"/>
      <c r="M341" s="129">
        <v>30</v>
      </c>
      <c r="N341" s="142">
        <v>678.9400000000001</v>
      </c>
      <c r="O341" s="142">
        <v>3002.7</v>
      </c>
    </row>
    <row r="342" ht="15.55" customHeight="1">
      <c r="I342" t="s" s="126">
        <v>3799</v>
      </c>
      <c r="J342" s="127"/>
      <c r="K342" s="127"/>
      <c r="L342" s="128"/>
      <c r="M342" s="129">
        <v>1</v>
      </c>
      <c r="N342" s="142">
        <v>399.99</v>
      </c>
      <c r="O342" s="142">
        <v>399.99</v>
      </c>
    </row>
    <row r="343" ht="15.55" customHeight="1">
      <c r="I343" t="s" s="126">
        <v>161</v>
      </c>
      <c r="J343" s="127"/>
      <c r="K343" s="127"/>
      <c r="L343" s="128"/>
      <c r="M343" s="129">
        <v>6</v>
      </c>
      <c r="N343" s="142">
        <v>1130</v>
      </c>
      <c r="O343" s="142">
        <v>1280</v>
      </c>
    </row>
    <row r="344" ht="15.55" customHeight="1">
      <c r="I344" t="s" s="126">
        <v>3717</v>
      </c>
      <c r="J344" s="127"/>
      <c r="K344" s="127"/>
      <c r="L344" s="128"/>
      <c r="M344" s="129">
        <v>9</v>
      </c>
      <c r="N344" s="142">
        <v>2374.97</v>
      </c>
      <c r="O344" s="142">
        <v>2374.97</v>
      </c>
    </row>
    <row r="345" ht="15.55" customHeight="1">
      <c r="I345" t="s" s="126">
        <v>3772</v>
      </c>
      <c r="J345" s="127"/>
      <c r="K345" s="127"/>
      <c r="L345" s="128"/>
      <c r="M345" s="129">
        <v>1</v>
      </c>
      <c r="N345" s="142">
        <v>399.99</v>
      </c>
      <c r="O345" s="142">
        <v>399.99</v>
      </c>
    </row>
    <row r="346" ht="15.55" customHeight="1">
      <c r="I346" t="s" s="126">
        <v>3730</v>
      </c>
      <c r="J346" s="127"/>
      <c r="K346" s="127"/>
      <c r="L346" s="128"/>
      <c r="M346" s="129">
        <v>2</v>
      </c>
      <c r="N346" s="142">
        <v>254.98</v>
      </c>
      <c r="O346" s="142">
        <v>254.98</v>
      </c>
    </row>
    <row r="347" ht="15.55" customHeight="1">
      <c r="I347" t="s" s="126">
        <v>2643</v>
      </c>
      <c r="J347" s="127"/>
      <c r="K347" s="127"/>
      <c r="L347" s="128"/>
      <c r="M347" s="129">
        <v>2</v>
      </c>
      <c r="N347" s="142">
        <v>499.99</v>
      </c>
      <c r="O347" s="142">
        <v>499.99</v>
      </c>
    </row>
    <row r="348" ht="15.55" customHeight="1">
      <c r="I348" t="s" s="126">
        <v>3713</v>
      </c>
      <c r="J348" s="127"/>
      <c r="K348" s="127"/>
      <c r="L348" s="128"/>
      <c r="M348" s="129">
        <v>1</v>
      </c>
      <c r="N348" s="142">
        <v>29.99</v>
      </c>
      <c r="O348" s="142">
        <v>29.99</v>
      </c>
    </row>
    <row r="349" ht="15.55" customHeight="1">
      <c r="I349" t="s" s="126">
        <v>3627</v>
      </c>
      <c r="J349" s="127"/>
      <c r="K349" s="127"/>
      <c r="L349" s="128"/>
      <c r="M349" s="129">
        <v>1</v>
      </c>
      <c r="N349" s="142">
        <v>29.99</v>
      </c>
      <c r="O349" s="142">
        <v>29.99</v>
      </c>
    </row>
    <row r="350" ht="15.55" customHeight="1">
      <c r="I350" t="s" s="126">
        <v>3691</v>
      </c>
      <c r="J350" s="127"/>
      <c r="K350" s="127"/>
      <c r="L350" s="128"/>
      <c r="M350" s="129">
        <v>2</v>
      </c>
      <c r="N350" s="142">
        <v>49.99</v>
      </c>
      <c r="O350" s="142">
        <v>99.98</v>
      </c>
    </row>
    <row r="351" ht="15.55" customHeight="1">
      <c r="I351" t="s" s="126">
        <v>3781</v>
      </c>
      <c r="J351" s="127"/>
      <c r="K351" s="127"/>
      <c r="L351" s="128"/>
      <c r="M351" s="129">
        <v>3</v>
      </c>
      <c r="N351" s="142">
        <v>448.45</v>
      </c>
      <c r="O351" s="142">
        <v>848.4400000000001</v>
      </c>
    </row>
    <row r="352" ht="15.55" customHeight="1">
      <c r="I352" t="s" s="126">
        <v>3710</v>
      </c>
      <c r="J352" s="127"/>
      <c r="K352" s="127"/>
      <c r="L352" s="128"/>
      <c r="M352" s="129">
        <v>5</v>
      </c>
      <c r="N352" s="142">
        <v>1072.9925</v>
      </c>
      <c r="O352" s="142">
        <v>3772.97</v>
      </c>
    </row>
    <row r="353" ht="15.55" customHeight="1">
      <c r="I353" t="s" s="126">
        <v>3758</v>
      </c>
      <c r="J353" s="127"/>
      <c r="K353" s="127"/>
      <c r="L353" s="128"/>
      <c r="M353" s="129">
        <v>1</v>
      </c>
      <c r="N353" s="142">
        <v>0</v>
      </c>
      <c r="O353" s="142">
        <v>0</v>
      </c>
    </row>
    <row r="354" ht="15.55" customHeight="1">
      <c r="I354" t="s" s="126">
        <v>1241</v>
      </c>
      <c r="J354" s="127"/>
      <c r="K354" s="127"/>
      <c r="L354" s="128"/>
      <c r="M354" s="129">
        <v>2</v>
      </c>
      <c r="N354" s="142">
        <v>109.98</v>
      </c>
      <c r="O354" s="142">
        <v>109.98</v>
      </c>
    </row>
    <row r="355" ht="15.55" customHeight="1">
      <c r="I355" t="s" s="126">
        <v>1439</v>
      </c>
      <c r="J355" s="127"/>
      <c r="K355" s="127"/>
      <c r="L355" s="128"/>
      <c r="M355" s="129">
        <v>4</v>
      </c>
      <c r="N355" s="142">
        <v>29.99</v>
      </c>
      <c r="O355" s="142">
        <v>119.96</v>
      </c>
    </row>
    <row r="356" ht="15.55" customHeight="1">
      <c r="I356" t="s" s="126">
        <v>3719</v>
      </c>
      <c r="J356" s="127"/>
      <c r="K356" s="127"/>
      <c r="L356" s="128"/>
      <c r="M356" s="129">
        <v>1</v>
      </c>
      <c r="N356" s="142">
        <v>349.99</v>
      </c>
      <c r="O356" s="142">
        <v>349.99</v>
      </c>
    </row>
    <row r="357" ht="15.55" customHeight="1">
      <c r="I357" t="s" s="126">
        <v>3609</v>
      </c>
      <c r="J357" s="127"/>
      <c r="K357" s="127"/>
      <c r="L357" s="128"/>
      <c r="M357" s="129">
        <v>34</v>
      </c>
      <c r="N357" s="142">
        <v>834.95</v>
      </c>
      <c r="O357" s="142">
        <v>2314.79</v>
      </c>
    </row>
    <row r="358" ht="15.55" customHeight="1">
      <c r="I358" t="s" s="126">
        <v>3818</v>
      </c>
      <c r="J358" s="127"/>
      <c r="K358" s="127"/>
      <c r="L358" s="128"/>
      <c r="M358" s="129">
        <v>6</v>
      </c>
      <c r="N358" s="142">
        <v>59.99</v>
      </c>
      <c r="O358" s="142">
        <v>359.94</v>
      </c>
    </row>
    <row r="359" ht="15.55" customHeight="1">
      <c r="I359" t="s" s="126">
        <v>3683</v>
      </c>
      <c r="J359" s="127"/>
      <c r="K359" s="127"/>
      <c r="L359" s="128"/>
      <c r="M359" s="129">
        <v>4</v>
      </c>
      <c r="N359" s="142">
        <v>0</v>
      </c>
      <c r="O359" s="142">
        <v>0</v>
      </c>
    </row>
    <row r="360" ht="15.55" customHeight="1">
      <c r="I360" t="s" s="126">
        <v>2182</v>
      </c>
      <c r="J360" s="127"/>
      <c r="K360" s="127"/>
      <c r="L360" s="128"/>
      <c r="M360" s="129">
        <v>2</v>
      </c>
      <c r="N360" s="142">
        <v>349.99</v>
      </c>
      <c r="O360" s="142">
        <v>699.98</v>
      </c>
    </row>
    <row r="361" ht="15.55" customHeight="1">
      <c r="I361" t="s" s="126">
        <v>831</v>
      </c>
      <c r="J361" s="127"/>
      <c r="K361" s="127"/>
      <c r="L361" s="128"/>
      <c r="M361" s="129">
        <v>103</v>
      </c>
      <c r="N361" s="142">
        <v>5057.97</v>
      </c>
      <c r="O361" s="142">
        <v>13843.835</v>
      </c>
    </row>
    <row r="362" ht="15.55" customHeight="1">
      <c r="I362" t="s" s="126">
        <v>1570</v>
      </c>
      <c r="J362" s="127"/>
      <c r="K362" s="127"/>
      <c r="L362" s="128"/>
      <c r="M362" s="129">
        <v>30</v>
      </c>
      <c r="N362" s="142">
        <v>2256.215</v>
      </c>
      <c r="O362" s="142">
        <v>7656.1775</v>
      </c>
    </row>
    <row r="363" ht="15.55" customHeight="1">
      <c r="I363" t="s" s="126">
        <v>3736</v>
      </c>
      <c r="J363" s="127"/>
      <c r="K363" s="127"/>
      <c r="L363" s="128"/>
      <c r="M363" s="129">
        <v>6</v>
      </c>
      <c r="N363" s="142">
        <v>49.99</v>
      </c>
      <c r="O363" s="142">
        <v>299.94</v>
      </c>
    </row>
    <row r="364" ht="15.55" customHeight="1">
      <c r="I364" t="s" s="126">
        <v>911</v>
      </c>
      <c r="J364" s="127"/>
      <c r="K364" s="127"/>
      <c r="L364" s="128"/>
      <c r="M364" s="129">
        <v>104</v>
      </c>
      <c r="N364" s="142">
        <v>499.99</v>
      </c>
      <c r="O364" s="142">
        <v>1999.96</v>
      </c>
    </row>
    <row r="365" ht="15.55" customHeight="1">
      <c r="I365" t="s" s="126">
        <v>3695</v>
      </c>
      <c r="J365" s="127"/>
      <c r="K365" s="127"/>
      <c r="L365" s="128"/>
      <c r="M365" s="129">
        <v>1</v>
      </c>
      <c r="N365" s="142">
        <v>399.99</v>
      </c>
      <c r="O365" s="142">
        <v>399.99</v>
      </c>
    </row>
    <row r="366" ht="15.55" customHeight="1">
      <c r="I366" t="s" s="126">
        <v>3636</v>
      </c>
      <c r="J366" s="127"/>
      <c r="K366" s="127"/>
      <c r="L366" s="128"/>
      <c r="M366" s="129">
        <v>4</v>
      </c>
      <c r="N366" s="142">
        <v>29.99</v>
      </c>
      <c r="O366" s="142">
        <v>119.96</v>
      </c>
    </row>
    <row r="367" ht="15.55" customHeight="1">
      <c r="I367" t="s" s="126">
        <v>3792</v>
      </c>
      <c r="J367" s="127"/>
      <c r="K367" s="127"/>
      <c r="L367" s="128"/>
      <c r="M367" s="129">
        <v>1</v>
      </c>
      <c r="N367" s="142">
        <v>0</v>
      </c>
      <c r="O367" s="142">
        <v>0</v>
      </c>
    </row>
    <row r="368" ht="15.55" customHeight="1">
      <c r="I368" t="s" s="126">
        <v>2714</v>
      </c>
      <c r="J368" s="127"/>
      <c r="K368" s="127"/>
      <c r="L368" s="128"/>
      <c r="M368" s="129">
        <v>6</v>
      </c>
      <c r="N368" s="142">
        <v>399.97</v>
      </c>
      <c r="O368" s="142">
        <v>799.9400000000001</v>
      </c>
    </row>
    <row r="369" ht="15.55" customHeight="1">
      <c r="I369" t="s" s="126">
        <v>3738</v>
      </c>
      <c r="J369" s="127"/>
      <c r="K369" s="127"/>
      <c r="L369" s="128"/>
      <c r="M369" s="129">
        <v>1</v>
      </c>
      <c r="N369" s="142">
        <v>399.99</v>
      </c>
      <c r="O369" s="142">
        <v>399.99</v>
      </c>
    </row>
    <row r="370" ht="15.55" customHeight="1">
      <c r="I370" t="s" s="126">
        <v>3573</v>
      </c>
      <c r="J370" s="127"/>
      <c r="K370" s="127"/>
      <c r="L370" s="128"/>
      <c r="M370" s="129">
        <v>5</v>
      </c>
      <c r="N370" s="142">
        <v>199.95</v>
      </c>
      <c r="O370" s="142">
        <v>199.95</v>
      </c>
    </row>
    <row r="371" ht="15.55" customHeight="1">
      <c r="I371" t="s" s="126">
        <v>3789</v>
      </c>
      <c r="J371" s="127"/>
      <c r="K371" s="127"/>
      <c r="L371" s="128"/>
      <c r="M371" s="129">
        <v>18</v>
      </c>
      <c r="N371" s="142">
        <v>1795.94</v>
      </c>
      <c r="O371" s="142">
        <v>3191.88</v>
      </c>
    </row>
    <row r="372" ht="15.55" customHeight="1">
      <c r="I372" t="s" s="126">
        <v>3732</v>
      </c>
      <c r="J372" s="127"/>
      <c r="K372" s="127"/>
      <c r="L372" s="128"/>
      <c r="M372" s="129">
        <v>2</v>
      </c>
      <c r="N372" s="142">
        <v>599.98</v>
      </c>
      <c r="O372" s="142">
        <v>599.98</v>
      </c>
    </row>
    <row r="373" ht="15.55" customHeight="1">
      <c r="I373" t="s" s="126">
        <v>789</v>
      </c>
      <c r="J373" s="127"/>
      <c r="K373" s="127"/>
      <c r="L373" s="128"/>
      <c r="M373" s="129">
        <v>5</v>
      </c>
      <c r="N373" s="142">
        <v>49.99</v>
      </c>
      <c r="O373" s="142">
        <v>249.95</v>
      </c>
    </row>
    <row r="374" ht="15.55" customHeight="1">
      <c r="I374" t="s" s="126">
        <v>3726</v>
      </c>
      <c r="J374" s="127"/>
      <c r="K374" s="127"/>
      <c r="L374" s="128"/>
      <c r="M374" s="129">
        <v>3</v>
      </c>
      <c r="N374" s="142">
        <v>399.99</v>
      </c>
      <c r="O374" s="142">
        <v>399.99</v>
      </c>
    </row>
    <row r="375" ht="15.55" customHeight="1">
      <c r="I375" t="s" s="126">
        <v>476</v>
      </c>
      <c r="J375" s="127"/>
      <c r="K375" s="127"/>
      <c r="L375" s="128"/>
      <c r="M375" s="129">
        <v>23</v>
      </c>
      <c r="N375" s="142">
        <v>6450</v>
      </c>
      <c r="O375" s="142">
        <v>20550</v>
      </c>
    </row>
    <row r="376" ht="15.55" customHeight="1">
      <c r="I376" t="s" s="126">
        <v>896</v>
      </c>
      <c r="J376" s="127"/>
      <c r="K376" s="127"/>
      <c r="L376" s="128"/>
      <c r="M376" s="129">
        <v>146</v>
      </c>
      <c r="N376" s="142">
        <v>53</v>
      </c>
      <c r="O376" s="142">
        <v>625</v>
      </c>
    </row>
    <row r="377" ht="15.55" customHeight="1">
      <c r="I377" t="s" s="126">
        <v>1981</v>
      </c>
      <c r="J377" s="127"/>
      <c r="K377" s="127"/>
      <c r="L377" s="128"/>
      <c r="M377" s="129">
        <v>38</v>
      </c>
      <c r="N377" s="142">
        <v>1418.88</v>
      </c>
      <c r="O377" s="142">
        <v>2884.62</v>
      </c>
    </row>
    <row r="378" ht="15.55" customHeight="1">
      <c r="I378" t="s" s="126">
        <v>3699</v>
      </c>
      <c r="J378" s="127"/>
      <c r="K378" s="127"/>
      <c r="L378" s="128"/>
      <c r="M378" s="129">
        <v>1</v>
      </c>
      <c r="N378" s="142">
        <v>12.99</v>
      </c>
      <c r="O378" s="142">
        <v>12.99</v>
      </c>
    </row>
    <row r="379" ht="15.55" customHeight="1">
      <c r="I379" t="s" s="126">
        <v>3749</v>
      </c>
      <c r="J379" s="127"/>
      <c r="K379" s="127"/>
      <c r="L379" s="128"/>
      <c r="M379" s="129">
        <v>10</v>
      </c>
      <c r="N379" s="142">
        <v>464.96</v>
      </c>
      <c r="O379" s="142">
        <v>929.92</v>
      </c>
    </row>
    <row r="380" ht="15.55" customHeight="1">
      <c r="I380" t="s" s="126">
        <v>3656</v>
      </c>
      <c r="J380" s="127"/>
      <c r="K380" s="127"/>
      <c r="L380" s="128"/>
      <c r="M380" s="129">
        <v>19</v>
      </c>
      <c r="N380" s="142">
        <v>1419.97</v>
      </c>
      <c r="O380" s="142">
        <v>3459.93</v>
      </c>
    </row>
    <row r="381" ht="15.55" customHeight="1">
      <c r="I381" t="s" s="126">
        <v>3755</v>
      </c>
      <c r="J381" s="127"/>
      <c r="K381" s="127"/>
      <c r="L381" s="128"/>
      <c r="M381" s="129">
        <v>2</v>
      </c>
      <c r="N381" s="142">
        <v>0</v>
      </c>
      <c r="O381" s="142">
        <v>0</v>
      </c>
    </row>
    <row r="382" ht="15.55" customHeight="1">
      <c r="I382" t="s" s="126">
        <v>3630</v>
      </c>
      <c r="J382" s="127"/>
      <c r="K382" s="127"/>
      <c r="L382" s="128"/>
      <c r="M382" s="129">
        <v>1</v>
      </c>
      <c r="N382" s="142">
        <v>324.99</v>
      </c>
      <c r="O382" s="142">
        <v>324.99</v>
      </c>
    </row>
    <row r="383" ht="15.55" customHeight="1">
      <c r="I383" t="s" s="126">
        <v>3689</v>
      </c>
      <c r="J383" s="127"/>
      <c r="K383" s="127"/>
      <c r="L383" s="128"/>
      <c r="M383" s="129">
        <v>2</v>
      </c>
      <c r="N383" s="142">
        <v>124.99</v>
      </c>
      <c r="O383" s="142">
        <v>124.99</v>
      </c>
    </row>
    <row r="384" ht="15.55" customHeight="1">
      <c r="I384" t="s" s="126">
        <v>3650</v>
      </c>
      <c r="J384" s="127"/>
      <c r="K384" s="127"/>
      <c r="L384" s="128"/>
      <c r="M384" s="129">
        <v>2</v>
      </c>
      <c r="N384" s="142">
        <v>49.99</v>
      </c>
      <c r="O384" s="142">
        <v>99.98</v>
      </c>
    </row>
    <row r="385" ht="15.55" customHeight="1">
      <c r="I385" t="s" s="126">
        <v>3675</v>
      </c>
      <c r="J385" s="127"/>
      <c r="K385" s="127"/>
      <c r="L385" s="128"/>
      <c r="M385" s="129">
        <v>1</v>
      </c>
      <c r="N385" s="142">
        <v>109.99</v>
      </c>
      <c r="O385" s="142">
        <v>109.99</v>
      </c>
    </row>
    <row r="386" ht="15.55" customHeight="1">
      <c r="I386" t="s" s="126">
        <v>3708</v>
      </c>
      <c r="J386" s="127"/>
      <c r="K386" s="127"/>
      <c r="L386" s="128"/>
      <c r="M386" s="129">
        <v>2</v>
      </c>
      <c r="N386" s="142">
        <v>9.99</v>
      </c>
      <c r="O386" s="142">
        <v>19.98</v>
      </c>
    </row>
    <row r="387" ht="15.55" customHeight="1">
      <c r="I387" t="s" s="126">
        <v>3803</v>
      </c>
      <c r="J387" s="127"/>
      <c r="K387" s="127"/>
      <c r="L387" s="128"/>
      <c r="M387" s="129">
        <v>4</v>
      </c>
      <c r="N387" s="142">
        <v>50.47</v>
      </c>
      <c r="O387" s="142">
        <v>57.96</v>
      </c>
    </row>
    <row r="388" ht="15.55" customHeight="1">
      <c r="I388" t="s" s="126">
        <v>329</v>
      </c>
      <c r="J388" s="127"/>
      <c r="K388" s="127"/>
      <c r="L388" s="128"/>
      <c r="M388" s="129">
        <v>7</v>
      </c>
      <c r="N388" s="142">
        <v>64</v>
      </c>
      <c r="O388" s="142">
        <v>189</v>
      </c>
    </row>
    <row r="389" ht="15.55" customHeight="1">
      <c r="I389" t="s" s="126">
        <v>3672</v>
      </c>
      <c r="J389" s="127"/>
      <c r="K389" s="127"/>
      <c r="L389" s="128"/>
      <c r="M389" s="129">
        <v>3</v>
      </c>
      <c r="N389" s="142">
        <v>529.97</v>
      </c>
      <c r="O389" s="142">
        <v>529.97</v>
      </c>
    </row>
    <row r="390" ht="15.55" customHeight="1">
      <c r="I390" t="s" s="126">
        <v>3109</v>
      </c>
      <c r="J390" s="127"/>
      <c r="K390" s="127"/>
      <c r="L390" s="128"/>
      <c r="M390" s="129">
        <v>8</v>
      </c>
      <c r="N390" s="142">
        <v>969.99</v>
      </c>
      <c r="O390" s="142">
        <v>1939.98</v>
      </c>
    </row>
    <row r="391" ht="15.55" customHeight="1">
      <c r="I391" t="s" s="126">
        <v>3644</v>
      </c>
      <c r="J391" s="127"/>
      <c r="K391" s="127"/>
      <c r="L391" s="128"/>
      <c r="M391" s="129">
        <v>2</v>
      </c>
      <c r="N391" s="142">
        <v>129.98</v>
      </c>
      <c r="O391" s="142">
        <v>129.98</v>
      </c>
    </row>
    <row r="392" ht="15.55" customHeight="1">
      <c r="I392" t="s" s="126">
        <v>3666</v>
      </c>
      <c r="J392" s="127"/>
      <c r="K392" s="127"/>
      <c r="L392" s="128"/>
      <c r="M392" s="129">
        <v>2</v>
      </c>
      <c r="N392" s="142">
        <v>22.99</v>
      </c>
      <c r="O392" s="142">
        <v>45.98</v>
      </c>
    </row>
    <row r="393" ht="15.55" customHeight="1">
      <c r="I393" t="s" s="126">
        <v>1412</v>
      </c>
      <c r="J393" s="127"/>
      <c r="K393" s="127"/>
      <c r="L393" s="128"/>
      <c r="M393" s="129">
        <v>1</v>
      </c>
      <c r="N393" s="142">
        <v>549.99</v>
      </c>
      <c r="O393" s="142">
        <v>549.99</v>
      </c>
    </row>
    <row r="394" ht="15.55" customHeight="1">
      <c r="I394" t="s" s="126">
        <v>3745</v>
      </c>
      <c r="J394" s="127"/>
      <c r="K394" s="127"/>
      <c r="L394" s="128"/>
      <c r="M394" s="129">
        <v>1</v>
      </c>
      <c r="N394" s="142">
        <v>549.99</v>
      </c>
      <c r="O394" s="142">
        <v>549.99</v>
      </c>
    </row>
    <row r="395" ht="15.55" customHeight="1">
      <c r="I395" t="s" s="126">
        <v>3783</v>
      </c>
      <c r="J395" s="127"/>
      <c r="K395" s="127"/>
      <c r="L395" s="128"/>
      <c r="M395" s="129">
        <v>1</v>
      </c>
      <c r="N395" s="142">
        <v>49.99</v>
      </c>
      <c r="O395" s="142">
        <v>49.99</v>
      </c>
    </row>
    <row r="396" ht="15.55" customHeight="1">
      <c r="I396" t="s" s="126">
        <v>1913</v>
      </c>
      <c r="J396" s="127"/>
      <c r="K396" s="127"/>
      <c r="L396" s="128"/>
      <c r="M396" s="129">
        <v>2</v>
      </c>
      <c r="N396" s="142">
        <v>57</v>
      </c>
      <c r="O396" s="142">
        <v>57</v>
      </c>
    </row>
    <row r="397" ht="15.55" customHeight="1">
      <c r="I397" t="s" s="126">
        <v>3747</v>
      </c>
      <c r="J397" s="127"/>
      <c r="K397" s="127"/>
      <c r="L397" s="128"/>
      <c r="M397" s="129">
        <v>1</v>
      </c>
      <c r="N397" s="142">
        <v>1199.99</v>
      </c>
      <c r="O397" s="142">
        <v>1199.99</v>
      </c>
    </row>
    <row r="398" ht="15.55" customHeight="1">
      <c r="I398" t="s" s="126">
        <v>3776</v>
      </c>
      <c r="J398" s="127"/>
      <c r="K398" s="127"/>
      <c r="L398" s="128"/>
      <c r="M398" s="129">
        <v>1</v>
      </c>
      <c r="N398" s="142">
        <v>549.99</v>
      </c>
      <c r="O398" s="142">
        <v>549.99</v>
      </c>
    </row>
    <row r="399" ht="15.55" customHeight="1">
      <c r="I399" t="s" s="126">
        <v>3779</v>
      </c>
      <c r="J399" s="127"/>
      <c r="K399" s="127"/>
      <c r="L399" s="128"/>
      <c r="M399" s="129">
        <v>2</v>
      </c>
      <c r="N399" s="142">
        <v>649.98</v>
      </c>
      <c r="O399" s="142">
        <v>649.98</v>
      </c>
    </row>
    <row r="400" ht="15.55" customHeight="1">
      <c r="I400" t="s" s="126">
        <v>3634</v>
      </c>
      <c r="J400" s="127"/>
      <c r="K400" s="127"/>
      <c r="L400" s="128"/>
      <c r="M400" s="129">
        <v>1</v>
      </c>
      <c r="N400" s="142">
        <v>29.99</v>
      </c>
      <c r="O400" s="142">
        <v>29.99</v>
      </c>
    </row>
    <row r="401" ht="15.55" customHeight="1">
      <c r="I401" t="s" s="126">
        <v>3814</v>
      </c>
      <c r="J401" s="127"/>
      <c r="K401" s="127"/>
      <c r="L401" s="128"/>
      <c r="M401" s="129">
        <v>1</v>
      </c>
      <c r="N401" s="142">
        <v>1199.99</v>
      </c>
      <c r="O401" s="142">
        <v>1199.99</v>
      </c>
    </row>
    <row r="402" ht="15.55" customHeight="1">
      <c r="I402" t="s" s="126">
        <v>3715</v>
      </c>
      <c r="J402" s="127"/>
      <c r="K402" s="127"/>
      <c r="L402" s="128"/>
      <c r="M402" s="129">
        <v>1</v>
      </c>
      <c r="N402" s="142">
        <v>399.99</v>
      </c>
      <c r="O402" s="142">
        <v>399.99</v>
      </c>
    </row>
    <row r="403" ht="15.55" customHeight="1">
      <c r="I403" t="s" s="126">
        <v>1269</v>
      </c>
      <c r="J403" s="127"/>
      <c r="K403" s="127"/>
      <c r="L403" s="128"/>
      <c r="M403" s="129">
        <v>1</v>
      </c>
      <c r="N403" s="142">
        <v>109.99</v>
      </c>
      <c r="O403" s="142">
        <v>109.99</v>
      </c>
    </row>
    <row r="404" ht="15.55" customHeight="1">
      <c r="I404" t="s" s="126">
        <v>2292</v>
      </c>
      <c r="J404" s="127"/>
      <c r="K404" s="127"/>
      <c r="L404" s="128"/>
      <c r="M404" s="129">
        <v>5</v>
      </c>
      <c r="N404" s="142">
        <v>374.99</v>
      </c>
      <c r="O404" s="142">
        <v>1874.95</v>
      </c>
    </row>
    <row r="405" ht="15.55" customHeight="1">
      <c r="I405" t="s" s="126">
        <v>3389</v>
      </c>
      <c r="J405" s="127"/>
      <c r="K405" s="127"/>
      <c r="L405" s="128"/>
      <c r="M405" s="129">
        <v>1</v>
      </c>
      <c r="N405" s="142">
        <v>399.99</v>
      </c>
      <c r="O405" s="142">
        <v>399.99</v>
      </c>
    </row>
    <row r="406" ht="15.55" customHeight="1">
      <c r="I406" t="s" s="126">
        <v>3615</v>
      </c>
      <c r="J406" s="127"/>
      <c r="K406" s="127"/>
      <c r="L406" s="128"/>
      <c r="M406" s="129">
        <v>2</v>
      </c>
      <c r="N406" s="142">
        <v>59.98</v>
      </c>
      <c r="O406" s="142">
        <v>59.98</v>
      </c>
    </row>
    <row r="407" ht="15.55" customHeight="1">
      <c r="I407" t="s" s="126">
        <v>3534</v>
      </c>
      <c r="J407" s="127"/>
      <c r="K407" s="127"/>
      <c r="L407" s="128"/>
      <c r="M407" s="129">
        <v>2</v>
      </c>
      <c r="N407" s="142">
        <v>119.98</v>
      </c>
      <c r="O407" s="142">
        <v>119.98</v>
      </c>
    </row>
    <row r="408" ht="15.55" customHeight="1">
      <c r="I408" t="s" s="126">
        <v>3740</v>
      </c>
      <c r="J408" s="127"/>
      <c r="K408" s="127"/>
      <c r="L408" s="128"/>
      <c r="M408" s="129">
        <v>10</v>
      </c>
      <c r="N408" s="142">
        <v>1349.99</v>
      </c>
      <c r="O408" s="142">
        <v>2699.98</v>
      </c>
    </row>
    <row r="409" ht="15.55" customHeight="1">
      <c r="I409" t="s" s="126">
        <v>3723</v>
      </c>
      <c r="J409" s="127"/>
      <c r="K409" s="127"/>
      <c r="L409" s="128"/>
      <c r="M409" s="129">
        <v>2</v>
      </c>
      <c r="N409" s="142">
        <v>49.99</v>
      </c>
      <c r="O409" s="142">
        <v>99.98</v>
      </c>
    </row>
    <row r="410" ht="15.55" customHeight="1">
      <c r="I410" t="s" s="126">
        <v>1686</v>
      </c>
      <c r="J410" s="127"/>
      <c r="K410" s="127"/>
      <c r="L410" s="128"/>
      <c r="M410" s="129">
        <v>3</v>
      </c>
      <c r="N410" s="142">
        <v>179.98</v>
      </c>
      <c r="O410" s="142">
        <v>179.98</v>
      </c>
    </row>
    <row r="411" ht="15.55" customHeight="1">
      <c r="I411" t="s" s="126">
        <v>1904</v>
      </c>
      <c r="J411" s="127"/>
      <c r="K411" s="127"/>
      <c r="L411" s="128"/>
      <c r="M411" s="129">
        <v>12</v>
      </c>
      <c r="N411" s="142">
        <v>139.97</v>
      </c>
      <c r="O411" s="142">
        <v>559.88</v>
      </c>
    </row>
    <row r="412" ht="15.55" customHeight="1">
      <c r="I412" t="s" s="126">
        <v>3721</v>
      </c>
      <c r="J412" s="127"/>
      <c r="K412" s="127"/>
      <c r="L412" s="128"/>
      <c r="M412" s="129">
        <v>1</v>
      </c>
      <c r="N412" s="142">
        <v>349.99</v>
      </c>
      <c r="O412" s="142">
        <v>349.99</v>
      </c>
    </row>
    <row r="413" ht="15.55" customHeight="1">
      <c r="I413" t="s" s="126">
        <v>3812</v>
      </c>
      <c r="J413" s="127"/>
      <c r="K413" s="127"/>
      <c r="L413" s="128"/>
      <c r="M413" s="129">
        <v>1</v>
      </c>
      <c r="N413" s="142">
        <v>1199.99</v>
      </c>
      <c r="O413" s="142">
        <v>1199.99</v>
      </c>
    </row>
    <row r="414" ht="15.55" customHeight="1">
      <c r="I414" t="s" s="126">
        <v>2727</v>
      </c>
      <c r="J414" s="127"/>
      <c r="K414" s="127"/>
      <c r="L414" s="128"/>
      <c r="M414" s="129">
        <v>15</v>
      </c>
      <c r="N414" s="142">
        <v>1779.96</v>
      </c>
      <c r="O414" s="142">
        <v>3529.93</v>
      </c>
    </row>
    <row r="415" ht="15.55" customHeight="1">
      <c r="I415" t="s" s="126">
        <v>1401</v>
      </c>
      <c r="J415" s="127"/>
      <c r="K415" s="127"/>
      <c r="L415" s="128"/>
      <c r="M415" s="129">
        <v>15</v>
      </c>
      <c r="N415" s="142">
        <v>1384.4841</v>
      </c>
      <c r="O415" s="142">
        <v>2359.4766</v>
      </c>
    </row>
    <row r="416" ht="15.55" customHeight="1">
      <c r="I416" t="s" s="126">
        <v>2382</v>
      </c>
      <c r="J416" s="127"/>
      <c r="K416" s="127"/>
      <c r="L416" s="128"/>
      <c r="M416" s="129">
        <v>128</v>
      </c>
      <c r="N416" s="142">
        <v>7626.9475</v>
      </c>
      <c r="O416" s="142">
        <v>28401.7525</v>
      </c>
    </row>
    <row r="417" ht="15.55" customHeight="1">
      <c r="I417" t="s" s="126">
        <v>473</v>
      </c>
      <c r="J417" s="127"/>
      <c r="K417" s="127"/>
      <c r="L417" s="128"/>
      <c r="M417" s="129">
        <v>11</v>
      </c>
      <c r="N417" s="142">
        <v>47.4925</v>
      </c>
      <c r="O417" s="142">
        <v>249.925</v>
      </c>
    </row>
    <row r="418" ht="15.55" customHeight="1">
      <c r="I418" t="s" s="126">
        <v>42</v>
      </c>
      <c r="J418" s="127"/>
      <c r="K418" s="127"/>
      <c r="L418" s="128"/>
      <c r="M418" s="129">
        <v>7</v>
      </c>
      <c r="N418" s="142">
        <v>390.68</v>
      </c>
      <c r="O418" s="142">
        <v>1705.4</v>
      </c>
    </row>
    <row r="419" ht="15.55" customHeight="1">
      <c r="I419" t="s" s="126">
        <v>3743</v>
      </c>
      <c r="J419" s="127"/>
      <c r="K419" s="127"/>
      <c r="L419" s="128"/>
      <c r="M419" s="129">
        <v>17</v>
      </c>
      <c r="N419" s="142">
        <v>1249.98</v>
      </c>
      <c r="O419" s="142">
        <v>3799.95</v>
      </c>
    </row>
    <row r="420" ht="15.55" customHeight="1">
      <c r="I420" t="s" s="126">
        <v>3770</v>
      </c>
      <c r="J420" s="127"/>
      <c r="K420" s="127"/>
      <c r="L420" s="128"/>
      <c r="M420" s="129">
        <v>1</v>
      </c>
      <c r="N420" s="142">
        <v>49.99</v>
      </c>
      <c r="O420" s="142">
        <v>49.99</v>
      </c>
    </row>
    <row r="421" ht="15.55" customHeight="1">
      <c r="I421" t="s" s="126">
        <v>3765</v>
      </c>
      <c r="J421" s="127"/>
      <c r="K421" s="127"/>
      <c r="L421" s="128"/>
      <c r="M421" s="129">
        <v>1</v>
      </c>
      <c r="N421" s="142">
        <v>349.99</v>
      </c>
      <c r="O421" s="142">
        <v>349.99</v>
      </c>
    </row>
    <row r="422" ht="15.55" customHeight="1">
      <c r="I422" t="s" s="126">
        <v>3590</v>
      </c>
      <c r="J422" s="127"/>
      <c r="K422" s="127"/>
      <c r="L422" s="128"/>
      <c r="M422" s="129">
        <v>3</v>
      </c>
      <c r="N422" s="142">
        <v>71</v>
      </c>
      <c r="O422" s="142">
        <v>71</v>
      </c>
    </row>
    <row r="423" ht="15.55" customHeight="1">
      <c r="I423" t="s" s="126">
        <v>3805</v>
      </c>
      <c r="J423" s="127"/>
      <c r="K423" s="127"/>
      <c r="L423" s="128"/>
      <c r="M423" s="129">
        <v>3</v>
      </c>
      <c r="N423" s="142">
        <v>49.99</v>
      </c>
      <c r="O423" s="142">
        <v>149.97</v>
      </c>
    </row>
    <row r="424" ht="15.55" customHeight="1">
      <c r="I424" t="s" s="126">
        <v>3693</v>
      </c>
      <c r="J424" s="127"/>
      <c r="K424" s="127"/>
      <c r="L424" s="128"/>
      <c r="M424" s="129">
        <v>1</v>
      </c>
      <c r="N424" s="142">
        <v>549.99</v>
      </c>
      <c r="O424" s="142">
        <v>549.99</v>
      </c>
    </row>
    <row r="425" ht="15.55" customHeight="1">
      <c r="I425" t="s" s="126">
        <v>3569</v>
      </c>
      <c r="J425" s="127"/>
      <c r="K425" s="127"/>
      <c r="L425" s="128"/>
      <c r="M425" s="129">
        <v>7</v>
      </c>
      <c r="N425" s="142">
        <v>1049.97</v>
      </c>
      <c r="O425" s="142">
        <v>1699.95</v>
      </c>
    </row>
    <row r="426" ht="15.55" customHeight="1">
      <c r="I426" t="s" s="126">
        <v>3828</v>
      </c>
      <c r="J426" s="127"/>
      <c r="K426" s="127"/>
      <c r="L426" s="128"/>
      <c r="M426" s="129">
        <v>3</v>
      </c>
      <c r="N426" s="142">
        <v>9.99</v>
      </c>
      <c r="O426" s="142">
        <v>29.97</v>
      </c>
    </row>
    <row r="427" ht="15.55" customHeight="1">
      <c r="I427" t="s" s="126">
        <v>3646</v>
      </c>
      <c r="J427" s="127"/>
      <c r="K427" s="127"/>
      <c r="L427" s="128"/>
      <c r="M427" s="129">
        <v>2</v>
      </c>
      <c r="N427" s="142">
        <v>9.99</v>
      </c>
      <c r="O427" s="142">
        <v>19.98</v>
      </c>
    </row>
    <row r="428" ht="15.55" customHeight="1">
      <c r="I428" t="s" s="126">
        <v>3833</v>
      </c>
      <c r="J428" s="127"/>
      <c r="K428" s="127"/>
      <c r="L428" s="128"/>
      <c r="M428" s="129">
        <v>1</v>
      </c>
      <c r="N428" s="142">
        <v>399.99</v>
      </c>
      <c r="O428" s="142">
        <v>399.99</v>
      </c>
    </row>
    <row r="429" ht="15.55" customHeight="1">
      <c r="I429" t="s" s="126">
        <v>1881</v>
      </c>
      <c r="J429" s="127"/>
      <c r="K429" s="127"/>
      <c r="L429" s="128"/>
      <c r="M429" s="129">
        <v>1</v>
      </c>
      <c r="N429" s="142">
        <v>399.99</v>
      </c>
      <c r="O429" s="142">
        <v>399.99</v>
      </c>
    </row>
    <row r="430" ht="15.55" customHeight="1">
      <c r="I430" t="s" s="126">
        <v>3602</v>
      </c>
      <c r="J430" s="127"/>
      <c r="K430" s="127"/>
      <c r="L430" s="128"/>
      <c r="M430" s="129">
        <v>1</v>
      </c>
      <c r="N430" s="142">
        <v>599.99</v>
      </c>
      <c r="O430" s="142">
        <v>599.99</v>
      </c>
    </row>
    <row r="431" ht="15.55" customHeight="1">
      <c r="I431" t="s" s="126">
        <v>3677</v>
      </c>
      <c r="J431" s="127"/>
      <c r="K431" s="127"/>
      <c r="L431" s="128"/>
      <c r="M431" s="129">
        <v>1</v>
      </c>
      <c r="N431" s="142">
        <v>349.99</v>
      </c>
      <c r="O431" s="142">
        <v>349.99</v>
      </c>
    </row>
    <row r="432" ht="15.55" customHeight="1">
      <c r="I432" t="s" s="126">
        <v>3648</v>
      </c>
      <c r="J432" s="127"/>
      <c r="K432" s="127"/>
      <c r="L432" s="128"/>
      <c r="M432" s="129">
        <v>2</v>
      </c>
      <c r="N432" s="142">
        <v>49.99</v>
      </c>
      <c r="O432" s="142">
        <v>99.98</v>
      </c>
    </row>
    <row r="433" ht="15.55" customHeight="1">
      <c r="I433" t="s" s="126">
        <v>3669</v>
      </c>
      <c r="J433" s="127"/>
      <c r="K433" s="127"/>
      <c r="L433" s="128"/>
      <c r="M433" s="129">
        <v>2</v>
      </c>
      <c r="N433" s="142">
        <v>1199.99</v>
      </c>
      <c r="O433" s="142">
        <v>2399.98</v>
      </c>
    </row>
    <row r="434" ht="15.55" customHeight="1">
      <c r="I434" t="s" s="126">
        <v>62</v>
      </c>
      <c r="J434" s="127"/>
      <c r="K434" s="127"/>
      <c r="L434" s="128"/>
      <c r="M434" s="129">
        <v>3</v>
      </c>
      <c r="N434" s="142">
        <v>364.9925</v>
      </c>
      <c r="O434" s="142">
        <v>664.985</v>
      </c>
    </row>
    <row r="435" ht="15.55" customHeight="1">
      <c r="I435" t="s" s="126">
        <v>3697</v>
      </c>
      <c r="J435" s="127"/>
      <c r="K435" s="127"/>
      <c r="L435" s="128"/>
      <c r="M435" s="129">
        <v>6</v>
      </c>
      <c r="N435" s="142">
        <v>309.96</v>
      </c>
      <c r="O435" s="142">
        <v>409.94</v>
      </c>
    </row>
    <row r="436" ht="15.55" customHeight="1">
      <c r="I436" t="s" s="126">
        <v>3830</v>
      </c>
      <c r="J436" s="127"/>
      <c r="K436" s="127"/>
      <c r="L436" s="128"/>
      <c r="M436" s="129">
        <v>2</v>
      </c>
      <c r="N436" s="142">
        <v>399.99</v>
      </c>
      <c r="O436" s="142">
        <v>799.98</v>
      </c>
    </row>
    <row r="437" ht="15.55" customHeight="1">
      <c r="I437" t="s" s="126">
        <v>122</v>
      </c>
      <c r="J437" s="127"/>
      <c r="K437" s="127"/>
      <c r="L437" s="128"/>
      <c r="M437" s="129">
        <v>11</v>
      </c>
      <c r="N437" s="142">
        <v>1012.415</v>
      </c>
      <c r="O437" s="142">
        <v>1649.9075</v>
      </c>
    </row>
    <row r="438" ht="15.55" customHeight="1">
      <c r="I438" t="s" s="126">
        <v>3638</v>
      </c>
      <c r="J438" s="127"/>
      <c r="K438" s="127"/>
      <c r="L438" s="128"/>
      <c r="M438" s="129">
        <v>1</v>
      </c>
      <c r="N438" s="142">
        <v>399.99</v>
      </c>
      <c r="O438" s="142">
        <v>399.99</v>
      </c>
    </row>
    <row r="439" ht="15.55" customHeight="1">
      <c r="I439" t="s" s="126">
        <v>3701</v>
      </c>
      <c r="J439" s="127"/>
      <c r="K439" s="127"/>
      <c r="L439" s="128"/>
      <c r="M439" s="129">
        <v>10</v>
      </c>
      <c r="N439" s="142">
        <v>809.99</v>
      </c>
      <c r="O439" s="142">
        <v>1619.98</v>
      </c>
    </row>
    <row r="440" ht="15.55" customHeight="1">
      <c r="I440" t="s" s="126">
        <v>3734</v>
      </c>
      <c r="J440" s="127"/>
      <c r="K440" s="127"/>
      <c r="L440" s="128"/>
      <c r="M440" s="129">
        <v>1</v>
      </c>
      <c r="N440" s="142">
        <v>59.99</v>
      </c>
      <c r="O440" s="142">
        <v>59.99</v>
      </c>
    </row>
    <row r="441" ht="15.55" customHeight="1">
      <c r="I441" t="s" s="126">
        <v>3801</v>
      </c>
      <c r="J441" s="127"/>
      <c r="K441" s="127"/>
      <c r="L441" s="128"/>
      <c r="M441" s="129">
        <v>2</v>
      </c>
      <c r="N441" s="142">
        <v>19.98</v>
      </c>
      <c r="O441" s="142">
        <v>19.98</v>
      </c>
    </row>
    <row r="442" ht="15.55" customHeight="1">
      <c r="I442" t="s" s="126">
        <v>2323</v>
      </c>
      <c r="J442" s="127"/>
      <c r="K442" s="127"/>
      <c r="L442" s="128"/>
      <c r="M442" s="129">
        <v>22</v>
      </c>
      <c r="N442" s="142">
        <v>662.485</v>
      </c>
      <c r="O442" s="142">
        <v>3684.94</v>
      </c>
    </row>
    <row r="443" ht="15.55" customHeight="1">
      <c r="I443" t="s" s="126">
        <v>3641</v>
      </c>
      <c r="J443" s="127"/>
      <c r="K443" s="127"/>
      <c r="L443" s="128"/>
      <c r="M443" s="129">
        <v>1</v>
      </c>
      <c r="N443" s="142">
        <v>349.99</v>
      </c>
      <c r="O443" s="142">
        <v>349.99</v>
      </c>
    </row>
    <row r="444" ht="15.55" customHeight="1">
      <c r="I444" t="s" s="126">
        <v>3816</v>
      </c>
      <c r="J444" s="127"/>
      <c r="K444" s="127"/>
      <c r="L444" s="128"/>
      <c r="M444" s="129">
        <v>4</v>
      </c>
      <c r="N444" s="142">
        <v>329.97</v>
      </c>
      <c r="O444" s="142">
        <v>529.96</v>
      </c>
    </row>
    <row r="445" ht="15.55" customHeight="1">
      <c r="I445" t="s" s="126">
        <v>3763</v>
      </c>
      <c r="J445" s="127"/>
      <c r="K445" s="127"/>
      <c r="L445" s="128"/>
      <c r="M445" s="129">
        <v>10</v>
      </c>
      <c r="N445" s="142">
        <v>8.49</v>
      </c>
      <c r="O445" s="142">
        <v>84.90000000000001</v>
      </c>
    </row>
    <row r="446" ht="15.55" customHeight="1">
      <c r="I446" t="s" s="126">
        <v>3706</v>
      </c>
      <c r="J446" s="127"/>
      <c r="K446" s="127"/>
      <c r="L446" s="128"/>
      <c r="M446" s="129">
        <v>1</v>
      </c>
      <c r="N446" s="142">
        <v>399.99</v>
      </c>
      <c r="O446" s="142">
        <v>399.99</v>
      </c>
    </row>
    <row r="447" ht="15.55" customHeight="1">
      <c r="I447" t="s" s="126">
        <v>3768</v>
      </c>
      <c r="J447" s="127"/>
      <c r="K447" s="127"/>
      <c r="L447" s="128"/>
      <c r="M447" s="129">
        <v>2</v>
      </c>
      <c r="N447" s="142">
        <v>649.98</v>
      </c>
      <c r="O447" s="142">
        <v>649.98</v>
      </c>
    </row>
    <row r="448" ht="15.55" customHeight="1">
      <c r="I448" t="s" s="126">
        <v>3826</v>
      </c>
      <c r="J448" s="127"/>
      <c r="K448" s="127"/>
      <c r="L448" s="128"/>
      <c r="M448" s="129">
        <v>1</v>
      </c>
      <c r="N448" s="142">
        <v>29.99</v>
      </c>
      <c r="O448" s="142">
        <v>29.99</v>
      </c>
    </row>
    <row r="449" ht="15.55" customHeight="1">
      <c r="I449" t="s" s="126">
        <v>3617</v>
      </c>
      <c r="J449" s="127"/>
      <c r="K449" s="127"/>
      <c r="L449" s="128"/>
      <c r="M449" s="129">
        <v>42</v>
      </c>
      <c r="N449" s="142">
        <v>551.88</v>
      </c>
      <c r="O449" s="142">
        <v>1279.58</v>
      </c>
    </row>
    <row r="450" ht="15.4" customHeight="1">
      <c r="I450" t="s" s="132">
        <v>3372</v>
      </c>
      <c r="J450" s="133"/>
      <c r="K450" s="133"/>
      <c r="L450" s="134"/>
      <c r="M450" s="135">
        <v>21</v>
      </c>
      <c r="N450" s="143">
        <v>2289.94</v>
      </c>
      <c r="O450" s="143">
        <v>3739.85</v>
      </c>
    </row>
    <row r="451" ht="13.1" customHeight="1">
      <c r="I451" t="s" s="33">
        <v>620</v>
      </c>
      <c r="M451" s="34">
        <v>1205</v>
      </c>
      <c r="N451" s="35">
        <v>68940.6366</v>
      </c>
      <c r="O451" s="35">
        <v>161720.3191</v>
      </c>
    </row>
    <row r="453" ht="15.55" customHeight="1">
      <c r="P453" t="s" s="2">
        <v>3838</v>
      </c>
      <c r="Q453" s="2"/>
    </row>
    <row r="454" ht="13.1" customHeight="1">
      <c r="P454" t="s" s="37">
        <v>4</v>
      </c>
      <c r="Q454" t="s" s="145">
        <v>617</v>
      </c>
    </row>
    <row r="455" ht="13.1" customHeight="1">
      <c r="P455" t="s" s="38">
        <v>1891</v>
      </c>
      <c r="Q455" s="34">
        <v>10</v>
      </c>
    </row>
    <row r="456" ht="12.9" customHeight="1">
      <c r="P456" t="s" s="40">
        <v>780</v>
      </c>
      <c r="Q456" s="146">
        <v>16</v>
      </c>
    </row>
    <row r="457" ht="12.9" customHeight="1">
      <c r="P457" t="s" s="40">
        <v>2549</v>
      </c>
      <c r="Q457" s="146">
        <v>3</v>
      </c>
    </row>
    <row r="458" ht="12.9" customHeight="1">
      <c r="P458" t="s" s="40">
        <v>123</v>
      </c>
      <c r="Q458" s="146">
        <v>6</v>
      </c>
    </row>
    <row r="459" ht="12.9" customHeight="1">
      <c r="P459" t="s" s="40">
        <v>19</v>
      </c>
      <c r="Q459" s="146">
        <v>27</v>
      </c>
    </row>
    <row r="460" ht="12.9" customHeight="1">
      <c r="P460" t="s" s="40">
        <v>2787</v>
      </c>
      <c r="Q460" s="146">
        <v>2</v>
      </c>
    </row>
    <row r="461" ht="12.9" customHeight="1">
      <c r="P461" t="s" s="40">
        <v>227</v>
      </c>
      <c r="Q461" s="146">
        <v>11</v>
      </c>
    </row>
    <row r="462" ht="12.9" customHeight="1">
      <c r="P462" t="s" s="40">
        <v>54</v>
      </c>
      <c r="Q462" s="146">
        <v>74</v>
      </c>
    </row>
    <row r="463" ht="12.9" customHeight="1">
      <c r="P463" t="s" s="40">
        <v>1695</v>
      </c>
      <c r="Q463" s="146">
        <v>6</v>
      </c>
    </row>
    <row r="464" ht="12.9" customHeight="1">
      <c r="P464" t="s" s="40">
        <v>57</v>
      </c>
      <c r="Q464" s="146">
        <v>8</v>
      </c>
    </row>
    <row r="465" ht="12.9" customHeight="1">
      <c r="P465" t="s" s="40">
        <v>369</v>
      </c>
      <c r="Q465" s="146">
        <v>2</v>
      </c>
    </row>
    <row r="466" ht="12.9" customHeight="1">
      <c r="P466" t="s" s="40">
        <v>84</v>
      </c>
      <c r="Q466" s="146">
        <v>23</v>
      </c>
    </row>
    <row r="467" ht="12.9" customHeight="1">
      <c r="P467" t="s" s="40">
        <v>660</v>
      </c>
      <c r="Q467" s="146">
        <v>2</v>
      </c>
    </row>
    <row r="468" ht="12.9" customHeight="1">
      <c r="P468" t="s" s="40">
        <v>179</v>
      </c>
      <c r="Q468" s="146">
        <v>6</v>
      </c>
    </row>
    <row r="469" ht="12.9" customHeight="1">
      <c r="P469" t="s" s="40">
        <v>119</v>
      </c>
      <c r="Q469" s="146">
        <v>20</v>
      </c>
    </row>
    <row r="470" ht="12.9" customHeight="1">
      <c r="P470" t="s" s="40">
        <v>589</v>
      </c>
      <c r="Q470" s="146">
        <v>5</v>
      </c>
    </row>
    <row r="471" ht="12.9" customHeight="1">
      <c r="P471" t="s" s="40">
        <v>345</v>
      </c>
      <c r="Q471" s="146">
        <v>1</v>
      </c>
    </row>
    <row r="472" ht="12.9" customHeight="1">
      <c r="P472" t="s" s="40">
        <v>225</v>
      </c>
      <c r="Q472" s="146">
        <v>3</v>
      </c>
    </row>
    <row r="473" ht="12.9" customHeight="1">
      <c r="P473" t="s" s="40">
        <v>585</v>
      </c>
      <c r="Q473" s="146">
        <v>4</v>
      </c>
    </row>
    <row r="474" ht="12.9" customHeight="1">
      <c r="P474" t="s" s="40">
        <v>299</v>
      </c>
      <c r="Q474" s="146">
        <v>20</v>
      </c>
    </row>
    <row r="475" ht="12.9" customHeight="1">
      <c r="P475" t="s" s="40">
        <v>1069</v>
      </c>
      <c r="Q475" s="146">
        <v>1</v>
      </c>
    </row>
    <row r="476" ht="12.9" customHeight="1">
      <c r="P476" t="s" s="40">
        <v>1717</v>
      </c>
      <c r="Q476" s="146">
        <v>6</v>
      </c>
    </row>
    <row r="477" ht="12.9" customHeight="1">
      <c r="P477" t="s" s="40">
        <v>882</v>
      </c>
      <c r="Q477" s="146">
        <v>1</v>
      </c>
    </row>
    <row r="478" ht="12.9" customHeight="1">
      <c r="P478" t="s" s="40">
        <v>239</v>
      </c>
      <c r="Q478" s="146">
        <v>8</v>
      </c>
    </row>
    <row r="479" ht="12.9" customHeight="1">
      <c r="P479" t="s" s="40">
        <v>39</v>
      </c>
      <c r="Q479" s="146">
        <v>4</v>
      </c>
    </row>
    <row r="480" ht="12.9" customHeight="1">
      <c r="P480" t="s" s="40">
        <v>2519</v>
      </c>
      <c r="Q480" s="146">
        <v>1</v>
      </c>
    </row>
    <row r="481" ht="12.9" customHeight="1">
      <c r="P481" t="s" s="40">
        <v>354</v>
      </c>
      <c r="Q481" s="146">
        <v>10</v>
      </c>
    </row>
    <row r="482" ht="12.9" customHeight="1">
      <c r="P482" t="s" s="40">
        <v>23</v>
      </c>
      <c r="Q482" s="146">
        <v>27</v>
      </c>
    </row>
    <row r="483" ht="12.9" customHeight="1">
      <c r="P483" t="s" s="40">
        <v>462</v>
      </c>
      <c r="Q483" s="146">
        <v>8</v>
      </c>
    </row>
    <row r="484" ht="12.9" customHeight="1">
      <c r="P484" t="s" s="40">
        <v>133</v>
      </c>
      <c r="Q484" s="146">
        <v>54</v>
      </c>
    </row>
    <row r="485" ht="12.9" customHeight="1">
      <c r="P485" t="s" s="40">
        <v>1875</v>
      </c>
      <c r="Q485" s="146">
        <v>2</v>
      </c>
    </row>
    <row r="486" ht="12.9" customHeight="1">
      <c r="P486" t="s" s="40">
        <v>470</v>
      </c>
      <c r="Q486" s="146">
        <v>4</v>
      </c>
    </row>
    <row r="487" ht="12.9" customHeight="1">
      <c r="P487" t="s" s="40">
        <v>602</v>
      </c>
      <c r="Q487" s="146">
        <v>4</v>
      </c>
    </row>
    <row r="488" ht="12.9" customHeight="1">
      <c r="P488" t="s" s="40">
        <v>3750</v>
      </c>
      <c r="Q488" s="146">
        <v>2</v>
      </c>
    </row>
    <row r="489" ht="12.9" customHeight="1">
      <c r="P489" t="s" s="40">
        <v>1257</v>
      </c>
      <c r="Q489" s="146">
        <v>1</v>
      </c>
    </row>
    <row r="490" ht="12.9" customHeight="1">
      <c r="P490" t="s" s="40">
        <v>35</v>
      </c>
      <c r="Q490" s="146">
        <v>26</v>
      </c>
    </row>
    <row r="491" ht="12.9" customHeight="1">
      <c r="P491" t="s" s="40">
        <v>89</v>
      </c>
      <c r="Q491" s="146">
        <v>11</v>
      </c>
    </row>
    <row r="492" ht="12.9" customHeight="1">
      <c r="P492" t="s" s="40">
        <v>52</v>
      </c>
      <c r="Q492" s="146">
        <v>15</v>
      </c>
    </row>
    <row r="493" ht="12.9" customHeight="1">
      <c r="P493" t="s" s="40">
        <v>359</v>
      </c>
      <c r="Q493" s="146">
        <v>27</v>
      </c>
    </row>
    <row r="494" ht="12.9" customHeight="1">
      <c r="P494" t="s" s="40">
        <v>77</v>
      </c>
      <c r="Q494" s="146">
        <v>20</v>
      </c>
    </row>
    <row r="495" ht="12.9" customHeight="1">
      <c r="P495" t="s" s="40">
        <v>146</v>
      </c>
      <c r="Q495" s="146">
        <v>20</v>
      </c>
    </row>
    <row r="496" ht="12.9" customHeight="1">
      <c r="P496" t="s" s="40">
        <v>258</v>
      </c>
      <c r="Q496" s="146">
        <v>16</v>
      </c>
    </row>
    <row r="497" ht="12.9" customHeight="1">
      <c r="P497" t="s" s="40">
        <v>1729</v>
      </c>
      <c r="Q497" s="146">
        <v>1</v>
      </c>
    </row>
    <row r="498" ht="12.9" customHeight="1">
      <c r="P498" t="s" s="40">
        <v>95</v>
      </c>
      <c r="Q498" s="146">
        <v>10</v>
      </c>
    </row>
    <row r="499" ht="12.9" customHeight="1">
      <c r="P499" t="s" s="40">
        <v>171</v>
      </c>
      <c r="Q499" s="146">
        <v>5</v>
      </c>
    </row>
    <row r="500" ht="12.9" customHeight="1">
      <c r="P500" t="s" s="40">
        <v>11</v>
      </c>
      <c r="Q500" s="146">
        <v>7</v>
      </c>
    </row>
    <row r="501" ht="12.9" customHeight="1">
      <c r="P501" t="s" s="40">
        <v>31</v>
      </c>
      <c r="Q501" s="146">
        <v>3</v>
      </c>
    </row>
    <row r="502" ht="12.9" customHeight="1">
      <c r="P502" t="s" s="40">
        <v>81</v>
      </c>
      <c r="Q502" s="146">
        <v>21</v>
      </c>
    </row>
    <row r="503" ht="12.9" customHeight="1">
      <c r="P503" t="s" s="40">
        <v>722</v>
      </c>
      <c r="Q503" s="146">
        <v>2</v>
      </c>
    </row>
    <row r="504" ht="12.9" customHeight="1">
      <c r="P504" t="s" s="40">
        <v>50</v>
      </c>
      <c r="Q504" s="146">
        <v>75</v>
      </c>
    </row>
    <row r="505" ht="12.9" customHeight="1">
      <c r="P505" t="s" s="40">
        <v>48</v>
      </c>
      <c r="Q505" s="146">
        <v>13</v>
      </c>
    </row>
    <row r="506" ht="12.9" customHeight="1">
      <c r="P506" t="s" s="40">
        <v>998</v>
      </c>
      <c r="Q506" s="146">
        <v>6</v>
      </c>
    </row>
    <row r="507" ht="12.9" customHeight="1">
      <c r="P507" t="s" s="40">
        <v>468</v>
      </c>
      <c r="Q507" s="146">
        <v>11</v>
      </c>
    </row>
    <row r="508" ht="12.9" customHeight="1">
      <c r="P508" t="s" s="40">
        <v>1155</v>
      </c>
      <c r="Q508" s="146">
        <v>6</v>
      </c>
    </row>
    <row r="509" ht="12.9" customHeight="1">
      <c r="P509" t="s" s="40">
        <v>489</v>
      </c>
      <c r="Q509" s="146">
        <v>5</v>
      </c>
    </row>
    <row r="510" ht="12.9" customHeight="1">
      <c r="P510" t="s" s="40">
        <v>1633</v>
      </c>
      <c r="Q510" s="146">
        <v>3</v>
      </c>
    </row>
    <row r="511" ht="12.9" customHeight="1">
      <c r="P511" t="s" s="40">
        <v>491</v>
      </c>
      <c r="Q511" s="146">
        <v>12</v>
      </c>
    </row>
    <row r="512" ht="12.9" customHeight="1">
      <c r="P512" t="s" s="40">
        <v>493</v>
      </c>
      <c r="Q512" s="146">
        <v>5</v>
      </c>
    </row>
    <row r="513" ht="12.9" customHeight="1">
      <c r="P513" t="s" s="40">
        <v>3396</v>
      </c>
      <c r="Q513" s="146">
        <v>48</v>
      </c>
    </row>
    <row r="514" ht="12.9" customHeight="1">
      <c r="P514" t="s" s="40">
        <v>3398</v>
      </c>
      <c r="Q514" s="146">
        <v>97</v>
      </c>
    </row>
    <row r="515" ht="12.9" customHeight="1">
      <c r="P515" t="s" s="40">
        <v>3605</v>
      </c>
      <c r="Q515" s="146">
        <v>1</v>
      </c>
    </row>
    <row r="516" ht="12.9" customHeight="1">
      <c r="P516" t="s" s="40">
        <v>59</v>
      </c>
      <c r="Q516" s="146">
        <v>19</v>
      </c>
    </row>
    <row r="517" ht="12.9" customHeight="1">
      <c r="P517" t="s" s="40">
        <v>698</v>
      </c>
      <c r="Q517" s="146">
        <v>14</v>
      </c>
    </row>
    <row r="518" ht="12.9" customHeight="1">
      <c r="P518" t="s" s="40">
        <v>73</v>
      </c>
      <c r="Q518" s="146">
        <v>32</v>
      </c>
    </row>
    <row r="519" ht="12.9" customHeight="1">
      <c r="P519" t="s" s="40">
        <v>559</v>
      </c>
      <c r="Q519" s="146">
        <v>100</v>
      </c>
    </row>
    <row r="520" ht="12.9" customHeight="1">
      <c r="P520" t="s" s="40">
        <v>15</v>
      </c>
      <c r="Q520" s="146">
        <v>97</v>
      </c>
    </row>
    <row r="521" ht="12.9" customHeight="1">
      <c r="P521" t="s" s="40">
        <v>442</v>
      </c>
      <c r="Q521" s="146">
        <v>1</v>
      </c>
    </row>
    <row r="522" ht="12.9" customHeight="1">
      <c r="P522" t="s" s="40">
        <v>3480</v>
      </c>
      <c r="Q522" s="146">
        <v>2</v>
      </c>
    </row>
    <row r="523" ht="12.9" customHeight="1">
      <c r="P523" t="s" s="40">
        <v>2509</v>
      </c>
      <c r="Q523" s="146">
        <v>1</v>
      </c>
    </row>
    <row r="524" ht="12.9" customHeight="1">
      <c r="P524" t="s" s="40">
        <v>3653</v>
      </c>
      <c r="Q524" s="146">
        <v>2</v>
      </c>
    </row>
    <row r="525" ht="12.9" customHeight="1">
      <c r="P525" t="s" s="40">
        <v>3822</v>
      </c>
      <c r="Q525" s="146">
        <v>1</v>
      </c>
    </row>
    <row r="526" ht="12.9" customHeight="1">
      <c r="P526" t="s" s="40">
        <v>1707</v>
      </c>
      <c r="Q526" s="146">
        <v>16</v>
      </c>
    </row>
    <row r="527" ht="12.9" customHeight="1">
      <c r="P527" t="s" s="40">
        <v>3660</v>
      </c>
      <c r="Q527" s="146">
        <v>6</v>
      </c>
    </row>
    <row r="528" ht="12.9" customHeight="1">
      <c r="P528" t="s" s="40">
        <v>1914</v>
      </c>
      <c r="Q528" s="146">
        <v>3</v>
      </c>
    </row>
    <row r="529" ht="12.9" customHeight="1">
      <c r="P529" t="s" s="40">
        <v>2223</v>
      </c>
      <c r="Q529" s="146">
        <v>6</v>
      </c>
    </row>
    <row r="530" ht="12.9" customHeight="1">
      <c r="P530" t="s" s="40">
        <v>691</v>
      </c>
      <c r="Q530" s="146">
        <v>8</v>
      </c>
    </row>
    <row r="531" ht="12.9" customHeight="1">
      <c r="P531" t="s" s="40">
        <v>3785</v>
      </c>
      <c r="Q531" s="146">
        <v>1</v>
      </c>
    </row>
    <row r="532" ht="12.9" customHeight="1">
      <c r="P532" t="s" s="40">
        <v>3610</v>
      </c>
      <c r="Q532" s="146">
        <v>3</v>
      </c>
    </row>
    <row r="533" ht="12.9" customHeight="1">
      <c r="P533" t="s" s="40">
        <v>3611</v>
      </c>
      <c r="Q533" s="146">
        <v>3</v>
      </c>
    </row>
    <row r="534" ht="12.9" customHeight="1">
      <c r="P534" t="s" s="40">
        <v>254</v>
      </c>
      <c r="Q534" s="146">
        <v>7</v>
      </c>
    </row>
    <row r="535" ht="12.9" customHeight="1">
      <c r="P535" t="s" s="40">
        <v>63</v>
      </c>
      <c r="Q535" s="146">
        <v>17</v>
      </c>
    </row>
    <row r="536" ht="12.9" customHeight="1">
      <c r="P536" t="s" s="40">
        <v>47</v>
      </c>
      <c r="Q536" s="146">
        <v>5</v>
      </c>
    </row>
    <row r="537" ht="12.9" customHeight="1">
      <c r="P537" t="s" s="40">
        <v>3620</v>
      </c>
      <c r="Q537" s="146">
        <v>2</v>
      </c>
    </row>
    <row r="538" ht="12.9" customHeight="1">
      <c r="P538" t="s" s="40">
        <v>3622</v>
      </c>
      <c r="Q538" s="146">
        <v>2</v>
      </c>
    </row>
    <row r="539" ht="12.9" customHeight="1">
      <c r="P539" t="s" s="40">
        <v>3807</v>
      </c>
      <c r="Q539" s="146">
        <v>1</v>
      </c>
    </row>
    <row r="540" ht="12.9" customHeight="1">
      <c r="P540" t="s" s="40">
        <v>861</v>
      </c>
      <c r="Q540" s="146">
        <v>1</v>
      </c>
    </row>
    <row r="541" ht="12.9" customHeight="1">
      <c r="P541" t="s" s="40">
        <v>2672</v>
      </c>
      <c r="Q541" s="146">
        <v>1</v>
      </c>
    </row>
    <row r="542" ht="12.9" customHeight="1">
      <c r="P542" t="s" s="40">
        <v>762</v>
      </c>
      <c r="Q542" s="146">
        <v>1</v>
      </c>
    </row>
    <row r="543" ht="12.9" customHeight="1">
      <c r="P543" t="s" s="40">
        <v>3685</v>
      </c>
      <c r="Q543" s="146">
        <v>1</v>
      </c>
    </row>
    <row r="544" ht="12.9" customHeight="1">
      <c r="P544" t="s" s="40">
        <v>726</v>
      </c>
      <c r="Q544" s="146">
        <v>2</v>
      </c>
    </row>
    <row r="545" ht="13.1" customHeight="1">
      <c r="P545" t="s" s="42">
        <v>1394</v>
      </c>
      <c r="Q545" s="147">
        <v>2</v>
      </c>
    </row>
    <row r="546" ht="13.1" customHeight="1">
      <c r="P546" t="s" s="44">
        <v>620</v>
      </c>
      <c r="Q546" s="34">
        <v>1205</v>
      </c>
    </row>
    <row r="548" ht="15.55" customHeight="1">
      <c r="R548" t="s" s="2">
        <v>3839</v>
      </c>
      <c r="S548" s="2"/>
    </row>
    <row r="549" ht="13.1" customHeight="1">
      <c r="R549" t="s" s="37">
        <v>4</v>
      </c>
      <c r="S549" t="s" s="145">
        <v>619</v>
      </c>
    </row>
    <row r="550" ht="13.1" customHeight="1">
      <c r="R550" t="s" s="38">
        <v>1891</v>
      </c>
      <c r="S550" s="104">
        <v>0</v>
      </c>
    </row>
    <row r="551" ht="12.9" customHeight="1">
      <c r="R551" t="s" s="40">
        <v>780</v>
      </c>
      <c r="S551" s="149">
        <v>0</v>
      </c>
    </row>
    <row r="552" ht="12.9" customHeight="1">
      <c r="R552" t="s" s="40">
        <v>2549</v>
      </c>
      <c r="S552" s="149">
        <v>0</v>
      </c>
    </row>
    <row r="553" ht="12.9" customHeight="1">
      <c r="R553" t="s" s="40">
        <v>123</v>
      </c>
      <c r="S553" s="150">
        <v>1079.94</v>
      </c>
    </row>
    <row r="554" ht="12.9" customHeight="1">
      <c r="R554" t="s" s="40">
        <v>19</v>
      </c>
      <c r="S554" s="150">
        <v>3059.745</v>
      </c>
    </row>
    <row r="555" ht="12.9" customHeight="1">
      <c r="R555" t="s" s="40">
        <v>2787</v>
      </c>
      <c r="S555" s="150">
        <v>45.98</v>
      </c>
    </row>
    <row r="556" ht="12.9" customHeight="1">
      <c r="R556" t="s" s="40">
        <v>227</v>
      </c>
      <c r="S556" s="150">
        <v>239.92</v>
      </c>
    </row>
    <row r="557" ht="12.9" customHeight="1">
      <c r="R557" t="s" s="40">
        <v>54</v>
      </c>
      <c r="S557" s="150">
        <v>179.82</v>
      </c>
    </row>
    <row r="558" ht="12.9" customHeight="1">
      <c r="R558" t="s" s="40">
        <v>1695</v>
      </c>
      <c r="S558" s="150">
        <v>299.94</v>
      </c>
    </row>
    <row r="559" ht="12.9" customHeight="1">
      <c r="R559" t="s" s="40">
        <v>57</v>
      </c>
      <c r="S559" s="150">
        <v>4799.94</v>
      </c>
    </row>
    <row r="560" ht="12.9" customHeight="1">
      <c r="R560" t="s" s="40">
        <v>369</v>
      </c>
      <c r="S560" s="150">
        <v>25.98</v>
      </c>
    </row>
    <row r="561" ht="12.9" customHeight="1">
      <c r="R561" t="s" s="40">
        <v>84</v>
      </c>
      <c r="S561" s="150">
        <v>45</v>
      </c>
    </row>
    <row r="562" ht="12.9" customHeight="1">
      <c r="R562" t="s" s="40">
        <v>660</v>
      </c>
      <c r="S562" s="150">
        <v>11.98</v>
      </c>
    </row>
    <row r="563" ht="12.9" customHeight="1">
      <c r="R563" t="s" s="40">
        <v>179</v>
      </c>
      <c r="S563" s="150">
        <v>299.94</v>
      </c>
    </row>
    <row r="564" ht="12.9" customHeight="1">
      <c r="R564" t="s" s="40">
        <v>119</v>
      </c>
      <c r="S564" s="150">
        <v>19.9</v>
      </c>
    </row>
    <row r="565" ht="12.9" customHeight="1">
      <c r="R565" t="s" s="40">
        <v>589</v>
      </c>
      <c r="S565" s="150">
        <v>14.98</v>
      </c>
    </row>
    <row r="566" ht="12.9" customHeight="1">
      <c r="R566" t="s" s="40">
        <v>345</v>
      </c>
      <c r="S566" s="150">
        <v>219.99</v>
      </c>
    </row>
    <row r="567" ht="12.9" customHeight="1">
      <c r="R567" t="s" s="40">
        <v>225</v>
      </c>
      <c r="S567" s="150">
        <v>1499.97</v>
      </c>
    </row>
    <row r="568" ht="12.9" customHeight="1">
      <c r="R568" t="s" s="40">
        <v>585</v>
      </c>
      <c r="S568" s="150">
        <v>1999.96</v>
      </c>
    </row>
    <row r="569" ht="12.9" customHeight="1">
      <c r="R569" t="s" s="40">
        <v>299</v>
      </c>
      <c r="S569" s="150">
        <v>1399.8</v>
      </c>
    </row>
    <row r="570" ht="12.9" customHeight="1">
      <c r="R570" t="s" s="40">
        <v>1069</v>
      </c>
      <c r="S570" s="150">
        <v>99.98999999999999</v>
      </c>
    </row>
    <row r="571" ht="12.9" customHeight="1">
      <c r="R571" t="s" s="40">
        <v>1717</v>
      </c>
      <c r="S571" s="150">
        <v>599.9400000000001</v>
      </c>
    </row>
    <row r="572" ht="12.9" customHeight="1">
      <c r="R572" t="s" s="40">
        <v>882</v>
      </c>
      <c r="S572" s="150">
        <v>74.98999999999999</v>
      </c>
    </row>
    <row r="573" ht="12.9" customHeight="1">
      <c r="R573" t="s" s="40">
        <v>239</v>
      </c>
      <c r="S573" s="150">
        <v>799.92</v>
      </c>
    </row>
    <row r="574" ht="12.9" customHeight="1">
      <c r="R574" t="s" s="40">
        <v>39</v>
      </c>
      <c r="S574" s="150">
        <v>439.96</v>
      </c>
    </row>
    <row r="575" ht="12.9" customHeight="1">
      <c r="R575" t="s" s="40">
        <v>2519</v>
      </c>
      <c r="S575" s="149">
        <v>0</v>
      </c>
    </row>
    <row r="576" ht="12.9" customHeight="1">
      <c r="R576" t="s" s="40">
        <v>354</v>
      </c>
      <c r="S576" s="150">
        <v>1499.9</v>
      </c>
    </row>
    <row r="577" ht="12.9" customHeight="1">
      <c r="R577" t="s" s="40">
        <v>23</v>
      </c>
      <c r="S577" s="150">
        <v>1199.92</v>
      </c>
    </row>
    <row r="578" ht="12.9" customHeight="1">
      <c r="R578" t="s" s="40">
        <v>462</v>
      </c>
      <c r="S578" s="150">
        <v>1599.92</v>
      </c>
    </row>
    <row r="579" ht="12.9" customHeight="1">
      <c r="R579" t="s" s="40">
        <v>133</v>
      </c>
      <c r="S579" s="150">
        <v>2599.97</v>
      </c>
    </row>
    <row r="580" ht="12.9" customHeight="1">
      <c r="R580" t="s" s="40">
        <v>1875</v>
      </c>
      <c r="S580" s="150">
        <v>499.98</v>
      </c>
    </row>
    <row r="581" ht="12.9" customHeight="1">
      <c r="R581" t="s" s="40">
        <v>470</v>
      </c>
      <c r="S581" s="150">
        <v>549.99</v>
      </c>
    </row>
    <row r="582" ht="12.9" customHeight="1">
      <c r="R582" t="s" s="40">
        <v>602</v>
      </c>
      <c r="S582" s="150">
        <v>849.9775</v>
      </c>
    </row>
    <row r="583" ht="12.9" customHeight="1">
      <c r="R583" t="s" s="40">
        <v>3750</v>
      </c>
      <c r="S583" s="150">
        <v>599.98</v>
      </c>
    </row>
    <row r="584" ht="12.9" customHeight="1">
      <c r="R584" t="s" s="40">
        <v>1257</v>
      </c>
      <c r="S584" s="149">
        <v>0</v>
      </c>
    </row>
    <row r="585" ht="12.9" customHeight="1">
      <c r="R585" t="s" s="40">
        <v>35</v>
      </c>
      <c r="S585" s="150">
        <v>1299.74</v>
      </c>
    </row>
    <row r="586" ht="12.9" customHeight="1">
      <c r="R586" t="s" s="40">
        <v>89</v>
      </c>
      <c r="S586" s="150">
        <v>659.89</v>
      </c>
    </row>
    <row r="587" ht="12.9" customHeight="1">
      <c r="R587" t="s" s="40">
        <v>52</v>
      </c>
      <c r="S587" s="150">
        <v>39.98</v>
      </c>
    </row>
    <row r="588" ht="12.9" customHeight="1">
      <c r="R588" t="s" s="40">
        <v>359</v>
      </c>
      <c r="S588" s="150">
        <v>682.2725</v>
      </c>
    </row>
    <row r="589" ht="12.9" customHeight="1">
      <c r="R589" t="s" s="40">
        <v>77</v>
      </c>
      <c r="S589" s="150">
        <v>364.8175</v>
      </c>
    </row>
    <row r="590" ht="12.9" customHeight="1">
      <c r="R590" t="s" s="40">
        <v>146</v>
      </c>
      <c r="S590" s="150">
        <v>364.8175</v>
      </c>
    </row>
    <row r="591" ht="12.9" customHeight="1">
      <c r="R591" t="s" s="40">
        <v>258</v>
      </c>
      <c r="S591" s="150">
        <v>299.88</v>
      </c>
    </row>
    <row r="592" ht="12.9" customHeight="1">
      <c r="R592" t="s" s="40">
        <v>1729</v>
      </c>
      <c r="S592" s="150">
        <v>19.99</v>
      </c>
    </row>
    <row r="593" ht="12.9" customHeight="1">
      <c r="R593" t="s" s="40">
        <v>95</v>
      </c>
      <c r="S593" s="150">
        <v>3299.905</v>
      </c>
    </row>
    <row r="594" ht="12.9" customHeight="1">
      <c r="R594" t="s" s="40">
        <v>171</v>
      </c>
      <c r="S594" s="150">
        <v>2749.95</v>
      </c>
    </row>
    <row r="595" ht="12.9" customHeight="1">
      <c r="R595" t="s" s="40">
        <v>11</v>
      </c>
      <c r="S595" s="150">
        <v>2799.93</v>
      </c>
    </row>
    <row r="596" ht="12.9" customHeight="1">
      <c r="R596" t="s" s="40">
        <v>31</v>
      </c>
      <c r="S596" s="150">
        <v>1799.97</v>
      </c>
    </row>
    <row r="597" ht="12.9" customHeight="1">
      <c r="R597" t="s" s="40">
        <v>81</v>
      </c>
      <c r="S597" s="150">
        <v>16494.805</v>
      </c>
    </row>
    <row r="598" ht="12.9" customHeight="1">
      <c r="R598" t="s" s="40">
        <v>722</v>
      </c>
      <c r="S598" s="150">
        <v>1739.98</v>
      </c>
    </row>
    <row r="599" ht="12.9" customHeight="1">
      <c r="R599" t="s" s="40">
        <v>50</v>
      </c>
      <c r="S599" s="150">
        <v>464.845</v>
      </c>
    </row>
    <row r="600" ht="12.9" customHeight="1">
      <c r="R600" t="s" s="40">
        <v>48</v>
      </c>
      <c r="S600" s="150">
        <v>13974.8925</v>
      </c>
    </row>
    <row r="601" ht="12.9" customHeight="1">
      <c r="R601" t="s" s="40">
        <v>998</v>
      </c>
      <c r="S601" s="150">
        <v>5400</v>
      </c>
    </row>
    <row r="602" ht="12.9" customHeight="1">
      <c r="R602" t="s" s="40">
        <v>468</v>
      </c>
      <c r="S602" s="150">
        <v>20324.925</v>
      </c>
    </row>
    <row r="603" ht="12.9" customHeight="1">
      <c r="R603" t="s" s="40">
        <v>1155</v>
      </c>
      <c r="S603" s="150">
        <v>15750</v>
      </c>
    </row>
    <row r="604" ht="12.9" customHeight="1">
      <c r="R604" t="s" s="40">
        <v>489</v>
      </c>
      <c r="S604" s="150">
        <v>5999.9625</v>
      </c>
    </row>
    <row r="605" ht="12.9" customHeight="1">
      <c r="R605" t="s" s="40">
        <v>1633</v>
      </c>
      <c r="S605" s="149">
        <v>0</v>
      </c>
    </row>
    <row r="606" ht="12.9" customHeight="1">
      <c r="R606" t="s" s="40">
        <v>491</v>
      </c>
      <c r="S606" s="149">
        <v>0</v>
      </c>
    </row>
    <row r="607" ht="12.9" customHeight="1">
      <c r="R607" t="s" s="40">
        <v>493</v>
      </c>
      <c r="S607" s="149">
        <v>0</v>
      </c>
    </row>
    <row r="608" ht="12.9" customHeight="1">
      <c r="R608" t="s" s="40">
        <v>3396</v>
      </c>
      <c r="S608" s="150">
        <v>192</v>
      </c>
    </row>
    <row r="609" ht="12.9" customHeight="1">
      <c r="R609" t="s" s="40">
        <v>3398</v>
      </c>
      <c r="S609" s="150">
        <v>388</v>
      </c>
    </row>
    <row r="610" ht="12.9" customHeight="1">
      <c r="R610" t="s" s="40">
        <v>3605</v>
      </c>
      <c r="S610" s="150">
        <v>2399.9925</v>
      </c>
    </row>
    <row r="611" ht="12.9" customHeight="1">
      <c r="R611" t="s" s="40">
        <v>59</v>
      </c>
      <c r="S611" s="150">
        <v>18899.8425</v>
      </c>
    </row>
    <row r="612" ht="12.9" customHeight="1">
      <c r="R612" t="s" s="40">
        <v>698</v>
      </c>
      <c r="S612" s="150">
        <v>209.895</v>
      </c>
    </row>
    <row r="613" ht="12.9" customHeight="1">
      <c r="R613" t="s" s="40">
        <v>73</v>
      </c>
      <c r="S613" s="150">
        <v>11674.705</v>
      </c>
    </row>
    <row r="614" ht="12.9" customHeight="1">
      <c r="R614" t="s" s="40">
        <v>559</v>
      </c>
      <c r="S614" s="149">
        <v>0</v>
      </c>
    </row>
    <row r="615" ht="12.9" customHeight="1">
      <c r="R615" t="s" s="40">
        <v>15</v>
      </c>
      <c r="S615" s="150">
        <v>382.59</v>
      </c>
    </row>
    <row r="616" ht="12.9" customHeight="1">
      <c r="R616" t="s" s="40">
        <v>442</v>
      </c>
      <c r="S616" s="150">
        <v>-484.78</v>
      </c>
    </row>
    <row r="617" ht="12.9" customHeight="1">
      <c r="R617" t="s" s="40">
        <v>3480</v>
      </c>
      <c r="S617" s="150">
        <v>300</v>
      </c>
    </row>
    <row r="618" ht="12.9" customHeight="1">
      <c r="R618" t="s" s="40">
        <v>2509</v>
      </c>
      <c r="S618" s="150">
        <v>67.4991</v>
      </c>
    </row>
    <row r="619" ht="12.9" customHeight="1">
      <c r="R619" t="s" s="40">
        <v>3653</v>
      </c>
      <c r="S619" s="149">
        <v>0</v>
      </c>
    </row>
    <row r="620" ht="12.9" customHeight="1">
      <c r="R620" t="s" s="40">
        <v>3822</v>
      </c>
      <c r="S620" s="150">
        <v>-1400</v>
      </c>
    </row>
    <row r="621" ht="12.9" customHeight="1">
      <c r="R621" t="s" s="40">
        <v>1707</v>
      </c>
      <c r="S621" s="149">
        <v>0</v>
      </c>
    </row>
    <row r="622" ht="12.9" customHeight="1">
      <c r="R622" t="s" s="40">
        <v>3660</v>
      </c>
      <c r="S622" s="150">
        <v>1643.4</v>
      </c>
    </row>
    <row r="623" ht="12.9" customHeight="1">
      <c r="R623" t="s" s="40">
        <v>1914</v>
      </c>
      <c r="S623" s="150">
        <v>120</v>
      </c>
    </row>
    <row r="624" ht="12.9" customHeight="1">
      <c r="R624" t="s" s="40">
        <v>2223</v>
      </c>
      <c r="S624" s="150">
        <v>150</v>
      </c>
    </row>
    <row r="625" ht="12.9" customHeight="1">
      <c r="R625" t="s" s="40">
        <v>691</v>
      </c>
      <c r="S625" s="150">
        <v>2200</v>
      </c>
    </row>
    <row r="626" ht="12.9" customHeight="1">
      <c r="R626" t="s" s="40">
        <v>3785</v>
      </c>
      <c r="S626" s="150">
        <v>48.46</v>
      </c>
    </row>
    <row r="627" ht="12.9" customHeight="1">
      <c r="R627" t="s" s="40">
        <v>3610</v>
      </c>
      <c r="S627" s="150">
        <v>375</v>
      </c>
    </row>
    <row r="628" ht="12.9" customHeight="1">
      <c r="R628" t="s" s="40">
        <v>3611</v>
      </c>
      <c r="S628" s="149">
        <v>0</v>
      </c>
    </row>
    <row r="629" ht="12.9" customHeight="1">
      <c r="R629" t="s" s="40">
        <v>254</v>
      </c>
      <c r="S629" s="150">
        <v>50</v>
      </c>
    </row>
    <row r="630" ht="12.9" customHeight="1">
      <c r="R630" t="s" s="40">
        <v>63</v>
      </c>
      <c r="S630" s="150">
        <v>2173.93</v>
      </c>
    </row>
    <row r="631" ht="12.9" customHeight="1">
      <c r="R631" t="s" s="40">
        <v>47</v>
      </c>
      <c r="S631" s="150">
        <v>474</v>
      </c>
    </row>
    <row r="632" ht="12.9" customHeight="1">
      <c r="R632" t="s" s="40">
        <v>3620</v>
      </c>
      <c r="S632" s="149">
        <v>0</v>
      </c>
    </row>
    <row r="633" ht="12.9" customHeight="1">
      <c r="R633" t="s" s="40">
        <v>3622</v>
      </c>
      <c r="S633" s="150">
        <v>57</v>
      </c>
    </row>
    <row r="634" ht="12.9" customHeight="1">
      <c r="R634" t="s" s="40">
        <v>3807</v>
      </c>
      <c r="S634" s="150">
        <v>-50</v>
      </c>
    </row>
    <row r="635" ht="12.9" customHeight="1">
      <c r="R635" t="s" s="40">
        <v>861</v>
      </c>
      <c r="S635" s="150">
        <v>616.01</v>
      </c>
    </row>
    <row r="636" ht="12.9" customHeight="1">
      <c r="R636" t="s" s="40">
        <v>2672</v>
      </c>
      <c r="S636" s="149">
        <v>0</v>
      </c>
    </row>
    <row r="637" ht="12.9" customHeight="1">
      <c r="R637" t="s" s="40">
        <v>762</v>
      </c>
      <c r="S637" s="149">
        <v>0</v>
      </c>
    </row>
    <row r="638" ht="12.9" customHeight="1">
      <c r="R638" t="s" s="40">
        <v>3685</v>
      </c>
      <c r="S638" s="149">
        <v>0</v>
      </c>
    </row>
    <row r="639" ht="12.9" customHeight="1">
      <c r="R639" t="s" s="40">
        <v>726</v>
      </c>
      <c r="S639" s="149">
        <v>0</v>
      </c>
    </row>
    <row r="640" ht="13.1" customHeight="1">
      <c r="R640" t="s" s="42">
        <v>1394</v>
      </c>
      <c r="S640" s="324">
        <v>45</v>
      </c>
    </row>
    <row r="641" ht="13.1" customHeight="1">
      <c r="R641" t="s" s="44">
        <v>620</v>
      </c>
      <c r="S641" s="50">
        <v>161720.3191</v>
      </c>
    </row>
  </sheetData>
  <mergeCells count="4">
    <mergeCell ref="A1:H1"/>
    <mergeCell ref="I337:O337"/>
    <mergeCell ref="P453:Q453"/>
    <mergeCell ref="R548:S54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7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367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325" customWidth="1"/>
    <col min="9" max="9" width="27.1562" style="326" customWidth="1"/>
    <col min="10" max="15" width="13.3516" style="326" customWidth="1"/>
    <col min="16" max="16" width="42.5781" style="327" customWidth="1"/>
    <col min="17" max="17" width="13.3516" style="327" customWidth="1"/>
    <col min="18" max="18" width="37.8906" style="328" customWidth="1"/>
    <col min="19" max="19" width="13.3516" style="328" customWidth="1"/>
    <col min="20" max="16384" width="16.3516" style="328" customWidth="1"/>
  </cols>
  <sheetData>
    <row r="1" ht="15.55" customHeight="1">
      <c r="A1" t="s" s="2">
        <v>3840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3841</v>
      </c>
      <c r="B3" t="s" s="5">
        <v>3842</v>
      </c>
      <c r="C3" s="6">
        <v>45230.940203194441</v>
      </c>
      <c r="D3" t="s" s="7">
        <v>470</v>
      </c>
      <c r="E3" t="s" s="7">
        <v>517</v>
      </c>
      <c r="F3" s="8">
        <v>1</v>
      </c>
      <c r="G3" s="9">
        <v>249.99</v>
      </c>
      <c r="H3" s="9">
        <v>249.99</v>
      </c>
    </row>
    <row r="4" ht="12.9" customHeight="1">
      <c r="A4" t="s" s="10">
        <v>3843</v>
      </c>
      <c r="B4" t="s" s="11">
        <v>3844</v>
      </c>
      <c r="C4" s="12">
        <v>45230.191585717592</v>
      </c>
      <c r="D4" t="s" s="13">
        <v>722</v>
      </c>
      <c r="E4" t="s" s="13">
        <v>82</v>
      </c>
      <c r="F4" s="14">
        <v>2</v>
      </c>
      <c r="G4" s="15">
        <v>869.99</v>
      </c>
      <c r="H4" s="15">
        <v>1739.98</v>
      </c>
    </row>
    <row r="5" ht="12.9" customHeight="1">
      <c r="A5" t="s" s="10">
        <v>3843</v>
      </c>
      <c r="B5" t="s" s="11">
        <v>3844</v>
      </c>
      <c r="C5" s="12">
        <v>45230.191585717592</v>
      </c>
      <c r="D5" t="s" s="13">
        <v>470</v>
      </c>
      <c r="E5" t="s" s="13">
        <v>517</v>
      </c>
      <c r="F5" s="14">
        <v>2</v>
      </c>
      <c r="G5" s="15">
        <v>100</v>
      </c>
      <c r="H5" s="15">
        <v>200</v>
      </c>
    </row>
    <row r="6" ht="12.9" customHeight="1">
      <c r="A6" t="s" s="10">
        <v>3843</v>
      </c>
      <c r="B6" t="s" s="11">
        <v>3844</v>
      </c>
      <c r="C6" s="12">
        <v>45230.191585717592</v>
      </c>
      <c r="D6" t="s" s="13">
        <v>660</v>
      </c>
      <c r="E6" t="s" s="13">
        <v>661</v>
      </c>
      <c r="F6" s="14">
        <v>2</v>
      </c>
      <c r="G6" s="15">
        <v>5.99</v>
      </c>
      <c r="H6" s="15">
        <v>11.98</v>
      </c>
    </row>
    <row r="7" ht="12.9" customHeight="1">
      <c r="A7" t="s" s="10">
        <v>3843</v>
      </c>
      <c r="B7" t="s" s="11">
        <v>3844</v>
      </c>
      <c r="C7" s="12">
        <v>45230.191585717592</v>
      </c>
      <c r="D7" t="s" s="13">
        <v>50</v>
      </c>
      <c r="E7" t="s" s="13">
        <v>83</v>
      </c>
      <c r="F7" s="14">
        <v>2</v>
      </c>
      <c r="G7" s="15">
        <v>0</v>
      </c>
      <c r="H7" s="15">
        <v>0</v>
      </c>
    </row>
    <row r="8" ht="12.9" customHeight="1">
      <c r="A8" t="s" s="10">
        <v>3843</v>
      </c>
      <c r="B8" t="s" s="11">
        <v>3844</v>
      </c>
      <c r="C8" s="12">
        <v>45230.191585717592</v>
      </c>
      <c r="D8" t="s" s="13">
        <v>84</v>
      </c>
      <c r="E8" t="s" s="13">
        <v>2685</v>
      </c>
      <c r="F8" s="14">
        <v>2</v>
      </c>
      <c r="G8" s="15">
        <v>0</v>
      </c>
      <c r="H8" s="15">
        <v>0</v>
      </c>
    </row>
    <row r="9" ht="12.9" customHeight="1">
      <c r="A9" t="s" s="10">
        <v>3845</v>
      </c>
      <c r="B9" t="s" s="11">
        <v>896</v>
      </c>
      <c r="C9" s="12">
        <v>45230</v>
      </c>
      <c r="D9" t="s" s="13">
        <v>254</v>
      </c>
      <c r="E9" t="s" s="13">
        <v>3846</v>
      </c>
      <c r="F9" s="14">
        <v>1</v>
      </c>
      <c r="G9" s="15">
        <v>0</v>
      </c>
      <c r="H9" s="15">
        <v>0</v>
      </c>
    </row>
    <row r="10" ht="12.9" customHeight="1">
      <c r="A10" t="s" s="10">
        <v>3845</v>
      </c>
      <c r="B10" t="s" s="11">
        <v>896</v>
      </c>
      <c r="C10" s="12">
        <v>45230</v>
      </c>
      <c r="D10" t="s" s="13">
        <v>3847</v>
      </c>
      <c r="E10" t="s" s="13">
        <v>3848</v>
      </c>
      <c r="F10" s="14">
        <v>4</v>
      </c>
      <c r="G10" s="15">
        <v>0</v>
      </c>
      <c r="H10" s="15">
        <v>0</v>
      </c>
    </row>
    <row r="11" ht="12.9" customHeight="1">
      <c r="A11" t="s" s="10">
        <v>3849</v>
      </c>
      <c r="B11" t="s" s="11">
        <v>3189</v>
      </c>
      <c r="C11" s="12">
        <v>45230</v>
      </c>
      <c r="D11" t="s" s="13">
        <v>254</v>
      </c>
      <c r="E11" t="s" s="13">
        <v>3850</v>
      </c>
      <c r="F11" s="14">
        <v>1</v>
      </c>
      <c r="G11" s="15">
        <v>0</v>
      </c>
      <c r="H11" s="15">
        <v>0</v>
      </c>
    </row>
    <row r="12" ht="12.9" customHeight="1">
      <c r="A12" t="s" s="10">
        <v>3851</v>
      </c>
      <c r="B12" t="s" s="11">
        <v>3852</v>
      </c>
      <c r="C12" s="12">
        <v>45229.933412974540</v>
      </c>
      <c r="D12" t="s" s="13">
        <v>19</v>
      </c>
      <c r="E12" t="s" s="13">
        <v>20</v>
      </c>
      <c r="F12" s="14">
        <v>6</v>
      </c>
      <c r="G12" s="15">
        <v>119.99</v>
      </c>
      <c r="H12" s="15">
        <v>719.9400000000001</v>
      </c>
    </row>
    <row r="13" ht="12.9" customHeight="1">
      <c r="A13" t="s" s="10">
        <v>3851</v>
      </c>
      <c r="B13" t="s" s="11">
        <v>3852</v>
      </c>
      <c r="C13" s="12">
        <v>45229.933412974540</v>
      </c>
      <c r="D13" t="s" s="13">
        <v>15</v>
      </c>
      <c r="E13" t="s" s="13">
        <v>16</v>
      </c>
      <c r="F13" s="14">
        <v>6</v>
      </c>
      <c r="G13" s="15">
        <v>8.99</v>
      </c>
      <c r="H13" s="15">
        <v>53.94</v>
      </c>
    </row>
    <row r="14" ht="12.9" customHeight="1">
      <c r="A14" t="s" s="10">
        <v>3853</v>
      </c>
      <c r="B14" t="s" s="11">
        <v>3852</v>
      </c>
      <c r="C14" s="12">
        <v>45229.925138692131</v>
      </c>
      <c r="D14" t="s" s="13">
        <v>19</v>
      </c>
      <c r="E14" t="s" s="13">
        <v>20</v>
      </c>
      <c r="F14" s="14">
        <v>9</v>
      </c>
      <c r="G14" s="15">
        <v>119.99</v>
      </c>
      <c r="H14" s="15">
        <v>1079.91</v>
      </c>
    </row>
    <row r="15" ht="12.9" customHeight="1">
      <c r="A15" t="s" s="10">
        <v>3853</v>
      </c>
      <c r="B15" t="s" s="11">
        <v>3852</v>
      </c>
      <c r="C15" s="12">
        <v>45229.925138692131</v>
      </c>
      <c r="D15" t="s" s="13">
        <v>15</v>
      </c>
      <c r="E15" t="s" s="13">
        <v>16</v>
      </c>
      <c r="F15" s="14">
        <v>9</v>
      </c>
      <c r="G15" s="15">
        <v>8.99</v>
      </c>
      <c r="H15" s="15">
        <v>80.91</v>
      </c>
    </row>
    <row r="16" ht="12.9" customHeight="1">
      <c r="A16" t="s" s="10">
        <v>3854</v>
      </c>
      <c r="B16" t="s" s="11">
        <v>3855</v>
      </c>
      <c r="C16" s="12">
        <v>45229.737374155091</v>
      </c>
      <c r="D16" t="s" s="13">
        <v>171</v>
      </c>
      <c r="E16" t="s" s="13">
        <v>172</v>
      </c>
      <c r="F16" s="14">
        <v>1</v>
      </c>
      <c r="G16" s="15">
        <v>549.99</v>
      </c>
      <c r="H16" s="15">
        <v>549.99</v>
      </c>
    </row>
    <row r="17" ht="12.9" customHeight="1">
      <c r="A17" t="s" s="10">
        <v>3856</v>
      </c>
      <c r="B17" t="s" s="11">
        <v>2850</v>
      </c>
      <c r="C17" s="12">
        <v>45229.728550567132</v>
      </c>
      <c r="D17" t="s" s="13">
        <v>487</v>
      </c>
      <c r="E17" t="s" s="13">
        <v>488</v>
      </c>
      <c r="F17" s="14">
        <v>3</v>
      </c>
      <c r="G17" s="15">
        <v>109.99</v>
      </c>
      <c r="H17" s="15">
        <v>329.97</v>
      </c>
    </row>
    <row r="18" ht="12.9" customHeight="1">
      <c r="A18" t="s" s="10">
        <v>3856</v>
      </c>
      <c r="B18" t="s" s="11">
        <v>2850</v>
      </c>
      <c r="C18" s="12">
        <v>45229.728550567132</v>
      </c>
      <c r="D18" t="s" s="13">
        <v>1054</v>
      </c>
      <c r="E18" t="s" s="13">
        <v>1055</v>
      </c>
      <c r="F18" s="14">
        <v>1</v>
      </c>
      <c r="G18" s="15">
        <v>149.99</v>
      </c>
      <c r="H18" s="15">
        <v>149.99</v>
      </c>
    </row>
    <row r="19" ht="12.9" customHeight="1">
      <c r="A19" t="s" s="10">
        <v>3857</v>
      </c>
      <c r="B19" t="s" s="11">
        <v>3858</v>
      </c>
      <c r="C19" s="12">
        <v>45229.656306134260</v>
      </c>
      <c r="D19" t="s" s="13">
        <v>89</v>
      </c>
      <c r="E19" t="s" s="13">
        <v>90</v>
      </c>
      <c r="F19" s="14">
        <v>2</v>
      </c>
      <c r="G19" s="15">
        <v>59.99</v>
      </c>
      <c r="H19" s="15">
        <v>119.98</v>
      </c>
    </row>
    <row r="20" ht="12.9" customHeight="1">
      <c r="A20" t="s" s="10">
        <v>3859</v>
      </c>
      <c r="B20" t="s" s="11">
        <v>3860</v>
      </c>
      <c r="C20" s="12">
        <v>45229.422780219909</v>
      </c>
      <c r="D20" t="s" s="13">
        <v>73</v>
      </c>
      <c r="E20" t="s" s="13">
        <v>74</v>
      </c>
      <c r="F20" s="14">
        <v>1</v>
      </c>
      <c r="G20" s="15">
        <v>399.99</v>
      </c>
      <c r="H20" s="15">
        <v>399.99</v>
      </c>
    </row>
    <row r="21" ht="12.9" customHeight="1">
      <c r="A21" t="s" s="10">
        <v>3861</v>
      </c>
      <c r="B21" t="s" s="11">
        <v>3862</v>
      </c>
      <c r="C21" s="12">
        <v>45229.010154756943</v>
      </c>
      <c r="D21" t="s" s="13">
        <v>73</v>
      </c>
      <c r="E21" t="s" s="13">
        <v>74</v>
      </c>
      <c r="F21" s="14">
        <v>1</v>
      </c>
      <c r="G21" s="15">
        <v>399.99</v>
      </c>
      <c r="H21" s="15">
        <v>399.99</v>
      </c>
    </row>
    <row r="22" ht="12.9" customHeight="1">
      <c r="A22" t="s" s="10">
        <v>3863</v>
      </c>
      <c r="B22" t="s" s="11">
        <v>210</v>
      </c>
      <c r="C22" s="12">
        <v>45229</v>
      </c>
      <c r="D22" t="s" s="13">
        <v>48</v>
      </c>
      <c r="E22" t="s" s="13">
        <v>49</v>
      </c>
      <c r="F22" s="14">
        <v>6</v>
      </c>
      <c r="G22" s="15">
        <v>974.9924999999999</v>
      </c>
      <c r="H22" s="15">
        <v>5849.955</v>
      </c>
    </row>
    <row r="23" ht="12.9" customHeight="1">
      <c r="A23" t="s" s="10">
        <v>3863</v>
      </c>
      <c r="B23" t="s" s="11">
        <v>210</v>
      </c>
      <c r="C23" s="12">
        <v>45229</v>
      </c>
      <c r="D23" t="s" s="13">
        <v>50</v>
      </c>
      <c r="E23" t="s" s="13">
        <v>83</v>
      </c>
      <c r="F23" s="14">
        <v>6</v>
      </c>
      <c r="G23" s="15">
        <v>0</v>
      </c>
      <c r="H23" s="15">
        <v>0</v>
      </c>
    </row>
    <row r="24" ht="12.9" customHeight="1">
      <c r="A24" t="s" s="10">
        <v>3863</v>
      </c>
      <c r="B24" t="s" s="11">
        <v>210</v>
      </c>
      <c r="C24" s="12">
        <v>45229</v>
      </c>
      <c r="D24" t="s" s="13">
        <v>54</v>
      </c>
      <c r="E24" t="s" s="13">
        <v>93</v>
      </c>
      <c r="F24" s="14">
        <v>6</v>
      </c>
      <c r="G24" s="15">
        <v>0</v>
      </c>
      <c r="H24" s="15">
        <v>0</v>
      </c>
    </row>
    <row r="25" ht="12.9" customHeight="1">
      <c r="A25" t="s" s="10">
        <v>3863</v>
      </c>
      <c r="B25" t="s" s="11">
        <v>210</v>
      </c>
      <c r="C25" s="12">
        <v>45229</v>
      </c>
      <c r="D25" t="s" s="13">
        <v>52</v>
      </c>
      <c r="E25" t="s" s="13">
        <v>321</v>
      </c>
      <c r="F25" s="14">
        <v>6</v>
      </c>
      <c r="G25" s="15">
        <v>0</v>
      </c>
      <c r="H25" s="15">
        <v>0</v>
      </c>
    </row>
    <row r="26" ht="12.9" customHeight="1">
      <c r="A26" t="s" s="10">
        <v>3863</v>
      </c>
      <c r="B26" t="s" s="11">
        <v>210</v>
      </c>
      <c r="C26" s="12">
        <v>45229</v>
      </c>
      <c r="D26" t="s" s="13">
        <v>15</v>
      </c>
      <c r="E26" t="s" s="13">
        <v>16</v>
      </c>
      <c r="F26" s="14">
        <v>29</v>
      </c>
      <c r="G26" s="15">
        <v>0</v>
      </c>
      <c r="H26" s="15">
        <v>0</v>
      </c>
    </row>
    <row r="27" ht="12.9" customHeight="1">
      <c r="A27" t="s" s="10">
        <v>3863</v>
      </c>
      <c r="B27" t="s" s="11">
        <v>210</v>
      </c>
      <c r="C27" s="12">
        <v>45229</v>
      </c>
      <c r="D27" t="s" s="13">
        <v>23</v>
      </c>
      <c r="E27" t="s" s="13">
        <v>24</v>
      </c>
      <c r="F27" s="14">
        <v>6</v>
      </c>
      <c r="G27" s="15">
        <v>0</v>
      </c>
      <c r="H27" s="15">
        <v>0</v>
      </c>
    </row>
    <row r="28" ht="12.9" customHeight="1">
      <c r="A28" t="s" s="10">
        <v>3863</v>
      </c>
      <c r="B28" t="s" s="11">
        <v>210</v>
      </c>
      <c r="C28" s="12">
        <v>45229</v>
      </c>
      <c r="D28" t="s" s="13">
        <v>23</v>
      </c>
      <c r="E28" t="s" s="13">
        <v>24</v>
      </c>
      <c r="F28" s="14">
        <v>10</v>
      </c>
      <c r="G28" s="15">
        <v>112.4925</v>
      </c>
      <c r="H28" s="15">
        <v>1124.925</v>
      </c>
    </row>
    <row r="29" ht="12.9" customHeight="1">
      <c r="A29" t="s" s="10">
        <v>3863</v>
      </c>
      <c r="B29" t="s" s="11">
        <v>210</v>
      </c>
      <c r="C29" s="12">
        <v>45229</v>
      </c>
      <c r="D29" t="s" s="13">
        <v>19</v>
      </c>
      <c r="E29" t="s" s="13">
        <v>20</v>
      </c>
      <c r="F29" s="14">
        <v>19</v>
      </c>
      <c r="G29" s="15">
        <v>89.99250000000001</v>
      </c>
      <c r="H29" s="15">
        <v>1709.8575</v>
      </c>
    </row>
    <row r="30" ht="12.9" customHeight="1">
      <c r="A30" t="s" s="10">
        <v>3863</v>
      </c>
      <c r="B30" t="s" s="11">
        <v>210</v>
      </c>
      <c r="C30" s="12">
        <v>45229</v>
      </c>
      <c r="D30" t="s" s="13">
        <v>1695</v>
      </c>
      <c r="E30" t="s" s="13">
        <v>140</v>
      </c>
      <c r="F30" s="14">
        <v>4</v>
      </c>
      <c r="G30" s="15">
        <v>37.4925</v>
      </c>
      <c r="H30" s="15">
        <v>149.97</v>
      </c>
    </row>
    <row r="31" ht="12.9" customHeight="1">
      <c r="A31" t="s" s="10">
        <v>3863</v>
      </c>
      <c r="B31" t="s" s="11">
        <v>210</v>
      </c>
      <c r="C31" s="12">
        <v>45229</v>
      </c>
      <c r="D31" t="s" s="13">
        <v>602</v>
      </c>
      <c r="E31" t="s" s="13">
        <v>686</v>
      </c>
      <c r="F31" s="14">
        <v>5</v>
      </c>
      <c r="G31" s="15">
        <v>224.9925</v>
      </c>
      <c r="H31" s="15">
        <v>1124.9625</v>
      </c>
    </row>
    <row r="32" ht="12.9" customHeight="1">
      <c r="A32" t="s" s="10">
        <v>3863</v>
      </c>
      <c r="B32" t="s" s="11">
        <v>210</v>
      </c>
      <c r="C32" s="12">
        <v>45229</v>
      </c>
      <c r="D32" t="s" s="13">
        <v>213</v>
      </c>
      <c r="E32" t="s" s="13">
        <v>214</v>
      </c>
      <c r="F32" s="14">
        <v>9</v>
      </c>
      <c r="G32" s="15">
        <v>412.4925</v>
      </c>
      <c r="H32" s="15">
        <v>3712.4325</v>
      </c>
    </row>
    <row r="33" ht="12.9" customHeight="1">
      <c r="A33" t="s" s="10">
        <v>3863</v>
      </c>
      <c r="B33" t="s" s="11">
        <v>210</v>
      </c>
      <c r="C33" s="12">
        <v>45229</v>
      </c>
      <c r="D33" t="s" s="13">
        <v>133</v>
      </c>
      <c r="E33" t="s" s="13">
        <v>134</v>
      </c>
      <c r="F33" s="14">
        <v>5</v>
      </c>
      <c r="G33" s="15">
        <v>149.9925</v>
      </c>
      <c r="H33" s="15">
        <v>749.9625</v>
      </c>
    </row>
    <row r="34" ht="12.9" customHeight="1">
      <c r="A34" t="s" s="10">
        <v>3863</v>
      </c>
      <c r="B34" t="s" s="11">
        <v>210</v>
      </c>
      <c r="C34" s="12">
        <v>45229</v>
      </c>
      <c r="D34" t="s" s="13">
        <v>39</v>
      </c>
      <c r="E34" t="s" s="13">
        <v>40</v>
      </c>
      <c r="F34" s="14">
        <v>8</v>
      </c>
      <c r="G34" s="15">
        <v>82.49250000000001</v>
      </c>
      <c r="H34" s="15">
        <v>659.9400000000001</v>
      </c>
    </row>
    <row r="35" ht="12.9" customHeight="1">
      <c r="A35" t="s" s="10">
        <v>3863</v>
      </c>
      <c r="B35" t="s" s="11">
        <v>210</v>
      </c>
      <c r="C35" s="12">
        <v>45229</v>
      </c>
      <c r="D35" t="s" s="13">
        <v>73</v>
      </c>
      <c r="E35" t="s" s="13">
        <v>74</v>
      </c>
      <c r="F35" s="14">
        <v>1</v>
      </c>
      <c r="G35" s="15">
        <v>299.9925</v>
      </c>
      <c r="H35" s="15">
        <v>299.9925</v>
      </c>
    </row>
    <row r="36" ht="12.9" customHeight="1">
      <c r="A36" t="s" s="10">
        <v>3863</v>
      </c>
      <c r="B36" t="s" s="11">
        <v>210</v>
      </c>
      <c r="C36" s="12">
        <v>45229</v>
      </c>
      <c r="D36" t="s" s="13">
        <v>1731</v>
      </c>
      <c r="E36" t="s" s="13">
        <v>1732</v>
      </c>
      <c r="F36" s="14">
        <v>5</v>
      </c>
      <c r="G36" s="15">
        <v>18.7425</v>
      </c>
      <c r="H36" s="15">
        <v>93.71250000000001</v>
      </c>
    </row>
    <row r="37" ht="12.9" customHeight="1">
      <c r="A37" t="s" s="10">
        <v>3863</v>
      </c>
      <c r="B37" t="s" s="11">
        <v>210</v>
      </c>
      <c r="C37" s="12">
        <v>45229</v>
      </c>
      <c r="D37" t="s" s="13">
        <v>35</v>
      </c>
      <c r="E37" t="s" s="13">
        <v>36</v>
      </c>
      <c r="F37" s="14">
        <v>18</v>
      </c>
      <c r="G37" s="15">
        <v>37.4925</v>
      </c>
      <c r="H37" s="15">
        <v>674.865</v>
      </c>
    </row>
    <row r="38" ht="12.9" customHeight="1">
      <c r="A38" t="s" s="10">
        <v>3863</v>
      </c>
      <c r="B38" t="s" s="11">
        <v>210</v>
      </c>
      <c r="C38" s="12">
        <v>45229</v>
      </c>
      <c r="D38" t="s" s="13">
        <v>89</v>
      </c>
      <c r="E38" t="s" s="13">
        <v>90</v>
      </c>
      <c r="F38" s="14">
        <v>8</v>
      </c>
      <c r="G38" s="15">
        <v>44.9925</v>
      </c>
      <c r="H38" s="15">
        <v>359.94</v>
      </c>
    </row>
    <row r="39" ht="12.9" customHeight="1">
      <c r="A39" t="s" s="10">
        <v>3863</v>
      </c>
      <c r="B39" t="s" s="11">
        <v>210</v>
      </c>
      <c r="C39" s="12">
        <v>45229</v>
      </c>
      <c r="D39" t="s" s="13">
        <v>179</v>
      </c>
      <c r="E39" t="s" s="13">
        <v>180</v>
      </c>
      <c r="F39" s="14">
        <v>5</v>
      </c>
      <c r="G39" s="15">
        <v>37.4925</v>
      </c>
      <c r="H39" s="15">
        <v>187.4625</v>
      </c>
    </row>
    <row r="40" ht="12.9" customHeight="1">
      <c r="A40" t="s" s="10">
        <v>3863</v>
      </c>
      <c r="B40" t="s" s="11">
        <v>210</v>
      </c>
      <c r="C40" s="12">
        <v>45229</v>
      </c>
      <c r="D40" t="s" s="13">
        <v>123</v>
      </c>
      <c r="E40" t="s" s="13">
        <v>124</v>
      </c>
      <c r="F40" s="14">
        <v>5</v>
      </c>
      <c r="G40" s="15">
        <v>134.9925</v>
      </c>
      <c r="H40" s="15">
        <v>674.9625</v>
      </c>
    </row>
    <row r="41" ht="12.9" customHeight="1">
      <c r="A41" t="s" s="10">
        <v>3863</v>
      </c>
      <c r="B41" t="s" s="11">
        <v>210</v>
      </c>
      <c r="C41" s="12">
        <v>45229</v>
      </c>
      <c r="D41" t="s" s="13">
        <v>125</v>
      </c>
      <c r="E41" t="s" s="13">
        <v>126</v>
      </c>
      <c r="F41" s="14">
        <v>12</v>
      </c>
      <c r="G41" s="15">
        <v>48.7425</v>
      </c>
      <c r="H41" s="15">
        <v>584.91</v>
      </c>
    </row>
    <row r="42" ht="12.9" customHeight="1">
      <c r="A42" t="s" s="10">
        <v>3863</v>
      </c>
      <c r="B42" t="s" s="11">
        <v>210</v>
      </c>
      <c r="C42" s="12">
        <v>45229</v>
      </c>
      <c r="D42" t="s" s="13">
        <v>299</v>
      </c>
      <c r="E42" t="s" s="13">
        <v>300</v>
      </c>
      <c r="F42" s="14">
        <v>6</v>
      </c>
      <c r="G42" s="15">
        <v>52.4925</v>
      </c>
      <c r="H42" s="15">
        <v>314.955</v>
      </c>
    </row>
    <row r="43" ht="12.9" customHeight="1">
      <c r="A43" t="s" s="10">
        <v>3863</v>
      </c>
      <c r="B43" t="s" s="11">
        <v>210</v>
      </c>
      <c r="C43" s="12">
        <v>45229</v>
      </c>
      <c r="D43" t="s" s="13">
        <v>882</v>
      </c>
      <c r="E43" t="s" s="13">
        <v>883</v>
      </c>
      <c r="F43" s="14">
        <v>6</v>
      </c>
      <c r="G43" s="15">
        <v>56.2425</v>
      </c>
      <c r="H43" s="15">
        <v>337.455</v>
      </c>
    </row>
    <row r="44" ht="12.9" customHeight="1">
      <c r="A44" t="s" s="10">
        <v>3863</v>
      </c>
      <c r="B44" t="s" s="11">
        <v>210</v>
      </c>
      <c r="C44" s="12">
        <v>45229</v>
      </c>
      <c r="D44" t="s" s="13">
        <v>146</v>
      </c>
      <c r="E44" t="s" s="13">
        <v>147</v>
      </c>
      <c r="F44" s="14">
        <v>12</v>
      </c>
      <c r="G44" s="15">
        <v>14.9925</v>
      </c>
      <c r="H44" s="15">
        <v>179.91</v>
      </c>
    </row>
    <row r="45" ht="12.9" customHeight="1">
      <c r="A45" t="s" s="10">
        <v>3863</v>
      </c>
      <c r="B45" t="s" s="11">
        <v>210</v>
      </c>
      <c r="C45" s="12">
        <v>45229</v>
      </c>
      <c r="D45" t="s" s="13">
        <v>54</v>
      </c>
      <c r="E45" t="s" s="13">
        <v>93</v>
      </c>
      <c r="F45" s="14">
        <v>32</v>
      </c>
      <c r="G45" s="15">
        <v>7.4925</v>
      </c>
      <c r="H45" s="15">
        <v>239.76</v>
      </c>
    </row>
    <row r="46" ht="12.9" customHeight="1">
      <c r="A46" t="s" s="10">
        <v>3863</v>
      </c>
      <c r="B46" t="s" s="11">
        <v>210</v>
      </c>
      <c r="C46" s="12">
        <v>45229</v>
      </c>
      <c r="D46" t="s" s="13">
        <v>354</v>
      </c>
      <c r="E46" t="s" s="13">
        <v>355</v>
      </c>
      <c r="F46" s="14">
        <v>4</v>
      </c>
      <c r="G46" s="15">
        <v>112.4925</v>
      </c>
      <c r="H46" s="15">
        <v>449.97</v>
      </c>
    </row>
    <row r="47" ht="12.9" customHeight="1">
      <c r="A47" t="s" s="10">
        <v>3863</v>
      </c>
      <c r="B47" t="s" s="11">
        <v>210</v>
      </c>
      <c r="C47" s="12">
        <v>45229</v>
      </c>
      <c r="D47" t="s" s="13">
        <v>462</v>
      </c>
      <c r="E47" t="s" s="13">
        <v>463</v>
      </c>
      <c r="F47" s="14">
        <v>4</v>
      </c>
      <c r="G47" s="15">
        <v>149.9925</v>
      </c>
      <c r="H47" s="15">
        <v>599.97</v>
      </c>
    </row>
    <row r="48" ht="12.9" customHeight="1">
      <c r="A48" t="s" s="10">
        <v>3863</v>
      </c>
      <c r="B48" t="s" s="11">
        <v>210</v>
      </c>
      <c r="C48" s="12">
        <v>45229</v>
      </c>
      <c r="D48" t="s" s="13">
        <v>1875</v>
      </c>
      <c r="E48" t="s" s="13">
        <v>2272</v>
      </c>
      <c r="F48" s="14">
        <v>2</v>
      </c>
      <c r="G48" s="15">
        <v>187.4925</v>
      </c>
      <c r="H48" s="15">
        <v>374.985</v>
      </c>
    </row>
    <row r="49" ht="12.9" customHeight="1">
      <c r="A49" t="s" s="10">
        <v>3863</v>
      </c>
      <c r="B49" t="s" s="11">
        <v>210</v>
      </c>
      <c r="C49" s="12">
        <v>45229</v>
      </c>
      <c r="D49" t="s" s="13">
        <v>1479</v>
      </c>
      <c r="E49" t="s" s="13">
        <v>1480</v>
      </c>
      <c r="F49" s="14">
        <v>2</v>
      </c>
      <c r="G49" s="15">
        <v>224.9925</v>
      </c>
      <c r="H49" s="15">
        <v>449.985</v>
      </c>
    </row>
    <row r="50" ht="12.9" customHeight="1">
      <c r="A50" t="s" s="10">
        <v>3863</v>
      </c>
      <c r="B50" t="s" s="11">
        <v>210</v>
      </c>
      <c r="C50" s="12">
        <v>45229</v>
      </c>
      <c r="D50" t="s" s="13">
        <v>77</v>
      </c>
      <c r="E50" t="s" s="13">
        <v>78</v>
      </c>
      <c r="F50" s="14">
        <v>10</v>
      </c>
      <c r="G50" s="15">
        <v>14.9925</v>
      </c>
      <c r="H50" s="15">
        <v>149.925</v>
      </c>
    </row>
    <row r="51" ht="12.9" customHeight="1">
      <c r="A51" t="s" s="10">
        <v>3863</v>
      </c>
      <c r="B51" t="s" s="11">
        <v>210</v>
      </c>
      <c r="C51" s="12">
        <v>45229</v>
      </c>
      <c r="D51" t="s" s="13">
        <v>359</v>
      </c>
      <c r="E51" t="s" s="13">
        <v>360</v>
      </c>
      <c r="F51" s="14">
        <v>10</v>
      </c>
      <c r="G51" s="15">
        <v>22.4925</v>
      </c>
      <c r="H51" s="15">
        <v>224.925</v>
      </c>
    </row>
    <row r="52" ht="12.9" customHeight="1">
      <c r="A52" t="s" s="10">
        <v>3863</v>
      </c>
      <c r="B52" t="s" s="11">
        <v>210</v>
      </c>
      <c r="C52" s="12">
        <v>45229</v>
      </c>
      <c r="D52" t="s" s="13">
        <v>52</v>
      </c>
      <c r="E52" t="s" s="13">
        <v>321</v>
      </c>
      <c r="F52" s="14">
        <v>16</v>
      </c>
      <c r="G52" s="15">
        <v>14.9925</v>
      </c>
      <c r="H52" s="15">
        <v>239.88</v>
      </c>
    </row>
    <row r="53" ht="12.9" customHeight="1">
      <c r="A53" t="s" s="10">
        <v>3864</v>
      </c>
      <c r="B53" t="s" s="11">
        <v>3865</v>
      </c>
      <c r="C53" s="12">
        <v>45229</v>
      </c>
      <c r="D53" t="s" s="13">
        <v>254</v>
      </c>
      <c r="E53" t="s" s="13">
        <v>3866</v>
      </c>
      <c r="F53" s="14">
        <v>1</v>
      </c>
      <c r="G53" s="15">
        <v>0</v>
      </c>
      <c r="H53" s="15">
        <v>0</v>
      </c>
    </row>
    <row r="54" ht="12.9" customHeight="1">
      <c r="A54" t="s" s="10">
        <v>3867</v>
      </c>
      <c r="B54" t="s" s="11">
        <v>3583</v>
      </c>
      <c r="C54" s="12">
        <v>45229</v>
      </c>
      <c r="D54" t="s" s="13">
        <v>254</v>
      </c>
      <c r="E54" t="s" s="13">
        <v>3868</v>
      </c>
      <c r="F54" s="14">
        <v>1</v>
      </c>
      <c r="G54" s="15">
        <v>0</v>
      </c>
      <c r="H54" s="15">
        <v>0</v>
      </c>
    </row>
    <row r="55" ht="12.9" customHeight="1">
      <c r="A55" t="s" s="10">
        <v>3869</v>
      </c>
      <c r="B55" t="s" s="11">
        <v>3870</v>
      </c>
      <c r="C55" s="12">
        <v>45228.357488981484</v>
      </c>
      <c r="D55" t="s" s="13">
        <v>589</v>
      </c>
      <c r="E55" t="s" s="13">
        <v>590</v>
      </c>
      <c r="F55" s="14">
        <v>2</v>
      </c>
      <c r="G55" s="15">
        <v>7.49</v>
      </c>
      <c r="H55" s="15">
        <v>14.98</v>
      </c>
    </row>
    <row r="56" ht="12.9" customHeight="1">
      <c r="A56" t="s" s="10">
        <v>3871</v>
      </c>
      <c r="B56" t="s" s="11">
        <v>329</v>
      </c>
      <c r="C56" s="12">
        <v>45228.328532013889</v>
      </c>
      <c r="D56" t="s" s="13">
        <v>722</v>
      </c>
      <c r="E56" t="s" s="13">
        <v>82</v>
      </c>
      <c r="F56" s="14">
        <v>2</v>
      </c>
      <c r="G56" s="15">
        <v>869.99</v>
      </c>
      <c r="H56" s="15">
        <v>1739.98</v>
      </c>
    </row>
    <row r="57" ht="12.9" customHeight="1">
      <c r="A57" t="s" s="10">
        <v>3871</v>
      </c>
      <c r="B57" t="s" s="11">
        <v>329</v>
      </c>
      <c r="C57" s="12">
        <v>45228.328532013889</v>
      </c>
      <c r="D57" t="s" s="13">
        <v>470</v>
      </c>
      <c r="E57" t="s" s="13">
        <v>517</v>
      </c>
      <c r="F57" s="14">
        <v>2</v>
      </c>
      <c r="G57" s="15">
        <v>100</v>
      </c>
      <c r="H57" s="15">
        <v>200</v>
      </c>
    </row>
    <row r="58" ht="12.9" customHeight="1">
      <c r="A58" t="s" s="10">
        <v>3871</v>
      </c>
      <c r="B58" t="s" s="11">
        <v>329</v>
      </c>
      <c r="C58" s="12">
        <v>45228.328532013889</v>
      </c>
      <c r="D58" t="s" s="13">
        <v>50</v>
      </c>
      <c r="E58" t="s" s="13">
        <v>83</v>
      </c>
      <c r="F58" s="14">
        <v>2</v>
      </c>
      <c r="G58" s="15">
        <v>0</v>
      </c>
      <c r="H58" s="15">
        <v>0</v>
      </c>
    </row>
    <row r="59" ht="12.9" customHeight="1">
      <c r="A59" t="s" s="10">
        <v>3871</v>
      </c>
      <c r="B59" t="s" s="11">
        <v>329</v>
      </c>
      <c r="C59" s="12">
        <v>45228.328532013889</v>
      </c>
      <c r="D59" t="s" s="13">
        <v>84</v>
      </c>
      <c r="E59" t="s" s="13">
        <v>2685</v>
      </c>
      <c r="F59" s="14">
        <v>2</v>
      </c>
      <c r="G59" s="15">
        <v>0</v>
      </c>
      <c r="H59" s="15">
        <v>0</v>
      </c>
    </row>
    <row r="60" ht="12.9" customHeight="1">
      <c r="A60" t="s" s="10">
        <v>3872</v>
      </c>
      <c r="B60" t="s" s="11">
        <v>3873</v>
      </c>
      <c r="C60" s="12">
        <v>45228.271469699073</v>
      </c>
      <c r="D60" t="s" s="13">
        <v>11</v>
      </c>
      <c r="E60" t="s" s="13">
        <v>12</v>
      </c>
      <c r="F60" s="14">
        <v>1</v>
      </c>
      <c r="G60" s="15">
        <v>399.99</v>
      </c>
      <c r="H60" s="15">
        <v>399.99</v>
      </c>
    </row>
    <row r="61" ht="12.9" customHeight="1">
      <c r="A61" t="s" s="10">
        <v>3874</v>
      </c>
      <c r="B61" t="s" s="11">
        <v>3634</v>
      </c>
      <c r="C61" s="12">
        <v>45228.170655243055</v>
      </c>
      <c r="D61" t="s" s="13">
        <v>35</v>
      </c>
      <c r="E61" t="s" s="13">
        <v>36</v>
      </c>
      <c r="F61" s="14">
        <v>3</v>
      </c>
      <c r="G61" s="15">
        <v>49.99</v>
      </c>
      <c r="H61" s="15">
        <v>149.97</v>
      </c>
    </row>
    <row r="62" ht="12.9" customHeight="1">
      <c r="A62" t="s" s="10">
        <v>3875</v>
      </c>
      <c r="B62" t="s" s="11">
        <v>3876</v>
      </c>
      <c r="C62" s="12">
        <v>45226.877053310185</v>
      </c>
      <c r="D62" t="s" s="13">
        <v>1695</v>
      </c>
      <c r="E62" t="s" s="13">
        <v>140</v>
      </c>
      <c r="F62" s="14">
        <v>1</v>
      </c>
      <c r="G62" s="15">
        <v>49.99</v>
      </c>
      <c r="H62" s="15">
        <v>49.99</v>
      </c>
    </row>
    <row r="63" ht="12.9" customHeight="1">
      <c r="A63" t="s" s="10">
        <v>3875</v>
      </c>
      <c r="B63" t="s" s="11">
        <v>3876</v>
      </c>
      <c r="C63" s="12">
        <v>45226.877053310185</v>
      </c>
      <c r="D63" t="s" s="13">
        <v>15</v>
      </c>
      <c r="E63" t="s" s="13">
        <v>16</v>
      </c>
      <c r="F63" s="14">
        <v>1</v>
      </c>
      <c r="G63" s="15">
        <v>9.99</v>
      </c>
      <c r="H63" s="15">
        <v>9.99</v>
      </c>
    </row>
    <row r="64" ht="12.9" customHeight="1">
      <c r="A64" t="s" s="10">
        <v>3877</v>
      </c>
      <c r="B64" t="s" s="11">
        <v>3878</v>
      </c>
      <c r="C64" s="12">
        <v>45226.834358611108</v>
      </c>
      <c r="D64" t="s" s="13">
        <v>89</v>
      </c>
      <c r="E64" t="s" s="13">
        <v>90</v>
      </c>
      <c r="F64" s="14">
        <v>1</v>
      </c>
      <c r="G64" s="15">
        <v>59.99</v>
      </c>
      <c r="H64" s="15">
        <v>59.99</v>
      </c>
    </row>
    <row r="65" ht="12.9" customHeight="1">
      <c r="A65" t="s" s="10">
        <v>3877</v>
      </c>
      <c r="B65" t="s" s="11">
        <v>3878</v>
      </c>
      <c r="C65" s="12">
        <v>45226.834358611108</v>
      </c>
      <c r="D65" t="s" s="13">
        <v>39</v>
      </c>
      <c r="E65" t="s" s="13">
        <v>40</v>
      </c>
      <c r="F65" s="14">
        <v>1</v>
      </c>
      <c r="G65" s="15">
        <v>109.99</v>
      </c>
      <c r="H65" s="15">
        <v>109.99</v>
      </c>
    </row>
    <row r="66" ht="12.9" customHeight="1">
      <c r="A66" t="s" s="10">
        <v>3877</v>
      </c>
      <c r="B66" t="s" s="11">
        <v>3878</v>
      </c>
      <c r="C66" s="12">
        <v>45226.834358611108</v>
      </c>
      <c r="D66" t="s" s="13">
        <v>77</v>
      </c>
      <c r="E66" t="s" s="13">
        <v>78</v>
      </c>
      <c r="F66" s="14">
        <v>1</v>
      </c>
      <c r="G66" s="15">
        <v>19.99</v>
      </c>
      <c r="H66" s="15">
        <v>19.99</v>
      </c>
    </row>
    <row r="67" ht="12.9" customHeight="1">
      <c r="A67" t="s" s="10">
        <v>3879</v>
      </c>
      <c r="B67" t="s" s="11">
        <v>3880</v>
      </c>
      <c r="C67" s="12">
        <v>45226.785200543978</v>
      </c>
      <c r="D67" t="s" s="13">
        <v>722</v>
      </c>
      <c r="E67" t="s" s="13">
        <v>82</v>
      </c>
      <c r="F67" s="14">
        <v>2</v>
      </c>
      <c r="G67" s="15">
        <v>869.99</v>
      </c>
      <c r="H67" s="15">
        <v>1739.98</v>
      </c>
    </row>
    <row r="68" ht="12.9" customHeight="1">
      <c r="A68" t="s" s="10">
        <v>3879</v>
      </c>
      <c r="B68" t="s" s="11">
        <v>3880</v>
      </c>
      <c r="C68" s="12">
        <v>45226.785200543978</v>
      </c>
      <c r="D68" t="s" s="13">
        <v>470</v>
      </c>
      <c r="E68" t="s" s="13">
        <v>517</v>
      </c>
      <c r="F68" s="14">
        <v>2</v>
      </c>
      <c r="G68" s="15">
        <v>100</v>
      </c>
      <c r="H68" s="15">
        <v>200</v>
      </c>
    </row>
    <row r="69" ht="12.9" customHeight="1">
      <c r="A69" t="s" s="10">
        <v>3879</v>
      </c>
      <c r="B69" t="s" s="11">
        <v>3880</v>
      </c>
      <c r="C69" s="12">
        <v>45226.785200543978</v>
      </c>
      <c r="D69" t="s" s="13">
        <v>50</v>
      </c>
      <c r="E69" t="s" s="13">
        <v>83</v>
      </c>
      <c r="F69" s="14">
        <v>2</v>
      </c>
      <c r="G69" s="15">
        <v>0</v>
      </c>
      <c r="H69" s="15">
        <v>0</v>
      </c>
    </row>
    <row r="70" ht="12.9" customHeight="1">
      <c r="A70" t="s" s="10">
        <v>3879</v>
      </c>
      <c r="B70" t="s" s="11">
        <v>3880</v>
      </c>
      <c r="C70" s="12">
        <v>45226.785200543978</v>
      </c>
      <c r="D70" t="s" s="13">
        <v>84</v>
      </c>
      <c r="E70" t="s" s="13">
        <v>2685</v>
      </c>
      <c r="F70" s="14">
        <v>2</v>
      </c>
      <c r="G70" s="15">
        <v>0</v>
      </c>
      <c r="H70" s="15">
        <v>0</v>
      </c>
    </row>
    <row r="71" ht="12.9" customHeight="1">
      <c r="A71" t="s" s="10">
        <v>3881</v>
      </c>
      <c r="B71" t="s" s="11">
        <v>3882</v>
      </c>
      <c r="C71" s="12">
        <v>45226.641815023148</v>
      </c>
      <c r="D71" t="s" s="13">
        <v>15</v>
      </c>
      <c r="E71" t="s" s="13">
        <v>16</v>
      </c>
      <c r="F71" s="14">
        <v>1</v>
      </c>
      <c r="G71" s="15">
        <v>9.99</v>
      </c>
      <c r="H71" s="15">
        <v>9.99</v>
      </c>
    </row>
    <row r="72" ht="12.9" customHeight="1">
      <c r="A72" t="s" s="10">
        <v>3883</v>
      </c>
      <c r="B72" t="s" s="11">
        <v>3884</v>
      </c>
      <c r="C72" s="12">
        <v>45226.145167534720</v>
      </c>
      <c r="D72" t="s" s="13">
        <v>95</v>
      </c>
      <c r="E72" t="s" s="13">
        <v>12</v>
      </c>
      <c r="F72" s="14">
        <v>1</v>
      </c>
      <c r="G72" s="15">
        <v>349.99</v>
      </c>
      <c r="H72" s="15">
        <v>349.99</v>
      </c>
    </row>
    <row r="73" ht="12.9" customHeight="1">
      <c r="A73" t="s" s="10">
        <v>3885</v>
      </c>
      <c r="B73" t="s" s="11">
        <v>2306</v>
      </c>
      <c r="C73" s="12">
        <v>45226.109647939818</v>
      </c>
      <c r="D73" t="s" s="13">
        <v>3886</v>
      </c>
      <c r="E73" t="s" s="13">
        <v>3887</v>
      </c>
      <c r="F73" s="14">
        <v>4</v>
      </c>
      <c r="G73" s="15">
        <v>299.99</v>
      </c>
      <c r="H73" s="15">
        <v>1199.96</v>
      </c>
    </row>
    <row r="74" ht="12.9" customHeight="1">
      <c r="A74" t="s" s="10">
        <v>3885</v>
      </c>
      <c r="B74" t="s" s="11">
        <v>2306</v>
      </c>
      <c r="C74" s="12">
        <v>45226.109647939818</v>
      </c>
      <c r="D74" t="s" s="13">
        <v>1054</v>
      </c>
      <c r="E74" t="s" s="13">
        <v>1055</v>
      </c>
      <c r="F74" s="14">
        <v>2</v>
      </c>
      <c r="G74" s="15">
        <v>149.99</v>
      </c>
      <c r="H74" s="15">
        <v>299.98</v>
      </c>
    </row>
    <row r="75" ht="12.9" customHeight="1">
      <c r="A75" t="s" s="10">
        <v>3885</v>
      </c>
      <c r="B75" t="s" s="11">
        <v>2306</v>
      </c>
      <c r="C75" s="12">
        <v>45226.109647939818</v>
      </c>
      <c r="D75" t="s" s="13">
        <v>462</v>
      </c>
      <c r="E75" t="s" s="13">
        <v>463</v>
      </c>
      <c r="F75" s="14">
        <v>2</v>
      </c>
      <c r="G75" s="15">
        <v>199.99</v>
      </c>
      <c r="H75" s="15">
        <v>399.98</v>
      </c>
    </row>
    <row r="76" ht="12.9" customHeight="1">
      <c r="A76" t="s" s="10">
        <v>3885</v>
      </c>
      <c r="B76" t="s" s="11">
        <v>2306</v>
      </c>
      <c r="C76" s="12">
        <v>45226.109647939818</v>
      </c>
      <c r="D76" t="s" s="13">
        <v>19</v>
      </c>
      <c r="E76" t="s" s="13">
        <v>20</v>
      </c>
      <c r="F76" s="14">
        <v>4</v>
      </c>
      <c r="G76" s="15">
        <v>119.99</v>
      </c>
      <c r="H76" s="15">
        <v>479.96</v>
      </c>
    </row>
    <row r="77" ht="12.9" customHeight="1">
      <c r="A77" t="s" s="10">
        <v>3885</v>
      </c>
      <c r="B77" t="s" s="11">
        <v>2306</v>
      </c>
      <c r="C77" s="12">
        <v>45226.109647939818</v>
      </c>
      <c r="D77" t="s" s="13">
        <v>15</v>
      </c>
      <c r="E77" t="s" s="13">
        <v>16</v>
      </c>
      <c r="F77" s="14">
        <v>4</v>
      </c>
      <c r="G77" s="15">
        <v>9.99</v>
      </c>
      <c r="H77" s="15">
        <v>39.96</v>
      </c>
    </row>
    <row r="78" ht="12.9" customHeight="1">
      <c r="A78" t="s" s="10">
        <v>3885</v>
      </c>
      <c r="B78" t="s" s="11">
        <v>2306</v>
      </c>
      <c r="C78" s="12">
        <v>45226.109647939818</v>
      </c>
      <c r="D78" t="s" s="13">
        <v>1896</v>
      </c>
      <c r="E78" t="s" s="13">
        <v>1897</v>
      </c>
      <c r="F78" s="14">
        <v>7</v>
      </c>
      <c r="G78" s="15">
        <v>64.98999999999999</v>
      </c>
      <c r="H78" s="15">
        <v>454.93</v>
      </c>
    </row>
    <row r="79" ht="12.9" customHeight="1">
      <c r="A79" t="s" s="10">
        <v>3885</v>
      </c>
      <c r="B79" t="s" s="11">
        <v>2306</v>
      </c>
      <c r="C79" s="12">
        <v>45226.109647939818</v>
      </c>
      <c r="D79" t="s" s="13">
        <v>979</v>
      </c>
      <c r="E79" t="s" s="13">
        <v>980</v>
      </c>
      <c r="F79" s="14">
        <v>1</v>
      </c>
      <c r="G79" s="15">
        <v>74.98999999999999</v>
      </c>
      <c r="H79" s="15">
        <v>74.98999999999999</v>
      </c>
    </row>
    <row r="80" ht="12.9" customHeight="1">
      <c r="A80" t="s" s="10">
        <v>3888</v>
      </c>
      <c r="B80" t="s" s="11">
        <v>473</v>
      </c>
      <c r="C80" s="12">
        <v>45226</v>
      </c>
      <c r="D80" t="s" s="13">
        <v>468</v>
      </c>
      <c r="E80" t="s" s="13">
        <v>469</v>
      </c>
      <c r="F80" s="14">
        <v>6</v>
      </c>
      <c r="G80" s="15">
        <v>1575</v>
      </c>
      <c r="H80" s="15">
        <v>9450</v>
      </c>
    </row>
    <row r="81" ht="12.9" customHeight="1">
      <c r="A81" t="s" s="10">
        <v>3888</v>
      </c>
      <c r="B81" t="s" s="11">
        <v>473</v>
      </c>
      <c r="C81" s="12">
        <v>45226</v>
      </c>
      <c r="D81" t="s" s="13">
        <v>50</v>
      </c>
      <c r="E81" t="s" s="13">
        <v>83</v>
      </c>
      <c r="F81" s="14">
        <v>6</v>
      </c>
      <c r="G81" s="15">
        <v>0</v>
      </c>
      <c r="H81" s="15">
        <v>0</v>
      </c>
    </row>
    <row r="82" ht="12.9" customHeight="1">
      <c r="A82" t="s" s="10">
        <v>3888</v>
      </c>
      <c r="B82" t="s" s="11">
        <v>473</v>
      </c>
      <c r="C82" s="12">
        <v>45226</v>
      </c>
      <c r="D82" t="s" s="13">
        <v>359</v>
      </c>
      <c r="E82" t="s" s="13">
        <v>360</v>
      </c>
      <c r="F82" s="14">
        <v>24</v>
      </c>
      <c r="G82" s="15">
        <v>22.4925</v>
      </c>
      <c r="H82" s="15">
        <v>539.8200000000001</v>
      </c>
    </row>
    <row r="83" ht="12.9" customHeight="1">
      <c r="A83" t="s" s="10">
        <v>3888</v>
      </c>
      <c r="B83" t="s" s="11">
        <v>473</v>
      </c>
      <c r="C83" s="12">
        <v>45226</v>
      </c>
      <c r="D83" t="s" s="13">
        <v>3889</v>
      </c>
      <c r="E83" t="s" s="13">
        <v>3890</v>
      </c>
      <c r="F83" s="14">
        <v>5</v>
      </c>
      <c r="G83" s="15">
        <v>18.7425</v>
      </c>
      <c r="H83" s="15">
        <v>93.71250000000001</v>
      </c>
    </row>
    <row r="84" ht="12.9" customHeight="1">
      <c r="A84" t="s" s="10">
        <v>3888</v>
      </c>
      <c r="B84" t="s" s="11">
        <v>473</v>
      </c>
      <c r="C84" s="12">
        <v>45226</v>
      </c>
      <c r="D84" t="s" s="13">
        <v>47</v>
      </c>
      <c r="E84" s="16"/>
      <c r="F84" s="14">
        <v>1</v>
      </c>
      <c r="G84" s="15">
        <v>90</v>
      </c>
      <c r="H84" s="15">
        <v>90</v>
      </c>
    </row>
    <row r="85" ht="12.9" customHeight="1">
      <c r="A85" t="s" s="10">
        <v>3891</v>
      </c>
      <c r="B85" t="s" s="11">
        <v>210</v>
      </c>
      <c r="C85" s="12">
        <v>45226</v>
      </c>
      <c r="D85" t="s" s="13">
        <v>254</v>
      </c>
      <c r="E85" t="s" s="13">
        <v>3892</v>
      </c>
      <c r="F85" s="14">
        <v>1</v>
      </c>
      <c r="G85" s="15">
        <v>0</v>
      </c>
      <c r="H85" s="15">
        <v>0</v>
      </c>
    </row>
    <row r="86" ht="12.9" customHeight="1">
      <c r="A86" t="s" s="10">
        <v>3891</v>
      </c>
      <c r="B86" t="s" s="11">
        <v>210</v>
      </c>
      <c r="C86" s="12">
        <v>45226</v>
      </c>
      <c r="D86" t="s" s="13">
        <v>412</v>
      </c>
      <c r="E86" t="s" s="13">
        <v>413</v>
      </c>
      <c r="F86" s="14">
        <v>10</v>
      </c>
      <c r="G86" s="15">
        <v>0</v>
      </c>
      <c r="H86" s="15">
        <v>0</v>
      </c>
    </row>
    <row r="87" ht="12.9" customHeight="1">
      <c r="A87" t="s" s="10">
        <v>3891</v>
      </c>
      <c r="B87" t="s" s="11">
        <v>210</v>
      </c>
      <c r="C87" s="12">
        <v>45226</v>
      </c>
      <c r="D87" t="s" s="13">
        <v>52</v>
      </c>
      <c r="E87" t="s" s="13">
        <v>321</v>
      </c>
      <c r="F87" s="14">
        <v>2</v>
      </c>
      <c r="G87" s="15">
        <v>0</v>
      </c>
      <c r="H87" s="15">
        <v>0</v>
      </c>
    </row>
    <row r="88" ht="12.9" customHeight="1">
      <c r="A88" t="s" s="10">
        <v>3893</v>
      </c>
      <c r="B88" t="s" s="11">
        <v>3894</v>
      </c>
      <c r="C88" s="12">
        <v>45225.747543148151</v>
      </c>
      <c r="D88" t="s" s="13">
        <v>602</v>
      </c>
      <c r="E88" t="s" s="13">
        <v>686</v>
      </c>
      <c r="F88" s="14">
        <v>1</v>
      </c>
      <c r="G88" s="15">
        <v>299.99</v>
      </c>
      <c r="H88" s="15">
        <v>299.99</v>
      </c>
    </row>
    <row r="89" ht="12.9" customHeight="1">
      <c r="A89" t="s" s="10">
        <v>3895</v>
      </c>
      <c r="B89" t="s" s="11">
        <v>3896</v>
      </c>
      <c r="C89" s="12">
        <v>45225.737670567127</v>
      </c>
      <c r="D89" t="s" s="13">
        <v>50</v>
      </c>
      <c r="E89" t="s" s="13">
        <v>83</v>
      </c>
      <c r="F89" s="14">
        <v>5</v>
      </c>
      <c r="G89" s="15">
        <v>29.99</v>
      </c>
      <c r="H89" s="15">
        <v>149.95</v>
      </c>
    </row>
    <row r="90" ht="12.9" customHeight="1">
      <c r="A90" t="s" s="10">
        <v>3897</v>
      </c>
      <c r="B90" t="s" s="11">
        <v>3898</v>
      </c>
      <c r="C90" s="12">
        <v>45225.647926284721</v>
      </c>
      <c r="D90" t="s" s="13">
        <v>11</v>
      </c>
      <c r="E90" t="s" s="13">
        <v>12</v>
      </c>
      <c r="F90" s="14">
        <v>1</v>
      </c>
      <c r="G90" s="15">
        <v>399.99</v>
      </c>
      <c r="H90" s="15">
        <v>399.99</v>
      </c>
    </row>
    <row r="91" ht="12.9" customHeight="1">
      <c r="A91" t="s" s="10">
        <v>3899</v>
      </c>
      <c r="B91" t="s" s="11">
        <v>3900</v>
      </c>
      <c r="C91" s="12">
        <v>45225.178817523149</v>
      </c>
      <c r="D91" t="s" s="13">
        <v>11</v>
      </c>
      <c r="E91" t="s" s="13">
        <v>12</v>
      </c>
      <c r="F91" s="14">
        <v>1</v>
      </c>
      <c r="G91" s="15">
        <v>399.99</v>
      </c>
      <c r="H91" s="15">
        <v>399.99</v>
      </c>
    </row>
    <row r="92" ht="12.9" customHeight="1">
      <c r="A92" t="s" s="10">
        <v>3901</v>
      </c>
      <c r="B92" t="s" s="11">
        <v>3902</v>
      </c>
      <c r="C92" s="12">
        <v>45225.141413680554</v>
      </c>
      <c r="D92" t="s" s="13">
        <v>73</v>
      </c>
      <c r="E92" t="s" s="13">
        <v>74</v>
      </c>
      <c r="F92" s="14">
        <v>1</v>
      </c>
      <c r="G92" s="15">
        <v>399.99</v>
      </c>
      <c r="H92" s="15">
        <v>399.99</v>
      </c>
    </row>
    <row r="93" ht="12.9" customHeight="1">
      <c r="A93" t="s" s="10">
        <v>3903</v>
      </c>
      <c r="B93" t="s" s="11">
        <v>3904</v>
      </c>
      <c r="C93" s="12">
        <v>45225.039807002315</v>
      </c>
      <c r="D93" t="s" s="13">
        <v>1141</v>
      </c>
      <c r="E93" t="s" s="13">
        <v>58</v>
      </c>
      <c r="F93" s="14">
        <v>1</v>
      </c>
      <c r="G93" s="15">
        <v>799.99</v>
      </c>
      <c r="H93" s="15">
        <v>799.99</v>
      </c>
    </row>
    <row r="94" ht="12.9" customHeight="1">
      <c r="A94" t="s" s="10">
        <v>3905</v>
      </c>
      <c r="B94" t="s" s="11">
        <v>3906</v>
      </c>
      <c r="C94" s="12">
        <v>45225.013783090275</v>
      </c>
      <c r="D94" t="s" s="13">
        <v>77</v>
      </c>
      <c r="E94" t="s" s="13">
        <v>78</v>
      </c>
      <c r="F94" s="14">
        <v>2</v>
      </c>
      <c r="G94" s="15">
        <v>19.99</v>
      </c>
      <c r="H94" s="15">
        <v>39.98</v>
      </c>
    </row>
    <row r="95" ht="12.9" customHeight="1">
      <c r="A95" t="s" s="10">
        <v>3907</v>
      </c>
      <c r="B95" t="s" s="11">
        <v>3908</v>
      </c>
      <c r="C95" s="12">
        <v>45225</v>
      </c>
      <c r="D95" t="s" s="13">
        <v>123</v>
      </c>
      <c r="E95" t="s" s="13">
        <v>124</v>
      </c>
      <c r="F95" s="14">
        <v>16</v>
      </c>
      <c r="G95" s="15">
        <v>179.99</v>
      </c>
      <c r="H95" s="15">
        <v>2879.84</v>
      </c>
    </row>
    <row r="96" ht="12.9" customHeight="1">
      <c r="A96" t="s" s="10">
        <v>3909</v>
      </c>
      <c r="B96" t="s" s="11">
        <v>69</v>
      </c>
      <c r="C96" s="12">
        <v>45225</v>
      </c>
      <c r="D96" t="s" s="13">
        <v>593</v>
      </c>
      <c r="E96" t="s" s="13">
        <v>593</v>
      </c>
      <c r="F96" s="14">
        <v>1</v>
      </c>
      <c r="G96" s="15">
        <v>40.7608695</v>
      </c>
      <c r="H96" s="15">
        <v>40.7608695</v>
      </c>
    </row>
    <row r="97" ht="12.9" customHeight="1">
      <c r="A97" t="s" s="10">
        <v>3909</v>
      </c>
      <c r="B97" t="s" s="11">
        <v>69</v>
      </c>
      <c r="C97" s="12">
        <v>45225</v>
      </c>
      <c r="D97" t="s" s="13">
        <v>109</v>
      </c>
      <c r="E97" t="s" s="13">
        <v>109</v>
      </c>
      <c r="F97" s="14">
        <v>1</v>
      </c>
      <c r="G97" s="15">
        <v>90</v>
      </c>
      <c r="H97" s="15">
        <v>90</v>
      </c>
    </row>
    <row r="98" ht="12.9" customHeight="1">
      <c r="A98" t="s" s="10">
        <v>3909</v>
      </c>
      <c r="B98" t="s" s="11">
        <v>69</v>
      </c>
      <c r="C98" s="12">
        <v>45225</v>
      </c>
      <c r="D98" t="s" s="13">
        <v>3910</v>
      </c>
      <c r="E98" t="s" s="13">
        <v>3911</v>
      </c>
      <c r="F98" s="14">
        <v>1</v>
      </c>
      <c r="G98" s="15">
        <v>2.771739</v>
      </c>
      <c r="H98" s="15">
        <v>2.771739</v>
      </c>
    </row>
    <row r="99" ht="12.9" customHeight="1">
      <c r="A99" t="s" s="10">
        <v>3909</v>
      </c>
      <c r="B99" t="s" s="11">
        <v>69</v>
      </c>
      <c r="C99" s="12">
        <v>45225</v>
      </c>
      <c r="D99" t="s" s="13">
        <v>3912</v>
      </c>
      <c r="E99" t="s" s="13">
        <v>3912</v>
      </c>
      <c r="F99" s="14">
        <v>1</v>
      </c>
      <c r="G99" s="15">
        <v>6.06521775</v>
      </c>
      <c r="H99" s="15">
        <v>6.06521775</v>
      </c>
    </row>
    <row r="100" ht="12.9" customHeight="1">
      <c r="A100" t="s" s="10">
        <v>3909</v>
      </c>
      <c r="B100" t="s" s="11">
        <v>69</v>
      </c>
      <c r="C100" s="12">
        <v>45225</v>
      </c>
      <c r="D100" t="s" s="13">
        <v>63</v>
      </c>
      <c r="E100" s="16"/>
      <c r="F100" s="14">
        <v>1</v>
      </c>
      <c r="G100" s="15">
        <v>28</v>
      </c>
      <c r="H100" s="15">
        <v>28</v>
      </c>
    </row>
    <row r="101" ht="12.9" customHeight="1">
      <c r="A101" t="s" s="10">
        <v>3913</v>
      </c>
      <c r="B101" t="s" s="11">
        <v>161</v>
      </c>
      <c r="C101" s="12">
        <v>45225</v>
      </c>
      <c r="D101" t="s" s="13">
        <v>2787</v>
      </c>
      <c r="E101" t="s" s="13">
        <v>2788</v>
      </c>
      <c r="F101" s="14">
        <v>40</v>
      </c>
      <c r="G101" s="15">
        <v>10</v>
      </c>
      <c r="H101" s="15">
        <v>400</v>
      </c>
    </row>
    <row r="102" ht="12.9" customHeight="1">
      <c r="A102" t="s" s="10">
        <v>3913</v>
      </c>
      <c r="B102" t="s" s="11">
        <v>161</v>
      </c>
      <c r="C102" s="12">
        <v>45225</v>
      </c>
      <c r="D102" t="s" s="13">
        <v>3431</v>
      </c>
      <c r="E102" t="s" s="13">
        <v>3432</v>
      </c>
      <c r="F102" s="14">
        <v>40</v>
      </c>
      <c r="G102" s="15">
        <v>2</v>
      </c>
      <c r="H102" s="15">
        <v>80</v>
      </c>
    </row>
    <row r="103" ht="12.9" customHeight="1">
      <c r="A103" t="s" s="10">
        <v>3913</v>
      </c>
      <c r="B103" t="s" s="11">
        <v>161</v>
      </c>
      <c r="C103" s="12">
        <v>45225</v>
      </c>
      <c r="D103" t="s" s="13">
        <v>443</v>
      </c>
      <c r="E103" t="s" s="13">
        <v>444</v>
      </c>
      <c r="F103" s="14">
        <v>50</v>
      </c>
      <c r="G103" s="15">
        <v>5.625</v>
      </c>
      <c r="H103" s="15">
        <v>281.25</v>
      </c>
    </row>
    <row r="104" ht="12.9" customHeight="1">
      <c r="A104" t="s" s="10">
        <v>3913</v>
      </c>
      <c r="B104" t="s" s="11">
        <v>161</v>
      </c>
      <c r="C104" s="12">
        <v>45225</v>
      </c>
      <c r="D104" t="s" s="13">
        <v>3914</v>
      </c>
      <c r="E104" t="s" s="13">
        <v>3915</v>
      </c>
      <c r="F104" s="14">
        <v>50</v>
      </c>
      <c r="G104" s="15">
        <v>5.25</v>
      </c>
      <c r="H104" s="15">
        <v>262.5</v>
      </c>
    </row>
    <row r="105" ht="12.9" customHeight="1">
      <c r="A105" t="s" s="10">
        <v>3913</v>
      </c>
      <c r="B105" t="s" s="11">
        <v>161</v>
      </c>
      <c r="C105" s="12">
        <v>45225</v>
      </c>
      <c r="D105" t="s" s="13">
        <v>15</v>
      </c>
      <c r="E105" t="s" s="13">
        <v>16</v>
      </c>
      <c r="F105" s="14">
        <v>5</v>
      </c>
      <c r="G105" s="15">
        <v>6.7425</v>
      </c>
      <c r="H105" s="15">
        <v>33.7125</v>
      </c>
    </row>
    <row r="106" ht="12.9" customHeight="1">
      <c r="A106" t="s" s="10">
        <v>3913</v>
      </c>
      <c r="B106" t="s" s="11">
        <v>161</v>
      </c>
      <c r="C106" s="12">
        <v>45225</v>
      </c>
      <c r="D106" t="s" s="13">
        <v>63</v>
      </c>
      <c r="E106" s="16"/>
      <c r="F106" s="14">
        <v>1</v>
      </c>
      <c r="G106" s="15">
        <v>40</v>
      </c>
      <c r="H106" s="15">
        <v>40</v>
      </c>
    </row>
    <row r="107" ht="12.9" customHeight="1">
      <c r="A107" t="s" s="10">
        <v>3916</v>
      </c>
      <c r="B107" t="s" s="11">
        <v>3917</v>
      </c>
      <c r="C107" s="12">
        <v>45224.950665763892</v>
      </c>
      <c r="D107" t="s" s="13">
        <v>54</v>
      </c>
      <c r="E107" t="s" s="13">
        <v>93</v>
      </c>
      <c r="F107" s="14">
        <v>3</v>
      </c>
      <c r="G107" s="15">
        <v>9.99</v>
      </c>
      <c r="H107" s="15">
        <v>29.97</v>
      </c>
    </row>
    <row r="108" ht="12.9" customHeight="1">
      <c r="A108" t="s" s="10">
        <v>3918</v>
      </c>
      <c r="B108" t="s" s="11">
        <v>3919</v>
      </c>
      <c r="C108" s="12">
        <v>45224.689546041664</v>
      </c>
      <c r="D108" t="s" s="13">
        <v>11</v>
      </c>
      <c r="E108" t="s" s="13">
        <v>12</v>
      </c>
      <c r="F108" s="14">
        <v>1</v>
      </c>
      <c r="G108" s="15">
        <v>399.99</v>
      </c>
      <c r="H108" s="15">
        <v>399.99</v>
      </c>
    </row>
    <row r="109" ht="12.9" customHeight="1">
      <c r="A109" t="s" s="10">
        <v>3920</v>
      </c>
      <c r="B109" t="s" s="11">
        <v>3921</v>
      </c>
      <c r="C109" s="12">
        <v>45224.384360243057</v>
      </c>
      <c r="D109" t="s" s="13">
        <v>73</v>
      </c>
      <c r="E109" t="s" s="13">
        <v>74</v>
      </c>
      <c r="F109" s="14">
        <v>1</v>
      </c>
      <c r="G109" s="15">
        <v>399.99</v>
      </c>
      <c r="H109" s="15">
        <v>399.99</v>
      </c>
    </row>
    <row r="110" ht="12.9" customHeight="1">
      <c r="A110" t="s" s="10">
        <v>3922</v>
      </c>
      <c r="B110" t="s" s="11">
        <v>3923</v>
      </c>
      <c r="C110" s="12">
        <v>45224.219385486111</v>
      </c>
      <c r="D110" t="s" s="13">
        <v>77</v>
      </c>
      <c r="E110" t="s" s="13">
        <v>78</v>
      </c>
      <c r="F110" s="14">
        <v>5</v>
      </c>
      <c r="G110" s="15">
        <v>19.99</v>
      </c>
      <c r="H110" s="15">
        <v>99.95</v>
      </c>
    </row>
    <row r="111" ht="12.9" customHeight="1">
      <c r="A111" t="s" s="10">
        <v>3922</v>
      </c>
      <c r="B111" t="s" s="11">
        <v>3923</v>
      </c>
      <c r="C111" s="12">
        <v>45224.219385486111</v>
      </c>
      <c r="D111" t="s" s="13">
        <v>239</v>
      </c>
      <c r="E111" t="s" s="13">
        <v>240</v>
      </c>
      <c r="F111" s="14">
        <v>5</v>
      </c>
      <c r="G111" s="15">
        <v>99.98999999999999</v>
      </c>
      <c r="H111" s="15">
        <v>499.95</v>
      </c>
    </row>
    <row r="112" ht="12.9" customHeight="1">
      <c r="A112" t="s" s="10">
        <v>3924</v>
      </c>
      <c r="B112" t="s" s="11">
        <v>3925</v>
      </c>
      <c r="C112" s="12">
        <v>45224.106813969905</v>
      </c>
      <c r="D112" t="s" s="13">
        <v>1695</v>
      </c>
      <c r="E112" t="s" s="13">
        <v>140</v>
      </c>
      <c r="F112" s="14">
        <v>1</v>
      </c>
      <c r="G112" s="15">
        <v>49.99</v>
      </c>
      <c r="H112" s="15">
        <v>49.99</v>
      </c>
    </row>
    <row r="113" ht="12.9" customHeight="1">
      <c r="A113" t="s" s="10">
        <v>3924</v>
      </c>
      <c r="B113" t="s" s="11">
        <v>3925</v>
      </c>
      <c r="C113" s="12">
        <v>45224.106813969905</v>
      </c>
      <c r="D113" t="s" s="13">
        <v>15</v>
      </c>
      <c r="E113" t="s" s="13">
        <v>16</v>
      </c>
      <c r="F113" s="14">
        <v>1</v>
      </c>
      <c r="G113" s="15">
        <v>9.99</v>
      </c>
      <c r="H113" s="15">
        <v>9.99</v>
      </c>
    </row>
    <row r="114" ht="12.9" customHeight="1">
      <c r="A114" t="s" s="10">
        <v>3926</v>
      </c>
      <c r="B114" t="s" s="11">
        <v>3732</v>
      </c>
      <c r="C114" s="12">
        <v>45223.985972916664</v>
      </c>
      <c r="D114" t="s" s="13">
        <v>462</v>
      </c>
      <c r="E114" t="s" s="13">
        <v>463</v>
      </c>
      <c r="F114" s="14">
        <v>1</v>
      </c>
      <c r="G114" s="15">
        <v>199.99</v>
      </c>
      <c r="H114" s="15">
        <v>199.99</v>
      </c>
    </row>
    <row r="115" ht="12.9" customHeight="1">
      <c r="A115" t="s" s="10">
        <v>3927</v>
      </c>
      <c r="B115" t="s" s="11">
        <v>3928</v>
      </c>
      <c r="C115" s="12">
        <v>45223.915823229167</v>
      </c>
      <c r="D115" t="s" s="13">
        <v>31</v>
      </c>
      <c r="E115" t="s" s="13">
        <v>32</v>
      </c>
      <c r="F115" s="14">
        <v>1</v>
      </c>
      <c r="G115" s="15">
        <v>599.99</v>
      </c>
      <c r="H115" s="15">
        <v>599.99</v>
      </c>
    </row>
    <row r="116" ht="12.9" customHeight="1">
      <c r="A116" t="s" s="10">
        <v>3929</v>
      </c>
      <c r="B116" t="s" s="11">
        <v>3876</v>
      </c>
      <c r="C116" s="12">
        <v>45223.833773576385</v>
      </c>
      <c r="D116" t="s" s="13">
        <v>73</v>
      </c>
      <c r="E116" t="s" s="13">
        <v>74</v>
      </c>
      <c r="F116" s="14">
        <v>1</v>
      </c>
      <c r="G116" s="15">
        <v>399.99</v>
      </c>
      <c r="H116" s="15">
        <v>399.99</v>
      </c>
    </row>
    <row r="117" ht="12.9" customHeight="1">
      <c r="A117" t="s" s="10">
        <v>3929</v>
      </c>
      <c r="B117" t="s" s="11">
        <v>3876</v>
      </c>
      <c r="C117" s="12">
        <v>45223.833773576385</v>
      </c>
      <c r="D117" t="s" s="13">
        <v>19</v>
      </c>
      <c r="E117" t="s" s="13">
        <v>20</v>
      </c>
      <c r="F117" s="14">
        <v>1</v>
      </c>
      <c r="G117" s="15">
        <v>119.99</v>
      </c>
      <c r="H117" s="15">
        <v>119.99</v>
      </c>
    </row>
    <row r="118" ht="12.9" customHeight="1">
      <c r="A118" t="s" s="10">
        <v>3929</v>
      </c>
      <c r="B118" t="s" s="11">
        <v>3876</v>
      </c>
      <c r="C118" s="12">
        <v>45223.833773576385</v>
      </c>
      <c r="D118" t="s" s="13">
        <v>15</v>
      </c>
      <c r="E118" t="s" s="13">
        <v>16</v>
      </c>
      <c r="F118" s="14">
        <v>1</v>
      </c>
      <c r="G118" s="15">
        <v>9.99</v>
      </c>
      <c r="H118" s="15">
        <v>9.99</v>
      </c>
    </row>
    <row r="119" ht="12.9" customHeight="1">
      <c r="A119" t="s" s="10">
        <v>3929</v>
      </c>
      <c r="B119" t="s" s="11">
        <v>3876</v>
      </c>
      <c r="C119" s="12">
        <v>45223.833773576385</v>
      </c>
      <c r="D119" t="s" s="13">
        <v>23</v>
      </c>
      <c r="E119" t="s" s="13">
        <v>24</v>
      </c>
      <c r="F119" s="14">
        <v>2</v>
      </c>
      <c r="G119" s="15">
        <v>149.99</v>
      </c>
      <c r="H119" s="15">
        <v>299.98</v>
      </c>
    </row>
    <row r="120" ht="12.9" customHeight="1">
      <c r="A120" t="s" s="10">
        <v>3930</v>
      </c>
      <c r="B120" t="s" s="11">
        <v>3931</v>
      </c>
      <c r="C120" s="12">
        <v>45223.733886539354</v>
      </c>
      <c r="D120" t="s" s="13">
        <v>73</v>
      </c>
      <c r="E120" t="s" s="13">
        <v>74</v>
      </c>
      <c r="F120" s="14">
        <v>1</v>
      </c>
      <c r="G120" s="15">
        <v>399.99</v>
      </c>
      <c r="H120" s="15">
        <v>399.99</v>
      </c>
    </row>
    <row r="121" ht="12.9" customHeight="1">
      <c r="A121" t="s" s="10">
        <v>3932</v>
      </c>
      <c r="B121" t="s" s="11">
        <v>3933</v>
      </c>
      <c r="C121" s="12">
        <v>45223.641727025461</v>
      </c>
      <c r="D121" t="s" s="13">
        <v>73</v>
      </c>
      <c r="E121" t="s" s="13">
        <v>74</v>
      </c>
      <c r="F121" s="14">
        <v>1</v>
      </c>
      <c r="G121" s="15">
        <v>399.99</v>
      </c>
      <c r="H121" s="15">
        <v>399.99</v>
      </c>
    </row>
    <row r="122" ht="12.9" customHeight="1">
      <c r="A122" t="s" s="10">
        <v>3932</v>
      </c>
      <c r="B122" t="s" s="11">
        <v>3933</v>
      </c>
      <c r="C122" s="12">
        <v>45223.641727025461</v>
      </c>
      <c r="D122" t="s" s="13">
        <v>15</v>
      </c>
      <c r="E122" t="s" s="13">
        <v>16</v>
      </c>
      <c r="F122" s="14">
        <v>1</v>
      </c>
      <c r="G122" s="15">
        <v>9.99</v>
      </c>
      <c r="H122" s="15">
        <v>9.99</v>
      </c>
    </row>
    <row r="123" ht="12.9" customHeight="1">
      <c r="A123" t="s" s="10">
        <v>3934</v>
      </c>
      <c r="B123" t="s" s="11">
        <v>3935</v>
      </c>
      <c r="C123" s="12">
        <v>45223.004813321757</v>
      </c>
      <c r="D123" t="s" s="13">
        <v>54</v>
      </c>
      <c r="E123" t="s" s="13">
        <v>93</v>
      </c>
      <c r="F123" s="14">
        <v>2</v>
      </c>
      <c r="G123" s="15">
        <v>9.99</v>
      </c>
      <c r="H123" s="15">
        <v>19.98</v>
      </c>
    </row>
    <row r="124" ht="12.9" customHeight="1">
      <c r="A124" t="s" s="10">
        <v>3936</v>
      </c>
      <c r="B124" t="s" s="11">
        <v>1586</v>
      </c>
      <c r="C124" s="12">
        <v>45223</v>
      </c>
      <c r="D124" t="s" s="13">
        <v>31</v>
      </c>
      <c r="E124" t="s" s="13">
        <v>32</v>
      </c>
      <c r="F124" s="14">
        <v>1</v>
      </c>
      <c r="G124" s="15">
        <v>449.9925</v>
      </c>
      <c r="H124" s="15">
        <v>449.9925</v>
      </c>
    </row>
    <row r="125" ht="12.9" customHeight="1">
      <c r="A125" t="s" s="10">
        <v>3936</v>
      </c>
      <c r="B125" t="s" s="11">
        <v>1586</v>
      </c>
      <c r="C125" s="12">
        <v>45223</v>
      </c>
      <c r="D125" t="s" s="13">
        <v>133</v>
      </c>
      <c r="E125" t="s" s="13">
        <v>134</v>
      </c>
      <c r="F125" s="14">
        <v>4</v>
      </c>
      <c r="G125" s="15">
        <v>149.9925</v>
      </c>
      <c r="H125" s="15">
        <v>599.97</v>
      </c>
    </row>
    <row r="126" ht="12.9" customHeight="1">
      <c r="A126" t="s" s="10">
        <v>3936</v>
      </c>
      <c r="B126" t="s" s="11">
        <v>1586</v>
      </c>
      <c r="C126" s="12">
        <v>45223</v>
      </c>
      <c r="D126" t="s" s="13">
        <v>179</v>
      </c>
      <c r="E126" t="s" s="13">
        <v>180</v>
      </c>
      <c r="F126" s="14">
        <v>12</v>
      </c>
      <c r="G126" s="15">
        <v>37.4925</v>
      </c>
      <c r="H126" s="15">
        <v>449.91</v>
      </c>
    </row>
    <row r="127" ht="12.9" customHeight="1">
      <c r="A127" t="s" s="10">
        <v>3936</v>
      </c>
      <c r="B127" t="s" s="11">
        <v>1586</v>
      </c>
      <c r="C127" s="12">
        <v>45223</v>
      </c>
      <c r="D127" t="s" s="13">
        <v>63</v>
      </c>
      <c r="E127" s="16"/>
      <c r="F127" s="14">
        <v>1</v>
      </c>
      <c r="G127" s="15">
        <v>150</v>
      </c>
      <c r="H127" s="15">
        <v>150</v>
      </c>
    </row>
    <row r="128" ht="12.9" customHeight="1">
      <c r="A128" t="s" s="10">
        <v>3937</v>
      </c>
      <c r="B128" t="s" s="11">
        <v>325</v>
      </c>
      <c r="C128" s="12">
        <v>45223</v>
      </c>
      <c r="D128" t="s" s="13">
        <v>412</v>
      </c>
      <c r="E128" t="s" s="13">
        <v>413</v>
      </c>
      <c r="F128" s="14">
        <v>4</v>
      </c>
      <c r="G128" s="15">
        <v>1.99</v>
      </c>
      <c r="H128" s="15">
        <v>7.96</v>
      </c>
    </row>
    <row r="129" ht="12.9" customHeight="1">
      <c r="A129" t="s" s="10">
        <v>3937</v>
      </c>
      <c r="B129" t="s" s="11">
        <v>325</v>
      </c>
      <c r="C129" s="12">
        <v>45223</v>
      </c>
      <c r="D129" t="s" s="13">
        <v>1731</v>
      </c>
      <c r="E129" t="s" s="13">
        <v>1732</v>
      </c>
      <c r="F129" s="14">
        <v>1</v>
      </c>
      <c r="G129" s="15">
        <v>24.99</v>
      </c>
      <c r="H129" s="15">
        <v>24.99</v>
      </c>
    </row>
    <row r="130" ht="12.9" customHeight="1">
      <c r="A130" t="s" s="10">
        <v>3937</v>
      </c>
      <c r="B130" t="s" s="11">
        <v>325</v>
      </c>
      <c r="C130" s="12">
        <v>45223</v>
      </c>
      <c r="D130" t="s" s="13">
        <v>258</v>
      </c>
      <c r="E130" t="s" s="13">
        <v>3592</v>
      </c>
      <c r="F130" s="14">
        <v>1</v>
      </c>
      <c r="G130" s="15">
        <v>18.99</v>
      </c>
      <c r="H130" s="15">
        <v>18.99</v>
      </c>
    </row>
    <row r="131" ht="12.9" customHeight="1">
      <c r="A131" t="s" s="10">
        <v>3937</v>
      </c>
      <c r="B131" t="s" s="11">
        <v>325</v>
      </c>
      <c r="C131" s="12">
        <v>45223</v>
      </c>
      <c r="D131" t="s" s="13">
        <v>780</v>
      </c>
      <c r="E131" t="s" s="13">
        <v>780</v>
      </c>
      <c r="F131" s="14">
        <v>1</v>
      </c>
      <c r="G131" s="15">
        <v>2.173913</v>
      </c>
      <c r="H131" s="15">
        <v>2.173913</v>
      </c>
    </row>
    <row r="132" ht="12.9" customHeight="1">
      <c r="A132" t="s" s="10">
        <v>3937</v>
      </c>
      <c r="B132" t="s" s="11">
        <v>325</v>
      </c>
      <c r="C132" s="12">
        <v>45223</v>
      </c>
      <c r="D132" t="s" s="13">
        <v>63</v>
      </c>
      <c r="E132" s="16"/>
      <c r="F132" s="14">
        <v>1</v>
      </c>
      <c r="G132" s="15">
        <v>15</v>
      </c>
      <c r="H132" s="15">
        <v>15</v>
      </c>
    </row>
    <row r="133" ht="12.9" customHeight="1">
      <c r="A133" t="s" s="10">
        <v>3938</v>
      </c>
      <c r="B133" t="s" s="11">
        <v>2292</v>
      </c>
      <c r="C133" s="12">
        <v>45222.866234583336</v>
      </c>
      <c r="D133" t="s" s="13">
        <v>23</v>
      </c>
      <c r="E133" t="s" s="13">
        <v>24</v>
      </c>
      <c r="F133" s="14">
        <v>4</v>
      </c>
      <c r="G133" s="15">
        <v>149.99</v>
      </c>
      <c r="H133" s="15">
        <v>599.96</v>
      </c>
    </row>
    <row r="134" ht="12.9" customHeight="1">
      <c r="A134" t="s" s="10">
        <v>3939</v>
      </c>
      <c r="B134" t="s" s="11">
        <v>3940</v>
      </c>
      <c r="C134" s="12">
        <v>45222.840050219907</v>
      </c>
      <c r="D134" t="s" s="13">
        <v>89</v>
      </c>
      <c r="E134" t="s" s="13">
        <v>90</v>
      </c>
      <c r="F134" s="14">
        <v>1</v>
      </c>
      <c r="G134" s="15">
        <v>59.99</v>
      </c>
      <c r="H134" s="15">
        <v>59.99</v>
      </c>
    </row>
    <row r="135" ht="12.9" customHeight="1">
      <c r="A135" t="s" s="10">
        <v>3941</v>
      </c>
      <c r="B135" t="s" s="11">
        <v>3942</v>
      </c>
      <c r="C135" s="12">
        <v>45222.831112731481</v>
      </c>
      <c r="D135" t="s" s="13">
        <v>1695</v>
      </c>
      <c r="E135" t="s" s="13">
        <v>140</v>
      </c>
      <c r="F135" s="14">
        <v>2</v>
      </c>
      <c r="G135" s="15">
        <v>49.99</v>
      </c>
      <c r="H135" s="15">
        <v>99.98</v>
      </c>
    </row>
    <row r="136" ht="12.9" customHeight="1">
      <c r="A136" t="s" s="10">
        <v>3941</v>
      </c>
      <c r="B136" t="s" s="11">
        <v>3942</v>
      </c>
      <c r="C136" s="12">
        <v>45222.831112731481</v>
      </c>
      <c r="D136" t="s" s="13">
        <v>15</v>
      </c>
      <c r="E136" t="s" s="13">
        <v>16</v>
      </c>
      <c r="F136" s="14">
        <v>2</v>
      </c>
      <c r="G136" s="15">
        <v>9.99</v>
      </c>
      <c r="H136" s="15">
        <v>19.98</v>
      </c>
    </row>
    <row r="137" ht="12.9" customHeight="1">
      <c r="A137" t="s" s="10">
        <v>3943</v>
      </c>
      <c r="B137" t="s" s="11">
        <v>3944</v>
      </c>
      <c r="C137" s="12">
        <v>45222.781858402777</v>
      </c>
      <c r="D137" t="s" s="13">
        <v>54</v>
      </c>
      <c r="E137" t="s" s="13">
        <v>93</v>
      </c>
      <c r="F137" s="14">
        <v>2</v>
      </c>
      <c r="G137" s="15">
        <v>9.99</v>
      </c>
      <c r="H137" s="15">
        <v>19.98</v>
      </c>
    </row>
    <row r="138" ht="12.9" customHeight="1">
      <c r="A138" t="s" s="10">
        <v>3945</v>
      </c>
      <c r="B138" t="s" s="11">
        <v>3946</v>
      </c>
      <c r="C138" s="12">
        <v>45222.705405694447</v>
      </c>
      <c r="D138" t="s" s="13">
        <v>48</v>
      </c>
      <c r="E138" t="s" s="13">
        <v>49</v>
      </c>
      <c r="F138" s="14">
        <v>1</v>
      </c>
      <c r="G138" s="15">
        <v>1299.99</v>
      </c>
      <c r="H138" s="15">
        <v>1299.99</v>
      </c>
    </row>
    <row r="139" ht="12.9" customHeight="1">
      <c r="A139" t="s" s="10">
        <v>3945</v>
      </c>
      <c r="B139" t="s" s="11">
        <v>3946</v>
      </c>
      <c r="C139" s="12">
        <v>45222.705405694447</v>
      </c>
      <c r="D139" t="s" s="13">
        <v>50</v>
      </c>
      <c r="E139" t="s" s="13">
        <v>83</v>
      </c>
      <c r="F139" s="14">
        <v>1</v>
      </c>
      <c r="G139" s="15">
        <v>0</v>
      </c>
      <c r="H139" s="15">
        <v>0</v>
      </c>
    </row>
    <row r="140" ht="12.9" customHeight="1">
      <c r="A140" t="s" s="10">
        <v>3945</v>
      </c>
      <c r="B140" t="s" s="11">
        <v>3946</v>
      </c>
      <c r="C140" s="12">
        <v>45222.705405694447</v>
      </c>
      <c r="D140" t="s" s="13">
        <v>52</v>
      </c>
      <c r="E140" t="s" s="13">
        <v>321</v>
      </c>
      <c r="F140" s="14">
        <v>1</v>
      </c>
      <c r="G140" s="15">
        <v>0</v>
      </c>
      <c r="H140" s="15">
        <v>0</v>
      </c>
    </row>
    <row r="141" ht="12.9" customHeight="1">
      <c r="A141" t="s" s="10">
        <v>3945</v>
      </c>
      <c r="B141" t="s" s="11">
        <v>3946</v>
      </c>
      <c r="C141" s="12">
        <v>45222.705405694447</v>
      </c>
      <c r="D141" t="s" s="13">
        <v>84</v>
      </c>
      <c r="E141" t="s" s="13">
        <v>2685</v>
      </c>
      <c r="F141" s="14">
        <v>1</v>
      </c>
      <c r="G141" s="15">
        <v>0</v>
      </c>
      <c r="H141" s="15">
        <v>0</v>
      </c>
    </row>
    <row r="142" ht="12.9" customHeight="1">
      <c r="A142" t="s" s="10">
        <v>3945</v>
      </c>
      <c r="B142" t="s" s="11">
        <v>3946</v>
      </c>
      <c r="C142" s="12">
        <v>45222.705405694447</v>
      </c>
      <c r="D142" t="s" s="13">
        <v>133</v>
      </c>
      <c r="E142" t="s" s="13">
        <v>134</v>
      </c>
      <c r="F142" s="14">
        <v>1</v>
      </c>
      <c r="G142" s="15">
        <v>50</v>
      </c>
      <c r="H142" s="15">
        <v>50</v>
      </c>
    </row>
    <row r="143" ht="12.9" customHeight="1">
      <c r="A143" t="s" s="10">
        <v>3945</v>
      </c>
      <c r="B143" t="s" s="11">
        <v>3946</v>
      </c>
      <c r="C143" s="12">
        <v>45222.705405694447</v>
      </c>
      <c r="D143" t="s" s="13">
        <v>73</v>
      </c>
      <c r="E143" t="s" s="13">
        <v>74</v>
      </c>
      <c r="F143" s="14">
        <v>1</v>
      </c>
      <c r="G143" s="15">
        <v>399.99</v>
      </c>
      <c r="H143" s="15">
        <v>399.99</v>
      </c>
    </row>
    <row r="144" ht="12.9" customHeight="1">
      <c r="A144" t="s" s="10">
        <v>3947</v>
      </c>
      <c r="B144" t="s" s="11">
        <v>3923</v>
      </c>
      <c r="C144" s="12">
        <v>45222.103423067128</v>
      </c>
      <c r="D144" t="s" s="13">
        <v>1593</v>
      </c>
      <c r="E144" t="s" s="13">
        <v>240</v>
      </c>
      <c r="F144" s="14">
        <v>1</v>
      </c>
      <c r="G144" s="15">
        <v>99.98999999999999</v>
      </c>
      <c r="H144" s="15">
        <v>99.98999999999999</v>
      </c>
    </row>
    <row r="145" ht="12.9" customHeight="1">
      <c r="A145" t="s" s="10">
        <v>3947</v>
      </c>
      <c r="B145" t="s" s="11">
        <v>3923</v>
      </c>
      <c r="C145" s="12">
        <v>45222.103423067128</v>
      </c>
      <c r="D145" t="s" s="13">
        <v>77</v>
      </c>
      <c r="E145" t="s" s="13">
        <v>78</v>
      </c>
      <c r="F145" s="14">
        <v>1</v>
      </c>
      <c r="G145" s="15">
        <v>19.99</v>
      </c>
      <c r="H145" s="15">
        <v>19.99</v>
      </c>
    </row>
    <row r="146" ht="38.9" customHeight="1">
      <c r="A146" t="s" s="10">
        <v>3948</v>
      </c>
      <c r="B146" t="s" s="11">
        <v>122</v>
      </c>
      <c r="C146" s="12">
        <v>45222</v>
      </c>
      <c r="D146" t="s" s="13">
        <v>254</v>
      </c>
      <c r="E146" t="s" s="52">
        <v>3949</v>
      </c>
      <c r="F146" s="14">
        <v>1</v>
      </c>
      <c r="G146" s="15">
        <v>0</v>
      </c>
      <c r="H146" s="15">
        <v>0</v>
      </c>
    </row>
    <row r="147" ht="12.9" customHeight="1">
      <c r="A147" t="s" s="10">
        <v>3948</v>
      </c>
      <c r="B147" t="s" s="11">
        <v>122</v>
      </c>
      <c r="C147" s="12">
        <v>45222</v>
      </c>
      <c r="D147" t="s" s="13">
        <v>266</v>
      </c>
      <c r="E147" t="s" s="13">
        <v>267</v>
      </c>
      <c r="F147" s="14">
        <v>10</v>
      </c>
      <c r="G147" s="15">
        <v>0</v>
      </c>
      <c r="H147" s="15">
        <v>0</v>
      </c>
    </row>
    <row r="148" ht="12.9" customHeight="1">
      <c r="A148" t="s" s="10">
        <v>3948</v>
      </c>
      <c r="B148" t="s" s="11">
        <v>122</v>
      </c>
      <c r="C148" s="12">
        <v>45222</v>
      </c>
      <c r="D148" t="s" s="13">
        <v>1187</v>
      </c>
      <c r="E148" t="s" s="13">
        <v>1187</v>
      </c>
      <c r="F148" s="14">
        <v>1</v>
      </c>
      <c r="G148" s="15">
        <v>0</v>
      </c>
      <c r="H148" s="15">
        <v>0</v>
      </c>
    </row>
    <row r="149" ht="12.9" customHeight="1">
      <c r="A149" t="s" s="10">
        <v>3948</v>
      </c>
      <c r="B149" t="s" s="11">
        <v>122</v>
      </c>
      <c r="C149" s="12">
        <v>45222</v>
      </c>
      <c r="D149" t="s" s="13">
        <v>1186</v>
      </c>
      <c r="E149" t="s" s="13">
        <v>1186</v>
      </c>
      <c r="F149" s="14">
        <v>1</v>
      </c>
      <c r="G149" s="15">
        <v>0</v>
      </c>
      <c r="H149" s="15">
        <v>0</v>
      </c>
    </row>
    <row r="150" ht="12.9" customHeight="1">
      <c r="A150" t="s" s="10">
        <v>3948</v>
      </c>
      <c r="B150" t="s" s="11">
        <v>122</v>
      </c>
      <c r="C150" s="12">
        <v>45222</v>
      </c>
      <c r="D150" t="s" s="13">
        <v>1892</v>
      </c>
      <c r="E150" t="s" s="13">
        <v>1892</v>
      </c>
      <c r="F150" s="14">
        <v>1</v>
      </c>
      <c r="G150" s="15">
        <v>0</v>
      </c>
      <c r="H150" s="15">
        <v>0</v>
      </c>
    </row>
    <row r="151" ht="12.9" customHeight="1">
      <c r="A151" t="s" s="10">
        <v>3948</v>
      </c>
      <c r="B151" t="s" s="11">
        <v>122</v>
      </c>
      <c r="C151" s="12">
        <v>45222</v>
      </c>
      <c r="D151" t="s" s="13">
        <v>3950</v>
      </c>
      <c r="E151" t="s" s="13">
        <v>3951</v>
      </c>
      <c r="F151" s="14">
        <v>2</v>
      </c>
      <c r="G151" s="15">
        <v>0</v>
      </c>
      <c r="H151" s="15">
        <v>0</v>
      </c>
    </row>
    <row r="152" ht="12.9" customHeight="1">
      <c r="A152" t="s" s="10">
        <v>3948</v>
      </c>
      <c r="B152" t="s" s="11">
        <v>122</v>
      </c>
      <c r="C152" s="12">
        <v>45222</v>
      </c>
      <c r="D152" t="s" s="13">
        <v>3952</v>
      </c>
      <c r="E152" t="s" s="13">
        <v>3952</v>
      </c>
      <c r="F152" s="14">
        <v>2</v>
      </c>
      <c r="G152" s="15">
        <v>0</v>
      </c>
      <c r="H152" s="15">
        <v>0</v>
      </c>
    </row>
    <row r="153" ht="12.9" customHeight="1">
      <c r="A153" t="s" s="10">
        <v>3948</v>
      </c>
      <c r="B153" t="s" s="11">
        <v>122</v>
      </c>
      <c r="C153" s="12">
        <v>45222</v>
      </c>
      <c r="D153" t="s" s="13">
        <v>1891</v>
      </c>
      <c r="E153" t="s" s="13">
        <v>1891</v>
      </c>
      <c r="F153" s="14">
        <v>1</v>
      </c>
      <c r="G153" s="15">
        <v>0</v>
      </c>
      <c r="H153" s="15">
        <v>0</v>
      </c>
    </row>
    <row r="154" ht="12.9" customHeight="1">
      <c r="A154" t="s" s="10">
        <v>3948</v>
      </c>
      <c r="B154" t="s" s="11">
        <v>122</v>
      </c>
      <c r="C154" s="12">
        <v>45222</v>
      </c>
      <c r="D154" t="s" s="13">
        <v>1187</v>
      </c>
      <c r="E154" t="s" s="13">
        <v>1187</v>
      </c>
      <c r="F154" s="14">
        <v>1</v>
      </c>
      <c r="G154" s="15">
        <v>0</v>
      </c>
      <c r="H154" s="15">
        <v>0</v>
      </c>
    </row>
    <row r="155" ht="12.9" customHeight="1">
      <c r="A155" t="s" s="10">
        <v>3948</v>
      </c>
      <c r="B155" t="s" s="11">
        <v>122</v>
      </c>
      <c r="C155" s="12">
        <v>45222</v>
      </c>
      <c r="D155" t="s" s="13">
        <v>1186</v>
      </c>
      <c r="E155" t="s" s="13">
        <v>1186</v>
      </c>
      <c r="F155" s="14">
        <v>1</v>
      </c>
      <c r="G155" s="15">
        <v>0</v>
      </c>
      <c r="H155" s="15">
        <v>0</v>
      </c>
    </row>
    <row r="156" ht="12.9" customHeight="1">
      <c r="A156" t="s" s="10">
        <v>3948</v>
      </c>
      <c r="B156" t="s" s="11">
        <v>122</v>
      </c>
      <c r="C156" s="12">
        <v>45222</v>
      </c>
      <c r="D156" t="s" s="13">
        <v>266</v>
      </c>
      <c r="E156" t="s" s="13">
        <v>267</v>
      </c>
      <c r="F156" s="14">
        <v>10</v>
      </c>
      <c r="G156" s="15">
        <v>0</v>
      </c>
      <c r="H156" s="15">
        <v>0</v>
      </c>
    </row>
    <row r="157" ht="12.9" customHeight="1">
      <c r="A157" t="s" s="10">
        <v>3948</v>
      </c>
      <c r="B157" t="s" s="11">
        <v>122</v>
      </c>
      <c r="C157" s="12">
        <v>45222</v>
      </c>
      <c r="D157" t="s" s="13">
        <v>207</v>
      </c>
      <c r="E157" t="s" s="13">
        <v>208</v>
      </c>
      <c r="F157" s="14">
        <v>1</v>
      </c>
      <c r="G157" s="15">
        <v>0</v>
      </c>
      <c r="H157" s="15">
        <v>0</v>
      </c>
    </row>
    <row r="158" ht="12.9" customHeight="1">
      <c r="A158" t="s" s="10">
        <v>3948</v>
      </c>
      <c r="B158" t="s" s="11">
        <v>122</v>
      </c>
      <c r="C158" s="12">
        <v>45222</v>
      </c>
      <c r="D158" t="s" s="13">
        <v>1892</v>
      </c>
      <c r="E158" t="s" s="13">
        <v>1892</v>
      </c>
      <c r="F158" s="14">
        <v>1</v>
      </c>
      <c r="G158" s="15">
        <v>0</v>
      </c>
      <c r="H158" s="15">
        <v>0</v>
      </c>
    </row>
    <row r="159" ht="12.9" customHeight="1">
      <c r="A159" t="s" s="10">
        <v>3953</v>
      </c>
      <c r="B159" t="s" s="11">
        <v>2630</v>
      </c>
      <c r="C159" s="12">
        <v>45221.944899965281</v>
      </c>
      <c r="D159" t="s" s="13">
        <v>81</v>
      </c>
      <c r="E159" t="s" s="13">
        <v>82</v>
      </c>
      <c r="F159" s="14">
        <v>1</v>
      </c>
      <c r="G159" s="15">
        <v>849.99</v>
      </c>
      <c r="H159" s="15">
        <v>849.99</v>
      </c>
    </row>
    <row r="160" ht="12.9" customHeight="1">
      <c r="A160" t="s" s="10">
        <v>3953</v>
      </c>
      <c r="B160" t="s" s="11">
        <v>2630</v>
      </c>
      <c r="C160" s="12">
        <v>45221.944899965281</v>
      </c>
      <c r="D160" t="s" s="13">
        <v>133</v>
      </c>
      <c r="E160" t="s" s="13">
        <v>134</v>
      </c>
      <c r="F160" s="14">
        <v>1</v>
      </c>
      <c r="G160" s="15">
        <v>50</v>
      </c>
      <c r="H160" s="15">
        <v>50</v>
      </c>
    </row>
    <row r="161" ht="12.9" customHeight="1">
      <c r="A161" t="s" s="10">
        <v>3953</v>
      </c>
      <c r="B161" t="s" s="11">
        <v>2630</v>
      </c>
      <c r="C161" s="12">
        <v>45221.944899965281</v>
      </c>
      <c r="D161" t="s" s="13">
        <v>50</v>
      </c>
      <c r="E161" t="s" s="13">
        <v>83</v>
      </c>
      <c r="F161" s="14">
        <v>1</v>
      </c>
      <c r="G161" s="15">
        <v>0</v>
      </c>
      <c r="H161" s="15">
        <v>0</v>
      </c>
    </row>
    <row r="162" ht="12.9" customHeight="1">
      <c r="A162" t="s" s="10">
        <v>3953</v>
      </c>
      <c r="B162" t="s" s="11">
        <v>2630</v>
      </c>
      <c r="C162" s="12">
        <v>45221.944899965281</v>
      </c>
      <c r="D162" t="s" s="13">
        <v>84</v>
      </c>
      <c r="E162" t="s" s="13">
        <v>2685</v>
      </c>
      <c r="F162" s="14">
        <v>1</v>
      </c>
      <c r="G162" s="15">
        <v>0</v>
      </c>
      <c r="H162" s="15">
        <v>0</v>
      </c>
    </row>
    <row r="163" ht="12.9" customHeight="1">
      <c r="A163" t="s" s="10">
        <v>3953</v>
      </c>
      <c r="B163" t="s" s="11">
        <v>2630</v>
      </c>
      <c r="C163" s="12">
        <v>45221.944899965281</v>
      </c>
      <c r="D163" t="s" s="13">
        <v>73</v>
      </c>
      <c r="E163" t="s" s="13">
        <v>74</v>
      </c>
      <c r="F163" s="14">
        <v>1</v>
      </c>
      <c r="G163" s="15">
        <v>399.99</v>
      </c>
      <c r="H163" s="15">
        <v>399.99</v>
      </c>
    </row>
    <row r="164" ht="12.9" customHeight="1">
      <c r="A164" t="s" s="10">
        <v>3954</v>
      </c>
      <c r="B164" t="s" s="11">
        <v>3955</v>
      </c>
      <c r="C164" s="12">
        <v>45221.846066284721</v>
      </c>
      <c r="D164" t="s" s="13">
        <v>1695</v>
      </c>
      <c r="E164" t="s" s="13">
        <v>140</v>
      </c>
      <c r="F164" s="14">
        <v>1</v>
      </c>
      <c r="G164" s="15">
        <v>49.99</v>
      </c>
      <c r="H164" s="15">
        <v>49.99</v>
      </c>
    </row>
    <row r="165" ht="12.9" customHeight="1">
      <c r="A165" t="s" s="10">
        <v>3954</v>
      </c>
      <c r="B165" t="s" s="11">
        <v>3955</v>
      </c>
      <c r="C165" s="12">
        <v>45221.846066284721</v>
      </c>
      <c r="D165" t="s" s="13">
        <v>15</v>
      </c>
      <c r="E165" t="s" s="13">
        <v>16</v>
      </c>
      <c r="F165" s="14">
        <v>1</v>
      </c>
      <c r="G165" s="15">
        <v>9.99</v>
      </c>
      <c r="H165" s="15">
        <v>9.99</v>
      </c>
    </row>
    <row r="166" ht="12.9" customHeight="1">
      <c r="A166" t="s" s="10">
        <v>3956</v>
      </c>
      <c r="B166" t="s" s="11">
        <v>3957</v>
      </c>
      <c r="C166" s="12">
        <v>45221.504725879633</v>
      </c>
      <c r="D166" t="s" s="13">
        <v>73</v>
      </c>
      <c r="E166" t="s" s="13">
        <v>74</v>
      </c>
      <c r="F166" s="14">
        <v>1</v>
      </c>
      <c r="G166" s="15">
        <v>399.99</v>
      </c>
      <c r="H166" s="15">
        <v>399.99</v>
      </c>
    </row>
    <row r="167" ht="12.9" customHeight="1">
      <c r="A167" t="s" s="10">
        <v>3958</v>
      </c>
      <c r="B167" t="s" s="11">
        <v>3894</v>
      </c>
      <c r="C167" s="12">
        <v>45221.115850810187</v>
      </c>
      <c r="D167" t="s" s="13">
        <v>81</v>
      </c>
      <c r="E167" t="s" s="13">
        <v>82</v>
      </c>
      <c r="F167" s="14">
        <v>1</v>
      </c>
      <c r="G167" s="15">
        <v>849.99</v>
      </c>
      <c r="H167" s="15">
        <v>849.99</v>
      </c>
    </row>
    <row r="168" ht="12.9" customHeight="1">
      <c r="A168" t="s" s="10">
        <v>3958</v>
      </c>
      <c r="B168" t="s" s="11">
        <v>3894</v>
      </c>
      <c r="C168" s="12">
        <v>45221.115850810187</v>
      </c>
      <c r="D168" t="s" s="13">
        <v>602</v>
      </c>
      <c r="E168" t="s" s="13">
        <v>686</v>
      </c>
      <c r="F168" s="14">
        <v>1</v>
      </c>
      <c r="G168" s="15">
        <v>175</v>
      </c>
      <c r="H168" s="15">
        <v>175</v>
      </c>
    </row>
    <row r="169" ht="12.9" customHeight="1">
      <c r="A169" t="s" s="10">
        <v>3958</v>
      </c>
      <c r="B169" t="s" s="11">
        <v>3894</v>
      </c>
      <c r="C169" s="12">
        <v>45221.115850810187</v>
      </c>
      <c r="D169" t="s" s="13">
        <v>50</v>
      </c>
      <c r="E169" t="s" s="13">
        <v>83</v>
      </c>
      <c r="F169" s="14">
        <v>1</v>
      </c>
      <c r="G169" s="15">
        <v>0</v>
      </c>
      <c r="H169" s="15">
        <v>0</v>
      </c>
    </row>
    <row r="170" ht="12.9" customHeight="1">
      <c r="A170" t="s" s="10">
        <v>3958</v>
      </c>
      <c r="B170" t="s" s="11">
        <v>3894</v>
      </c>
      <c r="C170" s="12">
        <v>45221.115850810187</v>
      </c>
      <c r="D170" t="s" s="13">
        <v>84</v>
      </c>
      <c r="E170" t="s" s="13">
        <v>2685</v>
      </c>
      <c r="F170" s="14">
        <v>1</v>
      </c>
      <c r="G170" s="15">
        <v>0</v>
      </c>
      <c r="H170" s="15">
        <v>0</v>
      </c>
    </row>
    <row r="171" ht="12.9" customHeight="1">
      <c r="A171" t="s" s="10">
        <v>3958</v>
      </c>
      <c r="B171" t="s" s="11">
        <v>3894</v>
      </c>
      <c r="C171" s="12">
        <v>45221.115850810187</v>
      </c>
      <c r="D171" t="s" s="13">
        <v>1695</v>
      </c>
      <c r="E171" t="s" s="13">
        <v>140</v>
      </c>
      <c r="F171" s="14">
        <v>3</v>
      </c>
      <c r="G171" s="15">
        <v>49.99</v>
      </c>
      <c r="H171" s="15">
        <v>149.97</v>
      </c>
    </row>
    <row r="172" ht="12.9" customHeight="1">
      <c r="A172" t="s" s="10">
        <v>3958</v>
      </c>
      <c r="B172" t="s" s="11">
        <v>3894</v>
      </c>
      <c r="C172" s="12">
        <v>45221.115850810187</v>
      </c>
      <c r="D172" t="s" s="13">
        <v>15</v>
      </c>
      <c r="E172" t="s" s="13">
        <v>16</v>
      </c>
      <c r="F172" s="14">
        <v>3</v>
      </c>
      <c r="G172" s="15">
        <v>9.99</v>
      </c>
      <c r="H172" s="15">
        <v>29.97</v>
      </c>
    </row>
    <row r="173" ht="12.9" customHeight="1">
      <c r="A173" t="s" s="10">
        <v>3958</v>
      </c>
      <c r="B173" t="s" s="11">
        <v>3894</v>
      </c>
      <c r="C173" s="12">
        <v>45221.115850810187</v>
      </c>
      <c r="D173" t="s" s="13">
        <v>19</v>
      </c>
      <c r="E173" t="s" s="13">
        <v>20</v>
      </c>
      <c r="F173" s="14">
        <v>4</v>
      </c>
      <c r="G173" s="15">
        <v>119.99</v>
      </c>
      <c r="H173" s="15">
        <v>479.96</v>
      </c>
    </row>
    <row r="174" ht="12.9" customHeight="1">
      <c r="A174" t="s" s="10">
        <v>3958</v>
      </c>
      <c r="B174" t="s" s="11">
        <v>3894</v>
      </c>
      <c r="C174" s="12">
        <v>45221.115850810187</v>
      </c>
      <c r="D174" t="s" s="13">
        <v>15</v>
      </c>
      <c r="E174" t="s" s="13">
        <v>16</v>
      </c>
      <c r="F174" s="14">
        <v>4</v>
      </c>
      <c r="G174" s="15">
        <v>9.99</v>
      </c>
      <c r="H174" s="15">
        <v>39.96</v>
      </c>
    </row>
    <row r="175" ht="12.9" customHeight="1">
      <c r="A175" t="s" s="10">
        <v>3959</v>
      </c>
      <c r="B175" t="s" s="11">
        <v>3960</v>
      </c>
      <c r="C175" s="12">
        <v>45221.0699172801</v>
      </c>
      <c r="D175" t="s" s="13">
        <v>95</v>
      </c>
      <c r="E175" t="s" s="13">
        <v>12</v>
      </c>
      <c r="F175" s="14">
        <v>1</v>
      </c>
      <c r="G175" s="15">
        <v>349.99</v>
      </c>
      <c r="H175" s="15">
        <v>349.99</v>
      </c>
    </row>
    <row r="176" ht="12.9" customHeight="1">
      <c r="A176" t="s" s="10">
        <v>3961</v>
      </c>
      <c r="B176" t="s" s="11">
        <v>3962</v>
      </c>
      <c r="C176" s="12">
        <v>45220.926892291667</v>
      </c>
      <c r="D176" t="s" s="13">
        <v>59</v>
      </c>
      <c r="E176" t="s" s="13">
        <v>60</v>
      </c>
      <c r="F176" s="14">
        <v>1</v>
      </c>
      <c r="G176" s="15">
        <v>1199.99</v>
      </c>
      <c r="H176" s="15">
        <v>1199.99</v>
      </c>
    </row>
    <row r="177" ht="12.9" customHeight="1">
      <c r="A177" t="s" s="10">
        <v>3963</v>
      </c>
      <c r="B177" t="s" s="11">
        <v>3419</v>
      </c>
      <c r="C177" s="12">
        <v>45220.5063733912</v>
      </c>
      <c r="D177" t="s" s="13">
        <v>73</v>
      </c>
      <c r="E177" t="s" s="13">
        <v>74</v>
      </c>
      <c r="F177" s="14">
        <v>1</v>
      </c>
      <c r="G177" s="15">
        <v>399.99</v>
      </c>
      <c r="H177" s="15">
        <v>399.99</v>
      </c>
    </row>
    <row r="178" ht="12.9" customHeight="1">
      <c r="A178" t="s" s="10">
        <v>3964</v>
      </c>
      <c r="B178" t="s" s="11">
        <v>3965</v>
      </c>
      <c r="C178" s="12">
        <v>45219.800109490738</v>
      </c>
      <c r="D178" t="s" s="13">
        <v>31</v>
      </c>
      <c r="E178" t="s" s="13">
        <v>32</v>
      </c>
      <c r="F178" s="14">
        <v>1</v>
      </c>
      <c r="G178" s="15">
        <v>599.99</v>
      </c>
      <c r="H178" s="15">
        <v>599.99</v>
      </c>
    </row>
    <row r="179" ht="12.9" customHeight="1">
      <c r="A179" t="s" s="10">
        <v>3966</v>
      </c>
      <c r="B179" t="s" s="11">
        <v>3967</v>
      </c>
      <c r="C179" s="12">
        <v>45219.758085</v>
      </c>
      <c r="D179" t="s" s="13">
        <v>1695</v>
      </c>
      <c r="E179" t="s" s="13">
        <v>140</v>
      </c>
      <c r="F179" s="14">
        <v>1</v>
      </c>
      <c r="G179" s="15">
        <v>49.99</v>
      </c>
      <c r="H179" s="15">
        <v>49.99</v>
      </c>
    </row>
    <row r="180" ht="12.9" customHeight="1">
      <c r="A180" t="s" s="10">
        <v>3966</v>
      </c>
      <c r="B180" t="s" s="11">
        <v>3967</v>
      </c>
      <c r="C180" s="12">
        <v>45219.758085</v>
      </c>
      <c r="D180" t="s" s="13">
        <v>15</v>
      </c>
      <c r="E180" t="s" s="13">
        <v>16</v>
      </c>
      <c r="F180" s="14">
        <v>1</v>
      </c>
      <c r="G180" s="15">
        <v>9.99</v>
      </c>
      <c r="H180" s="15">
        <v>9.99</v>
      </c>
    </row>
    <row r="181" ht="12.9" customHeight="1">
      <c r="A181" t="s" s="10">
        <v>3968</v>
      </c>
      <c r="B181" t="s" s="11">
        <v>3969</v>
      </c>
      <c r="C181" s="12">
        <v>45219.722006643518</v>
      </c>
      <c r="D181" t="s" s="13">
        <v>19</v>
      </c>
      <c r="E181" t="s" s="13">
        <v>20</v>
      </c>
      <c r="F181" s="14">
        <v>4</v>
      </c>
      <c r="G181" s="15">
        <v>119.99</v>
      </c>
      <c r="H181" s="15">
        <v>479.96</v>
      </c>
    </row>
    <row r="182" ht="12.9" customHeight="1">
      <c r="A182" t="s" s="10">
        <v>3968</v>
      </c>
      <c r="B182" t="s" s="11">
        <v>3969</v>
      </c>
      <c r="C182" s="12">
        <v>45219.722006643518</v>
      </c>
      <c r="D182" t="s" s="13">
        <v>15</v>
      </c>
      <c r="E182" t="s" s="13">
        <v>16</v>
      </c>
      <c r="F182" s="14">
        <v>4</v>
      </c>
      <c r="G182" s="15">
        <v>9.99</v>
      </c>
      <c r="H182" s="15">
        <v>39.96</v>
      </c>
    </row>
    <row r="183" ht="12.9" customHeight="1">
      <c r="A183" t="s" s="10">
        <v>3970</v>
      </c>
      <c r="B183" t="s" s="11">
        <v>3528</v>
      </c>
      <c r="C183" s="12">
        <v>45219.696772557872</v>
      </c>
      <c r="D183" t="s" s="13">
        <v>59</v>
      </c>
      <c r="E183" t="s" s="13">
        <v>60</v>
      </c>
      <c r="F183" s="14">
        <v>1</v>
      </c>
      <c r="G183" s="15">
        <v>1199.99</v>
      </c>
      <c r="H183" s="15">
        <v>1199.99</v>
      </c>
    </row>
    <row r="184" ht="12.9" customHeight="1">
      <c r="A184" t="s" s="10">
        <v>3971</v>
      </c>
      <c r="B184" t="s" s="11">
        <v>3972</v>
      </c>
      <c r="C184" s="12">
        <v>45219.640724722223</v>
      </c>
      <c r="D184" t="s" s="13">
        <v>73</v>
      </c>
      <c r="E184" t="s" s="13">
        <v>74</v>
      </c>
      <c r="F184" s="14">
        <v>1</v>
      </c>
      <c r="G184" s="15">
        <v>399.99</v>
      </c>
      <c r="H184" s="15">
        <v>399.99</v>
      </c>
    </row>
    <row r="185" ht="12.9" customHeight="1">
      <c r="A185" t="s" s="10">
        <v>3973</v>
      </c>
      <c r="B185" t="s" s="11">
        <v>3974</v>
      </c>
      <c r="C185" s="12">
        <v>45219.611773229168</v>
      </c>
      <c r="D185" t="s" s="13">
        <v>54</v>
      </c>
      <c r="E185" t="s" s="13">
        <v>93</v>
      </c>
      <c r="F185" s="14">
        <v>1</v>
      </c>
      <c r="G185" s="15">
        <v>9.99</v>
      </c>
      <c r="H185" s="15">
        <v>9.99</v>
      </c>
    </row>
    <row r="186" ht="12.9" customHeight="1">
      <c r="A186" t="s" s="10">
        <v>3975</v>
      </c>
      <c r="B186" t="s" s="11">
        <v>1972</v>
      </c>
      <c r="C186" s="12">
        <v>45219.261849537033</v>
      </c>
      <c r="D186" t="s" s="13">
        <v>171</v>
      </c>
      <c r="E186" t="s" s="13">
        <v>172</v>
      </c>
      <c r="F186" s="14">
        <v>1</v>
      </c>
      <c r="G186" s="15">
        <v>549.99</v>
      </c>
      <c r="H186" s="15">
        <v>549.99</v>
      </c>
    </row>
    <row r="187" ht="12.9" customHeight="1">
      <c r="A187" t="s" s="10">
        <v>3976</v>
      </c>
      <c r="B187" t="s" s="11">
        <v>3977</v>
      </c>
      <c r="C187" s="12">
        <v>45219.2213411574</v>
      </c>
      <c r="D187" t="s" s="13">
        <v>31</v>
      </c>
      <c r="E187" t="s" s="13">
        <v>32</v>
      </c>
      <c r="F187" s="14">
        <v>1</v>
      </c>
      <c r="G187" s="15">
        <v>599.99</v>
      </c>
      <c r="H187" s="15">
        <v>599.99</v>
      </c>
    </row>
    <row r="188" ht="12.9" customHeight="1">
      <c r="A188" t="s" s="10">
        <v>3978</v>
      </c>
      <c r="B188" t="s" s="11">
        <v>3979</v>
      </c>
      <c r="C188" s="12">
        <v>45219.139314722219</v>
      </c>
      <c r="D188" t="s" s="13">
        <v>81</v>
      </c>
      <c r="E188" t="s" s="13">
        <v>82</v>
      </c>
      <c r="F188" s="14">
        <v>2</v>
      </c>
      <c r="G188" s="15">
        <v>849.99</v>
      </c>
      <c r="H188" s="15">
        <v>1699.98</v>
      </c>
    </row>
    <row r="189" ht="12.9" customHeight="1">
      <c r="A189" t="s" s="10">
        <v>3978</v>
      </c>
      <c r="B189" t="s" s="11">
        <v>3979</v>
      </c>
      <c r="C189" s="12">
        <v>45219.139314722219</v>
      </c>
      <c r="D189" t="s" s="13">
        <v>602</v>
      </c>
      <c r="E189" t="s" s="13">
        <v>686</v>
      </c>
      <c r="F189" s="14">
        <v>2</v>
      </c>
      <c r="G189" s="15">
        <v>175</v>
      </c>
      <c r="H189" s="15">
        <v>350</v>
      </c>
    </row>
    <row r="190" ht="12.9" customHeight="1">
      <c r="A190" t="s" s="10">
        <v>3978</v>
      </c>
      <c r="B190" t="s" s="11">
        <v>3979</v>
      </c>
      <c r="C190" s="12">
        <v>45219.139314722219</v>
      </c>
      <c r="D190" t="s" s="13">
        <v>50</v>
      </c>
      <c r="E190" t="s" s="13">
        <v>83</v>
      </c>
      <c r="F190" s="14">
        <v>2</v>
      </c>
      <c r="G190" s="15">
        <v>0</v>
      </c>
      <c r="H190" s="15">
        <v>0</v>
      </c>
    </row>
    <row r="191" ht="12.9" customHeight="1">
      <c r="A191" t="s" s="10">
        <v>3978</v>
      </c>
      <c r="B191" t="s" s="11">
        <v>3979</v>
      </c>
      <c r="C191" s="12">
        <v>45219.139314722219</v>
      </c>
      <c r="D191" t="s" s="13">
        <v>84</v>
      </c>
      <c r="E191" t="s" s="13">
        <v>2685</v>
      </c>
      <c r="F191" s="14">
        <v>2</v>
      </c>
      <c r="G191" s="15">
        <v>0</v>
      </c>
      <c r="H191" s="15">
        <v>0</v>
      </c>
    </row>
    <row r="192" ht="12.9" customHeight="1">
      <c r="A192" t="s" s="10">
        <v>3980</v>
      </c>
      <c r="B192" t="s" s="11">
        <v>3981</v>
      </c>
      <c r="C192" s="12">
        <v>45219.035803865743</v>
      </c>
      <c r="D192" t="s" s="13">
        <v>73</v>
      </c>
      <c r="E192" t="s" s="13">
        <v>74</v>
      </c>
      <c r="F192" s="14">
        <v>1</v>
      </c>
      <c r="G192" s="15">
        <v>399.99</v>
      </c>
      <c r="H192" s="15">
        <v>399.99</v>
      </c>
    </row>
    <row r="193" ht="12.9" customHeight="1">
      <c r="A193" t="s" s="10">
        <v>3982</v>
      </c>
      <c r="B193" t="s" s="11">
        <v>161</v>
      </c>
      <c r="C193" s="12">
        <v>45219</v>
      </c>
      <c r="D193" t="s" s="13">
        <v>59</v>
      </c>
      <c r="E193" t="s" s="13">
        <v>60</v>
      </c>
      <c r="F193" s="14">
        <v>1</v>
      </c>
      <c r="G193" s="15">
        <v>899.9924999999999</v>
      </c>
      <c r="H193" s="15">
        <v>899.9924999999999</v>
      </c>
    </row>
    <row r="194" ht="12.9" customHeight="1">
      <c r="A194" t="s" s="10">
        <v>3982</v>
      </c>
      <c r="B194" t="s" s="11">
        <v>161</v>
      </c>
      <c r="C194" s="12">
        <v>45219</v>
      </c>
      <c r="D194" t="s" s="13">
        <v>63</v>
      </c>
      <c r="E194" s="16"/>
      <c r="F194" s="14">
        <v>1</v>
      </c>
      <c r="G194" s="15">
        <v>18</v>
      </c>
      <c r="H194" s="15">
        <v>18</v>
      </c>
    </row>
    <row r="195" ht="12.9" customHeight="1">
      <c r="A195" t="s" s="10">
        <v>3983</v>
      </c>
      <c r="B195" t="s" s="11">
        <v>3984</v>
      </c>
      <c r="C195" s="12">
        <v>45219</v>
      </c>
      <c r="D195" t="s" s="13">
        <v>81</v>
      </c>
      <c r="E195" t="s" s="13">
        <v>82</v>
      </c>
      <c r="F195" s="14">
        <v>4</v>
      </c>
      <c r="G195" s="15">
        <v>849.99</v>
      </c>
      <c r="H195" s="15">
        <v>3399.96</v>
      </c>
    </row>
    <row r="196" ht="12.9" customHeight="1">
      <c r="A196" t="s" s="10">
        <v>3983</v>
      </c>
      <c r="B196" t="s" s="11">
        <v>3984</v>
      </c>
      <c r="C196" s="12">
        <v>45219</v>
      </c>
      <c r="D196" t="s" s="13">
        <v>470</v>
      </c>
      <c r="E196" t="s" s="13">
        <v>517</v>
      </c>
      <c r="F196" s="14">
        <v>4</v>
      </c>
      <c r="G196" s="15">
        <v>100</v>
      </c>
      <c r="H196" s="15">
        <v>400</v>
      </c>
    </row>
    <row r="197" ht="12.9" customHeight="1">
      <c r="A197" t="s" s="10">
        <v>3983</v>
      </c>
      <c r="B197" t="s" s="11">
        <v>3984</v>
      </c>
      <c r="C197" s="12">
        <v>45219</v>
      </c>
      <c r="D197" t="s" s="13">
        <v>50</v>
      </c>
      <c r="E197" t="s" s="13">
        <v>83</v>
      </c>
      <c r="F197" s="14">
        <v>4</v>
      </c>
      <c r="G197" s="15">
        <v>0</v>
      </c>
      <c r="H197" s="15">
        <v>0</v>
      </c>
    </row>
    <row r="198" ht="12.9" customHeight="1">
      <c r="A198" t="s" s="10">
        <v>3983</v>
      </c>
      <c r="B198" t="s" s="11">
        <v>3984</v>
      </c>
      <c r="C198" s="12">
        <v>45219</v>
      </c>
      <c r="D198" t="s" s="13">
        <v>54</v>
      </c>
      <c r="E198" t="s" s="13">
        <v>93</v>
      </c>
      <c r="F198" s="14">
        <v>4</v>
      </c>
      <c r="G198" s="15">
        <v>0</v>
      </c>
      <c r="H198" s="15">
        <v>0</v>
      </c>
    </row>
    <row r="199" ht="12.9" customHeight="1">
      <c r="A199" t="s" s="10">
        <v>3983</v>
      </c>
      <c r="B199" t="s" s="11">
        <v>3984</v>
      </c>
      <c r="C199" s="12">
        <v>45219</v>
      </c>
      <c r="D199" t="s" s="13">
        <v>15</v>
      </c>
      <c r="E199" t="s" s="13">
        <v>16</v>
      </c>
      <c r="F199" s="14">
        <v>4</v>
      </c>
      <c r="G199" s="15">
        <v>0</v>
      </c>
      <c r="H199" s="15">
        <v>0</v>
      </c>
    </row>
    <row r="200" ht="12.9" customHeight="1">
      <c r="A200" t="s" s="10">
        <v>3983</v>
      </c>
      <c r="B200" t="s" s="11">
        <v>3984</v>
      </c>
      <c r="C200" s="12">
        <v>45219</v>
      </c>
      <c r="D200" t="s" s="13">
        <v>73</v>
      </c>
      <c r="E200" t="s" s="13">
        <v>74</v>
      </c>
      <c r="F200" s="14">
        <v>1</v>
      </c>
      <c r="G200" s="15">
        <v>399.99</v>
      </c>
      <c r="H200" s="15">
        <v>399.99</v>
      </c>
    </row>
    <row r="201" ht="12.9" customHeight="1">
      <c r="A201" t="s" s="10">
        <v>3983</v>
      </c>
      <c r="B201" t="s" s="11">
        <v>3984</v>
      </c>
      <c r="C201" s="12">
        <v>45219</v>
      </c>
      <c r="D201" t="s" s="13">
        <v>442</v>
      </c>
      <c r="E201" s="16"/>
      <c r="F201" s="14">
        <v>1</v>
      </c>
      <c r="G201" s="15">
        <v>-419.995</v>
      </c>
      <c r="H201" s="15">
        <v>-419.995</v>
      </c>
    </row>
    <row r="202" ht="12.9" customHeight="1">
      <c r="A202" t="s" s="10">
        <v>3985</v>
      </c>
      <c r="B202" t="s" s="11">
        <v>161</v>
      </c>
      <c r="C202" s="12">
        <v>45219</v>
      </c>
      <c r="D202" t="s" s="13">
        <v>48</v>
      </c>
      <c r="E202" t="s" s="13">
        <v>49</v>
      </c>
      <c r="F202" s="14">
        <v>4</v>
      </c>
      <c r="G202" s="15">
        <v>900</v>
      </c>
      <c r="H202" s="15">
        <v>3600</v>
      </c>
    </row>
    <row r="203" ht="12.9" customHeight="1">
      <c r="A203" t="s" s="10">
        <v>3985</v>
      </c>
      <c r="B203" t="s" s="11">
        <v>161</v>
      </c>
      <c r="C203" s="12">
        <v>45219</v>
      </c>
      <c r="D203" t="s" s="13">
        <v>50</v>
      </c>
      <c r="E203" t="s" s="13">
        <v>83</v>
      </c>
      <c r="F203" s="14">
        <v>4</v>
      </c>
      <c r="G203" s="15">
        <v>0</v>
      </c>
      <c r="H203" s="15">
        <v>0</v>
      </c>
    </row>
    <row r="204" ht="12.9" customHeight="1">
      <c r="A204" t="s" s="10">
        <v>3985</v>
      </c>
      <c r="B204" t="s" s="11">
        <v>161</v>
      </c>
      <c r="C204" s="12">
        <v>45219</v>
      </c>
      <c r="D204" t="s" s="13">
        <v>52</v>
      </c>
      <c r="E204" t="s" s="13">
        <v>321</v>
      </c>
      <c r="F204" s="14">
        <v>4</v>
      </c>
      <c r="G204" s="15">
        <v>0</v>
      </c>
      <c r="H204" s="15">
        <v>0</v>
      </c>
    </row>
    <row r="205" ht="12.9" customHeight="1">
      <c r="A205" t="s" s="10">
        <v>3985</v>
      </c>
      <c r="B205" t="s" s="11">
        <v>161</v>
      </c>
      <c r="C205" s="12">
        <v>45219</v>
      </c>
      <c r="D205" t="s" s="13">
        <v>359</v>
      </c>
      <c r="E205" t="s" s="13">
        <v>360</v>
      </c>
      <c r="F205" s="14">
        <v>10</v>
      </c>
      <c r="G205" s="15">
        <v>22.4925</v>
      </c>
      <c r="H205" s="15">
        <v>224.925</v>
      </c>
    </row>
    <row r="206" ht="12.9" customHeight="1">
      <c r="A206" t="s" s="10">
        <v>3985</v>
      </c>
      <c r="B206" t="s" s="11">
        <v>161</v>
      </c>
      <c r="C206" s="12">
        <v>45219</v>
      </c>
      <c r="D206" t="s" s="13">
        <v>63</v>
      </c>
      <c r="E206" s="16"/>
      <c r="F206" s="14">
        <v>1</v>
      </c>
      <c r="G206" s="15">
        <v>55</v>
      </c>
      <c r="H206" s="15">
        <v>55</v>
      </c>
    </row>
    <row r="207" ht="12.9" customHeight="1">
      <c r="A207" t="s" s="10">
        <v>3986</v>
      </c>
      <c r="B207" t="s" s="11">
        <v>3987</v>
      </c>
      <c r="C207" s="12">
        <v>45218.958056898147</v>
      </c>
      <c r="D207" t="s" s="13">
        <v>35</v>
      </c>
      <c r="E207" t="s" s="13">
        <v>36</v>
      </c>
      <c r="F207" s="14">
        <v>2</v>
      </c>
      <c r="G207" s="15">
        <v>49.99</v>
      </c>
      <c r="H207" s="15">
        <v>99.98</v>
      </c>
    </row>
    <row r="208" ht="12.9" customHeight="1">
      <c r="A208" t="s" s="10">
        <v>3988</v>
      </c>
      <c r="B208" t="s" s="11">
        <v>3904</v>
      </c>
      <c r="C208" s="12">
        <v>45218.774214085650</v>
      </c>
      <c r="D208" t="s" s="13">
        <v>1141</v>
      </c>
      <c r="E208" t="s" s="13">
        <v>58</v>
      </c>
      <c r="F208" s="14">
        <v>2</v>
      </c>
      <c r="G208" s="15">
        <v>799.99</v>
      </c>
      <c r="H208" s="15">
        <v>1599.98</v>
      </c>
    </row>
    <row r="209" ht="12.9" customHeight="1">
      <c r="A209" t="s" s="10">
        <v>3989</v>
      </c>
      <c r="B209" t="s" s="11">
        <v>3990</v>
      </c>
      <c r="C209" s="12">
        <v>45218.610123333332</v>
      </c>
      <c r="D209" t="s" s="13">
        <v>73</v>
      </c>
      <c r="E209" t="s" s="13">
        <v>74</v>
      </c>
      <c r="F209" s="14">
        <v>3</v>
      </c>
      <c r="G209" s="15">
        <v>399.99</v>
      </c>
      <c r="H209" s="15">
        <v>1199.97</v>
      </c>
    </row>
    <row r="210" ht="12.9" customHeight="1">
      <c r="A210" t="s" s="10">
        <v>3991</v>
      </c>
      <c r="B210" t="s" s="11">
        <v>2850</v>
      </c>
      <c r="C210" s="12">
        <v>45218.590684930554</v>
      </c>
      <c r="D210" t="s" s="13">
        <v>602</v>
      </c>
      <c r="E210" t="s" s="13">
        <v>686</v>
      </c>
      <c r="F210" s="14">
        <v>1</v>
      </c>
      <c r="G210" s="15">
        <v>299.99</v>
      </c>
      <c r="H210" s="15">
        <v>299.99</v>
      </c>
    </row>
    <row r="211" ht="12.9" customHeight="1">
      <c r="A211" t="s" s="10">
        <v>3992</v>
      </c>
      <c r="B211" t="s" s="11">
        <v>3993</v>
      </c>
      <c r="C211" s="12">
        <v>45218.220069409719</v>
      </c>
      <c r="D211" t="s" s="13">
        <v>54</v>
      </c>
      <c r="E211" t="s" s="13">
        <v>93</v>
      </c>
      <c r="F211" s="14">
        <v>1</v>
      </c>
      <c r="G211" s="15">
        <v>9.99</v>
      </c>
      <c r="H211" s="15">
        <v>9.99</v>
      </c>
    </row>
    <row r="212" ht="12.9" customHeight="1">
      <c r="A212" t="s" s="10">
        <v>3992</v>
      </c>
      <c r="B212" t="s" s="11">
        <v>3993</v>
      </c>
      <c r="C212" s="12">
        <v>45218.220069409719</v>
      </c>
      <c r="D212" t="s" s="13">
        <v>1593</v>
      </c>
      <c r="E212" t="s" s="13">
        <v>240</v>
      </c>
      <c r="F212" s="14">
        <v>1</v>
      </c>
      <c r="G212" s="15">
        <v>99.98999999999999</v>
      </c>
      <c r="H212" s="15">
        <v>99.98999999999999</v>
      </c>
    </row>
    <row r="213" ht="12.9" customHeight="1">
      <c r="A213" t="s" s="10">
        <v>3994</v>
      </c>
      <c r="B213" t="s" s="11">
        <v>3995</v>
      </c>
      <c r="C213" s="12">
        <v>45218.201904456022</v>
      </c>
      <c r="D213" t="s" s="13">
        <v>89</v>
      </c>
      <c r="E213" t="s" s="13">
        <v>90</v>
      </c>
      <c r="F213" s="14">
        <v>2</v>
      </c>
      <c r="G213" s="15">
        <v>59.99</v>
      </c>
      <c r="H213" s="15">
        <v>119.98</v>
      </c>
    </row>
    <row r="214" ht="12.9" customHeight="1">
      <c r="A214" t="s" s="10">
        <v>3996</v>
      </c>
      <c r="B214" t="s" s="11">
        <v>506</v>
      </c>
      <c r="C214" s="12">
        <v>45218.051101145837</v>
      </c>
      <c r="D214" t="s" s="13">
        <v>95</v>
      </c>
      <c r="E214" t="s" s="13">
        <v>12</v>
      </c>
      <c r="F214" s="14">
        <v>1</v>
      </c>
      <c r="G214" s="15">
        <v>349.99</v>
      </c>
      <c r="H214" s="15">
        <v>349.99</v>
      </c>
    </row>
    <row r="215" ht="12.9" customHeight="1">
      <c r="A215" t="s" s="10">
        <v>3997</v>
      </c>
      <c r="B215" t="s" s="11">
        <v>122</v>
      </c>
      <c r="C215" s="12">
        <v>45218</v>
      </c>
      <c r="D215" t="s" s="13">
        <v>59</v>
      </c>
      <c r="E215" t="s" s="13">
        <v>60</v>
      </c>
      <c r="F215" s="14">
        <v>1</v>
      </c>
      <c r="G215" s="15">
        <v>899.9924999999999</v>
      </c>
      <c r="H215" s="15">
        <v>899.9924999999999</v>
      </c>
    </row>
    <row r="216" ht="12.9" customHeight="1">
      <c r="A216" t="s" s="10">
        <v>3997</v>
      </c>
      <c r="B216" t="s" s="11">
        <v>122</v>
      </c>
      <c r="C216" s="12">
        <v>45218</v>
      </c>
      <c r="D216" t="s" s="13">
        <v>63</v>
      </c>
      <c r="E216" s="16"/>
      <c r="F216" s="14">
        <v>1</v>
      </c>
      <c r="G216" s="15">
        <v>25</v>
      </c>
      <c r="H216" s="15">
        <v>25</v>
      </c>
    </row>
    <row r="217" ht="12.9" customHeight="1">
      <c r="A217" t="s" s="10">
        <v>3998</v>
      </c>
      <c r="B217" t="s" s="11">
        <v>3697</v>
      </c>
      <c r="C217" s="12">
        <v>45217.954554953707</v>
      </c>
      <c r="D217" t="s" s="13">
        <v>171</v>
      </c>
      <c r="E217" t="s" s="13">
        <v>172</v>
      </c>
      <c r="F217" s="14">
        <v>1</v>
      </c>
      <c r="G217" s="15">
        <v>549.99</v>
      </c>
      <c r="H217" s="15">
        <v>549.99</v>
      </c>
    </row>
    <row r="218" ht="12.9" customHeight="1">
      <c r="A218" t="s" s="10">
        <v>3999</v>
      </c>
      <c r="B218" t="s" s="11">
        <v>4000</v>
      </c>
      <c r="C218" s="12">
        <v>45217.875123009260</v>
      </c>
      <c r="D218" t="s" s="13">
        <v>19</v>
      </c>
      <c r="E218" t="s" s="13">
        <v>20</v>
      </c>
      <c r="F218" s="14">
        <v>6</v>
      </c>
      <c r="G218" s="15">
        <v>119.99</v>
      </c>
      <c r="H218" s="15">
        <v>719.9400000000001</v>
      </c>
    </row>
    <row r="219" ht="12.9" customHeight="1">
      <c r="A219" t="s" s="10">
        <v>3999</v>
      </c>
      <c r="B219" t="s" s="11">
        <v>4000</v>
      </c>
      <c r="C219" s="12">
        <v>45217.875123009260</v>
      </c>
      <c r="D219" t="s" s="13">
        <v>15</v>
      </c>
      <c r="E219" t="s" s="13">
        <v>16</v>
      </c>
      <c r="F219" s="14">
        <v>6</v>
      </c>
      <c r="G219" s="15">
        <v>8.99</v>
      </c>
      <c r="H219" s="15">
        <v>53.94</v>
      </c>
    </row>
    <row r="220" ht="12.9" customHeight="1">
      <c r="A220" t="s" s="10">
        <v>4001</v>
      </c>
      <c r="B220" t="s" s="11">
        <v>4002</v>
      </c>
      <c r="C220" s="12">
        <v>45217.842241099534</v>
      </c>
      <c r="D220" t="s" s="13">
        <v>35</v>
      </c>
      <c r="E220" t="s" s="13">
        <v>36</v>
      </c>
      <c r="F220" s="14">
        <v>2</v>
      </c>
      <c r="G220" s="15">
        <v>49.99</v>
      </c>
      <c r="H220" s="15">
        <v>99.98</v>
      </c>
    </row>
    <row r="221" ht="12.9" customHeight="1">
      <c r="A221" t="s" s="10">
        <v>4003</v>
      </c>
      <c r="B221" t="s" s="11">
        <v>3470</v>
      </c>
      <c r="C221" s="12">
        <v>45217.667121168983</v>
      </c>
      <c r="D221" t="s" s="13">
        <v>73</v>
      </c>
      <c r="E221" t="s" s="13">
        <v>74</v>
      </c>
      <c r="F221" s="14">
        <v>1</v>
      </c>
      <c r="G221" s="15">
        <v>399.99</v>
      </c>
      <c r="H221" s="15">
        <v>399.99</v>
      </c>
    </row>
    <row r="222" ht="12.9" customHeight="1">
      <c r="A222" t="s" s="10">
        <v>4003</v>
      </c>
      <c r="B222" t="s" s="11">
        <v>3470</v>
      </c>
      <c r="C222" s="12">
        <v>45217.667121168983</v>
      </c>
      <c r="D222" t="s" s="13">
        <v>15</v>
      </c>
      <c r="E222" t="s" s="13">
        <v>16</v>
      </c>
      <c r="F222" s="14">
        <v>2</v>
      </c>
      <c r="G222" s="15">
        <v>9.99</v>
      </c>
      <c r="H222" s="15">
        <v>19.98</v>
      </c>
    </row>
    <row r="223" ht="12.9" customHeight="1">
      <c r="A223" t="s" s="10">
        <v>4004</v>
      </c>
      <c r="B223" t="s" s="11">
        <v>4005</v>
      </c>
      <c r="C223" s="12">
        <v>45217.228696481485</v>
      </c>
      <c r="D223" t="s" s="13">
        <v>35</v>
      </c>
      <c r="E223" t="s" s="13">
        <v>36</v>
      </c>
      <c r="F223" s="14">
        <v>1</v>
      </c>
      <c r="G223" s="15">
        <v>49.99</v>
      </c>
      <c r="H223" s="15">
        <v>49.99</v>
      </c>
    </row>
    <row r="224" ht="12.9" customHeight="1">
      <c r="A224" t="s" s="10">
        <v>4006</v>
      </c>
      <c r="B224" t="s" s="11">
        <v>2196</v>
      </c>
      <c r="C224" s="12">
        <v>45217</v>
      </c>
      <c r="D224" t="s" s="13">
        <v>254</v>
      </c>
      <c r="E224" t="s" s="13">
        <v>771</v>
      </c>
      <c r="F224" s="14">
        <v>1</v>
      </c>
      <c r="G224" s="15">
        <v>0</v>
      </c>
      <c r="H224" s="15">
        <v>0</v>
      </c>
    </row>
    <row r="225" ht="12.9" customHeight="1">
      <c r="A225" t="s" s="10">
        <v>4007</v>
      </c>
      <c r="B225" t="s" s="11">
        <v>4008</v>
      </c>
      <c r="C225" s="12">
        <v>45216.916195150465</v>
      </c>
      <c r="D225" t="s" s="13">
        <v>48</v>
      </c>
      <c r="E225" t="s" s="13">
        <v>49</v>
      </c>
      <c r="F225" s="14">
        <v>4</v>
      </c>
      <c r="G225" s="15">
        <v>1299.99</v>
      </c>
      <c r="H225" s="15">
        <v>5199.96</v>
      </c>
    </row>
    <row r="226" ht="12.9" customHeight="1">
      <c r="A226" t="s" s="10">
        <v>4007</v>
      </c>
      <c r="B226" t="s" s="11">
        <v>4008</v>
      </c>
      <c r="C226" s="12">
        <v>45216.916195150465</v>
      </c>
      <c r="D226" t="s" s="13">
        <v>50</v>
      </c>
      <c r="E226" t="s" s="13">
        <v>83</v>
      </c>
      <c r="F226" s="14">
        <v>4</v>
      </c>
      <c r="G226" s="15">
        <v>0</v>
      </c>
      <c r="H226" s="15">
        <v>0</v>
      </c>
    </row>
    <row r="227" ht="12.9" customHeight="1">
      <c r="A227" t="s" s="10">
        <v>4007</v>
      </c>
      <c r="B227" t="s" s="11">
        <v>4008</v>
      </c>
      <c r="C227" s="12">
        <v>45216.916195150465</v>
      </c>
      <c r="D227" t="s" s="13">
        <v>52</v>
      </c>
      <c r="E227" t="s" s="13">
        <v>321</v>
      </c>
      <c r="F227" s="14">
        <v>4</v>
      </c>
      <c r="G227" s="15">
        <v>0</v>
      </c>
      <c r="H227" s="15">
        <v>0</v>
      </c>
    </row>
    <row r="228" ht="12.9" customHeight="1">
      <c r="A228" t="s" s="10">
        <v>4007</v>
      </c>
      <c r="B228" t="s" s="11">
        <v>4008</v>
      </c>
      <c r="C228" s="12">
        <v>45216.916195150465</v>
      </c>
      <c r="D228" t="s" s="13">
        <v>84</v>
      </c>
      <c r="E228" t="s" s="13">
        <v>2685</v>
      </c>
      <c r="F228" s="14">
        <v>4</v>
      </c>
      <c r="G228" s="15">
        <v>0</v>
      </c>
      <c r="H228" s="15">
        <v>0</v>
      </c>
    </row>
    <row r="229" ht="12.9" customHeight="1">
      <c r="A229" t="s" s="10">
        <v>4007</v>
      </c>
      <c r="B229" t="s" s="11">
        <v>4008</v>
      </c>
      <c r="C229" s="12">
        <v>45216.916195150465</v>
      </c>
      <c r="D229" t="s" s="13">
        <v>133</v>
      </c>
      <c r="E229" t="s" s="13">
        <v>134</v>
      </c>
      <c r="F229" s="14">
        <v>4</v>
      </c>
      <c r="G229" s="15">
        <v>50</v>
      </c>
      <c r="H229" s="15">
        <v>200</v>
      </c>
    </row>
    <row r="230" ht="12.9" customHeight="1">
      <c r="A230" t="s" s="10">
        <v>4009</v>
      </c>
      <c r="B230" t="s" s="11">
        <v>4010</v>
      </c>
      <c r="C230" s="12">
        <v>45216.859293634261</v>
      </c>
      <c r="D230" t="s" s="13">
        <v>1695</v>
      </c>
      <c r="E230" t="s" s="13">
        <v>140</v>
      </c>
      <c r="F230" s="14">
        <v>2</v>
      </c>
      <c r="G230" s="15">
        <v>49.99</v>
      </c>
      <c r="H230" s="15">
        <v>99.98</v>
      </c>
    </row>
    <row r="231" ht="12.9" customHeight="1">
      <c r="A231" t="s" s="10">
        <v>4009</v>
      </c>
      <c r="B231" t="s" s="11">
        <v>4010</v>
      </c>
      <c r="C231" s="12">
        <v>45216.859293634261</v>
      </c>
      <c r="D231" t="s" s="13">
        <v>15</v>
      </c>
      <c r="E231" t="s" s="13">
        <v>16</v>
      </c>
      <c r="F231" s="14">
        <v>2</v>
      </c>
      <c r="G231" s="15">
        <v>9.99</v>
      </c>
      <c r="H231" s="15">
        <v>19.98</v>
      </c>
    </row>
    <row r="232" ht="12.9" customHeight="1">
      <c r="A232" t="s" s="10">
        <v>4011</v>
      </c>
      <c r="B232" t="s" s="11">
        <v>4012</v>
      </c>
      <c r="C232" s="12">
        <v>45216.809748009262</v>
      </c>
      <c r="D232" t="s" s="13">
        <v>31</v>
      </c>
      <c r="E232" t="s" s="13">
        <v>32</v>
      </c>
      <c r="F232" s="14">
        <v>2</v>
      </c>
      <c r="G232" s="15">
        <v>599.99</v>
      </c>
      <c r="H232" s="15">
        <v>1199.98</v>
      </c>
    </row>
    <row r="233" ht="12.9" customHeight="1">
      <c r="A233" t="s" s="10">
        <v>4013</v>
      </c>
      <c r="B233" t="s" s="11">
        <v>4014</v>
      </c>
      <c r="C233" s="12">
        <v>45216.667922129629</v>
      </c>
      <c r="D233" t="s" s="13">
        <v>31</v>
      </c>
      <c r="E233" t="s" s="13">
        <v>32</v>
      </c>
      <c r="F233" s="14">
        <v>1</v>
      </c>
      <c r="G233" s="15">
        <v>599.99</v>
      </c>
      <c r="H233" s="15">
        <v>599.99</v>
      </c>
    </row>
    <row r="234" ht="12.9" customHeight="1">
      <c r="A234" t="s" s="10">
        <v>4015</v>
      </c>
      <c r="B234" t="s" s="11">
        <v>3410</v>
      </c>
      <c r="C234" s="12">
        <v>45216.638033541669</v>
      </c>
      <c r="D234" t="s" s="13">
        <v>89</v>
      </c>
      <c r="E234" t="s" s="13">
        <v>90</v>
      </c>
      <c r="F234" s="14">
        <v>1</v>
      </c>
      <c r="G234" s="15">
        <v>59.99</v>
      </c>
      <c r="H234" s="15">
        <v>59.99</v>
      </c>
    </row>
    <row r="235" ht="12.9" customHeight="1">
      <c r="A235" t="s" s="10">
        <v>4016</v>
      </c>
      <c r="B235" t="s" s="11">
        <v>4017</v>
      </c>
      <c r="C235" s="12">
        <v>45216.2261778588</v>
      </c>
      <c r="D235" t="s" s="13">
        <v>23</v>
      </c>
      <c r="E235" t="s" s="13">
        <v>24</v>
      </c>
      <c r="F235" s="14">
        <v>2</v>
      </c>
      <c r="G235" s="15">
        <v>149.99</v>
      </c>
      <c r="H235" s="15">
        <v>299.98</v>
      </c>
    </row>
    <row r="236" ht="12.9" customHeight="1">
      <c r="A236" t="s" s="10">
        <v>4018</v>
      </c>
      <c r="B236" t="s" s="11">
        <v>1110</v>
      </c>
      <c r="C236" s="12">
        <v>45216</v>
      </c>
      <c r="D236" t="s" s="13">
        <v>57</v>
      </c>
      <c r="E236" t="s" s="13">
        <v>4019</v>
      </c>
      <c r="F236" s="14">
        <v>1</v>
      </c>
      <c r="G236" s="15">
        <v>0</v>
      </c>
      <c r="H236" s="15">
        <v>0</v>
      </c>
    </row>
    <row r="237" ht="12.9" customHeight="1">
      <c r="A237" t="s" s="10">
        <v>4020</v>
      </c>
      <c r="B237" t="s" s="11">
        <v>4021</v>
      </c>
      <c r="C237" s="12">
        <v>45215.850925196763</v>
      </c>
      <c r="D237" t="s" s="13">
        <v>48</v>
      </c>
      <c r="E237" t="s" s="13">
        <v>49</v>
      </c>
      <c r="F237" s="14">
        <v>1</v>
      </c>
      <c r="G237" s="15">
        <v>1299.99</v>
      </c>
      <c r="H237" s="15">
        <v>1299.99</v>
      </c>
    </row>
    <row r="238" ht="12.9" customHeight="1">
      <c r="A238" t="s" s="10">
        <v>4020</v>
      </c>
      <c r="B238" t="s" s="11">
        <v>4021</v>
      </c>
      <c r="C238" s="12">
        <v>45215.850925196763</v>
      </c>
      <c r="D238" t="s" s="13">
        <v>50</v>
      </c>
      <c r="E238" t="s" s="13">
        <v>83</v>
      </c>
      <c r="F238" s="14">
        <v>1</v>
      </c>
      <c r="G238" s="15">
        <v>0</v>
      </c>
      <c r="H238" s="15">
        <v>0</v>
      </c>
    </row>
    <row r="239" ht="12.9" customHeight="1">
      <c r="A239" t="s" s="10">
        <v>4020</v>
      </c>
      <c r="B239" t="s" s="11">
        <v>4021</v>
      </c>
      <c r="C239" s="12">
        <v>45215.850925196763</v>
      </c>
      <c r="D239" t="s" s="13">
        <v>52</v>
      </c>
      <c r="E239" t="s" s="13">
        <v>321</v>
      </c>
      <c r="F239" s="14">
        <v>1</v>
      </c>
      <c r="G239" s="15">
        <v>0</v>
      </c>
      <c r="H239" s="15">
        <v>0</v>
      </c>
    </row>
    <row r="240" ht="12.9" customHeight="1">
      <c r="A240" t="s" s="10">
        <v>4020</v>
      </c>
      <c r="B240" t="s" s="11">
        <v>4021</v>
      </c>
      <c r="C240" s="12">
        <v>45215.850925196763</v>
      </c>
      <c r="D240" t="s" s="13">
        <v>84</v>
      </c>
      <c r="E240" t="s" s="13">
        <v>2685</v>
      </c>
      <c r="F240" s="14">
        <v>1</v>
      </c>
      <c r="G240" s="15">
        <v>0</v>
      </c>
      <c r="H240" s="15">
        <v>0</v>
      </c>
    </row>
    <row r="241" ht="12.9" customHeight="1">
      <c r="A241" t="s" s="10">
        <v>4020</v>
      </c>
      <c r="B241" t="s" s="11">
        <v>4021</v>
      </c>
      <c r="C241" s="12">
        <v>45215.850925196763</v>
      </c>
      <c r="D241" t="s" s="13">
        <v>23</v>
      </c>
      <c r="E241" t="s" s="13">
        <v>24</v>
      </c>
      <c r="F241" s="14">
        <v>1</v>
      </c>
      <c r="G241" s="15">
        <v>0</v>
      </c>
      <c r="H241" s="15">
        <v>0</v>
      </c>
    </row>
    <row r="242" ht="12.9" customHeight="1">
      <c r="A242" t="s" s="10">
        <v>4022</v>
      </c>
      <c r="B242" t="s" s="11">
        <v>4023</v>
      </c>
      <c r="C242" s="12">
        <v>45215.802974131948</v>
      </c>
      <c r="D242" t="s" s="13">
        <v>95</v>
      </c>
      <c r="E242" t="s" s="13">
        <v>12</v>
      </c>
      <c r="F242" s="14">
        <v>1</v>
      </c>
      <c r="G242" s="15">
        <v>349.99</v>
      </c>
      <c r="H242" s="15">
        <v>349.99</v>
      </c>
    </row>
    <row r="243" ht="12.9" customHeight="1">
      <c r="A243" t="s" s="10">
        <v>4024</v>
      </c>
      <c r="B243" t="s" s="11">
        <v>4025</v>
      </c>
      <c r="C243" s="12">
        <v>45215.793218738429</v>
      </c>
      <c r="D243" t="s" s="13">
        <v>1695</v>
      </c>
      <c r="E243" t="s" s="13">
        <v>140</v>
      </c>
      <c r="F243" s="14">
        <v>1</v>
      </c>
      <c r="G243" s="15">
        <v>49.99</v>
      </c>
      <c r="H243" s="15">
        <v>49.99</v>
      </c>
    </row>
    <row r="244" ht="12.9" customHeight="1">
      <c r="A244" t="s" s="10">
        <v>4024</v>
      </c>
      <c r="B244" t="s" s="11">
        <v>4025</v>
      </c>
      <c r="C244" s="12">
        <v>45215.793218738429</v>
      </c>
      <c r="D244" t="s" s="13">
        <v>15</v>
      </c>
      <c r="E244" t="s" s="13">
        <v>16</v>
      </c>
      <c r="F244" s="14">
        <v>1</v>
      </c>
      <c r="G244" s="15">
        <v>9.99</v>
      </c>
      <c r="H244" s="15">
        <v>9.99</v>
      </c>
    </row>
    <row r="245" ht="12.9" customHeight="1">
      <c r="A245" t="s" s="10">
        <v>4026</v>
      </c>
      <c r="B245" t="s" s="11">
        <v>2935</v>
      </c>
      <c r="C245" s="12">
        <v>45215</v>
      </c>
      <c r="D245" t="s" s="13">
        <v>59</v>
      </c>
      <c r="E245" t="s" s="13">
        <v>60</v>
      </c>
      <c r="F245" s="14">
        <v>1</v>
      </c>
      <c r="G245" s="15">
        <v>899.9924999999999</v>
      </c>
      <c r="H245" s="15">
        <v>899.9924999999999</v>
      </c>
    </row>
    <row r="246" ht="12.9" customHeight="1">
      <c r="A246" t="s" s="10">
        <v>4026</v>
      </c>
      <c r="B246" t="s" s="11">
        <v>2935</v>
      </c>
      <c r="C246" s="12">
        <v>45215</v>
      </c>
      <c r="D246" t="s" s="13">
        <v>63</v>
      </c>
      <c r="E246" s="16"/>
      <c r="F246" s="14">
        <v>1</v>
      </c>
      <c r="G246" s="15">
        <v>40</v>
      </c>
      <c r="H246" s="15">
        <v>40</v>
      </c>
    </row>
    <row r="247" ht="12.9" customHeight="1">
      <c r="A247" t="s" s="10">
        <v>4027</v>
      </c>
      <c r="B247" t="s" s="11">
        <v>4028</v>
      </c>
      <c r="C247" s="12">
        <v>45214.978049155092</v>
      </c>
      <c r="D247" t="s" s="13">
        <v>31</v>
      </c>
      <c r="E247" t="s" s="13">
        <v>32</v>
      </c>
      <c r="F247" s="14">
        <v>1</v>
      </c>
      <c r="G247" s="15">
        <v>599.99</v>
      </c>
      <c r="H247" s="15">
        <v>599.99</v>
      </c>
    </row>
    <row r="248" ht="12.9" customHeight="1">
      <c r="A248" t="s" s="10">
        <v>4029</v>
      </c>
      <c r="B248" t="s" s="11">
        <v>4030</v>
      </c>
      <c r="C248" s="12">
        <v>45214.915849803241</v>
      </c>
      <c r="D248" t="s" s="13">
        <v>19</v>
      </c>
      <c r="E248" t="s" s="13">
        <v>20</v>
      </c>
      <c r="F248" s="14">
        <v>1</v>
      </c>
      <c r="G248" s="15">
        <v>119.99</v>
      </c>
      <c r="H248" s="15">
        <v>119.99</v>
      </c>
    </row>
    <row r="249" ht="12.9" customHeight="1">
      <c r="A249" t="s" s="10">
        <v>4029</v>
      </c>
      <c r="B249" t="s" s="11">
        <v>4030</v>
      </c>
      <c r="C249" s="12">
        <v>45214.915849803241</v>
      </c>
      <c r="D249" t="s" s="13">
        <v>15</v>
      </c>
      <c r="E249" t="s" s="13">
        <v>16</v>
      </c>
      <c r="F249" s="14">
        <v>1</v>
      </c>
      <c r="G249" s="15">
        <v>9.99</v>
      </c>
      <c r="H249" s="15">
        <v>9.99</v>
      </c>
    </row>
    <row r="250" ht="12.9" customHeight="1">
      <c r="A250" t="s" s="10">
        <v>4031</v>
      </c>
      <c r="B250" t="s" s="11">
        <v>4032</v>
      </c>
      <c r="C250" s="12">
        <v>45213.444686736111</v>
      </c>
      <c r="D250" t="s" s="13">
        <v>48</v>
      </c>
      <c r="E250" t="s" s="13">
        <v>49</v>
      </c>
      <c r="F250" s="14">
        <v>2</v>
      </c>
      <c r="G250" s="15">
        <v>1299.99</v>
      </c>
      <c r="H250" s="15">
        <v>2599.98</v>
      </c>
    </row>
    <row r="251" ht="12.9" customHeight="1">
      <c r="A251" t="s" s="10">
        <v>4031</v>
      </c>
      <c r="B251" t="s" s="11">
        <v>4032</v>
      </c>
      <c r="C251" s="12">
        <v>45213.444686736111</v>
      </c>
      <c r="D251" t="s" s="13">
        <v>50</v>
      </c>
      <c r="E251" t="s" s="13">
        <v>83</v>
      </c>
      <c r="F251" s="14">
        <v>2</v>
      </c>
      <c r="G251" s="15">
        <v>0</v>
      </c>
      <c r="H251" s="15">
        <v>0</v>
      </c>
    </row>
    <row r="252" ht="12.9" customHeight="1">
      <c r="A252" t="s" s="10">
        <v>4031</v>
      </c>
      <c r="B252" t="s" s="11">
        <v>4032</v>
      </c>
      <c r="C252" s="12">
        <v>45213.444686736111</v>
      </c>
      <c r="D252" t="s" s="13">
        <v>52</v>
      </c>
      <c r="E252" t="s" s="13">
        <v>321</v>
      </c>
      <c r="F252" s="14">
        <v>2</v>
      </c>
      <c r="G252" s="15">
        <v>0</v>
      </c>
      <c r="H252" s="15">
        <v>0</v>
      </c>
    </row>
    <row r="253" ht="12.9" customHeight="1">
      <c r="A253" t="s" s="10">
        <v>4031</v>
      </c>
      <c r="B253" t="s" s="11">
        <v>4032</v>
      </c>
      <c r="C253" s="12">
        <v>45213.444686736111</v>
      </c>
      <c r="D253" t="s" s="13">
        <v>84</v>
      </c>
      <c r="E253" t="s" s="13">
        <v>2685</v>
      </c>
      <c r="F253" s="14">
        <v>2</v>
      </c>
      <c r="G253" s="15">
        <v>0</v>
      </c>
      <c r="H253" s="15">
        <v>0</v>
      </c>
    </row>
    <row r="254" ht="12.9" customHeight="1">
      <c r="A254" t="s" s="10">
        <v>4031</v>
      </c>
      <c r="B254" t="s" s="11">
        <v>4032</v>
      </c>
      <c r="C254" s="12">
        <v>45213.444686736111</v>
      </c>
      <c r="D254" t="s" s="13">
        <v>133</v>
      </c>
      <c r="E254" t="s" s="13">
        <v>134</v>
      </c>
      <c r="F254" s="14">
        <v>2</v>
      </c>
      <c r="G254" s="15">
        <v>50</v>
      </c>
      <c r="H254" s="15">
        <v>100</v>
      </c>
    </row>
    <row r="255" ht="12.9" customHeight="1">
      <c r="A255" t="s" s="10">
        <v>4031</v>
      </c>
      <c r="B255" t="s" s="11">
        <v>4032</v>
      </c>
      <c r="C255" s="12">
        <v>45213.444686736111</v>
      </c>
      <c r="D255" t="s" s="13">
        <v>227</v>
      </c>
      <c r="E255" t="s" s="13">
        <v>228</v>
      </c>
      <c r="F255" s="14">
        <v>2</v>
      </c>
      <c r="G255" s="15">
        <v>29.99</v>
      </c>
      <c r="H255" s="15">
        <v>59.98</v>
      </c>
    </row>
    <row r="256" ht="12.9" customHeight="1">
      <c r="A256" t="s" s="10">
        <v>4031</v>
      </c>
      <c r="B256" t="s" s="11">
        <v>4032</v>
      </c>
      <c r="C256" s="12">
        <v>45213.444686736111</v>
      </c>
      <c r="D256" t="s" s="13">
        <v>1054</v>
      </c>
      <c r="E256" t="s" s="13">
        <v>1055</v>
      </c>
      <c r="F256" s="14">
        <v>2</v>
      </c>
      <c r="G256" s="15">
        <v>149.99</v>
      </c>
      <c r="H256" s="15">
        <v>299.98</v>
      </c>
    </row>
    <row r="257" ht="12.9" customHeight="1">
      <c r="A257" t="s" s="10">
        <v>4031</v>
      </c>
      <c r="B257" t="s" s="11">
        <v>4032</v>
      </c>
      <c r="C257" s="12">
        <v>45213.444686736111</v>
      </c>
      <c r="D257" t="s" s="13">
        <v>52</v>
      </c>
      <c r="E257" t="s" s="13">
        <v>321</v>
      </c>
      <c r="F257" s="14">
        <v>2</v>
      </c>
      <c r="G257" s="15">
        <v>19.99</v>
      </c>
      <c r="H257" s="15">
        <v>39.98</v>
      </c>
    </row>
    <row r="258" ht="12.9" customHeight="1">
      <c r="A258" t="s" s="10">
        <v>4031</v>
      </c>
      <c r="B258" t="s" s="11">
        <v>4032</v>
      </c>
      <c r="C258" s="12">
        <v>45213.444686736111</v>
      </c>
      <c r="D258" t="s" s="13">
        <v>77</v>
      </c>
      <c r="E258" t="s" s="13">
        <v>78</v>
      </c>
      <c r="F258" s="14">
        <v>2</v>
      </c>
      <c r="G258" s="15">
        <v>19.99</v>
      </c>
      <c r="H258" s="15">
        <v>39.98</v>
      </c>
    </row>
    <row r="259" ht="12.9" customHeight="1">
      <c r="A259" t="s" s="10">
        <v>4031</v>
      </c>
      <c r="B259" t="s" s="11">
        <v>4032</v>
      </c>
      <c r="C259" s="12">
        <v>45213.444686736111</v>
      </c>
      <c r="D259" t="s" s="13">
        <v>359</v>
      </c>
      <c r="E259" t="s" s="13">
        <v>360</v>
      </c>
      <c r="F259" s="14">
        <v>2</v>
      </c>
      <c r="G259" s="15">
        <v>29.99</v>
      </c>
      <c r="H259" s="15">
        <v>59.98</v>
      </c>
    </row>
    <row r="260" ht="12.9" customHeight="1">
      <c r="A260" t="s" s="10">
        <v>4033</v>
      </c>
      <c r="B260" t="s" s="11">
        <v>4034</v>
      </c>
      <c r="C260" s="12">
        <v>45213.132504085646</v>
      </c>
      <c r="D260" t="s" s="13">
        <v>95</v>
      </c>
      <c r="E260" t="s" s="13">
        <v>12</v>
      </c>
      <c r="F260" s="14">
        <v>1</v>
      </c>
      <c r="G260" s="15">
        <v>349.99</v>
      </c>
      <c r="H260" s="15">
        <v>349.99</v>
      </c>
    </row>
    <row r="261" ht="12.9" customHeight="1">
      <c r="A261" t="s" s="10">
        <v>4035</v>
      </c>
      <c r="B261" t="s" s="11">
        <v>4036</v>
      </c>
      <c r="C261" s="12">
        <v>45212.814993113425</v>
      </c>
      <c r="D261" t="s" s="13">
        <v>81</v>
      </c>
      <c r="E261" t="s" s="13">
        <v>82</v>
      </c>
      <c r="F261" s="14">
        <v>2</v>
      </c>
      <c r="G261" s="15">
        <v>849.99</v>
      </c>
      <c r="H261" s="15">
        <v>1699.98</v>
      </c>
    </row>
    <row r="262" ht="12.9" customHeight="1">
      <c r="A262" t="s" s="10">
        <v>4035</v>
      </c>
      <c r="B262" t="s" s="11">
        <v>4036</v>
      </c>
      <c r="C262" s="12">
        <v>45212.814993113425</v>
      </c>
      <c r="D262" t="s" s="13">
        <v>23</v>
      </c>
      <c r="E262" t="s" s="13">
        <v>24</v>
      </c>
      <c r="F262" s="14">
        <v>2</v>
      </c>
      <c r="G262" s="15">
        <v>0</v>
      </c>
      <c r="H262" s="15">
        <v>0</v>
      </c>
    </row>
    <row r="263" ht="12.9" customHeight="1">
      <c r="A263" t="s" s="10">
        <v>4035</v>
      </c>
      <c r="B263" t="s" s="11">
        <v>4036</v>
      </c>
      <c r="C263" s="12">
        <v>45212.814993113425</v>
      </c>
      <c r="D263" t="s" s="13">
        <v>50</v>
      </c>
      <c r="E263" t="s" s="13">
        <v>83</v>
      </c>
      <c r="F263" s="14">
        <v>2</v>
      </c>
      <c r="G263" s="15">
        <v>0</v>
      </c>
      <c r="H263" s="15">
        <v>0</v>
      </c>
    </row>
    <row r="264" ht="12.9" customHeight="1">
      <c r="A264" t="s" s="10">
        <v>4035</v>
      </c>
      <c r="B264" t="s" s="11">
        <v>4036</v>
      </c>
      <c r="C264" s="12">
        <v>45212.814993113425</v>
      </c>
      <c r="D264" t="s" s="13">
        <v>84</v>
      </c>
      <c r="E264" t="s" s="13">
        <v>2685</v>
      </c>
      <c r="F264" s="14">
        <v>2</v>
      </c>
      <c r="G264" s="15">
        <v>0</v>
      </c>
      <c r="H264" s="15">
        <v>0</v>
      </c>
    </row>
    <row r="265" ht="12.9" customHeight="1">
      <c r="A265" t="s" s="10">
        <v>4035</v>
      </c>
      <c r="B265" t="s" s="11">
        <v>4036</v>
      </c>
      <c r="C265" s="12">
        <v>45212.814993113425</v>
      </c>
      <c r="D265" t="s" s="13">
        <v>89</v>
      </c>
      <c r="E265" t="s" s="13">
        <v>90</v>
      </c>
      <c r="F265" s="14">
        <v>2</v>
      </c>
      <c r="G265" s="15">
        <v>59.99</v>
      </c>
      <c r="H265" s="15">
        <v>119.98</v>
      </c>
    </row>
    <row r="266" ht="12.9" customHeight="1">
      <c r="A266" t="s" s="10">
        <v>4035</v>
      </c>
      <c r="B266" t="s" s="11">
        <v>4036</v>
      </c>
      <c r="C266" s="12">
        <v>45212.814993113425</v>
      </c>
      <c r="D266" t="s" s="13">
        <v>15</v>
      </c>
      <c r="E266" t="s" s="13">
        <v>16</v>
      </c>
      <c r="F266" s="14">
        <v>1</v>
      </c>
      <c r="G266" s="15">
        <v>9.99</v>
      </c>
      <c r="H266" s="15">
        <v>9.99</v>
      </c>
    </row>
    <row r="267" ht="12.9" customHeight="1">
      <c r="A267" t="s" s="10">
        <v>4035</v>
      </c>
      <c r="B267" t="s" s="11">
        <v>4036</v>
      </c>
      <c r="C267" s="12">
        <v>45212.814993113425</v>
      </c>
      <c r="D267" t="s" s="13">
        <v>412</v>
      </c>
      <c r="E267" t="s" s="13">
        <v>413</v>
      </c>
      <c r="F267" s="14">
        <v>2</v>
      </c>
      <c r="G267" s="15">
        <v>1.99</v>
      </c>
      <c r="H267" s="15">
        <v>3.98</v>
      </c>
    </row>
    <row r="268" ht="12.9" customHeight="1">
      <c r="A268" t="s" s="10">
        <v>4035</v>
      </c>
      <c r="B268" t="s" s="11">
        <v>4036</v>
      </c>
      <c r="C268" s="12">
        <v>45212.814993113425</v>
      </c>
      <c r="D268" t="s" s="13">
        <v>119</v>
      </c>
      <c r="E268" t="s" s="13">
        <v>120</v>
      </c>
      <c r="F268" s="14">
        <v>2</v>
      </c>
      <c r="G268" s="15">
        <v>1.99</v>
      </c>
      <c r="H268" s="15">
        <v>3.98</v>
      </c>
    </row>
    <row r="269" ht="12.9" customHeight="1">
      <c r="A269" t="s" s="10">
        <v>4037</v>
      </c>
      <c r="B269" t="s" s="11">
        <v>69</v>
      </c>
      <c r="C269" s="12">
        <v>45212</v>
      </c>
      <c r="D269" t="s" s="13">
        <v>497</v>
      </c>
      <c r="E269" t="s" s="13">
        <v>498</v>
      </c>
      <c r="F269" s="14">
        <v>2</v>
      </c>
      <c r="G269" s="15">
        <v>18.7425</v>
      </c>
      <c r="H269" s="15">
        <v>37.485</v>
      </c>
    </row>
    <row r="270" ht="12.9" customHeight="1">
      <c r="A270" t="s" s="10">
        <v>4037</v>
      </c>
      <c r="B270" t="s" s="11">
        <v>69</v>
      </c>
      <c r="C270" s="12">
        <v>45212</v>
      </c>
      <c r="D270" t="s" s="13">
        <v>2961</v>
      </c>
      <c r="E270" t="s" s="13">
        <v>2962</v>
      </c>
      <c r="F270" s="14">
        <v>2</v>
      </c>
      <c r="G270" s="15">
        <v>17.2425</v>
      </c>
      <c r="H270" s="15">
        <v>34.485</v>
      </c>
    </row>
    <row r="271" ht="12.9" customHeight="1">
      <c r="A271" t="s" s="10">
        <v>4037</v>
      </c>
      <c r="B271" t="s" s="11">
        <v>69</v>
      </c>
      <c r="C271" s="12">
        <v>45212</v>
      </c>
      <c r="D271" t="s" s="13">
        <v>15</v>
      </c>
      <c r="E271" t="s" s="13">
        <v>16</v>
      </c>
      <c r="F271" s="14">
        <v>2</v>
      </c>
      <c r="G271" s="15">
        <v>7.4925</v>
      </c>
      <c r="H271" s="15">
        <v>14.985</v>
      </c>
    </row>
    <row r="272" ht="12.9" customHeight="1">
      <c r="A272" t="s" s="10">
        <v>4037</v>
      </c>
      <c r="B272" t="s" s="11">
        <v>69</v>
      </c>
      <c r="C272" s="12">
        <v>45212</v>
      </c>
      <c r="D272" t="s" s="13">
        <v>780</v>
      </c>
      <c r="E272" t="s" s="13">
        <v>780</v>
      </c>
      <c r="F272" s="14">
        <v>2</v>
      </c>
      <c r="G272" s="15">
        <v>1.63043475</v>
      </c>
      <c r="H272" s="15">
        <v>3.2608695</v>
      </c>
    </row>
    <row r="273" ht="12.9" customHeight="1">
      <c r="A273" t="s" s="10">
        <v>4037</v>
      </c>
      <c r="B273" t="s" s="11">
        <v>69</v>
      </c>
      <c r="C273" s="12">
        <v>45212</v>
      </c>
      <c r="D273" t="s" s="13">
        <v>63</v>
      </c>
      <c r="E273" s="16"/>
      <c r="F273" s="14">
        <v>1</v>
      </c>
      <c r="G273" s="15">
        <v>300</v>
      </c>
      <c r="H273" s="15">
        <v>300</v>
      </c>
    </row>
    <row r="274" ht="12.9" customHeight="1">
      <c r="A274" t="s" s="10">
        <v>4038</v>
      </c>
      <c r="B274" t="s" s="11">
        <v>4039</v>
      </c>
      <c r="C274" s="12">
        <v>45211.979819652777</v>
      </c>
      <c r="D274" t="s" s="13">
        <v>39</v>
      </c>
      <c r="E274" t="s" s="13">
        <v>40</v>
      </c>
      <c r="F274" s="14">
        <v>1</v>
      </c>
      <c r="G274" s="15">
        <v>109.99</v>
      </c>
      <c r="H274" s="15">
        <v>109.99</v>
      </c>
    </row>
    <row r="275" ht="12.9" customHeight="1">
      <c r="A275" t="s" s="10">
        <v>4040</v>
      </c>
      <c r="B275" t="s" s="11">
        <v>4041</v>
      </c>
      <c r="C275" s="12">
        <v>45211.7178941088</v>
      </c>
      <c r="D275" t="s" s="13">
        <v>35</v>
      </c>
      <c r="E275" t="s" s="13">
        <v>36</v>
      </c>
      <c r="F275" s="14">
        <v>2</v>
      </c>
      <c r="G275" s="15">
        <v>49.99</v>
      </c>
      <c r="H275" s="15">
        <v>99.98</v>
      </c>
    </row>
    <row r="276" ht="12.9" customHeight="1">
      <c r="A276" t="s" s="10">
        <v>4040</v>
      </c>
      <c r="B276" t="s" s="11">
        <v>4041</v>
      </c>
      <c r="C276" s="12">
        <v>45211.7178941088</v>
      </c>
      <c r="D276" t="s" s="13">
        <v>19</v>
      </c>
      <c r="E276" t="s" s="13">
        <v>20</v>
      </c>
      <c r="F276" s="14">
        <v>1</v>
      </c>
      <c r="G276" s="15">
        <v>119.99</v>
      </c>
      <c r="H276" s="15">
        <v>119.99</v>
      </c>
    </row>
    <row r="277" ht="12.9" customHeight="1">
      <c r="A277" t="s" s="10">
        <v>4040</v>
      </c>
      <c r="B277" t="s" s="11">
        <v>4041</v>
      </c>
      <c r="C277" s="12">
        <v>45211.7178941088</v>
      </c>
      <c r="D277" t="s" s="13">
        <v>15</v>
      </c>
      <c r="E277" t="s" s="13">
        <v>16</v>
      </c>
      <c r="F277" s="14">
        <v>1</v>
      </c>
      <c r="G277" s="15">
        <v>9.99</v>
      </c>
      <c r="H277" s="15">
        <v>9.99</v>
      </c>
    </row>
    <row r="278" ht="12.9" customHeight="1">
      <c r="A278" t="s" s="10">
        <v>4042</v>
      </c>
      <c r="B278" t="s" s="11">
        <v>4043</v>
      </c>
      <c r="C278" s="12">
        <v>45211.709100740743</v>
      </c>
      <c r="D278" t="s" s="13">
        <v>73</v>
      </c>
      <c r="E278" t="s" s="13">
        <v>74</v>
      </c>
      <c r="F278" s="14">
        <v>1</v>
      </c>
      <c r="G278" s="15">
        <v>399.99</v>
      </c>
      <c r="H278" s="15">
        <v>399.99</v>
      </c>
    </row>
    <row r="279" ht="12.9" customHeight="1">
      <c r="A279" t="s" s="10">
        <v>4042</v>
      </c>
      <c r="B279" t="s" s="11">
        <v>4043</v>
      </c>
      <c r="C279" s="12">
        <v>45211.709100740743</v>
      </c>
      <c r="D279" t="s" s="13">
        <v>19</v>
      </c>
      <c r="E279" t="s" s="13">
        <v>20</v>
      </c>
      <c r="F279" s="14">
        <v>2</v>
      </c>
      <c r="G279" s="15">
        <v>119.99</v>
      </c>
      <c r="H279" s="15">
        <v>239.98</v>
      </c>
    </row>
    <row r="280" ht="12.9" customHeight="1">
      <c r="A280" t="s" s="10">
        <v>4042</v>
      </c>
      <c r="B280" t="s" s="11">
        <v>4043</v>
      </c>
      <c r="C280" s="12">
        <v>45211.709100740743</v>
      </c>
      <c r="D280" t="s" s="13">
        <v>15</v>
      </c>
      <c r="E280" t="s" s="13">
        <v>16</v>
      </c>
      <c r="F280" s="14">
        <v>2</v>
      </c>
      <c r="G280" s="15">
        <v>9.99</v>
      </c>
      <c r="H280" s="15">
        <v>19.98</v>
      </c>
    </row>
    <row r="281" ht="12.9" customHeight="1">
      <c r="A281" t="s" s="10">
        <v>4044</v>
      </c>
      <c r="B281" t="s" s="11">
        <v>4045</v>
      </c>
      <c r="C281" s="12">
        <v>45211.383190810186</v>
      </c>
      <c r="D281" t="s" s="13">
        <v>54</v>
      </c>
      <c r="E281" t="s" s="13">
        <v>93</v>
      </c>
      <c r="F281" s="14">
        <v>1</v>
      </c>
      <c r="G281" s="15">
        <v>9.99</v>
      </c>
      <c r="H281" s="15">
        <v>9.99</v>
      </c>
    </row>
    <row r="282" ht="12.9" customHeight="1">
      <c r="A282" t="s" s="10">
        <v>4044</v>
      </c>
      <c r="B282" t="s" s="11">
        <v>4045</v>
      </c>
      <c r="C282" s="12">
        <v>45211.383190810186</v>
      </c>
      <c r="D282" t="s" s="13">
        <v>19</v>
      </c>
      <c r="E282" t="s" s="13">
        <v>20</v>
      </c>
      <c r="F282" s="14">
        <v>2</v>
      </c>
      <c r="G282" s="15">
        <v>119.99</v>
      </c>
      <c r="H282" s="15">
        <v>239.98</v>
      </c>
    </row>
    <row r="283" ht="12.9" customHeight="1">
      <c r="A283" t="s" s="10">
        <v>4044</v>
      </c>
      <c r="B283" t="s" s="11">
        <v>4045</v>
      </c>
      <c r="C283" s="12">
        <v>45211.383190810186</v>
      </c>
      <c r="D283" t="s" s="13">
        <v>15</v>
      </c>
      <c r="E283" t="s" s="13">
        <v>16</v>
      </c>
      <c r="F283" s="14">
        <v>2</v>
      </c>
      <c r="G283" s="15">
        <v>9.99</v>
      </c>
      <c r="H283" s="15">
        <v>19.98</v>
      </c>
    </row>
    <row r="284" ht="12.9" customHeight="1">
      <c r="A284" t="s" s="10">
        <v>4046</v>
      </c>
      <c r="B284" t="s" s="11">
        <v>911</v>
      </c>
      <c r="C284" s="12">
        <v>45211</v>
      </c>
      <c r="D284" t="s" s="13">
        <v>57</v>
      </c>
      <c r="E284" t="s" s="13">
        <v>58</v>
      </c>
      <c r="F284" s="14">
        <v>4</v>
      </c>
      <c r="G284" s="15">
        <v>799.99</v>
      </c>
      <c r="H284" s="15">
        <v>3199.96</v>
      </c>
    </row>
    <row r="285" ht="12.9" customHeight="1">
      <c r="A285" t="s" s="10">
        <v>4047</v>
      </c>
      <c r="B285" t="s" s="11">
        <v>1110</v>
      </c>
      <c r="C285" s="12">
        <v>45211</v>
      </c>
      <c r="D285" t="s" s="13">
        <v>109</v>
      </c>
      <c r="E285" t="s" s="13">
        <v>109</v>
      </c>
      <c r="F285" s="14">
        <v>2</v>
      </c>
      <c r="G285" s="15">
        <v>90</v>
      </c>
      <c r="H285" s="15">
        <v>180</v>
      </c>
    </row>
    <row r="286" ht="12.9" customHeight="1">
      <c r="A286" t="s" s="10">
        <v>4047</v>
      </c>
      <c r="B286" t="s" s="11">
        <v>1110</v>
      </c>
      <c r="C286" s="12">
        <v>45211</v>
      </c>
      <c r="D286" t="s" s="13">
        <v>593</v>
      </c>
      <c r="E286" t="s" s="13">
        <v>593</v>
      </c>
      <c r="F286" s="14">
        <v>2</v>
      </c>
      <c r="G286" s="15">
        <v>46.875</v>
      </c>
      <c r="H286" s="15">
        <v>93.75</v>
      </c>
    </row>
    <row r="287" ht="12.9" customHeight="1">
      <c r="A287" t="s" s="10">
        <v>4047</v>
      </c>
      <c r="B287" t="s" s="11">
        <v>1110</v>
      </c>
      <c r="C287" s="12">
        <v>45211</v>
      </c>
      <c r="D287" t="s" s="13">
        <v>1204</v>
      </c>
      <c r="E287" t="s" s="13">
        <v>1205</v>
      </c>
      <c r="F287" s="14">
        <v>2</v>
      </c>
      <c r="G287" s="15">
        <v>22.5</v>
      </c>
      <c r="H287" s="15">
        <v>45</v>
      </c>
    </row>
    <row r="288" ht="12.9" customHeight="1">
      <c r="A288" t="s" s="10">
        <v>4047</v>
      </c>
      <c r="B288" t="s" s="11">
        <v>1110</v>
      </c>
      <c r="C288" s="12">
        <v>45211</v>
      </c>
      <c r="D288" t="s" s="13">
        <v>4048</v>
      </c>
      <c r="E288" t="s" s="13">
        <v>4049</v>
      </c>
      <c r="F288" s="14">
        <v>2</v>
      </c>
      <c r="G288" s="15">
        <v>1.131522</v>
      </c>
      <c r="H288" s="15">
        <v>2.263044</v>
      </c>
    </row>
    <row r="289" ht="12.9" customHeight="1">
      <c r="A289" t="s" s="10">
        <v>4047</v>
      </c>
      <c r="B289" t="s" s="11">
        <v>1110</v>
      </c>
      <c r="C289" s="12">
        <v>45211</v>
      </c>
      <c r="D289" t="s" s="13">
        <v>4050</v>
      </c>
      <c r="E289" t="s" s="13">
        <v>4051</v>
      </c>
      <c r="F289" s="14">
        <v>4</v>
      </c>
      <c r="G289" s="15">
        <v>0.75</v>
      </c>
      <c r="H289" s="15">
        <v>3</v>
      </c>
    </row>
    <row r="290" ht="12.9" customHeight="1">
      <c r="A290" t="s" s="10">
        <v>4047</v>
      </c>
      <c r="B290" t="s" s="11">
        <v>1110</v>
      </c>
      <c r="C290" s="12">
        <v>45211</v>
      </c>
      <c r="D290" t="s" s="13">
        <v>110</v>
      </c>
      <c r="E290" t="s" s="13">
        <v>110</v>
      </c>
      <c r="F290" s="14">
        <v>2</v>
      </c>
      <c r="G290" s="15">
        <v>3.75</v>
      </c>
      <c r="H290" s="15">
        <v>7.5</v>
      </c>
    </row>
    <row r="291" ht="12.9" customHeight="1">
      <c r="A291" t="s" s="10">
        <v>4047</v>
      </c>
      <c r="B291" t="s" s="11">
        <v>1110</v>
      </c>
      <c r="C291" s="12">
        <v>45211</v>
      </c>
      <c r="D291" t="s" s="13">
        <v>63</v>
      </c>
      <c r="E291" s="16"/>
      <c r="F291" s="14">
        <v>1</v>
      </c>
      <c r="G291" s="15">
        <v>60</v>
      </c>
      <c r="H291" s="15">
        <v>60</v>
      </c>
    </row>
    <row r="292" ht="12.9" customHeight="1">
      <c r="A292" t="s" s="10">
        <v>4052</v>
      </c>
      <c r="B292" t="s" s="11">
        <v>1110</v>
      </c>
      <c r="C292" s="12">
        <v>45211</v>
      </c>
      <c r="D292" t="s" s="13">
        <v>4053</v>
      </c>
      <c r="E292" t="s" s="13">
        <v>4054</v>
      </c>
      <c r="F292" s="14">
        <v>1</v>
      </c>
      <c r="G292" s="15">
        <v>974.9924999999999</v>
      </c>
      <c r="H292" s="15">
        <v>974.9924999999999</v>
      </c>
    </row>
    <row r="293" ht="12.9" customHeight="1">
      <c r="A293" t="s" s="10">
        <v>4052</v>
      </c>
      <c r="B293" t="s" s="11">
        <v>1110</v>
      </c>
      <c r="C293" s="12">
        <v>45211</v>
      </c>
      <c r="D293" t="s" s="13">
        <v>57</v>
      </c>
      <c r="E293" t="s" s="13">
        <v>58</v>
      </c>
      <c r="F293" s="14">
        <v>1</v>
      </c>
      <c r="G293" s="15">
        <v>599.9924999999999</v>
      </c>
      <c r="H293" s="15">
        <v>599.9924999999999</v>
      </c>
    </row>
    <row r="294" ht="12.9" customHeight="1">
      <c r="A294" t="s" s="10">
        <v>4052</v>
      </c>
      <c r="B294" t="s" s="11">
        <v>1110</v>
      </c>
      <c r="C294" s="12">
        <v>45211</v>
      </c>
      <c r="D294" t="s" s="13">
        <v>50</v>
      </c>
      <c r="E294" t="s" s="13">
        <v>83</v>
      </c>
      <c r="F294" s="14">
        <v>1</v>
      </c>
      <c r="G294" s="15">
        <v>0</v>
      </c>
      <c r="H294" s="15">
        <v>0</v>
      </c>
    </row>
    <row r="295" ht="12.9" customHeight="1">
      <c r="A295" t="s" s="10">
        <v>4052</v>
      </c>
      <c r="B295" t="s" s="11">
        <v>1110</v>
      </c>
      <c r="C295" s="12">
        <v>45211</v>
      </c>
      <c r="D295" t="s" s="13">
        <v>63</v>
      </c>
      <c r="E295" s="16"/>
      <c r="F295" s="14">
        <v>1</v>
      </c>
      <c r="G295" s="15">
        <v>35</v>
      </c>
      <c r="H295" s="15">
        <v>35</v>
      </c>
    </row>
    <row r="296" ht="12.9" customHeight="1">
      <c r="A296" t="s" s="10">
        <v>4055</v>
      </c>
      <c r="B296" t="s" s="11">
        <v>4056</v>
      </c>
      <c r="C296" s="12">
        <v>45210.992734629632</v>
      </c>
      <c r="D296" t="s" s="13">
        <v>95</v>
      </c>
      <c r="E296" t="s" s="13">
        <v>12</v>
      </c>
      <c r="F296" s="14">
        <v>1</v>
      </c>
      <c r="G296" s="15">
        <v>349.99</v>
      </c>
      <c r="H296" s="15">
        <v>349.99</v>
      </c>
    </row>
    <row r="297" ht="12.9" customHeight="1">
      <c r="A297" t="s" s="10">
        <v>4057</v>
      </c>
      <c r="B297" t="s" s="11">
        <v>4058</v>
      </c>
      <c r="C297" s="12">
        <v>45210.830705057873</v>
      </c>
      <c r="D297" t="s" s="13">
        <v>35</v>
      </c>
      <c r="E297" t="s" s="13">
        <v>36</v>
      </c>
      <c r="F297" s="14">
        <v>4</v>
      </c>
      <c r="G297" s="15">
        <v>49.99</v>
      </c>
      <c r="H297" s="15">
        <v>199.96</v>
      </c>
    </row>
    <row r="298" ht="12.9" customHeight="1">
      <c r="A298" t="s" s="10">
        <v>4059</v>
      </c>
      <c r="B298" t="s" s="11">
        <v>4060</v>
      </c>
      <c r="C298" s="12">
        <v>45210.7595971412</v>
      </c>
      <c r="D298" t="s" s="13">
        <v>95</v>
      </c>
      <c r="E298" t="s" s="13">
        <v>12</v>
      </c>
      <c r="F298" s="14">
        <v>1</v>
      </c>
      <c r="G298" s="15">
        <v>349.99</v>
      </c>
      <c r="H298" s="15">
        <v>349.99</v>
      </c>
    </row>
    <row r="299" ht="12.9" customHeight="1">
      <c r="A299" t="s" s="10">
        <v>4061</v>
      </c>
      <c r="B299" t="s" s="11">
        <v>4062</v>
      </c>
      <c r="C299" s="12">
        <v>45210.7253174537</v>
      </c>
      <c r="D299" t="s" s="13">
        <v>35</v>
      </c>
      <c r="E299" t="s" s="13">
        <v>36</v>
      </c>
      <c r="F299" s="14">
        <v>1</v>
      </c>
      <c r="G299" s="15">
        <v>49.99</v>
      </c>
      <c r="H299" s="15">
        <v>49.99</v>
      </c>
    </row>
    <row r="300" ht="12.9" customHeight="1">
      <c r="A300" t="s" s="10">
        <v>4063</v>
      </c>
      <c r="B300" t="s" s="11">
        <v>4064</v>
      </c>
      <c r="C300" s="12">
        <v>45210.182473148147</v>
      </c>
      <c r="D300" t="s" s="13">
        <v>39</v>
      </c>
      <c r="E300" t="s" s="13">
        <v>40</v>
      </c>
      <c r="F300" s="14">
        <v>1</v>
      </c>
      <c r="G300" s="15">
        <v>109.99</v>
      </c>
      <c r="H300" s="15">
        <v>109.99</v>
      </c>
    </row>
    <row r="301" ht="12.9" customHeight="1">
      <c r="A301" t="s" s="10">
        <v>4063</v>
      </c>
      <c r="B301" t="s" s="11">
        <v>4064</v>
      </c>
      <c r="C301" s="12">
        <v>45210.182473148147</v>
      </c>
      <c r="D301" t="s" s="13">
        <v>84</v>
      </c>
      <c r="E301" t="s" s="13">
        <v>2685</v>
      </c>
      <c r="F301" s="14">
        <v>1</v>
      </c>
      <c r="G301" s="15">
        <v>15</v>
      </c>
      <c r="H301" s="15">
        <v>15</v>
      </c>
    </row>
    <row r="302" ht="12.9" customHeight="1">
      <c r="A302" t="s" s="10">
        <v>4065</v>
      </c>
      <c r="B302" t="s" s="11">
        <v>391</v>
      </c>
      <c r="C302" s="12">
        <v>45210</v>
      </c>
      <c r="D302" t="s" s="13">
        <v>109</v>
      </c>
      <c r="E302" t="s" s="13">
        <v>109</v>
      </c>
      <c r="F302" s="14">
        <v>1</v>
      </c>
      <c r="G302" s="15">
        <v>90</v>
      </c>
      <c r="H302" s="15">
        <v>90</v>
      </c>
    </row>
    <row r="303" ht="12.9" customHeight="1">
      <c r="A303" t="s" s="10">
        <v>4065</v>
      </c>
      <c r="B303" t="s" s="11">
        <v>391</v>
      </c>
      <c r="C303" s="12">
        <v>45210</v>
      </c>
      <c r="D303" t="s" s="13">
        <v>775</v>
      </c>
      <c r="E303" t="s" s="13">
        <v>775</v>
      </c>
      <c r="F303" s="14">
        <v>1</v>
      </c>
      <c r="G303" s="15">
        <v>40.7608695</v>
      </c>
      <c r="H303" s="15">
        <v>40.7608695</v>
      </c>
    </row>
    <row r="304" ht="12.9" customHeight="1">
      <c r="A304" t="s" s="10">
        <v>4065</v>
      </c>
      <c r="B304" t="s" s="11">
        <v>391</v>
      </c>
      <c r="C304" s="12">
        <v>45210</v>
      </c>
      <c r="D304" t="s" s="13">
        <v>1619</v>
      </c>
      <c r="E304" t="s" s="13">
        <v>1620</v>
      </c>
      <c r="F304" s="14">
        <v>1</v>
      </c>
      <c r="G304" s="15">
        <v>14.99</v>
      </c>
      <c r="H304" s="15">
        <v>14.99</v>
      </c>
    </row>
    <row r="305" ht="12.9" customHeight="1">
      <c r="A305" t="s" s="10">
        <v>4065</v>
      </c>
      <c r="B305" t="s" s="11">
        <v>391</v>
      </c>
      <c r="C305" s="12">
        <v>45210</v>
      </c>
      <c r="D305" t="s" s="13">
        <v>559</v>
      </c>
      <c r="E305" t="s" s="13">
        <v>560</v>
      </c>
      <c r="F305" s="14">
        <v>1000</v>
      </c>
      <c r="G305" s="15">
        <v>0.25</v>
      </c>
      <c r="H305" s="15">
        <v>250</v>
      </c>
    </row>
    <row r="306" ht="12.9" customHeight="1">
      <c r="A306" t="s" s="10">
        <v>4065</v>
      </c>
      <c r="B306" t="s" s="11">
        <v>391</v>
      </c>
      <c r="C306" s="12">
        <v>45210</v>
      </c>
      <c r="D306" t="s" s="13">
        <v>63</v>
      </c>
      <c r="E306" s="16"/>
      <c r="F306" s="14">
        <v>1</v>
      </c>
      <c r="G306" s="15">
        <v>20</v>
      </c>
      <c r="H306" s="15">
        <v>20</v>
      </c>
    </row>
    <row r="307" ht="12.9" customHeight="1">
      <c r="A307" t="s" s="10">
        <v>4066</v>
      </c>
      <c r="B307" t="s" s="11">
        <v>2196</v>
      </c>
      <c r="C307" s="12">
        <v>45210</v>
      </c>
      <c r="D307" t="s" s="13">
        <v>15</v>
      </c>
      <c r="E307" t="s" s="13">
        <v>16</v>
      </c>
      <c r="F307" s="14">
        <v>1</v>
      </c>
      <c r="G307" s="15">
        <v>9.99</v>
      </c>
      <c r="H307" s="15">
        <v>9.99</v>
      </c>
    </row>
    <row r="308" ht="12.9" customHeight="1">
      <c r="A308" t="s" s="10">
        <v>4067</v>
      </c>
      <c r="B308" t="s" s="11">
        <v>4068</v>
      </c>
      <c r="C308" s="12">
        <v>45209.998912777781</v>
      </c>
      <c r="D308" t="s" s="13">
        <v>35</v>
      </c>
      <c r="E308" t="s" s="13">
        <v>36</v>
      </c>
      <c r="F308" s="14">
        <v>1</v>
      </c>
      <c r="G308" s="15">
        <v>49.99</v>
      </c>
      <c r="H308" s="15">
        <v>49.99</v>
      </c>
    </row>
    <row r="309" ht="12.9" customHeight="1">
      <c r="A309" t="s" s="10">
        <v>4069</v>
      </c>
      <c r="B309" t="s" s="11">
        <v>4070</v>
      </c>
      <c r="C309" s="12">
        <v>45209.965899745373</v>
      </c>
      <c r="D309" t="s" s="13">
        <v>11</v>
      </c>
      <c r="E309" t="s" s="13">
        <v>12</v>
      </c>
      <c r="F309" s="14">
        <v>2</v>
      </c>
      <c r="G309" s="15">
        <v>399.99</v>
      </c>
      <c r="H309" s="15">
        <v>799.98</v>
      </c>
    </row>
    <row r="310" ht="12.9" customHeight="1">
      <c r="A310" t="s" s="10">
        <v>4069</v>
      </c>
      <c r="B310" t="s" s="11">
        <v>4070</v>
      </c>
      <c r="C310" s="12">
        <v>45209.965899745373</v>
      </c>
      <c r="D310" t="s" s="13">
        <v>89</v>
      </c>
      <c r="E310" t="s" s="13">
        <v>90</v>
      </c>
      <c r="F310" s="14">
        <v>2</v>
      </c>
      <c r="G310" s="15">
        <v>59.99</v>
      </c>
      <c r="H310" s="15">
        <v>119.98</v>
      </c>
    </row>
    <row r="311" ht="12.9" customHeight="1">
      <c r="A311" t="s" s="10">
        <v>4069</v>
      </c>
      <c r="B311" t="s" s="11">
        <v>4070</v>
      </c>
      <c r="C311" s="12">
        <v>45209.965899745373</v>
      </c>
      <c r="D311" t="s" s="13">
        <v>73</v>
      </c>
      <c r="E311" t="s" s="13">
        <v>74</v>
      </c>
      <c r="F311" s="14">
        <v>1</v>
      </c>
      <c r="G311" s="15">
        <v>399.99</v>
      </c>
      <c r="H311" s="15">
        <v>399.99</v>
      </c>
    </row>
    <row r="312" ht="12.9" customHeight="1">
      <c r="A312" t="s" s="10">
        <v>4071</v>
      </c>
      <c r="B312" t="s" s="11">
        <v>4072</v>
      </c>
      <c r="C312" s="12">
        <v>45209.752596354170</v>
      </c>
      <c r="D312" t="s" s="13">
        <v>31</v>
      </c>
      <c r="E312" t="s" s="13">
        <v>32</v>
      </c>
      <c r="F312" s="14">
        <v>2</v>
      </c>
      <c r="G312" s="15">
        <v>599.99</v>
      </c>
      <c r="H312" s="15">
        <v>1199.98</v>
      </c>
    </row>
    <row r="313" ht="12.9" customHeight="1">
      <c r="A313" t="s" s="10">
        <v>4073</v>
      </c>
      <c r="B313" t="s" s="11">
        <v>4074</v>
      </c>
      <c r="C313" s="12">
        <v>45209.729582824075</v>
      </c>
      <c r="D313" t="s" s="13">
        <v>31</v>
      </c>
      <c r="E313" t="s" s="13">
        <v>32</v>
      </c>
      <c r="F313" s="14">
        <v>1</v>
      </c>
      <c r="G313" s="15">
        <v>599.99</v>
      </c>
      <c r="H313" s="15">
        <v>599.99</v>
      </c>
    </row>
    <row r="314" ht="12.9" customHeight="1">
      <c r="A314" t="s" s="10">
        <v>4075</v>
      </c>
      <c r="B314" t="s" s="11">
        <v>4076</v>
      </c>
      <c r="C314" s="12">
        <v>45209.085086157407</v>
      </c>
      <c r="D314" t="s" s="13">
        <v>35</v>
      </c>
      <c r="E314" t="s" s="13">
        <v>36</v>
      </c>
      <c r="F314" s="14">
        <v>4</v>
      </c>
      <c r="G314" s="15">
        <v>49.99</v>
      </c>
      <c r="H314" s="15">
        <v>199.96</v>
      </c>
    </row>
    <row r="315" ht="12.9" customHeight="1">
      <c r="A315" t="s" s="10">
        <v>4075</v>
      </c>
      <c r="B315" t="s" s="11">
        <v>4076</v>
      </c>
      <c r="C315" s="12">
        <v>45209.085086157407</v>
      </c>
      <c r="D315" t="s" s="13">
        <v>171</v>
      </c>
      <c r="E315" t="s" s="13">
        <v>172</v>
      </c>
      <c r="F315" s="14">
        <v>1</v>
      </c>
      <c r="G315" s="15">
        <v>549.99</v>
      </c>
      <c r="H315" s="15">
        <v>549.99</v>
      </c>
    </row>
    <row r="316" ht="12.9" customHeight="1">
      <c r="A316" t="s" s="10">
        <v>4075</v>
      </c>
      <c r="B316" t="s" s="11">
        <v>4076</v>
      </c>
      <c r="C316" s="12">
        <v>45209.085086157407</v>
      </c>
      <c r="D316" t="s" s="13">
        <v>345</v>
      </c>
      <c r="E316" t="s" s="13">
        <v>346</v>
      </c>
      <c r="F316" s="14">
        <v>1</v>
      </c>
      <c r="G316" s="15">
        <v>219.99</v>
      </c>
      <c r="H316" s="15">
        <v>219.99</v>
      </c>
    </row>
    <row r="317" ht="12.9" customHeight="1">
      <c r="A317" t="s" s="10">
        <v>4075</v>
      </c>
      <c r="B317" t="s" s="11">
        <v>4076</v>
      </c>
      <c r="C317" s="12">
        <v>45209.085086157407</v>
      </c>
      <c r="D317" t="s" s="13">
        <v>133</v>
      </c>
      <c r="E317" t="s" s="13">
        <v>134</v>
      </c>
      <c r="F317" s="14">
        <v>2</v>
      </c>
      <c r="G317" s="15">
        <v>199.99</v>
      </c>
      <c r="H317" s="15">
        <v>399.98</v>
      </c>
    </row>
    <row r="318" ht="12.9" customHeight="1">
      <c r="A318" t="s" s="10">
        <v>4077</v>
      </c>
      <c r="B318" t="s" s="11">
        <v>4078</v>
      </c>
      <c r="C318" s="12">
        <v>45209.079570821756</v>
      </c>
      <c r="D318" t="s" s="13">
        <v>1695</v>
      </c>
      <c r="E318" t="s" s="13">
        <v>140</v>
      </c>
      <c r="F318" s="14">
        <v>1</v>
      </c>
      <c r="G318" s="15">
        <v>49.99</v>
      </c>
      <c r="H318" s="15">
        <v>49.99</v>
      </c>
    </row>
    <row r="319" ht="12.9" customHeight="1">
      <c r="A319" t="s" s="10">
        <v>4077</v>
      </c>
      <c r="B319" t="s" s="11">
        <v>4078</v>
      </c>
      <c r="C319" s="12">
        <v>45209.079570821756</v>
      </c>
      <c r="D319" t="s" s="13">
        <v>15</v>
      </c>
      <c r="E319" t="s" s="13">
        <v>16</v>
      </c>
      <c r="F319" s="14">
        <v>1</v>
      </c>
      <c r="G319" s="15">
        <v>9.99</v>
      </c>
      <c r="H319" s="15">
        <v>9.99</v>
      </c>
    </row>
    <row r="320" ht="12.9" customHeight="1">
      <c r="A320" t="s" s="10">
        <v>4077</v>
      </c>
      <c r="B320" t="s" s="11">
        <v>4078</v>
      </c>
      <c r="C320" s="12">
        <v>45209.079570821756</v>
      </c>
      <c r="D320" t="s" s="13">
        <v>15</v>
      </c>
      <c r="E320" t="s" s="13">
        <v>16</v>
      </c>
      <c r="F320" s="14">
        <v>1</v>
      </c>
      <c r="G320" s="15">
        <v>9.99</v>
      </c>
      <c r="H320" s="15">
        <v>9.99</v>
      </c>
    </row>
    <row r="321" ht="12.9" customHeight="1">
      <c r="A321" t="s" s="10">
        <v>4079</v>
      </c>
      <c r="B321" t="s" s="11">
        <v>4080</v>
      </c>
      <c r="C321" s="12">
        <v>45209.070442939817</v>
      </c>
      <c r="D321" t="s" s="13">
        <v>11</v>
      </c>
      <c r="E321" t="s" s="13">
        <v>12</v>
      </c>
      <c r="F321" s="14">
        <v>1</v>
      </c>
      <c r="G321" s="15">
        <v>399.99</v>
      </c>
      <c r="H321" s="15">
        <v>399.99</v>
      </c>
    </row>
    <row r="322" ht="12.9" customHeight="1">
      <c r="A322" t="s" s="10">
        <v>4081</v>
      </c>
      <c r="B322" t="s" s="11">
        <v>1697</v>
      </c>
      <c r="C322" s="12">
        <v>45209</v>
      </c>
      <c r="D322" t="s" s="13">
        <v>143</v>
      </c>
      <c r="E322" t="s" s="13">
        <v>144</v>
      </c>
      <c r="F322" s="14">
        <v>2</v>
      </c>
      <c r="G322" s="15">
        <v>2499.99</v>
      </c>
      <c r="H322" s="15">
        <v>4999.98</v>
      </c>
    </row>
    <row r="323" ht="12.9" customHeight="1">
      <c r="A323" t="s" s="10">
        <v>4081</v>
      </c>
      <c r="B323" t="s" s="11">
        <v>1697</v>
      </c>
      <c r="C323" s="12">
        <v>45209</v>
      </c>
      <c r="D323" t="s" s="13">
        <v>35</v>
      </c>
      <c r="E323" t="s" s="13">
        <v>36</v>
      </c>
      <c r="F323" s="14">
        <v>4</v>
      </c>
      <c r="G323" s="15">
        <v>37.4925</v>
      </c>
      <c r="H323" s="15">
        <v>149.97</v>
      </c>
    </row>
    <row r="324" ht="12.9" customHeight="1">
      <c r="A324" t="s" s="10">
        <v>4081</v>
      </c>
      <c r="B324" t="s" s="11">
        <v>1697</v>
      </c>
      <c r="C324" s="12">
        <v>45209</v>
      </c>
      <c r="D324" t="s" s="13">
        <v>89</v>
      </c>
      <c r="E324" t="s" s="13">
        <v>90</v>
      </c>
      <c r="F324" s="14">
        <v>4</v>
      </c>
      <c r="G324" s="15">
        <v>44.9925</v>
      </c>
      <c r="H324" s="15">
        <v>179.97</v>
      </c>
    </row>
    <row r="325" ht="12.9" customHeight="1">
      <c r="A325" t="s" s="10">
        <v>4082</v>
      </c>
      <c r="B325" t="s" s="11">
        <v>2931</v>
      </c>
      <c r="C325" s="12">
        <v>45209</v>
      </c>
      <c r="D325" t="s" s="13">
        <v>57</v>
      </c>
      <c r="E325" t="s" s="13">
        <v>4083</v>
      </c>
      <c r="F325" s="14">
        <v>4</v>
      </c>
      <c r="G325" s="15">
        <v>599.9924999999999</v>
      </c>
      <c r="H325" s="15">
        <v>2399.97</v>
      </c>
    </row>
    <row r="326" ht="12.9" customHeight="1">
      <c r="A326" t="s" s="10">
        <v>4082</v>
      </c>
      <c r="B326" t="s" s="11">
        <v>2931</v>
      </c>
      <c r="C326" s="12">
        <v>45209</v>
      </c>
      <c r="D326" t="s" s="13">
        <v>63</v>
      </c>
      <c r="E326" s="16"/>
      <c r="F326" s="14">
        <v>1</v>
      </c>
      <c r="G326" s="15">
        <v>60</v>
      </c>
      <c r="H326" s="15">
        <v>60</v>
      </c>
    </row>
    <row r="327" ht="12.9" customHeight="1">
      <c r="A327" t="s" s="10">
        <v>4084</v>
      </c>
      <c r="B327" t="s" s="11">
        <v>4085</v>
      </c>
      <c r="C327" s="12">
        <v>45208.989710844908</v>
      </c>
      <c r="D327" t="s" s="13">
        <v>73</v>
      </c>
      <c r="E327" t="s" s="13">
        <v>74</v>
      </c>
      <c r="F327" s="14">
        <v>1</v>
      </c>
      <c r="G327" s="15">
        <v>399.99</v>
      </c>
      <c r="H327" s="15">
        <v>399.99</v>
      </c>
    </row>
    <row r="328" ht="12.9" customHeight="1">
      <c r="A328" t="s" s="10">
        <v>4086</v>
      </c>
      <c r="B328" t="s" s="11">
        <v>4087</v>
      </c>
      <c r="C328" s="12">
        <v>45208.801454745371</v>
      </c>
      <c r="D328" t="s" s="13">
        <v>95</v>
      </c>
      <c r="E328" t="s" s="13">
        <v>12</v>
      </c>
      <c r="F328" s="14">
        <v>1</v>
      </c>
      <c r="G328" s="15">
        <v>349.99</v>
      </c>
      <c r="H328" s="15">
        <v>349.99</v>
      </c>
    </row>
    <row r="329" ht="12.9" customHeight="1">
      <c r="A329" t="s" s="10">
        <v>4088</v>
      </c>
      <c r="B329" t="s" s="11">
        <v>3781</v>
      </c>
      <c r="C329" s="12">
        <v>45208.736426145835</v>
      </c>
      <c r="D329" t="s" s="13">
        <v>19</v>
      </c>
      <c r="E329" t="s" s="13">
        <v>20</v>
      </c>
      <c r="F329" s="14">
        <v>2</v>
      </c>
      <c r="G329" s="15">
        <v>119.99</v>
      </c>
      <c r="H329" s="15">
        <v>239.98</v>
      </c>
    </row>
    <row r="330" ht="12.9" customHeight="1">
      <c r="A330" t="s" s="10">
        <v>4088</v>
      </c>
      <c r="B330" t="s" s="11">
        <v>3781</v>
      </c>
      <c r="C330" s="12">
        <v>45208.736426145835</v>
      </c>
      <c r="D330" t="s" s="13">
        <v>15</v>
      </c>
      <c r="E330" t="s" s="13">
        <v>16</v>
      </c>
      <c r="F330" s="14">
        <v>2</v>
      </c>
      <c r="G330" s="15">
        <v>9.99</v>
      </c>
      <c r="H330" s="15">
        <v>19.98</v>
      </c>
    </row>
    <row r="331" ht="12.9" customHeight="1">
      <c r="A331" t="s" s="10">
        <v>4088</v>
      </c>
      <c r="B331" t="s" s="11">
        <v>3781</v>
      </c>
      <c r="C331" s="12">
        <v>45208.736426145835</v>
      </c>
      <c r="D331" t="s" s="13">
        <v>54</v>
      </c>
      <c r="E331" t="s" s="13">
        <v>93</v>
      </c>
      <c r="F331" s="14">
        <v>4</v>
      </c>
      <c r="G331" s="15">
        <v>9.99</v>
      </c>
      <c r="H331" s="15">
        <v>39.96</v>
      </c>
    </row>
    <row r="332" ht="12.9" customHeight="1">
      <c r="A332" t="s" s="10">
        <v>4088</v>
      </c>
      <c r="B332" t="s" s="11">
        <v>3781</v>
      </c>
      <c r="C332" s="12">
        <v>45208.736426145835</v>
      </c>
      <c r="D332" t="s" s="13">
        <v>39</v>
      </c>
      <c r="E332" t="s" s="13">
        <v>40</v>
      </c>
      <c r="F332" s="14">
        <v>2</v>
      </c>
      <c r="G332" s="15">
        <v>109.99</v>
      </c>
      <c r="H332" s="15">
        <v>219.98</v>
      </c>
    </row>
    <row r="333" ht="12.9" customHeight="1">
      <c r="A333" t="s" s="10">
        <v>4088</v>
      </c>
      <c r="B333" t="s" s="11">
        <v>3781</v>
      </c>
      <c r="C333" s="12">
        <v>45208.736426145835</v>
      </c>
      <c r="D333" t="s" s="13">
        <v>487</v>
      </c>
      <c r="E333" t="s" s="13">
        <v>488</v>
      </c>
      <c r="F333" s="14">
        <v>2</v>
      </c>
      <c r="G333" s="15">
        <v>109.99</v>
      </c>
      <c r="H333" s="15">
        <v>219.98</v>
      </c>
    </row>
    <row r="334" ht="12.9" customHeight="1">
      <c r="A334" t="s" s="10">
        <v>4088</v>
      </c>
      <c r="B334" t="s" s="11">
        <v>3781</v>
      </c>
      <c r="C334" s="12">
        <v>45208.736426145835</v>
      </c>
      <c r="D334" t="s" s="13">
        <v>77</v>
      </c>
      <c r="E334" t="s" s="13">
        <v>78</v>
      </c>
      <c r="F334" s="14">
        <v>4</v>
      </c>
      <c r="G334" s="15">
        <v>19.99</v>
      </c>
      <c r="H334" s="15">
        <v>79.95999999999999</v>
      </c>
    </row>
    <row r="335" ht="12.9" customHeight="1">
      <c r="A335" t="s" s="10">
        <v>4089</v>
      </c>
      <c r="B335" t="s" s="11">
        <v>4090</v>
      </c>
      <c r="C335" s="12">
        <v>45208.668712314815</v>
      </c>
      <c r="D335" t="s" s="13">
        <v>73</v>
      </c>
      <c r="E335" t="s" s="13">
        <v>74</v>
      </c>
      <c r="F335" s="14">
        <v>1</v>
      </c>
      <c r="G335" s="15">
        <v>399.99</v>
      </c>
      <c r="H335" s="15">
        <v>399.99</v>
      </c>
    </row>
    <row r="336" ht="12.9" customHeight="1">
      <c r="A336" t="s" s="10">
        <v>4089</v>
      </c>
      <c r="B336" t="s" s="11">
        <v>4090</v>
      </c>
      <c r="C336" s="12">
        <v>45208.668712314815</v>
      </c>
      <c r="D336" t="s" s="13">
        <v>225</v>
      </c>
      <c r="E336" t="s" s="13">
        <v>226</v>
      </c>
      <c r="F336" s="14">
        <v>1</v>
      </c>
      <c r="G336" s="15">
        <v>499.99</v>
      </c>
      <c r="H336" s="15">
        <v>499.99</v>
      </c>
    </row>
    <row r="337" ht="12.9" customHeight="1">
      <c r="A337" t="s" s="10">
        <v>4089</v>
      </c>
      <c r="B337" t="s" s="11">
        <v>4090</v>
      </c>
      <c r="C337" s="12">
        <v>45208.668712314815</v>
      </c>
      <c r="D337" t="s" s="13">
        <v>227</v>
      </c>
      <c r="E337" t="s" s="13">
        <v>228</v>
      </c>
      <c r="F337" s="14">
        <v>1</v>
      </c>
      <c r="G337" s="15">
        <v>29.99</v>
      </c>
      <c r="H337" s="15">
        <v>29.99</v>
      </c>
    </row>
    <row r="338" ht="12.9" customHeight="1">
      <c r="A338" t="s" s="10">
        <v>4089</v>
      </c>
      <c r="B338" t="s" s="11">
        <v>4090</v>
      </c>
      <c r="C338" s="12">
        <v>45208.668712314815</v>
      </c>
      <c r="D338" t="s" s="13">
        <v>165</v>
      </c>
      <c r="E338" t="s" s="13">
        <v>392</v>
      </c>
      <c r="F338" s="14">
        <v>1</v>
      </c>
      <c r="G338" s="15">
        <v>0</v>
      </c>
      <c r="H338" s="15">
        <v>0</v>
      </c>
    </row>
    <row r="339" ht="12.9" customHeight="1">
      <c r="A339" t="s" s="10">
        <v>4091</v>
      </c>
      <c r="B339" t="s" s="11">
        <v>1064</v>
      </c>
      <c r="C339" s="12">
        <v>45208</v>
      </c>
      <c r="D339" t="s" s="13">
        <v>81</v>
      </c>
      <c r="E339" t="s" s="13">
        <v>82</v>
      </c>
      <c r="F339" s="14">
        <v>4</v>
      </c>
      <c r="G339" s="15">
        <v>849.99</v>
      </c>
      <c r="H339" s="15">
        <v>3399.96</v>
      </c>
    </row>
    <row r="340" ht="12.9" customHeight="1">
      <c r="A340" t="s" s="10">
        <v>4091</v>
      </c>
      <c r="B340" t="s" s="11">
        <v>1064</v>
      </c>
      <c r="C340" s="12">
        <v>45208</v>
      </c>
      <c r="D340" t="s" s="13">
        <v>23</v>
      </c>
      <c r="E340" t="s" s="13">
        <v>24</v>
      </c>
      <c r="F340" s="14">
        <v>4</v>
      </c>
      <c r="G340" s="15">
        <v>0</v>
      </c>
      <c r="H340" s="15">
        <v>0</v>
      </c>
    </row>
    <row r="341" ht="12.9" customHeight="1">
      <c r="A341" t="s" s="10">
        <v>4091</v>
      </c>
      <c r="B341" t="s" s="11">
        <v>1064</v>
      </c>
      <c r="C341" s="12">
        <v>45208</v>
      </c>
      <c r="D341" t="s" s="13">
        <v>50</v>
      </c>
      <c r="E341" t="s" s="13">
        <v>83</v>
      </c>
      <c r="F341" s="14">
        <v>4</v>
      </c>
      <c r="G341" s="15">
        <v>0</v>
      </c>
      <c r="H341" s="15">
        <v>0</v>
      </c>
    </row>
    <row r="342" ht="12.9" customHeight="1">
      <c r="A342" t="s" s="10">
        <v>4091</v>
      </c>
      <c r="B342" t="s" s="11">
        <v>1064</v>
      </c>
      <c r="C342" s="12">
        <v>45208</v>
      </c>
      <c r="D342" t="s" s="13">
        <v>660</v>
      </c>
      <c r="E342" t="s" s="13">
        <v>661</v>
      </c>
      <c r="F342" s="14">
        <v>4</v>
      </c>
      <c r="G342" s="15">
        <v>5.99</v>
      </c>
      <c r="H342" s="15">
        <v>23.96</v>
      </c>
    </row>
    <row r="343" ht="12.9" customHeight="1">
      <c r="A343" t="s" s="10">
        <v>4091</v>
      </c>
      <c r="B343" t="s" s="11">
        <v>1064</v>
      </c>
      <c r="C343" s="12">
        <v>45208</v>
      </c>
      <c r="D343" t="s" s="13">
        <v>73</v>
      </c>
      <c r="E343" t="s" s="13">
        <v>74</v>
      </c>
      <c r="F343" s="14">
        <v>3</v>
      </c>
      <c r="G343" s="15">
        <v>399.99</v>
      </c>
      <c r="H343" s="15">
        <v>1199.97</v>
      </c>
    </row>
    <row r="344" ht="12.9" customHeight="1">
      <c r="A344" t="s" s="10">
        <v>4091</v>
      </c>
      <c r="B344" t="s" s="11">
        <v>1064</v>
      </c>
      <c r="C344" s="12">
        <v>45208</v>
      </c>
      <c r="D344" t="s" s="13">
        <v>54</v>
      </c>
      <c r="E344" t="s" s="13">
        <v>93</v>
      </c>
      <c r="F344" s="14">
        <v>4</v>
      </c>
      <c r="G344" s="15">
        <v>0</v>
      </c>
      <c r="H344" s="15">
        <v>0</v>
      </c>
    </row>
    <row r="345" ht="12.9" customHeight="1">
      <c r="A345" t="s" s="10">
        <v>4091</v>
      </c>
      <c r="B345" t="s" s="11">
        <v>1064</v>
      </c>
      <c r="C345" s="12">
        <v>45208</v>
      </c>
      <c r="D345" t="s" s="13">
        <v>15</v>
      </c>
      <c r="E345" t="s" s="13">
        <v>16</v>
      </c>
      <c r="F345" s="14">
        <v>4</v>
      </c>
      <c r="G345" s="15">
        <v>0</v>
      </c>
      <c r="H345" s="15">
        <v>0</v>
      </c>
    </row>
    <row r="346" ht="12.9" customHeight="1">
      <c r="A346" t="s" s="10">
        <v>4092</v>
      </c>
      <c r="B346" t="s" s="11">
        <v>67</v>
      </c>
      <c r="C346" s="12">
        <v>45208</v>
      </c>
      <c r="D346" t="s" s="13">
        <v>39</v>
      </c>
      <c r="E346" t="s" s="13">
        <v>40</v>
      </c>
      <c r="F346" s="14">
        <v>1</v>
      </c>
      <c r="G346" s="15">
        <v>0</v>
      </c>
      <c r="H346" s="15">
        <v>0</v>
      </c>
    </row>
    <row r="347" ht="12.9" customHeight="1">
      <c r="A347" t="s" s="10">
        <v>4093</v>
      </c>
      <c r="B347" t="s" s="11">
        <v>122</v>
      </c>
      <c r="C347" s="12">
        <v>45208</v>
      </c>
      <c r="D347" t="s" s="13">
        <v>254</v>
      </c>
      <c r="E347" t="s" s="13">
        <v>4094</v>
      </c>
      <c r="F347" s="14">
        <v>1</v>
      </c>
      <c r="G347" s="15">
        <v>0</v>
      </c>
      <c r="H347" s="15">
        <v>0</v>
      </c>
    </row>
    <row r="348" ht="12.9" customHeight="1">
      <c r="A348" t="s" s="10">
        <v>4095</v>
      </c>
      <c r="B348" t="s" s="11">
        <v>4096</v>
      </c>
      <c r="C348" s="12">
        <v>45208</v>
      </c>
      <c r="D348" t="s" s="13">
        <v>2960</v>
      </c>
      <c r="E348" t="s" s="13">
        <v>2960</v>
      </c>
      <c r="F348" s="14">
        <v>2</v>
      </c>
      <c r="G348" s="15">
        <v>0</v>
      </c>
      <c r="H348" s="15">
        <v>0</v>
      </c>
    </row>
    <row r="349" ht="12.9" customHeight="1">
      <c r="A349" t="s" s="10">
        <v>4095</v>
      </c>
      <c r="B349" t="s" s="11">
        <v>4096</v>
      </c>
      <c r="C349" s="12">
        <v>45208</v>
      </c>
      <c r="D349" t="s" s="13">
        <v>1456</v>
      </c>
      <c r="E349" t="s" s="13">
        <v>1457</v>
      </c>
      <c r="F349" s="14">
        <v>2</v>
      </c>
      <c r="G349" s="15">
        <v>0</v>
      </c>
      <c r="H349" s="15">
        <v>0</v>
      </c>
    </row>
    <row r="350" ht="12.9" customHeight="1">
      <c r="A350" t="s" s="10">
        <v>4095</v>
      </c>
      <c r="B350" t="s" s="11">
        <v>4096</v>
      </c>
      <c r="C350" s="12">
        <v>45208</v>
      </c>
      <c r="D350" t="s" s="13">
        <v>1695</v>
      </c>
      <c r="E350" t="s" s="13">
        <v>140</v>
      </c>
      <c r="F350" s="14">
        <v>1</v>
      </c>
      <c r="G350" s="15">
        <v>0</v>
      </c>
      <c r="H350" s="15">
        <v>0</v>
      </c>
    </row>
    <row r="351" ht="12.9" customHeight="1">
      <c r="A351" t="s" s="10">
        <v>4097</v>
      </c>
      <c r="B351" t="s" s="11">
        <v>4098</v>
      </c>
      <c r="C351" s="12">
        <v>45207.159664201390</v>
      </c>
      <c r="D351" t="s" s="13">
        <v>359</v>
      </c>
      <c r="E351" t="s" s="13">
        <v>360</v>
      </c>
      <c r="F351" s="14">
        <v>2</v>
      </c>
      <c r="G351" s="15">
        <v>29.99</v>
      </c>
      <c r="H351" s="15">
        <v>59.98</v>
      </c>
    </row>
    <row r="352" ht="12.9" customHeight="1">
      <c r="A352" t="s" s="10">
        <v>4097</v>
      </c>
      <c r="B352" t="s" s="11">
        <v>4098</v>
      </c>
      <c r="C352" s="12">
        <v>45207.159664201390</v>
      </c>
      <c r="D352" t="s" s="13">
        <v>77</v>
      </c>
      <c r="E352" t="s" s="13">
        <v>78</v>
      </c>
      <c r="F352" s="14">
        <v>2</v>
      </c>
      <c r="G352" s="15">
        <v>19.99</v>
      </c>
      <c r="H352" s="15">
        <v>39.98</v>
      </c>
    </row>
    <row r="353" ht="12.9" customHeight="1">
      <c r="A353" t="s" s="10">
        <v>4099</v>
      </c>
      <c r="B353" t="s" s="11">
        <v>4100</v>
      </c>
      <c r="C353" s="12">
        <v>45207.1128643287</v>
      </c>
      <c r="D353" t="s" s="13">
        <v>19</v>
      </c>
      <c r="E353" t="s" s="13">
        <v>20</v>
      </c>
      <c r="F353" s="14">
        <v>3</v>
      </c>
      <c r="G353" s="15">
        <v>119.99</v>
      </c>
      <c r="H353" s="15">
        <v>359.97</v>
      </c>
    </row>
    <row r="354" ht="12.9" customHeight="1">
      <c r="A354" t="s" s="10">
        <v>4099</v>
      </c>
      <c r="B354" t="s" s="11">
        <v>4100</v>
      </c>
      <c r="C354" s="12">
        <v>45207.1128643287</v>
      </c>
      <c r="D354" t="s" s="13">
        <v>15</v>
      </c>
      <c r="E354" t="s" s="13">
        <v>16</v>
      </c>
      <c r="F354" s="14">
        <v>3</v>
      </c>
      <c r="G354" s="15">
        <v>9.99</v>
      </c>
      <c r="H354" s="15">
        <v>29.97</v>
      </c>
    </row>
    <row r="355" ht="12.9" customHeight="1">
      <c r="A355" t="s" s="10">
        <v>4101</v>
      </c>
      <c r="B355" t="s" s="11">
        <v>122</v>
      </c>
      <c r="C355" s="12">
        <v>45207</v>
      </c>
      <c r="D355" t="s" s="13">
        <v>489</v>
      </c>
      <c r="E355" t="s" s="13">
        <v>490</v>
      </c>
      <c r="F355" s="14">
        <v>2</v>
      </c>
      <c r="G355" s="15">
        <v>637.4924999999999</v>
      </c>
      <c r="H355" s="15">
        <v>1274.985</v>
      </c>
    </row>
    <row r="356" ht="12.9" customHeight="1">
      <c r="A356" t="s" s="10">
        <v>4101</v>
      </c>
      <c r="B356" t="s" s="11">
        <v>122</v>
      </c>
      <c r="C356" s="12">
        <v>45207</v>
      </c>
      <c r="D356" t="s" s="13">
        <v>493</v>
      </c>
      <c r="E356" t="s" s="13">
        <v>2681</v>
      </c>
      <c r="F356" s="14">
        <v>2</v>
      </c>
      <c r="G356" s="15">
        <v>112.4925</v>
      </c>
      <c r="H356" s="15">
        <v>224.985</v>
      </c>
    </row>
    <row r="357" ht="12.9" customHeight="1">
      <c r="A357" t="s" s="10">
        <v>4101</v>
      </c>
      <c r="B357" t="s" s="11">
        <v>122</v>
      </c>
      <c r="C357" s="12">
        <v>45207</v>
      </c>
      <c r="D357" t="s" s="13">
        <v>491</v>
      </c>
      <c r="E357" t="s" s="13">
        <v>2680</v>
      </c>
      <c r="F357" s="14">
        <v>6</v>
      </c>
      <c r="G357" s="15">
        <v>149.9925</v>
      </c>
      <c r="H357" s="15">
        <v>899.955</v>
      </c>
    </row>
    <row r="358" ht="12.9" customHeight="1">
      <c r="A358" t="s" s="10">
        <v>4102</v>
      </c>
      <c r="B358" t="s" s="11">
        <v>4103</v>
      </c>
      <c r="C358" s="12">
        <v>45206.865942268516</v>
      </c>
      <c r="D358" t="s" s="13">
        <v>15</v>
      </c>
      <c r="E358" t="s" s="13">
        <v>16</v>
      </c>
      <c r="F358" s="14">
        <v>2</v>
      </c>
      <c r="G358" s="15">
        <v>9.99</v>
      </c>
      <c r="H358" s="15">
        <v>19.98</v>
      </c>
    </row>
    <row r="359" ht="12.9" customHeight="1">
      <c r="A359" t="s" s="10">
        <v>4104</v>
      </c>
      <c r="B359" t="s" s="11">
        <v>4105</v>
      </c>
      <c r="C359" s="12">
        <v>45206.741060625</v>
      </c>
      <c r="D359" t="s" s="13">
        <v>35</v>
      </c>
      <c r="E359" t="s" s="13">
        <v>36</v>
      </c>
      <c r="F359" s="14">
        <v>2</v>
      </c>
      <c r="G359" s="15">
        <v>49.99</v>
      </c>
      <c r="H359" s="15">
        <v>99.98</v>
      </c>
    </row>
    <row r="360" ht="12.9" customHeight="1">
      <c r="A360" t="s" s="10">
        <v>4104</v>
      </c>
      <c r="B360" t="s" s="11">
        <v>4105</v>
      </c>
      <c r="C360" s="12">
        <v>45206.741060625</v>
      </c>
      <c r="D360" t="s" s="13">
        <v>15</v>
      </c>
      <c r="E360" t="s" s="13">
        <v>16</v>
      </c>
      <c r="F360" s="14">
        <v>1</v>
      </c>
      <c r="G360" s="15">
        <v>9.99</v>
      </c>
      <c r="H360" s="15">
        <v>9.99</v>
      </c>
    </row>
    <row r="361" ht="12.9" customHeight="1">
      <c r="A361" t="s" s="10">
        <v>4104</v>
      </c>
      <c r="B361" t="s" s="11">
        <v>4105</v>
      </c>
      <c r="C361" s="12">
        <v>45206.741060625</v>
      </c>
      <c r="D361" t="s" s="13">
        <v>73</v>
      </c>
      <c r="E361" t="s" s="13">
        <v>74</v>
      </c>
      <c r="F361" s="14">
        <v>1</v>
      </c>
      <c r="G361" s="15">
        <v>399.99</v>
      </c>
      <c r="H361" s="15">
        <v>399.99</v>
      </c>
    </row>
    <row r="362" ht="12.9" customHeight="1">
      <c r="A362" t="s" s="10">
        <v>4106</v>
      </c>
      <c r="B362" t="s" s="11">
        <v>4107</v>
      </c>
      <c r="C362" s="12">
        <v>45206.633502523146</v>
      </c>
      <c r="D362" t="s" s="13">
        <v>11</v>
      </c>
      <c r="E362" t="s" s="13">
        <v>12</v>
      </c>
      <c r="F362" s="14">
        <v>1</v>
      </c>
      <c r="G362" s="15">
        <v>399.99</v>
      </c>
      <c r="H362" s="15">
        <v>399.99</v>
      </c>
    </row>
    <row r="363" ht="12.9" customHeight="1">
      <c r="A363" t="s" s="10">
        <v>4108</v>
      </c>
      <c r="B363" t="s" s="11">
        <v>4109</v>
      </c>
      <c r="C363" s="12">
        <v>45206.165870949073</v>
      </c>
      <c r="D363" t="s" s="13">
        <v>95</v>
      </c>
      <c r="E363" t="s" s="13">
        <v>12</v>
      </c>
      <c r="F363" s="14">
        <v>1</v>
      </c>
      <c r="G363" s="15">
        <v>349.99</v>
      </c>
      <c r="H363" s="15">
        <v>349.99</v>
      </c>
    </row>
    <row r="364" ht="12.9" customHeight="1">
      <c r="A364" t="s" s="10">
        <v>4110</v>
      </c>
      <c r="B364" t="s" s="11">
        <v>4111</v>
      </c>
      <c r="C364" s="12">
        <v>45206.120001550924</v>
      </c>
      <c r="D364" t="s" s="13">
        <v>89</v>
      </c>
      <c r="E364" t="s" s="13">
        <v>90</v>
      </c>
      <c r="F364" s="14">
        <v>2</v>
      </c>
      <c r="G364" s="15">
        <v>59.99</v>
      </c>
      <c r="H364" s="15">
        <v>119.98</v>
      </c>
    </row>
    <row r="365" ht="12.9" customHeight="1">
      <c r="A365" t="s" s="10">
        <v>4112</v>
      </c>
      <c r="B365" t="s" s="11">
        <v>4113</v>
      </c>
      <c r="C365" s="12">
        <v>45205.805763622688</v>
      </c>
      <c r="D365" t="s" s="13">
        <v>95</v>
      </c>
      <c r="E365" t="s" s="13">
        <v>12</v>
      </c>
      <c r="F365" s="14">
        <v>1</v>
      </c>
      <c r="G365" s="15">
        <v>349.99</v>
      </c>
      <c r="H365" s="15">
        <v>349.99</v>
      </c>
    </row>
    <row r="366" ht="12.9" customHeight="1">
      <c r="A366" t="s" s="10">
        <v>4114</v>
      </c>
      <c r="B366" t="s" s="11">
        <v>4115</v>
      </c>
      <c r="C366" s="12">
        <v>45205.081943090277</v>
      </c>
      <c r="D366" t="s" s="13">
        <v>89</v>
      </c>
      <c r="E366" t="s" s="13">
        <v>90</v>
      </c>
      <c r="F366" s="14">
        <v>1</v>
      </c>
      <c r="G366" s="15">
        <v>59.99</v>
      </c>
      <c r="H366" s="15">
        <v>59.99</v>
      </c>
    </row>
    <row r="367" ht="12.9" customHeight="1">
      <c r="A367" t="s" s="10">
        <v>4116</v>
      </c>
      <c r="B367" t="s" s="11">
        <v>4117</v>
      </c>
      <c r="C367" s="12">
        <v>45203.969360601855</v>
      </c>
      <c r="D367" t="s" s="13">
        <v>73</v>
      </c>
      <c r="E367" t="s" s="13">
        <v>74</v>
      </c>
      <c r="F367" s="14">
        <v>1</v>
      </c>
      <c r="G367" s="15">
        <v>399.99</v>
      </c>
      <c r="H367" s="15">
        <v>399.99</v>
      </c>
    </row>
    <row r="368" ht="12.9" customHeight="1">
      <c r="A368" t="s" s="10">
        <v>4118</v>
      </c>
      <c r="B368" t="s" s="11">
        <v>4119</v>
      </c>
      <c r="C368" s="12">
        <v>45203.056079282411</v>
      </c>
      <c r="D368" t="s" s="13">
        <v>1695</v>
      </c>
      <c r="E368" t="s" s="13">
        <v>140</v>
      </c>
      <c r="F368" s="14">
        <v>1</v>
      </c>
      <c r="G368" s="15">
        <v>49.99</v>
      </c>
      <c r="H368" s="15">
        <v>49.99</v>
      </c>
    </row>
    <row r="369" ht="12.9" customHeight="1">
      <c r="A369" t="s" s="10">
        <v>4118</v>
      </c>
      <c r="B369" t="s" s="11">
        <v>4119</v>
      </c>
      <c r="C369" s="12">
        <v>45203.056079282411</v>
      </c>
      <c r="D369" t="s" s="13">
        <v>15</v>
      </c>
      <c r="E369" t="s" s="13">
        <v>16</v>
      </c>
      <c r="F369" s="14">
        <v>1</v>
      </c>
      <c r="G369" s="15">
        <v>9.99</v>
      </c>
      <c r="H369" s="15">
        <v>9.99</v>
      </c>
    </row>
    <row r="370" ht="12.9" customHeight="1">
      <c r="A370" t="s" s="10">
        <v>4120</v>
      </c>
      <c r="B370" t="s" s="11">
        <v>391</v>
      </c>
      <c r="C370" s="12">
        <v>45203</v>
      </c>
      <c r="D370" t="s" s="13">
        <v>109</v>
      </c>
      <c r="E370" t="s" s="13">
        <v>109</v>
      </c>
      <c r="F370" s="14">
        <v>1</v>
      </c>
      <c r="G370" s="15">
        <v>90</v>
      </c>
      <c r="H370" s="15">
        <v>90</v>
      </c>
    </row>
    <row r="371" ht="12.9" customHeight="1">
      <c r="A371" t="s" s="10">
        <v>4120</v>
      </c>
      <c r="B371" t="s" s="11">
        <v>391</v>
      </c>
      <c r="C371" s="12">
        <v>45203</v>
      </c>
      <c r="D371" t="s" s="13">
        <v>775</v>
      </c>
      <c r="E371" t="s" s="13">
        <v>775</v>
      </c>
      <c r="F371" s="14">
        <v>1</v>
      </c>
      <c r="G371" s="15">
        <v>40.7608695</v>
      </c>
      <c r="H371" s="15">
        <v>40.7608695</v>
      </c>
    </row>
    <row r="372" ht="12.9" customHeight="1">
      <c r="A372" t="s" s="10">
        <v>4120</v>
      </c>
      <c r="B372" t="s" s="11">
        <v>391</v>
      </c>
      <c r="C372" s="12">
        <v>45203</v>
      </c>
      <c r="D372" t="s" s="13">
        <v>1619</v>
      </c>
      <c r="E372" t="s" s="13">
        <v>1620</v>
      </c>
      <c r="F372" s="14">
        <v>1</v>
      </c>
      <c r="G372" s="15">
        <v>14.9925</v>
      </c>
      <c r="H372" s="15">
        <v>14.9925</v>
      </c>
    </row>
    <row r="373" ht="12.9" customHeight="1">
      <c r="A373" t="s" s="10">
        <v>4120</v>
      </c>
      <c r="B373" t="s" s="11">
        <v>391</v>
      </c>
      <c r="C373" s="12">
        <v>45203</v>
      </c>
      <c r="D373" t="s" s="13">
        <v>63</v>
      </c>
      <c r="E373" s="16"/>
      <c r="F373" s="14">
        <v>1</v>
      </c>
      <c r="G373" s="15">
        <v>14.5</v>
      </c>
      <c r="H373" s="15">
        <v>14.5</v>
      </c>
    </row>
    <row r="374" ht="12.9" customHeight="1">
      <c r="A374" t="s" s="10">
        <v>4121</v>
      </c>
      <c r="B374" t="s" s="11">
        <v>2935</v>
      </c>
      <c r="C374" s="12">
        <v>45203</v>
      </c>
      <c r="D374" t="s" s="13">
        <v>73</v>
      </c>
      <c r="E374" t="s" s="13">
        <v>74</v>
      </c>
      <c r="F374" s="14">
        <v>1</v>
      </c>
      <c r="G374" s="15">
        <v>299.9925</v>
      </c>
      <c r="H374" s="15">
        <v>299.9925</v>
      </c>
    </row>
    <row r="375" ht="12.9" customHeight="1">
      <c r="A375" t="s" s="10">
        <v>4121</v>
      </c>
      <c r="B375" t="s" s="11">
        <v>2935</v>
      </c>
      <c r="C375" s="12">
        <v>45203</v>
      </c>
      <c r="D375" t="s" s="13">
        <v>73</v>
      </c>
      <c r="E375" t="s" s="13">
        <v>74</v>
      </c>
      <c r="F375" s="14">
        <v>1</v>
      </c>
      <c r="G375" s="15">
        <v>299.9925</v>
      </c>
      <c r="H375" s="15">
        <v>299.9925</v>
      </c>
    </row>
    <row r="376" ht="12.9" customHeight="1">
      <c r="A376" t="s" s="10">
        <v>4121</v>
      </c>
      <c r="B376" t="s" s="11">
        <v>2935</v>
      </c>
      <c r="C376" s="12">
        <v>45203</v>
      </c>
      <c r="D376" t="s" s="13">
        <v>63</v>
      </c>
      <c r="E376" s="16"/>
      <c r="F376" s="14">
        <v>1</v>
      </c>
      <c r="G376" s="15">
        <v>25</v>
      </c>
      <c r="H376" s="15">
        <v>25</v>
      </c>
    </row>
    <row r="377" ht="12.9" customHeight="1">
      <c r="A377" t="s" s="10">
        <v>4122</v>
      </c>
      <c r="B377" t="s" s="11">
        <v>476</v>
      </c>
      <c r="C377" s="12">
        <v>45203</v>
      </c>
      <c r="D377" t="s" s="13">
        <v>1155</v>
      </c>
      <c r="E377" t="s" s="13">
        <v>1156</v>
      </c>
      <c r="F377" s="14">
        <v>7</v>
      </c>
      <c r="G377" s="15">
        <v>1625</v>
      </c>
      <c r="H377" s="15">
        <v>11375</v>
      </c>
    </row>
    <row r="378" ht="12.9" customHeight="1">
      <c r="A378" t="s" s="10">
        <v>4122</v>
      </c>
      <c r="B378" t="s" s="11">
        <v>476</v>
      </c>
      <c r="C378" s="12">
        <v>45203</v>
      </c>
      <c r="D378" t="s" s="13">
        <v>50</v>
      </c>
      <c r="E378" t="s" s="13">
        <v>83</v>
      </c>
      <c r="F378" s="14">
        <v>7</v>
      </c>
      <c r="G378" s="15">
        <v>0</v>
      </c>
      <c r="H378" s="15">
        <v>0</v>
      </c>
    </row>
    <row r="379" ht="12.9" customHeight="1">
      <c r="A379" t="s" s="10">
        <v>4122</v>
      </c>
      <c r="B379" t="s" s="11">
        <v>476</v>
      </c>
      <c r="C379" s="12">
        <v>45203</v>
      </c>
      <c r="D379" t="s" s="13">
        <v>47</v>
      </c>
      <c r="E379" s="16"/>
      <c r="F379" s="14">
        <v>1</v>
      </c>
      <c r="G379" s="15">
        <v>90</v>
      </c>
      <c r="H379" s="15">
        <v>90</v>
      </c>
    </row>
    <row r="380" ht="12.9" customHeight="1">
      <c r="A380" t="s" s="10">
        <v>4123</v>
      </c>
      <c r="B380" t="s" s="11">
        <v>391</v>
      </c>
      <c r="C380" s="12">
        <v>45203</v>
      </c>
      <c r="D380" t="s" s="13">
        <v>109</v>
      </c>
      <c r="E380" t="s" s="13">
        <v>109</v>
      </c>
      <c r="F380" s="14">
        <v>2</v>
      </c>
      <c r="G380" s="15">
        <v>90</v>
      </c>
      <c r="H380" s="15">
        <v>180</v>
      </c>
    </row>
    <row r="381" ht="12.9" customHeight="1">
      <c r="A381" t="s" s="10">
        <v>4123</v>
      </c>
      <c r="B381" t="s" s="11">
        <v>391</v>
      </c>
      <c r="C381" s="12">
        <v>45203</v>
      </c>
      <c r="D381" t="s" s="13">
        <v>775</v>
      </c>
      <c r="E381" t="s" s="13">
        <v>775</v>
      </c>
      <c r="F381" s="14">
        <v>2</v>
      </c>
      <c r="G381" s="15">
        <v>40.7608695</v>
      </c>
      <c r="H381" s="15">
        <v>81.521739</v>
      </c>
    </row>
    <row r="382" ht="12.9" customHeight="1">
      <c r="A382" t="s" s="10">
        <v>4123</v>
      </c>
      <c r="B382" t="s" s="11">
        <v>391</v>
      </c>
      <c r="C382" s="12">
        <v>45203</v>
      </c>
      <c r="D382" t="s" s="13">
        <v>1619</v>
      </c>
      <c r="E382" t="s" s="13">
        <v>1620</v>
      </c>
      <c r="F382" s="14">
        <v>2</v>
      </c>
      <c r="G382" s="15">
        <v>14.9925</v>
      </c>
      <c r="H382" s="15">
        <v>29.985</v>
      </c>
    </row>
    <row r="383" ht="12.9" customHeight="1">
      <c r="A383" t="s" s="10">
        <v>4123</v>
      </c>
      <c r="B383" t="s" s="11">
        <v>391</v>
      </c>
      <c r="C383" s="12">
        <v>45203</v>
      </c>
      <c r="D383" t="s" s="13">
        <v>111</v>
      </c>
      <c r="E383" t="s" s="13">
        <v>112</v>
      </c>
      <c r="F383" s="14">
        <v>2</v>
      </c>
      <c r="G383" s="15">
        <v>29.625</v>
      </c>
      <c r="H383" s="15">
        <v>59.25</v>
      </c>
    </row>
    <row r="384" ht="12.9" customHeight="1">
      <c r="A384" t="s" s="10">
        <v>4123</v>
      </c>
      <c r="B384" t="s" s="11">
        <v>391</v>
      </c>
      <c r="C384" s="12">
        <v>45203</v>
      </c>
      <c r="D384" t="s" s="13">
        <v>4124</v>
      </c>
      <c r="E384" t="s" s="13">
        <v>112</v>
      </c>
      <c r="F384" s="14">
        <v>20</v>
      </c>
      <c r="G384" s="15">
        <v>38.625</v>
      </c>
      <c r="H384" s="15">
        <v>772.5</v>
      </c>
    </row>
    <row r="385" ht="12.9" customHeight="1">
      <c r="A385" t="s" s="10">
        <v>4123</v>
      </c>
      <c r="B385" t="s" s="11">
        <v>391</v>
      </c>
      <c r="C385" s="12">
        <v>45203</v>
      </c>
      <c r="D385" t="s" s="13">
        <v>585</v>
      </c>
      <c r="E385" t="s" s="13">
        <v>586</v>
      </c>
      <c r="F385" s="14">
        <v>2</v>
      </c>
      <c r="G385" s="15">
        <v>374.9925</v>
      </c>
      <c r="H385" s="15">
        <v>749.985</v>
      </c>
    </row>
    <row r="386" ht="12.9" customHeight="1">
      <c r="A386" t="s" s="10">
        <v>4123</v>
      </c>
      <c r="B386" t="s" s="11">
        <v>391</v>
      </c>
      <c r="C386" s="12">
        <v>45203</v>
      </c>
      <c r="D386" t="s" s="13">
        <v>165</v>
      </c>
      <c r="E386" t="s" s="13">
        <v>392</v>
      </c>
      <c r="F386" s="14">
        <v>2</v>
      </c>
      <c r="G386" s="15">
        <v>0</v>
      </c>
      <c r="H386" s="15">
        <v>0</v>
      </c>
    </row>
    <row r="387" ht="12.9" customHeight="1">
      <c r="A387" t="s" s="10">
        <v>4123</v>
      </c>
      <c r="B387" t="s" s="11">
        <v>391</v>
      </c>
      <c r="C387" s="12">
        <v>45203</v>
      </c>
      <c r="D387" t="s" s="13">
        <v>50</v>
      </c>
      <c r="E387" t="s" s="13">
        <v>83</v>
      </c>
      <c r="F387" s="14">
        <v>2</v>
      </c>
      <c r="G387" s="15">
        <v>22.4925</v>
      </c>
      <c r="H387" s="15">
        <v>44.985</v>
      </c>
    </row>
    <row r="388" ht="12.9" customHeight="1">
      <c r="A388" t="s" s="10">
        <v>4123</v>
      </c>
      <c r="B388" t="s" s="11">
        <v>391</v>
      </c>
      <c r="C388" s="12">
        <v>45203</v>
      </c>
      <c r="D388" t="s" s="13">
        <v>123</v>
      </c>
      <c r="E388" t="s" s="13">
        <v>124</v>
      </c>
      <c r="F388" s="14">
        <v>1</v>
      </c>
      <c r="G388" s="15">
        <v>0</v>
      </c>
      <c r="H388" s="15">
        <v>0</v>
      </c>
    </row>
    <row r="389" ht="12.9" customHeight="1">
      <c r="A389" t="s" s="10">
        <v>4123</v>
      </c>
      <c r="B389" t="s" s="11">
        <v>391</v>
      </c>
      <c r="C389" s="12">
        <v>45203</v>
      </c>
      <c r="D389" t="s" s="13">
        <v>63</v>
      </c>
      <c r="E389" s="16"/>
      <c r="F389" s="14">
        <v>1</v>
      </c>
      <c r="G389" s="15">
        <v>60</v>
      </c>
      <c r="H389" s="15">
        <v>60</v>
      </c>
    </row>
    <row r="390" ht="12.9" customHeight="1">
      <c r="A390" t="s" s="10">
        <v>4125</v>
      </c>
      <c r="B390" t="s" s="11">
        <v>831</v>
      </c>
      <c r="C390" s="12">
        <v>45203</v>
      </c>
      <c r="D390" t="s" s="13">
        <v>489</v>
      </c>
      <c r="E390" t="s" s="13">
        <v>490</v>
      </c>
      <c r="F390" s="14">
        <v>4</v>
      </c>
      <c r="G390" s="15">
        <v>637.4924999999999</v>
      </c>
      <c r="H390" s="15">
        <v>2549.97</v>
      </c>
    </row>
    <row r="391" ht="12.9" customHeight="1">
      <c r="A391" t="s" s="10">
        <v>4125</v>
      </c>
      <c r="B391" t="s" s="11">
        <v>831</v>
      </c>
      <c r="C391" s="12">
        <v>45203</v>
      </c>
      <c r="D391" t="s" s="13">
        <v>1633</v>
      </c>
      <c r="E391" t="s" s="13">
        <v>2981</v>
      </c>
      <c r="F391" s="14">
        <v>3</v>
      </c>
      <c r="G391" s="15">
        <v>149.9925</v>
      </c>
      <c r="H391" s="15">
        <v>449.9775</v>
      </c>
    </row>
    <row r="392" ht="12.9" customHeight="1">
      <c r="A392" t="s" s="10">
        <v>4125</v>
      </c>
      <c r="B392" t="s" s="11">
        <v>831</v>
      </c>
      <c r="C392" s="12">
        <v>45203</v>
      </c>
      <c r="D392" t="s" s="13">
        <v>491</v>
      </c>
      <c r="E392" t="s" s="13">
        <v>2680</v>
      </c>
      <c r="F392" s="14">
        <v>9</v>
      </c>
      <c r="G392" s="15">
        <v>149.9925</v>
      </c>
      <c r="H392" s="15">
        <v>1349.9325</v>
      </c>
    </row>
    <row r="393" ht="12.9" customHeight="1">
      <c r="A393" t="s" s="10">
        <v>4125</v>
      </c>
      <c r="B393" t="s" s="11">
        <v>831</v>
      </c>
      <c r="C393" s="12">
        <v>45203</v>
      </c>
      <c r="D393" t="s" s="13">
        <v>493</v>
      </c>
      <c r="E393" t="s" s="13">
        <v>2681</v>
      </c>
      <c r="F393" s="14">
        <v>4</v>
      </c>
      <c r="G393" s="15">
        <v>112.4925</v>
      </c>
      <c r="H393" s="15">
        <v>449.97</v>
      </c>
    </row>
    <row r="394" ht="12.9" customHeight="1">
      <c r="A394" t="s" s="10">
        <v>4125</v>
      </c>
      <c r="B394" t="s" s="11">
        <v>831</v>
      </c>
      <c r="C394" s="12">
        <v>45203</v>
      </c>
      <c r="D394" t="s" s="13">
        <v>63</v>
      </c>
      <c r="E394" s="16"/>
      <c r="F394" s="14">
        <v>1</v>
      </c>
      <c r="G394" s="15">
        <v>250</v>
      </c>
      <c r="H394" s="15">
        <v>250</v>
      </c>
    </row>
    <row r="395" ht="12.9" customHeight="1">
      <c r="A395" t="s" s="10">
        <v>4126</v>
      </c>
      <c r="B395" t="s" s="11">
        <v>161</v>
      </c>
      <c r="C395" s="12">
        <v>45203</v>
      </c>
      <c r="D395" t="s" s="13">
        <v>4127</v>
      </c>
      <c r="E395" t="s" s="13">
        <v>4128</v>
      </c>
      <c r="F395" s="14">
        <v>8</v>
      </c>
      <c r="G395" s="15">
        <v>85</v>
      </c>
      <c r="H395" s="15">
        <v>680</v>
      </c>
    </row>
    <row r="396" ht="12.9" customHeight="1">
      <c r="A396" t="s" s="10">
        <v>4126</v>
      </c>
      <c r="B396" t="s" s="11">
        <v>161</v>
      </c>
      <c r="C396" s="12">
        <v>45203</v>
      </c>
      <c r="D396" t="s" s="13">
        <v>1007</v>
      </c>
      <c r="E396" t="s" s="13">
        <v>1008</v>
      </c>
      <c r="F396" s="14">
        <v>8</v>
      </c>
      <c r="G396" s="15">
        <v>0</v>
      </c>
      <c r="H396" s="15">
        <v>0</v>
      </c>
    </row>
    <row r="397" ht="12.9" customHeight="1">
      <c r="A397" t="s" s="10">
        <v>4126</v>
      </c>
      <c r="B397" t="s" s="11">
        <v>161</v>
      </c>
      <c r="C397" s="12">
        <v>45203</v>
      </c>
      <c r="D397" t="s" s="13">
        <v>63</v>
      </c>
      <c r="E397" s="16"/>
      <c r="F397" s="14">
        <v>1</v>
      </c>
      <c r="G397" s="15">
        <v>40</v>
      </c>
      <c r="H397" s="15">
        <v>40</v>
      </c>
    </row>
    <row r="398" ht="12.9" customHeight="1">
      <c r="A398" t="s" s="10">
        <v>4129</v>
      </c>
      <c r="B398" t="s" s="11">
        <v>4130</v>
      </c>
      <c r="C398" s="12">
        <v>45203</v>
      </c>
      <c r="D398" t="s" s="13">
        <v>2961</v>
      </c>
      <c r="E398" t="s" s="13">
        <v>2962</v>
      </c>
      <c r="F398" s="14">
        <v>4</v>
      </c>
      <c r="G398" s="15">
        <v>0</v>
      </c>
      <c r="H398" s="15">
        <v>0</v>
      </c>
    </row>
    <row r="399" ht="12.9" customHeight="1">
      <c r="A399" t="s" s="10">
        <v>4131</v>
      </c>
      <c r="B399" t="s" s="11">
        <v>4132</v>
      </c>
      <c r="C399" s="12">
        <v>45202.992725532407</v>
      </c>
      <c r="D399" t="s" s="13">
        <v>19</v>
      </c>
      <c r="E399" t="s" s="13">
        <v>20</v>
      </c>
      <c r="F399" s="14">
        <v>2</v>
      </c>
      <c r="G399" s="15">
        <v>119.99</v>
      </c>
      <c r="H399" s="15">
        <v>239.98</v>
      </c>
    </row>
    <row r="400" ht="12.9" customHeight="1">
      <c r="A400" t="s" s="10">
        <v>4131</v>
      </c>
      <c r="B400" t="s" s="11">
        <v>4132</v>
      </c>
      <c r="C400" s="12">
        <v>45202.992725532407</v>
      </c>
      <c r="D400" t="s" s="13">
        <v>15</v>
      </c>
      <c r="E400" t="s" s="13">
        <v>16</v>
      </c>
      <c r="F400" s="14">
        <v>2</v>
      </c>
      <c r="G400" s="15">
        <v>9.99</v>
      </c>
      <c r="H400" s="15">
        <v>19.98</v>
      </c>
    </row>
    <row r="401" ht="12.9" customHeight="1">
      <c r="A401" t="s" s="10">
        <v>4133</v>
      </c>
      <c r="B401" t="s" s="11">
        <v>4134</v>
      </c>
      <c r="C401" s="12">
        <v>45202.909412118053</v>
      </c>
      <c r="D401" t="s" s="13">
        <v>73</v>
      </c>
      <c r="E401" t="s" s="13">
        <v>74</v>
      </c>
      <c r="F401" s="14">
        <v>1</v>
      </c>
      <c r="G401" s="15">
        <v>399.99</v>
      </c>
      <c r="H401" s="15">
        <v>399.99</v>
      </c>
    </row>
    <row r="402" ht="12.9" customHeight="1">
      <c r="A402" t="s" s="10">
        <v>4135</v>
      </c>
      <c r="B402" t="s" s="11">
        <v>4136</v>
      </c>
      <c r="C402" s="12">
        <v>45202.850634120368</v>
      </c>
      <c r="D402" t="s" s="13">
        <v>11</v>
      </c>
      <c r="E402" t="s" s="13">
        <v>12</v>
      </c>
      <c r="F402" s="14">
        <v>1</v>
      </c>
      <c r="G402" s="15">
        <v>399.99</v>
      </c>
      <c r="H402" s="15">
        <v>399.99</v>
      </c>
    </row>
    <row r="403" ht="12.9" customHeight="1">
      <c r="A403" t="s" s="10">
        <v>4137</v>
      </c>
      <c r="B403" t="s" s="11">
        <v>4138</v>
      </c>
      <c r="C403" s="12">
        <v>45202.808175393518</v>
      </c>
      <c r="D403" t="s" s="13">
        <v>123</v>
      </c>
      <c r="E403" t="s" s="13">
        <v>124</v>
      </c>
      <c r="F403" s="14">
        <v>2</v>
      </c>
      <c r="G403" s="15">
        <v>179.99</v>
      </c>
      <c r="H403" s="15">
        <v>359.98</v>
      </c>
    </row>
    <row r="404" ht="12.9" customHeight="1">
      <c r="A404" t="s" s="10">
        <v>4137</v>
      </c>
      <c r="B404" t="s" s="11">
        <v>4138</v>
      </c>
      <c r="C404" s="12">
        <v>45202.808175393518</v>
      </c>
      <c r="D404" t="s" s="13">
        <v>125</v>
      </c>
      <c r="E404" t="s" s="13">
        <v>126</v>
      </c>
      <c r="F404" s="14">
        <v>6</v>
      </c>
      <c r="G404" s="15">
        <v>64.98999999999999</v>
      </c>
      <c r="H404" s="15">
        <v>389.94</v>
      </c>
    </row>
    <row r="405" ht="12.9" customHeight="1">
      <c r="A405" t="s" s="10">
        <v>4139</v>
      </c>
      <c r="B405" t="s" s="11">
        <v>4140</v>
      </c>
      <c r="C405" s="12">
        <v>45202.669958148152</v>
      </c>
      <c r="D405" t="s" s="13">
        <v>171</v>
      </c>
      <c r="E405" t="s" s="13">
        <v>172</v>
      </c>
      <c r="F405" s="14">
        <v>1</v>
      </c>
      <c r="G405" s="15">
        <v>549.99</v>
      </c>
      <c r="H405" s="15">
        <v>549.99</v>
      </c>
    </row>
    <row r="406" ht="12.9" customHeight="1">
      <c r="A406" t="s" s="10">
        <v>4141</v>
      </c>
      <c r="B406" t="s" s="11">
        <v>4142</v>
      </c>
      <c r="C406" s="12">
        <v>45202.219720150460</v>
      </c>
      <c r="D406" t="s" s="13">
        <v>589</v>
      </c>
      <c r="E406" t="s" s="13">
        <v>590</v>
      </c>
      <c r="F406" s="14">
        <v>2</v>
      </c>
      <c r="G406" s="15">
        <v>7.49</v>
      </c>
      <c r="H406" s="15">
        <v>14.98</v>
      </c>
    </row>
    <row r="407" ht="12.9" customHeight="1">
      <c r="A407" t="s" s="10">
        <v>4143</v>
      </c>
      <c r="B407" t="s" s="11">
        <v>4144</v>
      </c>
      <c r="C407" s="12">
        <v>45202.145014525464</v>
      </c>
      <c r="D407" t="s" s="13">
        <v>95</v>
      </c>
      <c r="E407" t="s" s="13">
        <v>12</v>
      </c>
      <c r="F407" s="14">
        <v>1</v>
      </c>
      <c r="G407" s="15">
        <v>349.99</v>
      </c>
      <c r="H407" s="15">
        <v>349.99</v>
      </c>
    </row>
    <row r="408" ht="12.9" customHeight="1">
      <c r="A408" t="s" s="10">
        <v>4145</v>
      </c>
      <c r="B408" t="s" s="11">
        <v>4146</v>
      </c>
      <c r="C408" s="12">
        <v>45202.144388657405</v>
      </c>
      <c r="D408" t="s" s="13">
        <v>171</v>
      </c>
      <c r="E408" t="s" s="13">
        <v>172</v>
      </c>
      <c r="F408" s="14">
        <v>1</v>
      </c>
      <c r="G408" s="15">
        <v>524.99</v>
      </c>
      <c r="H408" s="15">
        <v>524.99</v>
      </c>
    </row>
    <row r="409" ht="12.9" customHeight="1">
      <c r="A409" t="s" s="10">
        <v>4147</v>
      </c>
      <c r="B409" t="s" s="11">
        <v>1326</v>
      </c>
      <c r="C409" s="12">
        <v>45202.006820648145</v>
      </c>
      <c r="D409" t="s" s="13">
        <v>171</v>
      </c>
      <c r="E409" t="s" s="13">
        <v>172</v>
      </c>
      <c r="F409" s="14">
        <v>1</v>
      </c>
      <c r="G409" s="15">
        <v>549.99</v>
      </c>
      <c r="H409" s="15">
        <v>549.99</v>
      </c>
    </row>
    <row r="410" ht="12.9" customHeight="1">
      <c r="A410" t="s" s="10">
        <v>4148</v>
      </c>
      <c r="B410" t="s" s="11">
        <v>4149</v>
      </c>
      <c r="C410" s="12">
        <v>45202</v>
      </c>
      <c r="D410" t="s" s="13">
        <v>254</v>
      </c>
      <c r="E410" t="s" s="13">
        <v>4150</v>
      </c>
      <c r="F410" s="14">
        <v>1</v>
      </c>
      <c r="G410" s="15">
        <v>0</v>
      </c>
      <c r="H410" s="15">
        <v>0</v>
      </c>
    </row>
    <row r="411" ht="12.9" customHeight="1">
      <c r="A411" t="s" s="10">
        <v>4148</v>
      </c>
      <c r="B411" t="s" s="11">
        <v>4149</v>
      </c>
      <c r="C411" s="12">
        <v>45202</v>
      </c>
      <c r="D411" t="s" s="13">
        <v>412</v>
      </c>
      <c r="E411" t="s" s="13">
        <v>413</v>
      </c>
      <c r="F411" s="14">
        <v>5</v>
      </c>
      <c r="G411" s="15">
        <v>0</v>
      </c>
      <c r="H411" s="15">
        <v>0</v>
      </c>
    </row>
    <row r="412" ht="12.9" customHeight="1">
      <c r="A412" t="s" s="10">
        <v>4151</v>
      </c>
      <c r="B412" t="s" s="11">
        <v>3370</v>
      </c>
      <c r="C412" s="12">
        <v>45202</v>
      </c>
      <c r="D412" t="s" s="13">
        <v>589</v>
      </c>
      <c r="E412" t="s" s="13">
        <v>590</v>
      </c>
      <c r="F412" s="14">
        <v>2</v>
      </c>
      <c r="G412" s="15">
        <v>0</v>
      </c>
      <c r="H412" s="15">
        <v>0</v>
      </c>
    </row>
    <row r="413" ht="12.9" customHeight="1">
      <c r="A413" t="s" s="10">
        <v>4151</v>
      </c>
      <c r="B413" t="s" s="11">
        <v>3370</v>
      </c>
      <c r="C413" s="12">
        <v>45202</v>
      </c>
      <c r="D413" t="s" s="13">
        <v>4152</v>
      </c>
      <c r="E413" t="s" s="13">
        <v>4153</v>
      </c>
      <c r="F413" s="14">
        <v>1</v>
      </c>
      <c r="G413" s="15">
        <v>0</v>
      </c>
      <c r="H413" s="15">
        <v>0</v>
      </c>
    </row>
    <row r="414" ht="12.9" customHeight="1">
      <c r="A414" t="s" s="10">
        <v>4154</v>
      </c>
      <c r="B414" t="s" s="11">
        <v>4155</v>
      </c>
      <c r="C414" s="12">
        <v>45201.927016331021</v>
      </c>
      <c r="D414" t="s" s="13">
        <v>15</v>
      </c>
      <c r="E414" t="s" s="13">
        <v>16</v>
      </c>
      <c r="F414" s="14">
        <v>10</v>
      </c>
      <c r="G414" s="15">
        <v>8.49</v>
      </c>
      <c r="H414" s="15">
        <v>84.90000000000001</v>
      </c>
    </row>
    <row r="415" ht="12.9" customHeight="1">
      <c r="A415" t="s" s="10">
        <v>4154</v>
      </c>
      <c r="B415" t="s" s="11">
        <v>4155</v>
      </c>
      <c r="C415" s="12">
        <v>45201.927016331021</v>
      </c>
      <c r="D415" t="s" s="13">
        <v>19</v>
      </c>
      <c r="E415" t="s" s="13">
        <v>20</v>
      </c>
      <c r="F415" s="14">
        <v>1</v>
      </c>
      <c r="G415" s="15">
        <v>119.99</v>
      </c>
      <c r="H415" s="15">
        <v>119.99</v>
      </c>
    </row>
    <row r="416" ht="12.9" customHeight="1">
      <c r="A416" t="s" s="10">
        <v>4154</v>
      </c>
      <c r="B416" t="s" s="11">
        <v>4155</v>
      </c>
      <c r="C416" s="12">
        <v>45201.927016331021</v>
      </c>
      <c r="D416" t="s" s="13">
        <v>15</v>
      </c>
      <c r="E416" t="s" s="13">
        <v>16</v>
      </c>
      <c r="F416" s="14">
        <v>1</v>
      </c>
      <c r="G416" s="15">
        <v>9.99</v>
      </c>
      <c r="H416" s="15">
        <v>9.99</v>
      </c>
    </row>
    <row r="417" ht="12.9" customHeight="1">
      <c r="A417" t="s" s="10">
        <v>4154</v>
      </c>
      <c r="B417" t="s" s="11">
        <v>4155</v>
      </c>
      <c r="C417" s="12">
        <v>45201.927016331021</v>
      </c>
      <c r="D417" t="s" s="13">
        <v>359</v>
      </c>
      <c r="E417" t="s" s="13">
        <v>360</v>
      </c>
      <c r="F417" s="14">
        <v>1</v>
      </c>
      <c r="G417" s="15">
        <v>29.99</v>
      </c>
      <c r="H417" s="15">
        <v>29.99</v>
      </c>
    </row>
    <row r="418" ht="12.9" customHeight="1">
      <c r="A418" t="s" s="10">
        <v>4154</v>
      </c>
      <c r="B418" t="s" s="11">
        <v>4155</v>
      </c>
      <c r="C418" s="12">
        <v>45201.927016331021</v>
      </c>
      <c r="D418" t="s" s="13">
        <v>77</v>
      </c>
      <c r="E418" t="s" s="13">
        <v>78</v>
      </c>
      <c r="F418" s="14">
        <v>1</v>
      </c>
      <c r="G418" s="15">
        <v>19.99</v>
      </c>
      <c r="H418" s="15">
        <v>19.99</v>
      </c>
    </row>
    <row r="419" ht="12.9" customHeight="1">
      <c r="A419" t="s" s="10">
        <v>4156</v>
      </c>
      <c r="B419" t="s" s="11">
        <v>865</v>
      </c>
      <c r="C419" s="12">
        <v>45201.7428428125</v>
      </c>
      <c r="D419" t="s" s="13">
        <v>171</v>
      </c>
      <c r="E419" t="s" s="13">
        <v>172</v>
      </c>
      <c r="F419" s="14">
        <v>1</v>
      </c>
      <c r="G419" s="15">
        <v>549.99</v>
      </c>
      <c r="H419" s="15">
        <v>549.99</v>
      </c>
    </row>
    <row r="420" ht="12.9" customHeight="1">
      <c r="A420" t="s" s="10">
        <v>4157</v>
      </c>
      <c r="B420" t="s" s="11">
        <v>4158</v>
      </c>
      <c r="C420" s="12">
        <v>45201.678450659725</v>
      </c>
      <c r="D420" t="s" s="13">
        <v>48</v>
      </c>
      <c r="E420" t="s" s="13">
        <v>49</v>
      </c>
      <c r="F420" s="14">
        <v>4</v>
      </c>
      <c r="G420" s="15">
        <v>1299.99</v>
      </c>
      <c r="H420" s="15">
        <v>5199.96</v>
      </c>
    </row>
    <row r="421" ht="12.9" customHeight="1">
      <c r="A421" t="s" s="10">
        <v>4157</v>
      </c>
      <c r="B421" t="s" s="11">
        <v>4158</v>
      </c>
      <c r="C421" s="12">
        <v>45201.678450659725</v>
      </c>
      <c r="D421" t="s" s="13">
        <v>50</v>
      </c>
      <c r="E421" t="s" s="13">
        <v>83</v>
      </c>
      <c r="F421" s="14">
        <v>4</v>
      </c>
      <c r="G421" s="15">
        <v>0</v>
      </c>
      <c r="H421" s="15">
        <v>0</v>
      </c>
    </row>
    <row r="422" ht="12.9" customHeight="1">
      <c r="A422" t="s" s="10">
        <v>4157</v>
      </c>
      <c r="B422" t="s" s="11">
        <v>4158</v>
      </c>
      <c r="C422" s="12">
        <v>45201.678450659725</v>
      </c>
      <c r="D422" t="s" s="13">
        <v>52</v>
      </c>
      <c r="E422" t="s" s="13">
        <v>321</v>
      </c>
      <c r="F422" s="14">
        <v>4</v>
      </c>
      <c r="G422" s="15">
        <v>0</v>
      </c>
      <c r="H422" s="15">
        <v>0</v>
      </c>
    </row>
    <row r="423" ht="12.9" customHeight="1">
      <c r="A423" t="s" s="10">
        <v>4157</v>
      </c>
      <c r="B423" t="s" s="11">
        <v>4158</v>
      </c>
      <c r="C423" s="12">
        <v>45201.678450659725</v>
      </c>
      <c r="D423" t="s" s="13">
        <v>84</v>
      </c>
      <c r="E423" t="s" s="13">
        <v>2685</v>
      </c>
      <c r="F423" s="14">
        <v>4</v>
      </c>
      <c r="G423" s="15">
        <v>0</v>
      </c>
      <c r="H423" s="15">
        <v>0</v>
      </c>
    </row>
    <row r="424" ht="12.9" customHeight="1">
      <c r="A424" t="s" s="10">
        <v>4157</v>
      </c>
      <c r="B424" t="s" s="11">
        <v>4158</v>
      </c>
      <c r="C424" s="12">
        <v>45201.678450659725</v>
      </c>
      <c r="D424" t="s" s="13">
        <v>23</v>
      </c>
      <c r="E424" t="s" s="13">
        <v>24</v>
      </c>
      <c r="F424" s="14">
        <v>4</v>
      </c>
      <c r="G424" s="15">
        <v>0</v>
      </c>
      <c r="H424" s="15">
        <v>0</v>
      </c>
    </row>
    <row r="425" ht="12.9" customHeight="1">
      <c r="A425" t="s" s="10">
        <v>4157</v>
      </c>
      <c r="B425" t="s" s="11">
        <v>4158</v>
      </c>
      <c r="C425" s="12">
        <v>45201.678450659725</v>
      </c>
      <c r="D425" t="s" s="13">
        <v>133</v>
      </c>
      <c r="E425" t="s" s="13">
        <v>134</v>
      </c>
      <c r="F425" s="14">
        <v>2</v>
      </c>
      <c r="G425" s="15">
        <v>199.99</v>
      </c>
      <c r="H425" s="15">
        <v>399.98</v>
      </c>
    </row>
    <row r="426" ht="12.9" customHeight="1">
      <c r="A426" t="s" s="10">
        <v>4157</v>
      </c>
      <c r="B426" t="s" s="11">
        <v>4158</v>
      </c>
      <c r="C426" s="12">
        <v>45201.678450659725</v>
      </c>
      <c r="D426" t="s" s="13">
        <v>73</v>
      </c>
      <c r="E426" t="s" s="13">
        <v>74</v>
      </c>
      <c r="F426" s="14">
        <v>1</v>
      </c>
      <c r="G426" s="15">
        <v>399.99</v>
      </c>
      <c r="H426" s="15">
        <v>399.99</v>
      </c>
    </row>
    <row r="427" ht="12.9" customHeight="1">
      <c r="A427" t="s" s="10">
        <v>4157</v>
      </c>
      <c r="B427" t="s" s="11">
        <v>4158</v>
      </c>
      <c r="C427" s="12">
        <v>45201.678450659725</v>
      </c>
      <c r="D427" t="s" s="13">
        <v>1069</v>
      </c>
      <c r="E427" t="s" s="13">
        <v>1070</v>
      </c>
      <c r="F427" s="14">
        <v>2</v>
      </c>
      <c r="G427" s="15">
        <v>99.98999999999999</v>
      </c>
      <c r="H427" s="15">
        <v>199.98</v>
      </c>
    </row>
    <row r="428" ht="12.9" customHeight="1">
      <c r="A428" t="s" s="10">
        <v>4157</v>
      </c>
      <c r="B428" t="s" s="11">
        <v>4158</v>
      </c>
      <c r="C428" s="12">
        <v>45201.678450659725</v>
      </c>
      <c r="D428" t="s" s="13">
        <v>1054</v>
      </c>
      <c r="E428" t="s" s="13">
        <v>1055</v>
      </c>
      <c r="F428" s="14">
        <v>3</v>
      </c>
      <c r="G428" s="15">
        <v>149.99</v>
      </c>
      <c r="H428" s="15">
        <v>449.97</v>
      </c>
    </row>
    <row r="429" ht="12.9" customHeight="1">
      <c r="A429" t="s" s="10">
        <v>4157</v>
      </c>
      <c r="B429" t="s" s="11">
        <v>4158</v>
      </c>
      <c r="C429" s="12">
        <v>45201.678450659725</v>
      </c>
      <c r="D429" t="s" s="13">
        <v>682</v>
      </c>
      <c r="E429" t="s" s="13">
        <v>683</v>
      </c>
      <c r="F429" s="14">
        <v>1</v>
      </c>
      <c r="G429" s="15">
        <v>249.99</v>
      </c>
      <c r="H429" s="15">
        <v>249.99</v>
      </c>
    </row>
    <row r="430" ht="12.9" customHeight="1">
      <c r="A430" t="s" s="10">
        <v>4159</v>
      </c>
      <c r="B430" t="s" s="11">
        <v>4160</v>
      </c>
      <c r="C430" s="12">
        <v>45201.650965289351</v>
      </c>
      <c r="D430" t="s" s="13">
        <v>1695</v>
      </c>
      <c r="E430" t="s" s="13">
        <v>140</v>
      </c>
      <c r="F430" s="14">
        <v>1</v>
      </c>
      <c r="G430" s="15">
        <v>49.99</v>
      </c>
      <c r="H430" s="15">
        <v>49.99</v>
      </c>
    </row>
    <row r="431" ht="12.9" customHeight="1">
      <c r="A431" t="s" s="10">
        <v>4159</v>
      </c>
      <c r="B431" t="s" s="11">
        <v>4160</v>
      </c>
      <c r="C431" s="12">
        <v>45201.650965289351</v>
      </c>
      <c r="D431" t="s" s="13">
        <v>15</v>
      </c>
      <c r="E431" t="s" s="13">
        <v>16</v>
      </c>
      <c r="F431" s="14">
        <v>1</v>
      </c>
      <c r="G431" s="15">
        <v>9.99</v>
      </c>
      <c r="H431" s="15">
        <v>9.99</v>
      </c>
    </row>
    <row r="432" ht="12.9" customHeight="1">
      <c r="A432" t="s" s="10">
        <v>4161</v>
      </c>
      <c r="B432" t="s" s="11">
        <v>4130</v>
      </c>
      <c r="C432" s="12">
        <v>45201.624181307867</v>
      </c>
      <c r="D432" t="s" s="13">
        <v>1875</v>
      </c>
      <c r="E432" t="s" s="13">
        <v>2272</v>
      </c>
      <c r="F432" s="14">
        <v>4</v>
      </c>
      <c r="G432" s="15">
        <v>249.99</v>
      </c>
      <c r="H432" s="15">
        <v>999.96</v>
      </c>
    </row>
    <row r="433" ht="12.9" customHeight="1">
      <c r="A433" t="s" s="10">
        <v>4161</v>
      </c>
      <c r="B433" t="s" s="11">
        <v>4130</v>
      </c>
      <c r="C433" s="12">
        <v>45201.624181307867</v>
      </c>
      <c r="D433" t="s" s="13">
        <v>77</v>
      </c>
      <c r="E433" t="s" s="13">
        <v>78</v>
      </c>
      <c r="F433" s="14">
        <v>4</v>
      </c>
      <c r="G433" s="15">
        <v>19.99</v>
      </c>
      <c r="H433" s="15">
        <v>79.95999999999999</v>
      </c>
    </row>
    <row r="434" ht="12.9" customHeight="1">
      <c r="A434" t="s" s="10">
        <v>4161</v>
      </c>
      <c r="B434" t="s" s="11">
        <v>4130</v>
      </c>
      <c r="C434" s="12">
        <v>45201.624181307867</v>
      </c>
      <c r="D434" t="s" s="13">
        <v>19</v>
      </c>
      <c r="E434" t="s" s="13">
        <v>20</v>
      </c>
      <c r="F434" s="14">
        <v>8</v>
      </c>
      <c r="G434" s="15">
        <v>119.99</v>
      </c>
      <c r="H434" s="15">
        <v>959.92</v>
      </c>
    </row>
    <row r="435" ht="12.9" customHeight="1">
      <c r="A435" t="s" s="10">
        <v>4161</v>
      </c>
      <c r="B435" t="s" s="11">
        <v>4130</v>
      </c>
      <c r="C435" s="12">
        <v>45201.624181307867</v>
      </c>
      <c r="D435" t="s" s="13">
        <v>15</v>
      </c>
      <c r="E435" t="s" s="13">
        <v>16</v>
      </c>
      <c r="F435" s="14">
        <v>8</v>
      </c>
      <c r="G435" s="15">
        <v>8.99</v>
      </c>
      <c r="H435" s="15">
        <v>71.92</v>
      </c>
    </row>
    <row r="436" ht="12.9" customHeight="1">
      <c r="A436" t="s" s="10">
        <v>4162</v>
      </c>
      <c r="B436" t="s" s="11">
        <v>4163</v>
      </c>
      <c r="C436" s="12">
        <v>45200.585627303240</v>
      </c>
      <c r="D436" t="s" s="13">
        <v>19</v>
      </c>
      <c r="E436" t="s" s="13">
        <v>20</v>
      </c>
      <c r="F436" s="14">
        <v>1</v>
      </c>
      <c r="G436" s="15">
        <v>119.99</v>
      </c>
      <c r="H436" s="15">
        <v>119.99</v>
      </c>
    </row>
    <row r="437" ht="12.9" customHeight="1">
      <c r="A437" t="s" s="10">
        <v>4162</v>
      </c>
      <c r="B437" t="s" s="11">
        <v>4163</v>
      </c>
      <c r="C437" s="12">
        <v>45200.585627303240</v>
      </c>
      <c r="D437" t="s" s="13">
        <v>15</v>
      </c>
      <c r="E437" t="s" s="13">
        <v>16</v>
      </c>
      <c r="F437" s="14">
        <v>1</v>
      </c>
      <c r="G437" s="15">
        <v>9.99</v>
      </c>
      <c r="H437" s="15">
        <v>9.99</v>
      </c>
    </row>
    <row r="438" ht="12.9" customHeight="1">
      <c r="A438" t="s" s="10">
        <v>4162</v>
      </c>
      <c r="B438" t="s" s="11">
        <v>4163</v>
      </c>
      <c r="C438" s="12">
        <v>45200.585627303240</v>
      </c>
      <c r="D438" t="s" s="13">
        <v>54</v>
      </c>
      <c r="E438" t="s" s="13">
        <v>93</v>
      </c>
      <c r="F438" s="14">
        <v>6</v>
      </c>
      <c r="G438" s="15">
        <v>9.99</v>
      </c>
      <c r="H438" s="15">
        <v>59.94</v>
      </c>
    </row>
    <row r="440" ht="15.55" customHeight="1">
      <c r="I440" t="s" s="2">
        <v>4164</v>
      </c>
      <c r="J440" s="2"/>
      <c r="K440" s="2"/>
      <c r="L440" s="2"/>
      <c r="M440" s="2"/>
      <c r="N440" s="2"/>
      <c r="O440" s="2"/>
    </row>
    <row r="442" ht="16.1" customHeight="1">
      <c r="I442" t="s" s="20">
        <v>2</v>
      </c>
      <c r="J442" t="s" s="21">
        <v>1</v>
      </c>
      <c r="K442" t="s" s="21">
        <v>616</v>
      </c>
      <c r="L442" t="s" s="22">
        <v>4</v>
      </c>
      <c r="M442" t="s" s="23">
        <v>617</v>
      </c>
      <c r="N442" t="s" s="3">
        <v>618</v>
      </c>
      <c r="O442" t="s" s="3">
        <v>619</v>
      </c>
    </row>
    <row r="443" ht="16.1" customHeight="1">
      <c r="I443" t="s" s="121">
        <v>210</v>
      </c>
      <c r="J443" s="122"/>
      <c r="K443" s="122"/>
      <c r="L443" s="123"/>
      <c r="M443" s="124">
        <v>290</v>
      </c>
      <c r="N443" s="141">
        <v>3566.055</v>
      </c>
      <c r="O443" s="141">
        <v>21519.57</v>
      </c>
    </row>
    <row r="444" ht="16.1" customHeight="1">
      <c r="I444" t="s" s="126">
        <v>3873</v>
      </c>
      <c r="J444" s="127"/>
      <c r="K444" s="127"/>
      <c r="L444" s="128"/>
      <c r="M444" s="129">
        <v>1</v>
      </c>
      <c r="N444" s="142">
        <v>399.99</v>
      </c>
      <c r="O444" s="142">
        <v>399.99</v>
      </c>
    </row>
    <row r="445" ht="16.1" customHeight="1">
      <c r="I445" t="s" s="126">
        <v>3990</v>
      </c>
      <c r="J445" s="127"/>
      <c r="K445" s="127"/>
      <c r="L445" s="128"/>
      <c r="M445" s="129">
        <v>3</v>
      </c>
      <c r="N445" s="142">
        <v>399.99</v>
      </c>
      <c r="O445" s="142">
        <v>1199.97</v>
      </c>
    </row>
    <row r="446" ht="16.1" customHeight="1">
      <c r="I446" t="s" s="126">
        <v>3882</v>
      </c>
      <c r="J446" s="127"/>
      <c r="K446" s="127"/>
      <c r="L446" s="128"/>
      <c r="M446" s="129">
        <v>1</v>
      </c>
      <c r="N446" s="142">
        <v>9.99</v>
      </c>
      <c r="O446" s="142">
        <v>9.99</v>
      </c>
    </row>
    <row r="447" ht="16.1" customHeight="1">
      <c r="I447" t="s" s="126">
        <v>1110</v>
      </c>
      <c r="J447" s="127"/>
      <c r="K447" s="127"/>
      <c r="L447" s="128"/>
      <c r="M447" s="129">
        <v>20</v>
      </c>
      <c r="N447" s="142">
        <v>1834.991522</v>
      </c>
      <c r="O447" s="142">
        <v>2001.498044</v>
      </c>
    </row>
    <row r="448" ht="16.1" customHeight="1">
      <c r="I448" t="s" s="126">
        <v>161</v>
      </c>
      <c r="J448" s="127"/>
      <c r="K448" s="127"/>
      <c r="L448" s="128"/>
      <c r="M448" s="129">
        <v>228</v>
      </c>
      <c r="N448" s="142">
        <v>2090.1025</v>
      </c>
      <c r="O448" s="142">
        <v>6615.38</v>
      </c>
    </row>
    <row r="449" ht="16.1" customHeight="1">
      <c r="I449" t="s" s="126">
        <v>3942</v>
      </c>
      <c r="J449" s="127"/>
      <c r="K449" s="127"/>
      <c r="L449" s="128"/>
      <c r="M449" s="129">
        <v>4</v>
      </c>
      <c r="N449" s="142">
        <v>59.98</v>
      </c>
      <c r="O449" s="142">
        <v>119.96</v>
      </c>
    </row>
    <row r="450" ht="16.1" customHeight="1">
      <c r="I450" t="s" s="126">
        <v>2196</v>
      </c>
      <c r="J450" s="127"/>
      <c r="K450" s="127"/>
      <c r="L450" s="128"/>
      <c r="M450" s="129">
        <v>2</v>
      </c>
      <c r="N450" s="142">
        <v>9.99</v>
      </c>
      <c r="O450" s="142">
        <v>9.99</v>
      </c>
    </row>
    <row r="451" ht="16.1" customHeight="1">
      <c r="I451" t="s" s="126">
        <v>3935</v>
      </c>
      <c r="J451" s="127"/>
      <c r="K451" s="127"/>
      <c r="L451" s="128"/>
      <c r="M451" s="129">
        <v>2</v>
      </c>
      <c r="N451" s="142">
        <v>9.99</v>
      </c>
      <c r="O451" s="142">
        <v>19.98</v>
      </c>
    </row>
    <row r="452" ht="16.1" customHeight="1">
      <c r="I452" t="s" s="126">
        <v>4132</v>
      </c>
      <c r="J452" s="127"/>
      <c r="K452" s="127"/>
      <c r="L452" s="128"/>
      <c r="M452" s="129">
        <v>4</v>
      </c>
      <c r="N452" s="142">
        <v>129.98</v>
      </c>
      <c r="O452" s="142">
        <v>259.96</v>
      </c>
    </row>
    <row r="453" ht="16.1" customHeight="1">
      <c r="I453" t="s" s="126">
        <v>3844</v>
      </c>
      <c r="J453" s="127"/>
      <c r="K453" s="127"/>
      <c r="L453" s="128"/>
      <c r="M453" s="129">
        <v>10</v>
      </c>
      <c r="N453" s="142">
        <v>975.98</v>
      </c>
      <c r="O453" s="142">
        <v>1951.96</v>
      </c>
    </row>
    <row r="454" ht="16.1" customHeight="1">
      <c r="I454" t="s" s="126">
        <v>4017</v>
      </c>
      <c r="J454" s="127"/>
      <c r="K454" s="127"/>
      <c r="L454" s="128"/>
      <c r="M454" s="129">
        <v>2</v>
      </c>
      <c r="N454" s="142">
        <v>149.99</v>
      </c>
      <c r="O454" s="142">
        <v>299.98</v>
      </c>
    </row>
    <row r="455" ht="16.1" customHeight="1">
      <c r="I455" t="s" s="126">
        <v>3908</v>
      </c>
      <c r="J455" s="127"/>
      <c r="K455" s="127"/>
      <c r="L455" s="128"/>
      <c r="M455" s="129">
        <v>16</v>
      </c>
      <c r="N455" s="142">
        <v>179.99</v>
      </c>
      <c r="O455" s="142">
        <v>2879.84</v>
      </c>
    </row>
    <row r="456" ht="16.1" customHeight="1">
      <c r="I456" t="s" s="126">
        <v>4144</v>
      </c>
      <c r="J456" s="127"/>
      <c r="K456" s="127"/>
      <c r="L456" s="128"/>
      <c r="M456" s="129">
        <v>1</v>
      </c>
      <c r="N456" s="142">
        <v>349.99</v>
      </c>
      <c r="O456" s="142">
        <v>349.99</v>
      </c>
    </row>
    <row r="457" ht="16.1" customHeight="1">
      <c r="I457" t="s" s="126">
        <v>3858</v>
      </c>
      <c r="J457" s="127"/>
      <c r="K457" s="127"/>
      <c r="L457" s="128"/>
      <c r="M457" s="129">
        <v>2</v>
      </c>
      <c r="N457" s="142">
        <v>59.99</v>
      </c>
      <c r="O457" s="142">
        <v>119.98</v>
      </c>
    </row>
    <row r="458" ht="16.1" customHeight="1">
      <c r="I458" t="s" s="126">
        <v>4100</v>
      </c>
      <c r="J458" s="127"/>
      <c r="K458" s="127"/>
      <c r="L458" s="128"/>
      <c r="M458" s="129">
        <v>6</v>
      </c>
      <c r="N458" s="142">
        <v>129.98</v>
      </c>
      <c r="O458" s="142">
        <v>389.94</v>
      </c>
    </row>
    <row r="459" ht="16.1" customHeight="1">
      <c r="I459" t="s" s="126">
        <v>4034</v>
      </c>
      <c r="J459" s="127"/>
      <c r="K459" s="127"/>
      <c r="L459" s="128"/>
      <c r="M459" s="129">
        <v>1</v>
      </c>
      <c r="N459" s="142">
        <v>349.99</v>
      </c>
      <c r="O459" s="142">
        <v>349.99</v>
      </c>
    </row>
    <row r="460" ht="16.1" customHeight="1">
      <c r="I460" t="s" s="126">
        <v>3981</v>
      </c>
      <c r="J460" s="127"/>
      <c r="K460" s="127"/>
      <c r="L460" s="128"/>
      <c r="M460" s="129">
        <v>1</v>
      </c>
      <c r="N460" s="142">
        <v>399.99</v>
      </c>
      <c r="O460" s="142">
        <v>399.99</v>
      </c>
    </row>
    <row r="461" ht="16.1" customHeight="1">
      <c r="I461" t="s" s="126">
        <v>3967</v>
      </c>
      <c r="J461" s="127"/>
      <c r="K461" s="127"/>
      <c r="L461" s="128"/>
      <c r="M461" s="129">
        <v>2</v>
      </c>
      <c r="N461" s="142">
        <v>59.98</v>
      </c>
      <c r="O461" s="142">
        <v>59.98</v>
      </c>
    </row>
    <row r="462" ht="16.1" customHeight="1">
      <c r="I462" t="s" s="126">
        <v>4119</v>
      </c>
      <c r="J462" s="127"/>
      <c r="K462" s="127"/>
      <c r="L462" s="128"/>
      <c r="M462" s="129">
        <v>2</v>
      </c>
      <c r="N462" s="142">
        <v>59.98</v>
      </c>
      <c r="O462" s="142">
        <v>59.98</v>
      </c>
    </row>
    <row r="463" ht="16.1" customHeight="1">
      <c r="I463" t="s" s="126">
        <v>3919</v>
      </c>
      <c r="J463" s="127"/>
      <c r="K463" s="127"/>
      <c r="L463" s="128"/>
      <c r="M463" s="129">
        <v>1</v>
      </c>
      <c r="N463" s="142">
        <v>399.99</v>
      </c>
      <c r="O463" s="142">
        <v>399.99</v>
      </c>
    </row>
    <row r="464" ht="16.1" customHeight="1">
      <c r="I464" t="s" s="126">
        <v>4090</v>
      </c>
      <c r="J464" s="127"/>
      <c r="K464" s="127"/>
      <c r="L464" s="128"/>
      <c r="M464" s="129">
        <v>4</v>
      </c>
      <c r="N464" s="142">
        <v>929.97</v>
      </c>
      <c r="O464" s="142">
        <v>929.97</v>
      </c>
    </row>
    <row r="465" ht="16.1" customHeight="1">
      <c r="I465" t="s" s="126">
        <v>3781</v>
      </c>
      <c r="J465" s="127"/>
      <c r="K465" s="127"/>
      <c r="L465" s="128"/>
      <c r="M465" s="129">
        <v>16</v>
      </c>
      <c r="N465" s="142">
        <v>379.94</v>
      </c>
      <c r="O465" s="142">
        <v>819.84</v>
      </c>
    </row>
    <row r="466" ht="16.1" customHeight="1">
      <c r="I466" t="s" s="126">
        <v>4058</v>
      </c>
      <c r="J466" s="127"/>
      <c r="K466" s="127"/>
      <c r="L466" s="128"/>
      <c r="M466" s="129">
        <v>4</v>
      </c>
      <c r="N466" s="142">
        <v>49.99</v>
      </c>
      <c r="O466" s="142">
        <v>199.96</v>
      </c>
    </row>
    <row r="467" ht="16.1" customHeight="1">
      <c r="I467" t="s" s="126">
        <v>4160</v>
      </c>
      <c r="J467" s="127"/>
      <c r="K467" s="127"/>
      <c r="L467" s="128"/>
      <c r="M467" s="129">
        <v>2</v>
      </c>
      <c r="N467" s="142">
        <v>59.98</v>
      </c>
      <c r="O467" s="142">
        <v>59.98</v>
      </c>
    </row>
    <row r="468" ht="16.1" customHeight="1">
      <c r="I468" t="s" s="126">
        <v>3944</v>
      </c>
      <c r="J468" s="127"/>
      <c r="K468" s="127"/>
      <c r="L468" s="128"/>
      <c r="M468" s="129">
        <v>2</v>
      </c>
      <c r="N468" s="142">
        <v>9.99</v>
      </c>
      <c r="O468" s="142">
        <v>19.98</v>
      </c>
    </row>
    <row r="469" ht="16.1" customHeight="1">
      <c r="I469" t="s" s="126">
        <v>4080</v>
      </c>
      <c r="J469" s="127"/>
      <c r="K469" s="127"/>
      <c r="L469" s="128"/>
      <c r="M469" s="129">
        <v>1</v>
      </c>
      <c r="N469" s="142">
        <v>399.99</v>
      </c>
      <c r="O469" s="142">
        <v>399.99</v>
      </c>
    </row>
    <row r="470" ht="16.1" customHeight="1">
      <c r="I470" t="s" s="126">
        <v>4142</v>
      </c>
      <c r="J470" s="127"/>
      <c r="K470" s="127"/>
      <c r="L470" s="128"/>
      <c r="M470" s="129">
        <v>2</v>
      </c>
      <c r="N470" s="142">
        <v>7.49</v>
      </c>
      <c r="O470" s="142">
        <v>14.98</v>
      </c>
    </row>
    <row r="471" ht="16.1" customHeight="1">
      <c r="I471" t="s" s="126">
        <v>4002</v>
      </c>
      <c r="J471" s="127"/>
      <c r="K471" s="127"/>
      <c r="L471" s="128"/>
      <c r="M471" s="129">
        <v>2</v>
      </c>
      <c r="N471" s="142">
        <v>49.99</v>
      </c>
      <c r="O471" s="142">
        <v>99.98</v>
      </c>
    </row>
    <row r="472" ht="16.1" customHeight="1">
      <c r="I472" t="s" s="126">
        <v>4103</v>
      </c>
      <c r="J472" s="127"/>
      <c r="K472" s="127"/>
      <c r="L472" s="128"/>
      <c r="M472" s="129">
        <v>2</v>
      </c>
      <c r="N472" s="142">
        <v>9.99</v>
      </c>
      <c r="O472" s="142">
        <v>19.98</v>
      </c>
    </row>
    <row r="473" ht="16.1" customHeight="1">
      <c r="I473" t="s" s="126">
        <v>3876</v>
      </c>
      <c r="J473" s="127"/>
      <c r="K473" s="127"/>
      <c r="L473" s="128"/>
      <c r="M473" s="129">
        <v>7</v>
      </c>
      <c r="N473" s="142">
        <v>739.9400000000001</v>
      </c>
      <c r="O473" s="142">
        <v>889.9299999999999</v>
      </c>
    </row>
    <row r="474" ht="16.1" customHeight="1">
      <c r="I474" t="s" s="126">
        <v>3923</v>
      </c>
      <c r="J474" s="127"/>
      <c r="K474" s="127"/>
      <c r="L474" s="128"/>
      <c r="M474" s="129">
        <v>12</v>
      </c>
      <c r="N474" s="142">
        <v>239.96</v>
      </c>
      <c r="O474" s="142">
        <v>719.88</v>
      </c>
    </row>
    <row r="475" ht="16.1" customHeight="1">
      <c r="I475" t="s" s="126">
        <v>3931</v>
      </c>
      <c r="J475" s="127"/>
      <c r="K475" s="127"/>
      <c r="L475" s="128"/>
      <c r="M475" s="129">
        <v>1</v>
      </c>
      <c r="N475" s="142">
        <v>399.99</v>
      </c>
      <c r="O475" s="142">
        <v>399.99</v>
      </c>
    </row>
    <row r="476" ht="16.1" customHeight="1">
      <c r="I476" t="s" s="126">
        <v>4146</v>
      </c>
      <c r="J476" s="127"/>
      <c r="K476" s="127"/>
      <c r="L476" s="128"/>
      <c r="M476" s="129">
        <v>1</v>
      </c>
      <c r="N476" s="142">
        <v>524.99</v>
      </c>
      <c r="O476" s="142">
        <v>524.99</v>
      </c>
    </row>
    <row r="477" ht="16.1" customHeight="1">
      <c r="I477" t="s" s="126">
        <v>4068</v>
      </c>
      <c r="J477" s="127"/>
      <c r="K477" s="127"/>
      <c r="L477" s="128"/>
      <c r="M477" s="129">
        <v>1</v>
      </c>
      <c r="N477" s="142">
        <v>49.99</v>
      </c>
      <c r="O477" s="142">
        <v>49.99</v>
      </c>
    </row>
    <row r="478" ht="16.1" customHeight="1">
      <c r="I478" t="s" s="126">
        <v>3900</v>
      </c>
      <c r="J478" s="127"/>
      <c r="K478" s="127"/>
      <c r="L478" s="128"/>
      <c r="M478" s="129">
        <v>1</v>
      </c>
      <c r="N478" s="142">
        <v>399.99</v>
      </c>
      <c r="O478" s="142">
        <v>399.99</v>
      </c>
    </row>
    <row r="479" ht="16.1" customHeight="1">
      <c r="I479" t="s" s="126">
        <v>3906</v>
      </c>
      <c r="J479" s="127"/>
      <c r="K479" s="127"/>
      <c r="L479" s="128"/>
      <c r="M479" s="129">
        <v>2</v>
      </c>
      <c r="N479" s="142">
        <v>19.99</v>
      </c>
      <c r="O479" s="142">
        <v>39.98</v>
      </c>
    </row>
    <row r="480" ht="16.1" customHeight="1">
      <c r="I480" t="s" s="126">
        <v>3870</v>
      </c>
      <c r="J480" s="127"/>
      <c r="K480" s="127"/>
      <c r="L480" s="128"/>
      <c r="M480" s="129">
        <v>2</v>
      </c>
      <c r="N480" s="142">
        <v>7.49</v>
      </c>
      <c r="O480" s="142">
        <v>14.98</v>
      </c>
    </row>
    <row r="481" ht="16.1" customHeight="1">
      <c r="I481" t="s" s="126">
        <v>4030</v>
      </c>
      <c r="J481" s="127"/>
      <c r="K481" s="127"/>
      <c r="L481" s="128"/>
      <c r="M481" s="129">
        <v>2</v>
      </c>
      <c r="N481" s="142">
        <v>129.98</v>
      </c>
      <c r="O481" s="142">
        <v>129.98</v>
      </c>
    </row>
    <row r="482" ht="16.1" customHeight="1">
      <c r="I482" t="s" s="126">
        <v>4032</v>
      </c>
      <c r="J482" s="127"/>
      <c r="K482" s="127"/>
      <c r="L482" s="128"/>
      <c r="M482" s="129">
        <v>20</v>
      </c>
      <c r="N482" s="142">
        <v>1599.94</v>
      </c>
      <c r="O482" s="142">
        <v>3199.88</v>
      </c>
    </row>
    <row r="483" ht="16.1" customHeight="1">
      <c r="I483" t="s" s="126">
        <v>3933</v>
      </c>
      <c r="J483" s="127"/>
      <c r="K483" s="127"/>
      <c r="L483" s="128"/>
      <c r="M483" s="129">
        <v>2</v>
      </c>
      <c r="N483" s="142">
        <v>409.98</v>
      </c>
      <c r="O483" s="142">
        <v>409.98</v>
      </c>
    </row>
    <row r="484" ht="16.1" customHeight="1">
      <c r="I484" t="s" s="126">
        <v>831</v>
      </c>
      <c r="J484" s="127"/>
      <c r="K484" s="127"/>
      <c r="L484" s="128"/>
      <c r="M484" s="129">
        <v>21</v>
      </c>
      <c r="N484" s="142">
        <v>1299.97</v>
      </c>
      <c r="O484" s="142">
        <v>5049.85</v>
      </c>
    </row>
    <row r="485" ht="16.1" customHeight="1">
      <c r="I485" t="s" s="126">
        <v>3878</v>
      </c>
      <c r="J485" s="127"/>
      <c r="K485" s="127"/>
      <c r="L485" s="128"/>
      <c r="M485" s="129">
        <v>3</v>
      </c>
      <c r="N485" s="142">
        <v>189.97</v>
      </c>
      <c r="O485" s="142">
        <v>189.97</v>
      </c>
    </row>
    <row r="486" ht="16.1" customHeight="1">
      <c r="I486" t="s" s="126">
        <v>4021</v>
      </c>
      <c r="J486" s="127"/>
      <c r="K486" s="127"/>
      <c r="L486" s="128"/>
      <c r="M486" s="129">
        <v>5</v>
      </c>
      <c r="N486" s="142">
        <v>1299.99</v>
      </c>
      <c r="O486" s="142">
        <v>1299.99</v>
      </c>
    </row>
    <row r="487" ht="16.1" customHeight="1">
      <c r="I487" t="s" s="126">
        <v>3865</v>
      </c>
      <c r="J487" s="127"/>
      <c r="K487" s="127"/>
      <c r="L487" s="128"/>
      <c r="M487" s="129">
        <v>1</v>
      </c>
      <c r="N487" s="142">
        <v>0</v>
      </c>
      <c r="O487" s="142">
        <v>0</v>
      </c>
    </row>
    <row r="488" ht="16.1" customHeight="1">
      <c r="I488" t="s" s="126">
        <v>4072</v>
      </c>
      <c r="J488" s="127"/>
      <c r="K488" s="127"/>
      <c r="L488" s="128"/>
      <c r="M488" s="129">
        <v>2</v>
      </c>
      <c r="N488" s="142">
        <v>599.99</v>
      </c>
      <c r="O488" s="142">
        <v>1199.98</v>
      </c>
    </row>
    <row r="489" ht="16.1" customHeight="1">
      <c r="I489" t="s" s="126">
        <v>4149</v>
      </c>
      <c r="J489" s="127"/>
      <c r="K489" s="127"/>
      <c r="L489" s="128"/>
      <c r="M489" s="129">
        <v>6</v>
      </c>
      <c r="N489" s="142">
        <v>0</v>
      </c>
      <c r="O489" s="142">
        <v>0</v>
      </c>
    </row>
    <row r="490" ht="16.1" customHeight="1">
      <c r="I490" t="s" s="126">
        <v>3946</v>
      </c>
      <c r="J490" s="127"/>
      <c r="K490" s="127"/>
      <c r="L490" s="128"/>
      <c r="M490" s="129">
        <v>6</v>
      </c>
      <c r="N490" s="142">
        <v>1749.98</v>
      </c>
      <c r="O490" s="142">
        <v>1749.98</v>
      </c>
    </row>
    <row r="491" ht="16.1" customHeight="1">
      <c r="I491" t="s" s="126">
        <v>391</v>
      </c>
      <c r="J491" s="127"/>
      <c r="K491" s="127"/>
      <c r="L491" s="128"/>
      <c r="M491" s="129">
        <v>1044</v>
      </c>
      <c r="N491" s="142">
        <v>997.7426085</v>
      </c>
      <c r="O491" s="142">
        <v>2554.230978</v>
      </c>
    </row>
    <row r="492" ht="16.1" customHeight="1">
      <c r="I492" t="s" s="126">
        <v>911</v>
      </c>
      <c r="J492" s="127"/>
      <c r="K492" s="127"/>
      <c r="L492" s="128"/>
      <c r="M492" s="129">
        <v>4</v>
      </c>
      <c r="N492" s="142">
        <v>799.99</v>
      </c>
      <c r="O492" s="142">
        <v>3199.96</v>
      </c>
    </row>
    <row r="493" ht="16.1" customHeight="1">
      <c r="I493" t="s" s="126">
        <v>4064</v>
      </c>
      <c r="J493" s="127"/>
      <c r="K493" s="127"/>
      <c r="L493" s="128"/>
      <c r="M493" s="129">
        <v>2</v>
      </c>
      <c r="N493" s="142">
        <v>124.99</v>
      </c>
      <c r="O493" s="142">
        <v>124.99</v>
      </c>
    </row>
    <row r="494" ht="16.1" customHeight="1">
      <c r="I494" t="s" s="126">
        <v>4010</v>
      </c>
      <c r="J494" s="127"/>
      <c r="K494" s="127"/>
      <c r="L494" s="128"/>
      <c r="M494" s="129">
        <v>4</v>
      </c>
      <c r="N494" s="142">
        <v>59.98</v>
      </c>
      <c r="O494" s="142">
        <v>119.96</v>
      </c>
    </row>
    <row r="495" ht="16.1" customHeight="1">
      <c r="I495" t="s" s="126">
        <v>4056</v>
      </c>
      <c r="J495" s="127"/>
      <c r="K495" s="127"/>
      <c r="L495" s="128"/>
      <c r="M495" s="129">
        <v>1</v>
      </c>
      <c r="N495" s="142">
        <v>349.99</v>
      </c>
      <c r="O495" s="142">
        <v>349.99</v>
      </c>
    </row>
    <row r="496" ht="16.1" customHeight="1">
      <c r="I496" t="s" s="126">
        <v>3894</v>
      </c>
      <c r="J496" s="127"/>
      <c r="K496" s="127"/>
      <c r="L496" s="128"/>
      <c r="M496" s="129">
        <v>19</v>
      </c>
      <c r="N496" s="142">
        <v>1514.94</v>
      </c>
      <c r="O496" s="142">
        <v>2024.84</v>
      </c>
    </row>
    <row r="497" ht="16.1" customHeight="1">
      <c r="I497" t="s" s="126">
        <v>3995</v>
      </c>
      <c r="J497" s="127"/>
      <c r="K497" s="127"/>
      <c r="L497" s="128"/>
      <c r="M497" s="129">
        <v>2</v>
      </c>
      <c r="N497" s="142">
        <v>59.99</v>
      </c>
      <c r="O497" s="142">
        <v>119.98</v>
      </c>
    </row>
    <row r="498" ht="16.1" customHeight="1">
      <c r="I498" t="s" s="126">
        <v>69</v>
      </c>
      <c r="J498" s="127"/>
      <c r="K498" s="127"/>
      <c r="L498" s="128"/>
      <c r="M498" s="129">
        <v>14</v>
      </c>
      <c r="N498" s="142">
        <v>512.7057610000001</v>
      </c>
      <c r="O498" s="142">
        <v>557.81369575</v>
      </c>
    </row>
    <row r="499" ht="16.1" customHeight="1">
      <c r="I499" t="s" s="126">
        <v>3189</v>
      </c>
      <c r="J499" s="127"/>
      <c r="K499" s="127"/>
      <c r="L499" s="128"/>
      <c r="M499" s="129">
        <v>1</v>
      </c>
      <c r="N499" s="142">
        <v>0</v>
      </c>
      <c r="O499" s="142">
        <v>0</v>
      </c>
    </row>
    <row r="500" ht="16.1" customHeight="1">
      <c r="I500" t="s" s="126">
        <v>506</v>
      </c>
      <c r="J500" s="127"/>
      <c r="K500" s="127"/>
      <c r="L500" s="128"/>
      <c r="M500" s="129">
        <v>1</v>
      </c>
      <c r="N500" s="142">
        <v>349.99</v>
      </c>
      <c r="O500" s="142">
        <v>349.99</v>
      </c>
    </row>
    <row r="501" ht="16.1" customHeight="1">
      <c r="I501" t="s" s="126">
        <v>4087</v>
      </c>
      <c r="J501" s="127"/>
      <c r="K501" s="127"/>
      <c r="L501" s="128"/>
      <c r="M501" s="129">
        <v>1</v>
      </c>
      <c r="N501" s="142">
        <v>349.99</v>
      </c>
      <c r="O501" s="142">
        <v>349.99</v>
      </c>
    </row>
    <row r="502" ht="16.1" customHeight="1">
      <c r="I502" t="s" s="126">
        <v>3902</v>
      </c>
      <c r="J502" s="127"/>
      <c r="K502" s="127"/>
      <c r="L502" s="128"/>
      <c r="M502" s="129">
        <v>1</v>
      </c>
      <c r="N502" s="142">
        <v>399.99</v>
      </c>
      <c r="O502" s="142">
        <v>399.99</v>
      </c>
    </row>
    <row r="503" ht="16.1" customHeight="1">
      <c r="I503" t="s" s="126">
        <v>3862</v>
      </c>
      <c r="J503" s="127"/>
      <c r="K503" s="127"/>
      <c r="L503" s="128"/>
      <c r="M503" s="129">
        <v>1</v>
      </c>
      <c r="N503" s="142">
        <v>399.99</v>
      </c>
      <c r="O503" s="142">
        <v>399.99</v>
      </c>
    </row>
    <row r="504" ht="16.1" customHeight="1">
      <c r="I504" t="s" s="126">
        <v>3732</v>
      </c>
      <c r="J504" s="127"/>
      <c r="K504" s="127"/>
      <c r="L504" s="128"/>
      <c r="M504" s="129">
        <v>1</v>
      </c>
      <c r="N504" s="142">
        <v>199.99</v>
      </c>
      <c r="O504" s="142">
        <v>199.99</v>
      </c>
    </row>
    <row r="505" ht="16.1" customHeight="1">
      <c r="I505" t="s" s="126">
        <v>1326</v>
      </c>
      <c r="J505" s="127"/>
      <c r="K505" s="127"/>
      <c r="L505" s="128"/>
      <c r="M505" s="129">
        <v>1</v>
      </c>
      <c r="N505" s="142">
        <v>549.99</v>
      </c>
      <c r="O505" s="142">
        <v>549.99</v>
      </c>
    </row>
    <row r="506" ht="16.1" customHeight="1">
      <c r="I506" t="s" s="126">
        <v>3955</v>
      </c>
      <c r="J506" s="127"/>
      <c r="K506" s="127"/>
      <c r="L506" s="128"/>
      <c r="M506" s="129">
        <v>2</v>
      </c>
      <c r="N506" s="142">
        <v>59.98</v>
      </c>
      <c r="O506" s="142">
        <v>59.98</v>
      </c>
    </row>
    <row r="507" ht="16.1" customHeight="1">
      <c r="I507" t="s" s="126">
        <v>4130</v>
      </c>
      <c r="J507" s="127"/>
      <c r="K507" s="127"/>
      <c r="L507" s="128"/>
      <c r="M507" s="129">
        <v>28</v>
      </c>
      <c r="N507" s="142">
        <v>398.96</v>
      </c>
      <c r="O507" s="142">
        <v>2111.76</v>
      </c>
    </row>
    <row r="508" ht="16.1" customHeight="1">
      <c r="I508" t="s" s="126">
        <v>865</v>
      </c>
      <c r="J508" s="127"/>
      <c r="K508" s="127"/>
      <c r="L508" s="128"/>
      <c r="M508" s="129">
        <v>1</v>
      </c>
      <c r="N508" s="142">
        <v>549.99</v>
      </c>
      <c r="O508" s="142">
        <v>549.99</v>
      </c>
    </row>
    <row r="509" ht="16.1" customHeight="1">
      <c r="I509" t="s" s="126">
        <v>4045</v>
      </c>
      <c r="J509" s="127"/>
      <c r="K509" s="127"/>
      <c r="L509" s="128"/>
      <c r="M509" s="129">
        <v>5</v>
      </c>
      <c r="N509" s="142">
        <v>139.97</v>
      </c>
      <c r="O509" s="142">
        <v>269.95</v>
      </c>
    </row>
    <row r="510" ht="16.1" customHeight="1">
      <c r="I510" t="s" s="126">
        <v>476</v>
      </c>
      <c r="J510" s="127"/>
      <c r="K510" s="127"/>
      <c r="L510" s="128"/>
      <c r="M510" s="129">
        <v>15</v>
      </c>
      <c r="N510" s="142">
        <v>1715</v>
      </c>
      <c r="O510" s="142">
        <v>11465</v>
      </c>
    </row>
    <row r="511" ht="16.1" customHeight="1">
      <c r="I511" t="s" s="126">
        <v>896</v>
      </c>
      <c r="J511" s="127"/>
      <c r="K511" s="127"/>
      <c r="L511" s="128"/>
      <c r="M511" s="129">
        <v>5</v>
      </c>
      <c r="N511" s="142">
        <v>0</v>
      </c>
      <c r="O511" s="142">
        <v>0</v>
      </c>
    </row>
    <row r="512" ht="16.1" customHeight="1">
      <c r="I512" t="s" s="126">
        <v>3921</v>
      </c>
      <c r="J512" s="127"/>
      <c r="K512" s="127"/>
      <c r="L512" s="128"/>
      <c r="M512" s="129">
        <v>1</v>
      </c>
      <c r="N512" s="142">
        <v>399.99</v>
      </c>
      <c r="O512" s="142">
        <v>399.99</v>
      </c>
    </row>
    <row r="513" ht="16.1" customHeight="1">
      <c r="I513" t="s" s="126">
        <v>3852</v>
      </c>
      <c r="J513" s="127"/>
      <c r="K513" s="127"/>
      <c r="L513" s="128"/>
      <c r="M513" s="129">
        <v>30</v>
      </c>
      <c r="N513" s="142">
        <v>257.96</v>
      </c>
      <c r="O513" s="142">
        <v>1934.7</v>
      </c>
    </row>
    <row r="514" ht="16.1" customHeight="1">
      <c r="I514" t="s" s="126">
        <v>4117</v>
      </c>
      <c r="J514" s="127"/>
      <c r="K514" s="127"/>
      <c r="L514" s="128"/>
      <c r="M514" s="129">
        <v>1</v>
      </c>
      <c r="N514" s="142">
        <v>399.99</v>
      </c>
      <c r="O514" s="142">
        <v>399.99</v>
      </c>
    </row>
    <row r="515" ht="16.1" customHeight="1">
      <c r="I515" t="s" s="126">
        <v>4028</v>
      </c>
      <c r="J515" s="127"/>
      <c r="K515" s="127"/>
      <c r="L515" s="128"/>
      <c r="M515" s="129">
        <v>1</v>
      </c>
      <c r="N515" s="142">
        <v>599.99</v>
      </c>
      <c r="O515" s="142">
        <v>599.99</v>
      </c>
    </row>
    <row r="516" ht="16.1" customHeight="1">
      <c r="I516" t="s" s="126">
        <v>3972</v>
      </c>
      <c r="J516" s="127"/>
      <c r="K516" s="127"/>
      <c r="L516" s="128"/>
      <c r="M516" s="129">
        <v>1</v>
      </c>
      <c r="N516" s="142">
        <v>399.99</v>
      </c>
      <c r="O516" s="142">
        <v>399.99</v>
      </c>
    </row>
    <row r="517" ht="16.1" customHeight="1">
      <c r="I517" t="s" s="126">
        <v>4085</v>
      </c>
      <c r="J517" s="127"/>
      <c r="K517" s="127"/>
      <c r="L517" s="128"/>
      <c r="M517" s="129">
        <v>1</v>
      </c>
      <c r="N517" s="142">
        <v>399.99</v>
      </c>
      <c r="O517" s="142">
        <v>399.99</v>
      </c>
    </row>
    <row r="518" ht="16.1" customHeight="1">
      <c r="I518" t="s" s="126">
        <v>4109</v>
      </c>
      <c r="J518" s="127"/>
      <c r="K518" s="127"/>
      <c r="L518" s="128"/>
      <c r="M518" s="129">
        <v>1</v>
      </c>
      <c r="N518" s="142">
        <v>349.99</v>
      </c>
      <c r="O518" s="142">
        <v>349.99</v>
      </c>
    </row>
    <row r="519" ht="16.1" customHeight="1">
      <c r="I519" t="s" s="126">
        <v>3969</v>
      </c>
      <c r="J519" s="127"/>
      <c r="K519" s="127"/>
      <c r="L519" s="128"/>
      <c r="M519" s="129">
        <v>8</v>
      </c>
      <c r="N519" s="142">
        <v>129.98</v>
      </c>
      <c r="O519" s="142">
        <v>519.92</v>
      </c>
    </row>
    <row r="520" ht="16.1" customHeight="1">
      <c r="I520" t="s" s="126">
        <v>3898</v>
      </c>
      <c r="J520" s="127"/>
      <c r="K520" s="127"/>
      <c r="L520" s="128"/>
      <c r="M520" s="129">
        <v>1</v>
      </c>
      <c r="N520" s="142">
        <v>399.99</v>
      </c>
      <c r="O520" s="142">
        <v>399.99</v>
      </c>
    </row>
    <row r="521" ht="16.1" customHeight="1">
      <c r="I521" t="s" s="126">
        <v>3977</v>
      </c>
      <c r="J521" s="127"/>
      <c r="K521" s="127"/>
      <c r="L521" s="128"/>
      <c r="M521" s="129">
        <v>1</v>
      </c>
      <c r="N521" s="142">
        <v>599.99</v>
      </c>
      <c r="O521" s="142">
        <v>599.99</v>
      </c>
    </row>
    <row r="522" ht="16.1" customHeight="1">
      <c r="I522" t="s" s="126">
        <v>3979</v>
      </c>
      <c r="J522" s="127"/>
      <c r="K522" s="127"/>
      <c r="L522" s="128"/>
      <c r="M522" s="129">
        <v>8</v>
      </c>
      <c r="N522" s="142">
        <v>1024.99</v>
      </c>
      <c r="O522" s="142">
        <v>2049.98</v>
      </c>
    </row>
    <row r="523" ht="16.1" customHeight="1">
      <c r="I523" t="s" s="126">
        <v>67</v>
      </c>
      <c r="J523" s="127"/>
      <c r="K523" s="127"/>
      <c r="L523" s="128"/>
      <c r="M523" s="129">
        <v>1</v>
      </c>
      <c r="N523" s="142">
        <v>0</v>
      </c>
      <c r="O523" s="142">
        <v>0</v>
      </c>
    </row>
    <row r="524" ht="16.1" customHeight="1">
      <c r="I524" t="s" s="126">
        <v>3987</v>
      </c>
      <c r="J524" s="127"/>
      <c r="K524" s="127"/>
      <c r="L524" s="128"/>
      <c r="M524" s="129">
        <v>2</v>
      </c>
      <c r="N524" s="142">
        <v>49.99</v>
      </c>
      <c r="O524" s="142">
        <v>99.98</v>
      </c>
    </row>
    <row r="525" ht="16.1" customHeight="1">
      <c r="I525" t="s" s="126">
        <v>3419</v>
      </c>
      <c r="J525" s="127"/>
      <c r="K525" s="127"/>
      <c r="L525" s="128"/>
      <c r="M525" s="129">
        <v>1</v>
      </c>
      <c r="N525" s="142">
        <v>399.99</v>
      </c>
      <c r="O525" s="142">
        <v>399.99</v>
      </c>
    </row>
    <row r="526" ht="16.1" customHeight="1">
      <c r="I526" t="s" s="126">
        <v>329</v>
      </c>
      <c r="J526" s="127"/>
      <c r="K526" s="127"/>
      <c r="L526" s="128"/>
      <c r="M526" s="129">
        <v>8</v>
      </c>
      <c r="N526" s="142">
        <v>969.99</v>
      </c>
      <c r="O526" s="142">
        <v>1939.98</v>
      </c>
    </row>
    <row r="527" ht="16.1" customHeight="1">
      <c r="I527" t="s" s="126">
        <v>3917</v>
      </c>
      <c r="J527" s="127"/>
      <c r="K527" s="127"/>
      <c r="L527" s="128"/>
      <c r="M527" s="129">
        <v>3</v>
      </c>
      <c r="N527" s="142">
        <v>9.99</v>
      </c>
      <c r="O527" s="142">
        <v>29.97</v>
      </c>
    </row>
    <row r="528" ht="16.1" customHeight="1">
      <c r="I528" t="s" s="126">
        <v>4014</v>
      </c>
      <c r="J528" s="127"/>
      <c r="K528" s="127"/>
      <c r="L528" s="128"/>
      <c r="M528" s="129">
        <v>1</v>
      </c>
      <c r="N528" s="142">
        <v>599.99</v>
      </c>
      <c r="O528" s="142">
        <v>599.99</v>
      </c>
    </row>
    <row r="529" ht="16.1" customHeight="1">
      <c r="I529" t="s" s="126">
        <v>4111</v>
      </c>
      <c r="J529" s="127"/>
      <c r="K529" s="127"/>
      <c r="L529" s="128"/>
      <c r="M529" s="129">
        <v>2</v>
      </c>
      <c r="N529" s="142">
        <v>59.99</v>
      </c>
      <c r="O529" s="142">
        <v>119.98</v>
      </c>
    </row>
    <row r="530" ht="16.1" customHeight="1">
      <c r="I530" t="s" s="126">
        <v>2630</v>
      </c>
      <c r="J530" s="127"/>
      <c r="K530" s="127"/>
      <c r="L530" s="128"/>
      <c r="M530" s="129">
        <v>5</v>
      </c>
      <c r="N530" s="142">
        <v>1299.98</v>
      </c>
      <c r="O530" s="142">
        <v>1299.98</v>
      </c>
    </row>
    <row r="531" ht="16.1" customHeight="1">
      <c r="I531" t="s" s="126">
        <v>325</v>
      </c>
      <c r="J531" s="127"/>
      <c r="K531" s="127"/>
      <c r="L531" s="128"/>
      <c r="M531" s="129">
        <v>8</v>
      </c>
      <c r="N531" s="142">
        <v>63.143913</v>
      </c>
      <c r="O531" s="142">
        <v>69.113913</v>
      </c>
    </row>
    <row r="532" ht="16.1" customHeight="1">
      <c r="I532" t="s" s="126">
        <v>1064</v>
      </c>
      <c r="J532" s="127"/>
      <c r="K532" s="127"/>
      <c r="L532" s="128"/>
      <c r="M532" s="129">
        <v>27</v>
      </c>
      <c r="N532" s="142">
        <v>1255.97</v>
      </c>
      <c r="O532" s="142">
        <v>4623.89</v>
      </c>
    </row>
    <row r="533" ht="16.1" customHeight="1">
      <c r="I533" t="s" s="126">
        <v>3957</v>
      </c>
      <c r="J533" s="127"/>
      <c r="K533" s="127"/>
      <c r="L533" s="128"/>
      <c r="M533" s="129">
        <v>1</v>
      </c>
      <c r="N533" s="142">
        <v>399.99</v>
      </c>
      <c r="O533" s="142">
        <v>399.99</v>
      </c>
    </row>
    <row r="534" ht="16.1" customHeight="1">
      <c r="I534" t="s" s="126">
        <v>3880</v>
      </c>
      <c r="J534" s="127"/>
      <c r="K534" s="127"/>
      <c r="L534" s="128"/>
      <c r="M534" s="129">
        <v>8</v>
      </c>
      <c r="N534" s="142">
        <v>969.99</v>
      </c>
      <c r="O534" s="142">
        <v>1939.98</v>
      </c>
    </row>
    <row r="535" ht="16.1" customHeight="1">
      <c r="I535" t="s" s="126">
        <v>1697</v>
      </c>
      <c r="J535" s="127"/>
      <c r="K535" s="127"/>
      <c r="L535" s="128"/>
      <c r="M535" s="129">
        <v>10</v>
      </c>
      <c r="N535" s="142">
        <v>2582.475</v>
      </c>
      <c r="O535" s="142">
        <v>5329.92</v>
      </c>
    </row>
    <row r="536" ht="16.1" customHeight="1">
      <c r="I536" t="s" s="126">
        <v>2850</v>
      </c>
      <c r="J536" s="127"/>
      <c r="K536" s="127"/>
      <c r="L536" s="128"/>
      <c r="M536" s="129">
        <v>5</v>
      </c>
      <c r="N536" s="142">
        <v>559.97</v>
      </c>
      <c r="O536" s="142">
        <v>779.95</v>
      </c>
    </row>
    <row r="537" ht="16.1" customHeight="1">
      <c r="I537" t="s" s="126">
        <v>3860</v>
      </c>
      <c r="J537" s="127"/>
      <c r="K537" s="127"/>
      <c r="L537" s="128"/>
      <c r="M537" s="129">
        <v>1</v>
      </c>
      <c r="N537" s="142">
        <v>399.99</v>
      </c>
      <c r="O537" s="142">
        <v>399.99</v>
      </c>
    </row>
    <row r="538" ht="16.1" customHeight="1">
      <c r="I538" t="s" s="126">
        <v>3940</v>
      </c>
      <c r="J538" s="127"/>
      <c r="K538" s="127"/>
      <c r="L538" s="128"/>
      <c r="M538" s="129">
        <v>1</v>
      </c>
      <c r="N538" s="142">
        <v>59.99</v>
      </c>
      <c r="O538" s="142">
        <v>59.99</v>
      </c>
    </row>
    <row r="539" ht="16.1" customHeight="1">
      <c r="I539" t="s" s="126">
        <v>4000</v>
      </c>
      <c r="J539" s="127"/>
      <c r="K539" s="127"/>
      <c r="L539" s="128"/>
      <c r="M539" s="129">
        <v>12</v>
      </c>
      <c r="N539" s="142">
        <v>128.98</v>
      </c>
      <c r="O539" s="142">
        <v>773.88</v>
      </c>
    </row>
    <row r="540" ht="16.1" customHeight="1">
      <c r="I540" t="s" s="126">
        <v>4041</v>
      </c>
      <c r="J540" s="127"/>
      <c r="K540" s="127"/>
      <c r="L540" s="128"/>
      <c r="M540" s="129">
        <v>4</v>
      </c>
      <c r="N540" s="142">
        <v>179.97</v>
      </c>
      <c r="O540" s="142">
        <v>229.96</v>
      </c>
    </row>
    <row r="541" ht="16.1" customHeight="1">
      <c r="I541" t="s" s="126">
        <v>4036</v>
      </c>
      <c r="J541" s="127"/>
      <c r="K541" s="127"/>
      <c r="L541" s="128"/>
      <c r="M541" s="129">
        <v>15</v>
      </c>
      <c r="N541" s="142">
        <v>923.95</v>
      </c>
      <c r="O541" s="142">
        <v>1837.91</v>
      </c>
    </row>
    <row r="542" ht="16.1" customHeight="1">
      <c r="I542" t="s" s="126">
        <v>4005</v>
      </c>
      <c r="J542" s="127"/>
      <c r="K542" s="127"/>
      <c r="L542" s="128"/>
      <c r="M542" s="129">
        <v>1</v>
      </c>
      <c r="N542" s="142">
        <v>49.99</v>
      </c>
      <c r="O542" s="142">
        <v>49.99</v>
      </c>
    </row>
    <row r="543" ht="16.1" customHeight="1">
      <c r="I543" t="s" s="126">
        <v>3884</v>
      </c>
      <c r="J543" s="127"/>
      <c r="K543" s="127"/>
      <c r="L543" s="128"/>
      <c r="M543" s="129">
        <v>1</v>
      </c>
      <c r="N543" s="142">
        <v>349.99</v>
      </c>
      <c r="O543" s="142">
        <v>349.99</v>
      </c>
    </row>
    <row r="544" ht="16.1" customHeight="1">
      <c r="I544" t="s" s="126">
        <v>3370</v>
      </c>
      <c r="J544" s="127"/>
      <c r="K544" s="127"/>
      <c r="L544" s="128"/>
      <c r="M544" s="129">
        <v>3</v>
      </c>
      <c r="N544" s="142">
        <v>0</v>
      </c>
      <c r="O544" s="142">
        <v>0</v>
      </c>
    </row>
    <row r="545" ht="16.1" customHeight="1">
      <c r="I545" t="s" s="126">
        <v>3974</v>
      </c>
      <c r="J545" s="127"/>
      <c r="K545" s="127"/>
      <c r="L545" s="128"/>
      <c r="M545" s="129">
        <v>1</v>
      </c>
      <c r="N545" s="142">
        <v>9.99</v>
      </c>
      <c r="O545" s="142">
        <v>9.99</v>
      </c>
    </row>
    <row r="546" ht="16.1" customHeight="1">
      <c r="I546" t="s" s="126">
        <v>1972</v>
      </c>
      <c r="J546" s="127"/>
      <c r="K546" s="127"/>
      <c r="L546" s="128"/>
      <c r="M546" s="129">
        <v>1</v>
      </c>
      <c r="N546" s="142">
        <v>549.99</v>
      </c>
      <c r="O546" s="142">
        <v>549.99</v>
      </c>
    </row>
    <row r="547" ht="16.1" customHeight="1">
      <c r="I547" t="s" s="126">
        <v>4008</v>
      </c>
      <c r="J547" s="127"/>
      <c r="K547" s="127"/>
      <c r="L547" s="128"/>
      <c r="M547" s="129">
        <v>20</v>
      </c>
      <c r="N547" s="142">
        <v>1349.99</v>
      </c>
      <c r="O547" s="142">
        <v>5399.96</v>
      </c>
    </row>
    <row r="548" ht="16.1" customHeight="1">
      <c r="I548" t="s" s="126">
        <v>4155</v>
      </c>
      <c r="J548" s="127"/>
      <c r="K548" s="127"/>
      <c r="L548" s="128"/>
      <c r="M548" s="129">
        <v>14</v>
      </c>
      <c r="N548" s="142">
        <v>188.45</v>
      </c>
      <c r="O548" s="142">
        <v>264.86</v>
      </c>
    </row>
    <row r="549" ht="16.1" customHeight="1">
      <c r="I549" t="s" s="126">
        <v>3634</v>
      </c>
      <c r="J549" s="127"/>
      <c r="K549" s="127"/>
      <c r="L549" s="128"/>
      <c r="M549" s="129">
        <v>3</v>
      </c>
      <c r="N549" s="142">
        <v>49.99</v>
      </c>
      <c r="O549" s="142">
        <v>149.97</v>
      </c>
    </row>
    <row r="550" ht="16.1" customHeight="1">
      <c r="I550" t="s" s="126">
        <v>2306</v>
      </c>
      <c r="J550" s="127"/>
      <c r="K550" s="127"/>
      <c r="L550" s="128"/>
      <c r="M550" s="129">
        <v>24</v>
      </c>
      <c r="N550" s="142">
        <v>919.9299999999999</v>
      </c>
      <c r="O550" s="142">
        <v>2949.76</v>
      </c>
    </row>
    <row r="551" ht="16.1" customHeight="1">
      <c r="I551" t="s" s="126">
        <v>4012</v>
      </c>
      <c r="J551" s="127"/>
      <c r="K551" s="127"/>
      <c r="L551" s="128"/>
      <c r="M551" s="129">
        <v>2</v>
      </c>
      <c r="N551" s="142">
        <v>599.99</v>
      </c>
      <c r="O551" s="142">
        <v>1199.98</v>
      </c>
    </row>
    <row r="552" ht="16.1" customHeight="1">
      <c r="I552" t="s" s="126">
        <v>4134</v>
      </c>
      <c r="J552" s="127"/>
      <c r="K552" s="127"/>
      <c r="L552" s="128"/>
      <c r="M552" s="129">
        <v>1</v>
      </c>
      <c r="N552" s="142">
        <v>399.99</v>
      </c>
      <c r="O552" s="142">
        <v>399.99</v>
      </c>
    </row>
    <row r="553" ht="16.1" customHeight="1">
      <c r="I553" t="s" s="126">
        <v>4043</v>
      </c>
      <c r="J553" s="127"/>
      <c r="K553" s="127"/>
      <c r="L553" s="128"/>
      <c r="M553" s="129">
        <v>5</v>
      </c>
      <c r="N553" s="142">
        <v>529.97</v>
      </c>
      <c r="O553" s="142">
        <v>659.95</v>
      </c>
    </row>
    <row r="554" ht="16.1" customHeight="1">
      <c r="I554" t="s" s="126">
        <v>2292</v>
      </c>
      <c r="J554" s="127"/>
      <c r="K554" s="127"/>
      <c r="L554" s="128"/>
      <c r="M554" s="129">
        <v>4</v>
      </c>
      <c r="N554" s="142">
        <v>149.99</v>
      </c>
      <c r="O554" s="142">
        <v>599.96</v>
      </c>
    </row>
    <row r="555" ht="16.1" customHeight="1">
      <c r="I555" t="s" s="126">
        <v>4138</v>
      </c>
      <c r="J555" s="127"/>
      <c r="K555" s="127"/>
      <c r="L555" s="128"/>
      <c r="M555" s="129">
        <v>8</v>
      </c>
      <c r="N555" s="142">
        <v>244.98</v>
      </c>
      <c r="O555" s="142">
        <v>749.92</v>
      </c>
    </row>
    <row r="556" ht="16.1" customHeight="1">
      <c r="I556" t="s" s="126">
        <v>1586</v>
      </c>
      <c r="J556" s="127"/>
      <c r="K556" s="127"/>
      <c r="L556" s="128"/>
      <c r="M556" s="129">
        <v>18</v>
      </c>
      <c r="N556" s="142">
        <v>787.4775</v>
      </c>
      <c r="O556" s="142">
        <v>1649.8725</v>
      </c>
    </row>
    <row r="557" ht="16.1" customHeight="1">
      <c r="I557" t="s" s="126">
        <v>4107</v>
      </c>
      <c r="J557" s="127"/>
      <c r="K557" s="127"/>
      <c r="L557" s="128"/>
      <c r="M557" s="129">
        <v>1</v>
      </c>
      <c r="N557" s="142">
        <v>399.99</v>
      </c>
      <c r="O557" s="142">
        <v>399.99</v>
      </c>
    </row>
    <row r="558" ht="16.1" customHeight="1">
      <c r="I558" t="s" s="126">
        <v>3925</v>
      </c>
      <c r="J558" s="127"/>
      <c r="K558" s="127"/>
      <c r="L558" s="128"/>
      <c r="M558" s="129">
        <v>2</v>
      </c>
      <c r="N558" s="142">
        <v>59.98</v>
      </c>
      <c r="O558" s="142">
        <v>59.98</v>
      </c>
    </row>
    <row r="559" ht="16.1" customHeight="1">
      <c r="I559" t="s" s="126">
        <v>4039</v>
      </c>
      <c r="J559" s="127"/>
      <c r="K559" s="127"/>
      <c r="L559" s="128"/>
      <c r="M559" s="129">
        <v>1</v>
      </c>
      <c r="N559" s="142">
        <v>109.99</v>
      </c>
      <c r="O559" s="142">
        <v>109.99</v>
      </c>
    </row>
    <row r="560" ht="16.1" customHeight="1">
      <c r="I560" t="s" s="126">
        <v>4098</v>
      </c>
      <c r="J560" s="127"/>
      <c r="K560" s="127"/>
      <c r="L560" s="128"/>
      <c r="M560" s="129">
        <v>4</v>
      </c>
      <c r="N560" s="142">
        <v>49.98</v>
      </c>
      <c r="O560" s="142">
        <v>99.95999999999999</v>
      </c>
    </row>
    <row r="561" ht="16.1" customHeight="1">
      <c r="I561" t="s" s="126">
        <v>4062</v>
      </c>
      <c r="J561" s="127"/>
      <c r="K561" s="127"/>
      <c r="L561" s="128"/>
      <c r="M561" s="129">
        <v>1</v>
      </c>
      <c r="N561" s="142">
        <v>49.99</v>
      </c>
      <c r="O561" s="142">
        <v>49.99</v>
      </c>
    </row>
    <row r="562" ht="16.1" customHeight="1">
      <c r="I562" t="s" s="126">
        <v>3528</v>
      </c>
      <c r="J562" s="127"/>
      <c r="K562" s="127"/>
      <c r="L562" s="128"/>
      <c r="M562" s="129">
        <v>1</v>
      </c>
      <c r="N562" s="142">
        <v>1199.99</v>
      </c>
      <c r="O562" s="142">
        <v>1199.99</v>
      </c>
    </row>
    <row r="563" ht="16.1" customHeight="1">
      <c r="I563" t="s" s="126">
        <v>3855</v>
      </c>
      <c r="J563" s="127"/>
      <c r="K563" s="127"/>
      <c r="L563" s="128"/>
      <c r="M563" s="129">
        <v>1</v>
      </c>
      <c r="N563" s="142">
        <v>549.99</v>
      </c>
      <c r="O563" s="142">
        <v>549.99</v>
      </c>
    </row>
    <row r="564" ht="16.1" customHeight="1">
      <c r="I564" t="s" s="126">
        <v>4060</v>
      </c>
      <c r="J564" s="127"/>
      <c r="K564" s="127"/>
      <c r="L564" s="128"/>
      <c r="M564" s="129">
        <v>1</v>
      </c>
      <c r="N564" s="142">
        <v>349.99</v>
      </c>
      <c r="O564" s="142">
        <v>349.99</v>
      </c>
    </row>
    <row r="565" ht="16.1" customHeight="1">
      <c r="I565" t="s" s="126">
        <v>2935</v>
      </c>
      <c r="J565" s="127"/>
      <c r="K565" s="127"/>
      <c r="L565" s="128"/>
      <c r="M565" s="129">
        <v>5</v>
      </c>
      <c r="N565" s="142">
        <v>1564.9775</v>
      </c>
      <c r="O565" s="142">
        <v>1564.9775</v>
      </c>
    </row>
    <row r="566" ht="16.1" customHeight="1">
      <c r="I566" t="s" s="126">
        <v>3928</v>
      </c>
      <c r="J566" s="127"/>
      <c r="K566" s="127"/>
      <c r="L566" s="128"/>
      <c r="M566" s="129">
        <v>1</v>
      </c>
      <c r="N566" s="142">
        <v>599.99</v>
      </c>
      <c r="O566" s="142">
        <v>599.99</v>
      </c>
    </row>
    <row r="567" ht="16.1" customHeight="1">
      <c r="I567" t="s" s="126">
        <v>4074</v>
      </c>
      <c r="J567" s="127"/>
      <c r="K567" s="127"/>
      <c r="L567" s="128"/>
      <c r="M567" s="129">
        <v>1</v>
      </c>
      <c r="N567" s="142">
        <v>599.99</v>
      </c>
      <c r="O567" s="142">
        <v>599.99</v>
      </c>
    </row>
    <row r="568" ht="16.1" customHeight="1">
      <c r="I568" t="s" s="126">
        <v>4023</v>
      </c>
      <c r="J568" s="127"/>
      <c r="K568" s="127"/>
      <c r="L568" s="128"/>
      <c r="M568" s="129">
        <v>1</v>
      </c>
      <c r="N568" s="142">
        <v>349.99</v>
      </c>
      <c r="O568" s="142">
        <v>349.99</v>
      </c>
    </row>
    <row r="569" ht="16.1" customHeight="1">
      <c r="I569" t="s" s="126">
        <v>3984</v>
      </c>
      <c r="J569" s="127"/>
      <c r="K569" s="127"/>
      <c r="L569" s="128"/>
      <c r="M569" s="129">
        <v>22</v>
      </c>
      <c r="N569" s="142">
        <v>929.985</v>
      </c>
      <c r="O569" s="142">
        <v>3779.955</v>
      </c>
    </row>
    <row r="570" ht="16.1" customHeight="1">
      <c r="I570" t="s" s="126">
        <v>3993</v>
      </c>
      <c r="J570" s="127"/>
      <c r="K570" s="127"/>
      <c r="L570" s="128"/>
      <c r="M570" s="129">
        <v>2</v>
      </c>
      <c r="N570" s="142">
        <v>109.98</v>
      </c>
      <c r="O570" s="142">
        <v>109.98</v>
      </c>
    </row>
    <row r="571" ht="16.1" customHeight="1">
      <c r="I571" t="s" s="126">
        <v>4076</v>
      </c>
      <c r="J571" s="127"/>
      <c r="K571" s="127"/>
      <c r="L571" s="128"/>
      <c r="M571" s="129">
        <v>8</v>
      </c>
      <c r="N571" s="142">
        <v>1019.96</v>
      </c>
      <c r="O571" s="142">
        <v>1369.92</v>
      </c>
    </row>
    <row r="572" ht="16.1" customHeight="1">
      <c r="I572" t="s" s="126">
        <v>4070</v>
      </c>
      <c r="J572" s="127"/>
      <c r="K572" s="127"/>
      <c r="L572" s="128"/>
      <c r="M572" s="129">
        <v>5</v>
      </c>
      <c r="N572" s="142">
        <v>859.97</v>
      </c>
      <c r="O572" s="142">
        <v>1319.95</v>
      </c>
    </row>
    <row r="573" ht="16.1" customHeight="1">
      <c r="I573" t="s" s="126">
        <v>473</v>
      </c>
      <c r="J573" s="127"/>
      <c r="K573" s="127"/>
      <c r="L573" s="128"/>
      <c r="M573" s="129">
        <v>42</v>
      </c>
      <c r="N573" s="142">
        <v>1706.235</v>
      </c>
      <c r="O573" s="142">
        <v>10173.5325</v>
      </c>
    </row>
    <row r="574" ht="16.1" customHeight="1">
      <c r="I574" t="s" s="126">
        <v>3583</v>
      </c>
      <c r="J574" s="127"/>
      <c r="K574" s="127"/>
      <c r="L574" s="128"/>
      <c r="M574" s="129">
        <v>1</v>
      </c>
      <c r="N574" s="142">
        <v>0</v>
      </c>
      <c r="O574" s="142">
        <v>0</v>
      </c>
    </row>
    <row r="575" ht="16.1" customHeight="1">
      <c r="I575" t="s" s="126">
        <v>3410</v>
      </c>
      <c r="J575" s="127"/>
      <c r="K575" s="127"/>
      <c r="L575" s="128"/>
      <c r="M575" s="129">
        <v>1</v>
      </c>
      <c r="N575" s="142">
        <v>59.99</v>
      </c>
      <c r="O575" s="142">
        <v>59.99</v>
      </c>
    </row>
    <row r="576" ht="16.1" customHeight="1">
      <c r="I576" t="s" s="126">
        <v>3965</v>
      </c>
      <c r="J576" s="127"/>
      <c r="K576" s="127"/>
      <c r="L576" s="128"/>
      <c r="M576" s="129">
        <v>1</v>
      </c>
      <c r="N576" s="142">
        <v>599.99</v>
      </c>
      <c r="O576" s="142">
        <v>599.99</v>
      </c>
    </row>
    <row r="577" ht="16.1" customHeight="1">
      <c r="I577" t="s" s="126">
        <v>3960</v>
      </c>
      <c r="J577" s="127"/>
      <c r="K577" s="127"/>
      <c r="L577" s="128"/>
      <c r="M577" s="129">
        <v>1</v>
      </c>
      <c r="N577" s="142">
        <v>349.99</v>
      </c>
      <c r="O577" s="142">
        <v>349.99</v>
      </c>
    </row>
    <row r="578" ht="16.1" customHeight="1">
      <c r="I578" t="s" s="126">
        <v>4158</v>
      </c>
      <c r="J578" s="127"/>
      <c r="K578" s="127"/>
      <c r="L578" s="128"/>
      <c r="M578" s="129">
        <v>29</v>
      </c>
      <c r="N578" s="142">
        <v>2399.94</v>
      </c>
      <c r="O578" s="142">
        <v>6899.87</v>
      </c>
    </row>
    <row r="579" ht="16.1" customHeight="1">
      <c r="I579" t="s" s="126">
        <v>4078</v>
      </c>
      <c r="J579" s="127"/>
      <c r="K579" s="127"/>
      <c r="L579" s="128"/>
      <c r="M579" s="129">
        <v>3</v>
      </c>
      <c r="N579" s="142">
        <v>69.97</v>
      </c>
      <c r="O579" s="142">
        <v>69.97</v>
      </c>
    </row>
    <row r="580" ht="16.1" customHeight="1">
      <c r="I580" t="s" s="126">
        <v>3896</v>
      </c>
      <c r="J580" s="127"/>
      <c r="K580" s="127"/>
      <c r="L580" s="128"/>
      <c r="M580" s="129">
        <v>5</v>
      </c>
      <c r="N580" s="142">
        <v>29.99</v>
      </c>
      <c r="O580" s="142">
        <v>149.95</v>
      </c>
    </row>
    <row r="581" ht="16.1" customHeight="1">
      <c r="I581" t="s" s="126">
        <v>4140</v>
      </c>
      <c r="J581" s="127"/>
      <c r="K581" s="127"/>
      <c r="L581" s="128"/>
      <c r="M581" s="129">
        <v>1</v>
      </c>
      <c r="N581" s="142">
        <v>549.99</v>
      </c>
      <c r="O581" s="142">
        <v>549.99</v>
      </c>
    </row>
    <row r="582" ht="16.1" customHeight="1">
      <c r="I582" t="s" s="126">
        <v>3697</v>
      </c>
      <c r="J582" s="127"/>
      <c r="K582" s="127"/>
      <c r="L582" s="128"/>
      <c r="M582" s="129">
        <v>1</v>
      </c>
      <c r="N582" s="142">
        <v>549.99</v>
      </c>
      <c r="O582" s="142">
        <v>549.99</v>
      </c>
    </row>
    <row r="583" ht="16.1" customHeight="1">
      <c r="I583" t="s" s="126">
        <v>3904</v>
      </c>
      <c r="J583" s="127"/>
      <c r="K583" s="127"/>
      <c r="L583" s="128"/>
      <c r="M583" s="129">
        <v>3</v>
      </c>
      <c r="N583" s="142">
        <v>1599.98</v>
      </c>
      <c r="O583" s="142">
        <v>2399.97</v>
      </c>
    </row>
    <row r="584" ht="16.1" customHeight="1">
      <c r="I584" t="s" s="126">
        <v>4096</v>
      </c>
      <c r="J584" s="127"/>
      <c r="K584" s="127"/>
      <c r="L584" s="128"/>
      <c r="M584" s="129">
        <v>5</v>
      </c>
      <c r="N584" s="142">
        <v>0</v>
      </c>
      <c r="O584" s="142">
        <v>0</v>
      </c>
    </row>
    <row r="585" ht="16.1" customHeight="1">
      <c r="I585" t="s" s="126">
        <v>4113</v>
      </c>
      <c r="J585" s="127"/>
      <c r="K585" s="127"/>
      <c r="L585" s="128"/>
      <c r="M585" s="129">
        <v>1</v>
      </c>
      <c r="N585" s="142">
        <v>349.99</v>
      </c>
      <c r="O585" s="142">
        <v>349.99</v>
      </c>
    </row>
    <row r="586" ht="16.1" customHeight="1">
      <c r="I586" t="s" s="126">
        <v>122</v>
      </c>
      <c r="J586" s="127"/>
      <c r="K586" s="127"/>
      <c r="L586" s="128"/>
      <c r="M586" s="129">
        <v>46</v>
      </c>
      <c r="N586" s="142">
        <v>1824.97</v>
      </c>
      <c r="O586" s="142">
        <v>3324.9175</v>
      </c>
    </row>
    <row r="587" ht="16.1" customHeight="1">
      <c r="I587" t="s" s="126">
        <v>2931</v>
      </c>
      <c r="J587" s="127"/>
      <c r="K587" s="127"/>
      <c r="L587" s="128"/>
      <c r="M587" s="129">
        <v>5</v>
      </c>
      <c r="N587" s="142">
        <v>659.9924999999999</v>
      </c>
      <c r="O587" s="142">
        <v>2459.97</v>
      </c>
    </row>
    <row r="588" ht="16.1" customHeight="1">
      <c r="I588" t="s" s="126">
        <v>3470</v>
      </c>
      <c r="J588" s="127"/>
      <c r="K588" s="127"/>
      <c r="L588" s="128"/>
      <c r="M588" s="129">
        <v>3</v>
      </c>
      <c r="N588" s="142">
        <v>409.98</v>
      </c>
      <c r="O588" s="142">
        <v>419.97</v>
      </c>
    </row>
    <row r="589" ht="16.1" customHeight="1">
      <c r="I589" t="s" s="126">
        <v>4025</v>
      </c>
      <c r="J589" s="127"/>
      <c r="K589" s="127"/>
      <c r="L589" s="128"/>
      <c r="M589" s="129">
        <v>2</v>
      </c>
      <c r="N589" s="142">
        <v>59.98</v>
      </c>
      <c r="O589" s="142">
        <v>59.98</v>
      </c>
    </row>
    <row r="590" ht="16.1" customHeight="1">
      <c r="I590" t="s" s="126">
        <v>3962</v>
      </c>
      <c r="J590" s="127"/>
      <c r="K590" s="127"/>
      <c r="L590" s="128"/>
      <c r="M590" s="129">
        <v>1</v>
      </c>
      <c r="N590" s="142">
        <v>1199.99</v>
      </c>
      <c r="O590" s="142">
        <v>1199.99</v>
      </c>
    </row>
    <row r="591" ht="16.1" customHeight="1">
      <c r="I591" t="s" s="126">
        <v>3842</v>
      </c>
      <c r="J591" s="127"/>
      <c r="K591" s="127"/>
      <c r="L591" s="128"/>
      <c r="M591" s="129">
        <v>1</v>
      </c>
      <c r="N591" s="142">
        <v>249.99</v>
      </c>
      <c r="O591" s="142">
        <v>249.99</v>
      </c>
    </row>
    <row r="592" ht="16.1" customHeight="1">
      <c r="I592" t="s" s="126">
        <v>4163</v>
      </c>
      <c r="J592" s="127"/>
      <c r="K592" s="127"/>
      <c r="L592" s="128"/>
      <c r="M592" s="129">
        <v>8</v>
      </c>
      <c r="N592" s="142">
        <v>139.97</v>
      </c>
      <c r="O592" s="142">
        <v>189.92</v>
      </c>
    </row>
    <row r="593" ht="16.1" customHeight="1">
      <c r="I593" t="s" s="126">
        <v>4136</v>
      </c>
      <c r="J593" s="127"/>
      <c r="K593" s="127"/>
      <c r="L593" s="128"/>
      <c r="M593" s="129">
        <v>1</v>
      </c>
      <c r="N593" s="142">
        <v>399.99</v>
      </c>
      <c r="O593" s="142">
        <v>399.99</v>
      </c>
    </row>
    <row r="594" ht="16.1" customHeight="1">
      <c r="I594" t="s" s="126">
        <v>4115</v>
      </c>
      <c r="J594" s="127"/>
      <c r="K594" s="127"/>
      <c r="L594" s="128"/>
      <c r="M594" s="129">
        <v>1</v>
      </c>
      <c r="N594" s="142">
        <v>59.99</v>
      </c>
      <c r="O594" s="142">
        <v>59.99</v>
      </c>
    </row>
    <row r="595" ht="16.1" customHeight="1">
      <c r="I595" t="s" s="132">
        <v>4105</v>
      </c>
      <c r="J595" s="133"/>
      <c r="K595" s="133"/>
      <c r="L595" s="134"/>
      <c r="M595" s="135">
        <v>4</v>
      </c>
      <c r="N595" s="143">
        <v>459.97</v>
      </c>
      <c r="O595" s="143">
        <v>509.96</v>
      </c>
    </row>
    <row r="596" ht="16.1" customHeight="1">
      <c r="I596" t="s" s="33">
        <v>620</v>
      </c>
      <c r="M596" s="34">
        <v>2380</v>
      </c>
      <c r="N596" s="35">
        <v>77314.0738045</v>
      </c>
      <c r="O596" s="35">
        <v>171525.98163075</v>
      </c>
    </row>
    <row r="598" ht="15.55" customHeight="1">
      <c r="P598" t="s" s="2">
        <v>4165</v>
      </c>
      <c r="Q598" s="2"/>
    </row>
    <row r="599" ht="13.1" customHeight="1">
      <c r="P599" t="s" s="37">
        <v>4</v>
      </c>
      <c r="Q599" t="s" s="145">
        <v>617</v>
      </c>
    </row>
    <row r="600" ht="13.1" customHeight="1">
      <c r="P600" t="s" s="38">
        <v>2961</v>
      </c>
      <c r="Q600" s="34">
        <v>6</v>
      </c>
    </row>
    <row r="601" ht="12.9" customHeight="1">
      <c r="P601" t="s" s="40">
        <v>1186</v>
      </c>
      <c r="Q601" s="146">
        <v>2</v>
      </c>
    </row>
    <row r="602" ht="12.9" customHeight="1">
      <c r="P602" t="s" s="40">
        <v>1891</v>
      </c>
      <c r="Q602" s="146">
        <v>1</v>
      </c>
    </row>
    <row r="603" ht="12.9" customHeight="1">
      <c r="P603" t="s" s="40">
        <v>1187</v>
      </c>
      <c r="Q603" s="146">
        <v>2</v>
      </c>
    </row>
    <row r="604" ht="12.9" customHeight="1">
      <c r="P604" t="s" s="40">
        <v>109</v>
      </c>
      <c r="Q604" s="146">
        <v>7</v>
      </c>
    </row>
    <row r="605" ht="12.9" customHeight="1">
      <c r="P605" t="s" s="40">
        <v>3431</v>
      </c>
      <c r="Q605" s="146">
        <v>40</v>
      </c>
    </row>
    <row r="606" ht="12.9" customHeight="1">
      <c r="P606" t="s" s="40">
        <v>3912</v>
      </c>
      <c r="Q606" s="146">
        <v>1</v>
      </c>
    </row>
    <row r="607" ht="12.9" customHeight="1">
      <c r="P607" t="s" s="40">
        <v>3910</v>
      </c>
      <c r="Q607" s="146">
        <v>1</v>
      </c>
    </row>
    <row r="608" ht="12.9" customHeight="1">
      <c r="P608" t="s" s="40">
        <v>4048</v>
      </c>
      <c r="Q608" s="146">
        <v>2</v>
      </c>
    </row>
    <row r="609" ht="12.9" customHeight="1">
      <c r="P609" t="s" s="40">
        <v>775</v>
      </c>
      <c r="Q609" s="146">
        <v>4</v>
      </c>
    </row>
    <row r="610" ht="12.9" customHeight="1">
      <c r="P610" t="s" s="40">
        <v>4127</v>
      </c>
      <c r="Q610" s="146">
        <v>8</v>
      </c>
    </row>
    <row r="611" ht="12.9" customHeight="1">
      <c r="P611" t="s" s="40">
        <v>593</v>
      </c>
      <c r="Q611" s="146">
        <v>3</v>
      </c>
    </row>
    <row r="612" ht="12.9" customHeight="1">
      <c r="P612" t="s" s="40">
        <v>111</v>
      </c>
      <c r="Q612" s="146">
        <v>2</v>
      </c>
    </row>
    <row r="613" ht="12.9" customHeight="1">
      <c r="P613" t="s" s="40">
        <v>1892</v>
      </c>
      <c r="Q613" s="146">
        <v>2</v>
      </c>
    </row>
    <row r="614" ht="12.9" customHeight="1">
      <c r="P614" t="s" s="40">
        <v>780</v>
      </c>
      <c r="Q614" s="146">
        <v>3</v>
      </c>
    </row>
    <row r="615" ht="12.9" customHeight="1">
      <c r="P615" t="s" s="40">
        <v>3950</v>
      </c>
      <c r="Q615" s="146">
        <v>2</v>
      </c>
    </row>
    <row r="616" ht="12.9" customHeight="1">
      <c r="P616" t="s" s="40">
        <v>3952</v>
      </c>
      <c r="Q616" s="146">
        <v>2</v>
      </c>
    </row>
    <row r="617" ht="12.9" customHeight="1">
      <c r="P617" t="s" s="40">
        <v>1007</v>
      </c>
      <c r="Q617" s="146">
        <v>8</v>
      </c>
    </row>
    <row r="618" ht="12.9" customHeight="1">
      <c r="P618" t="s" s="40">
        <v>4124</v>
      </c>
      <c r="Q618" s="146">
        <v>20</v>
      </c>
    </row>
    <row r="619" ht="12.9" customHeight="1">
      <c r="P619" t="s" s="40">
        <v>266</v>
      </c>
      <c r="Q619" s="146">
        <v>20</v>
      </c>
    </row>
    <row r="620" ht="12.9" customHeight="1">
      <c r="P620" t="s" s="40">
        <v>4050</v>
      </c>
      <c r="Q620" s="146">
        <v>4</v>
      </c>
    </row>
    <row r="621" ht="12.9" customHeight="1">
      <c r="P621" t="s" s="40">
        <v>123</v>
      </c>
      <c r="Q621" s="146">
        <v>24</v>
      </c>
    </row>
    <row r="622" ht="12.9" customHeight="1">
      <c r="P622" t="s" s="40">
        <v>165</v>
      </c>
      <c r="Q622" s="146">
        <v>3</v>
      </c>
    </row>
    <row r="623" ht="12.9" customHeight="1">
      <c r="P623" t="s" s="40">
        <v>19</v>
      </c>
      <c r="Q623" s="146">
        <v>76</v>
      </c>
    </row>
    <row r="624" ht="12.9" customHeight="1">
      <c r="P624" t="s" s="40">
        <v>2787</v>
      </c>
      <c r="Q624" s="146">
        <v>40</v>
      </c>
    </row>
    <row r="625" ht="12.9" customHeight="1">
      <c r="P625" t="s" s="40">
        <v>227</v>
      </c>
      <c r="Q625" s="146">
        <v>3</v>
      </c>
    </row>
    <row r="626" ht="12.9" customHeight="1">
      <c r="P626" t="s" s="40">
        <v>54</v>
      </c>
      <c r="Q626" s="146">
        <v>66</v>
      </c>
    </row>
    <row r="627" ht="12.9" customHeight="1">
      <c r="P627" t="s" s="40">
        <v>1695</v>
      </c>
      <c r="Q627" s="146">
        <v>20</v>
      </c>
    </row>
    <row r="628" ht="12.9" customHeight="1">
      <c r="P628" t="s" s="40">
        <v>57</v>
      </c>
      <c r="Q628" s="146">
        <v>10</v>
      </c>
    </row>
    <row r="629" ht="12.9" customHeight="1">
      <c r="P629" t="s" s="40">
        <v>1141</v>
      </c>
      <c r="Q629" s="146">
        <v>3</v>
      </c>
    </row>
    <row r="630" ht="12.9" customHeight="1">
      <c r="P630" t="s" s="40">
        <v>84</v>
      </c>
      <c r="Q630" s="146">
        <v>25</v>
      </c>
    </row>
    <row r="631" ht="12.9" customHeight="1">
      <c r="P631" t="s" s="40">
        <v>660</v>
      </c>
      <c r="Q631" s="146">
        <v>6</v>
      </c>
    </row>
    <row r="632" ht="12.9" customHeight="1">
      <c r="P632" t="s" s="40">
        <v>179</v>
      </c>
      <c r="Q632" s="146">
        <v>17</v>
      </c>
    </row>
    <row r="633" ht="12.9" customHeight="1">
      <c r="P633" t="s" s="40">
        <v>412</v>
      </c>
      <c r="Q633" s="146">
        <v>21</v>
      </c>
    </row>
    <row r="634" ht="12.9" customHeight="1">
      <c r="P634" t="s" s="40">
        <v>119</v>
      </c>
      <c r="Q634" s="146">
        <v>2</v>
      </c>
    </row>
    <row r="635" ht="12.9" customHeight="1">
      <c r="P635" t="s" s="40">
        <v>589</v>
      </c>
      <c r="Q635" s="146">
        <v>6</v>
      </c>
    </row>
    <row r="636" ht="12.9" customHeight="1">
      <c r="P636" t="s" s="40">
        <v>345</v>
      </c>
      <c r="Q636" s="146">
        <v>1</v>
      </c>
    </row>
    <row r="637" ht="12.9" customHeight="1">
      <c r="P637" t="s" s="40">
        <v>225</v>
      </c>
      <c r="Q637" s="146">
        <v>1</v>
      </c>
    </row>
    <row r="638" ht="12.9" customHeight="1">
      <c r="P638" t="s" s="40">
        <v>585</v>
      </c>
      <c r="Q638" s="146">
        <v>2</v>
      </c>
    </row>
    <row r="639" ht="12.9" customHeight="1">
      <c r="P639" t="s" s="40">
        <v>125</v>
      </c>
      <c r="Q639" s="146">
        <v>18</v>
      </c>
    </row>
    <row r="640" ht="12.9" customHeight="1">
      <c r="P640" t="s" s="40">
        <v>299</v>
      </c>
      <c r="Q640" s="146">
        <v>6</v>
      </c>
    </row>
    <row r="641" ht="12.9" customHeight="1">
      <c r="P641" t="s" s="40">
        <v>1069</v>
      </c>
      <c r="Q641" s="146">
        <v>2</v>
      </c>
    </row>
    <row r="642" ht="12.9" customHeight="1">
      <c r="P642" t="s" s="40">
        <v>882</v>
      </c>
      <c r="Q642" s="146">
        <v>6</v>
      </c>
    </row>
    <row r="643" ht="12.9" customHeight="1">
      <c r="P643" t="s" s="40">
        <v>1593</v>
      </c>
      <c r="Q643" s="146">
        <v>2</v>
      </c>
    </row>
    <row r="644" ht="12.9" customHeight="1">
      <c r="P644" t="s" s="40">
        <v>239</v>
      </c>
      <c r="Q644" s="146">
        <v>5</v>
      </c>
    </row>
    <row r="645" ht="12.9" customHeight="1">
      <c r="P645" t="s" s="40">
        <v>487</v>
      </c>
      <c r="Q645" s="146">
        <v>5</v>
      </c>
    </row>
    <row r="646" ht="12.9" customHeight="1">
      <c r="P646" t="s" s="40">
        <v>39</v>
      </c>
      <c r="Q646" s="146">
        <v>14</v>
      </c>
    </row>
    <row r="647" ht="12.9" customHeight="1">
      <c r="P647" t="s" s="40">
        <v>213</v>
      </c>
      <c r="Q647" s="146">
        <v>9</v>
      </c>
    </row>
    <row r="648" ht="12.9" customHeight="1">
      <c r="P648" t="s" s="40">
        <v>1054</v>
      </c>
      <c r="Q648" s="146">
        <v>8</v>
      </c>
    </row>
    <row r="649" ht="12.9" customHeight="1">
      <c r="P649" t="s" s="40">
        <v>354</v>
      </c>
      <c r="Q649" s="146">
        <v>4</v>
      </c>
    </row>
    <row r="650" ht="12.9" customHeight="1">
      <c r="P650" t="s" s="40">
        <v>23</v>
      </c>
      <c r="Q650" s="146">
        <v>35</v>
      </c>
    </row>
    <row r="651" ht="12.9" customHeight="1">
      <c r="P651" t="s" s="40">
        <v>462</v>
      </c>
      <c r="Q651" s="146">
        <v>7</v>
      </c>
    </row>
    <row r="652" ht="12.9" customHeight="1">
      <c r="P652" t="s" s="40">
        <v>133</v>
      </c>
      <c r="Q652" s="146">
        <v>21</v>
      </c>
    </row>
    <row r="653" ht="12.9" customHeight="1">
      <c r="P653" t="s" s="40">
        <v>682</v>
      </c>
      <c r="Q653" s="146">
        <v>1</v>
      </c>
    </row>
    <row r="654" ht="12.9" customHeight="1">
      <c r="P654" t="s" s="40">
        <v>1875</v>
      </c>
      <c r="Q654" s="146">
        <v>6</v>
      </c>
    </row>
    <row r="655" ht="12.9" customHeight="1">
      <c r="P655" t="s" s="40">
        <v>470</v>
      </c>
      <c r="Q655" s="146">
        <v>11</v>
      </c>
    </row>
    <row r="656" ht="12.9" customHeight="1">
      <c r="P656" t="s" s="40">
        <v>3886</v>
      </c>
      <c r="Q656" s="146">
        <v>4</v>
      </c>
    </row>
    <row r="657" ht="12.9" customHeight="1">
      <c r="P657" t="s" s="40">
        <v>1479</v>
      </c>
      <c r="Q657" s="146">
        <v>2</v>
      </c>
    </row>
    <row r="658" ht="12.9" customHeight="1">
      <c r="P658" t="s" s="40">
        <v>602</v>
      </c>
      <c r="Q658" s="146">
        <v>10</v>
      </c>
    </row>
    <row r="659" ht="12.9" customHeight="1">
      <c r="P659" t="s" s="40">
        <v>35</v>
      </c>
      <c r="Q659" s="146">
        <v>44</v>
      </c>
    </row>
    <row r="660" ht="12.9" customHeight="1">
      <c r="P660" t="s" s="40">
        <v>89</v>
      </c>
      <c r="Q660" s="146">
        <v>26</v>
      </c>
    </row>
    <row r="661" ht="12.9" customHeight="1">
      <c r="P661" t="s" s="40">
        <v>1619</v>
      </c>
      <c r="Q661" s="146">
        <v>4</v>
      </c>
    </row>
    <row r="662" ht="12.9" customHeight="1">
      <c r="P662" t="s" s="40">
        <v>52</v>
      </c>
      <c r="Q662" s="146">
        <v>42</v>
      </c>
    </row>
    <row r="663" ht="12.9" customHeight="1">
      <c r="P663" t="s" s="40">
        <v>359</v>
      </c>
      <c r="Q663" s="146">
        <v>49</v>
      </c>
    </row>
    <row r="664" ht="12.9" customHeight="1">
      <c r="P664" t="s" s="40">
        <v>497</v>
      </c>
      <c r="Q664" s="146">
        <v>2</v>
      </c>
    </row>
    <row r="665" ht="12.9" customHeight="1">
      <c r="P665" t="s" s="40">
        <v>1731</v>
      </c>
      <c r="Q665" s="146">
        <v>6</v>
      </c>
    </row>
    <row r="666" ht="12.9" customHeight="1">
      <c r="P666" t="s" s="40">
        <v>77</v>
      </c>
      <c r="Q666" s="146">
        <v>32</v>
      </c>
    </row>
    <row r="667" ht="12.9" customHeight="1">
      <c r="P667" t="s" s="40">
        <v>146</v>
      </c>
      <c r="Q667" s="146">
        <v>12</v>
      </c>
    </row>
    <row r="668" ht="12.9" customHeight="1">
      <c r="P668" t="s" s="40">
        <v>258</v>
      </c>
      <c r="Q668" s="146">
        <v>1</v>
      </c>
    </row>
    <row r="669" ht="12.9" customHeight="1">
      <c r="P669" t="s" s="40">
        <v>95</v>
      </c>
      <c r="Q669" s="146">
        <v>11</v>
      </c>
    </row>
    <row r="670" ht="12.9" customHeight="1">
      <c r="P670" t="s" s="40">
        <v>171</v>
      </c>
      <c r="Q670" s="146">
        <v>8</v>
      </c>
    </row>
    <row r="671" ht="12.9" customHeight="1">
      <c r="P671" t="s" s="40">
        <v>11</v>
      </c>
      <c r="Q671" s="146">
        <v>9</v>
      </c>
    </row>
    <row r="672" ht="12.9" customHeight="1">
      <c r="P672" t="s" s="40">
        <v>31</v>
      </c>
      <c r="Q672" s="146">
        <v>11</v>
      </c>
    </row>
    <row r="673" ht="12.9" customHeight="1">
      <c r="P673" t="s" s="40">
        <v>81</v>
      </c>
      <c r="Q673" s="146">
        <v>14</v>
      </c>
    </row>
    <row r="674" ht="12.9" customHeight="1">
      <c r="P674" t="s" s="40">
        <v>722</v>
      </c>
      <c r="Q674" s="146">
        <v>6</v>
      </c>
    </row>
    <row r="675" ht="12.9" customHeight="1">
      <c r="P675" t="s" s="40">
        <v>50</v>
      </c>
      <c r="Q675" s="146">
        <v>63</v>
      </c>
    </row>
    <row r="676" ht="12.9" customHeight="1">
      <c r="P676" t="s" s="40">
        <v>1896</v>
      </c>
      <c r="Q676" s="146">
        <v>7</v>
      </c>
    </row>
    <row r="677" ht="12.9" customHeight="1">
      <c r="P677" t="s" s="40">
        <v>979</v>
      </c>
      <c r="Q677" s="146">
        <v>1</v>
      </c>
    </row>
    <row r="678" ht="12.9" customHeight="1">
      <c r="P678" t="s" s="40">
        <v>48</v>
      </c>
      <c r="Q678" s="146">
        <v>22</v>
      </c>
    </row>
    <row r="679" ht="12.9" customHeight="1">
      <c r="P679" t="s" s="40">
        <v>4053</v>
      </c>
      <c r="Q679" s="146">
        <v>1</v>
      </c>
    </row>
    <row r="680" ht="12.9" customHeight="1">
      <c r="P680" t="s" s="40">
        <v>468</v>
      </c>
      <c r="Q680" s="146">
        <v>6</v>
      </c>
    </row>
    <row r="681" ht="12.9" customHeight="1">
      <c r="P681" t="s" s="40">
        <v>1155</v>
      </c>
      <c r="Q681" s="146">
        <v>7</v>
      </c>
    </row>
    <row r="682" ht="12.9" customHeight="1">
      <c r="P682" t="s" s="40">
        <v>489</v>
      </c>
      <c r="Q682" s="146">
        <v>6</v>
      </c>
    </row>
    <row r="683" ht="12.9" customHeight="1">
      <c r="P683" t="s" s="40">
        <v>1633</v>
      </c>
      <c r="Q683" s="146">
        <v>3</v>
      </c>
    </row>
    <row r="684" ht="12.9" customHeight="1">
      <c r="P684" t="s" s="40">
        <v>491</v>
      </c>
      <c r="Q684" s="146">
        <v>15</v>
      </c>
    </row>
    <row r="685" ht="12.9" customHeight="1">
      <c r="P685" t="s" s="40">
        <v>493</v>
      </c>
      <c r="Q685" s="146">
        <v>6</v>
      </c>
    </row>
    <row r="686" ht="12.9" customHeight="1">
      <c r="P686" t="s" s="40">
        <v>143</v>
      </c>
      <c r="Q686" s="146">
        <v>2</v>
      </c>
    </row>
    <row r="687" ht="12.9" customHeight="1">
      <c r="P687" t="s" s="40">
        <v>59</v>
      </c>
      <c r="Q687" s="146">
        <v>5</v>
      </c>
    </row>
    <row r="688" ht="12.9" customHeight="1">
      <c r="P688" t="s" s="40">
        <v>73</v>
      </c>
      <c r="Q688" s="146">
        <v>32</v>
      </c>
    </row>
    <row r="689" ht="12.9" customHeight="1">
      <c r="P689" t="s" s="40">
        <v>559</v>
      </c>
      <c r="Q689" s="146">
        <v>1000</v>
      </c>
    </row>
    <row r="690" ht="12.9" customHeight="1">
      <c r="P690" t="s" s="40">
        <v>15</v>
      </c>
      <c r="Q690" s="146">
        <v>136</v>
      </c>
    </row>
    <row r="691" ht="12.9" customHeight="1">
      <c r="P691" t="s" s="40">
        <v>1456</v>
      </c>
      <c r="Q691" s="146">
        <v>2</v>
      </c>
    </row>
    <row r="692" ht="12.9" customHeight="1">
      <c r="P692" t="s" s="40">
        <v>2960</v>
      </c>
      <c r="Q692" s="146">
        <v>2</v>
      </c>
    </row>
    <row r="693" ht="12.9" customHeight="1">
      <c r="P693" t="s" s="40">
        <v>207</v>
      </c>
      <c r="Q693" s="146">
        <v>1</v>
      </c>
    </row>
    <row r="694" ht="12.9" customHeight="1">
      <c r="P694" t="s" s="40">
        <v>442</v>
      </c>
      <c r="Q694" s="146">
        <v>1</v>
      </c>
    </row>
    <row r="695" ht="12.9" customHeight="1">
      <c r="P695" t="s" s="40">
        <v>4152</v>
      </c>
      <c r="Q695" s="146">
        <v>1</v>
      </c>
    </row>
    <row r="696" ht="12.9" customHeight="1">
      <c r="P696" t="s" s="40">
        <v>443</v>
      </c>
      <c r="Q696" s="146">
        <v>50</v>
      </c>
    </row>
    <row r="697" ht="12.9" customHeight="1">
      <c r="P697" t="s" s="40">
        <v>3914</v>
      </c>
      <c r="Q697" s="146">
        <v>50</v>
      </c>
    </row>
    <row r="698" ht="12.9" customHeight="1">
      <c r="P698" t="s" s="40">
        <v>3847</v>
      </c>
      <c r="Q698" s="146">
        <v>4</v>
      </c>
    </row>
    <row r="699" ht="12.9" customHeight="1">
      <c r="P699" t="s" s="40">
        <v>3889</v>
      </c>
      <c r="Q699" s="146">
        <v>5</v>
      </c>
    </row>
    <row r="700" ht="12.9" customHeight="1">
      <c r="P700" t="s" s="40">
        <v>254</v>
      </c>
      <c r="Q700" s="146">
        <v>9</v>
      </c>
    </row>
    <row r="701" ht="12.9" customHeight="1">
      <c r="P701" t="s" s="40">
        <v>63</v>
      </c>
      <c r="Q701" s="146">
        <v>18</v>
      </c>
    </row>
    <row r="702" ht="12.9" customHeight="1">
      <c r="P702" t="s" s="40">
        <v>47</v>
      </c>
      <c r="Q702" s="146">
        <v>2</v>
      </c>
    </row>
    <row r="703" ht="12.9" customHeight="1">
      <c r="P703" t="s" s="40">
        <v>110</v>
      </c>
      <c r="Q703" s="146">
        <v>2</v>
      </c>
    </row>
    <row r="704" ht="13.1" customHeight="1">
      <c r="P704" t="s" s="42">
        <v>1204</v>
      </c>
      <c r="Q704" s="147">
        <v>2</v>
      </c>
    </row>
    <row r="705" ht="13.1" customHeight="1">
      <c r="P705" t="s" s="44">
        <v>620</v>
      </c>
      <c r="Q705" s="34">
        <v>2380</v>
      </c>
    </row>
    <row r="707" ht="15.55" customHeight="1">
      <c r="R707" t="s" s="2">
        <v>4166</v>
      </c>
      <c r="S707" s="2"/>
    </row>
    <row r="708" ht="13.1" customHeight="1">
      <c r="R708" t="s" s="37">
        <v>4</v>
      </c>
      <c r="S708" t="s" s="145">
        <v>619</v>
      </c>
    </row>
    <row r="709" ht="13.1" customHeight="1">
      <c r="R709" t="s" s="38">
        <v>2961</v>
      </c>
      <c r="S709" s="50">
        <v>34.485</v>
      </c>
    </row>
    <row r="710" ht="12.9" customHeight="1">
      <c r="R710" t="s" s="40">
        <v>1186</v>
      </c>
      <c r="S710" s="149">
        <v>0</v>
      </c>
    </row>
    <row r="711" ht="12.9" customHeight="1">
      <c r="R711" t="s" s="40">
        <v>1891</v>
      </c>
      <c r="S711" s="149">
        <v>0</v>
      </c>
    </row>
    <row r="712" ht="12.9" customHeight="1">
      <c r="R712" t="s" s="40">
        <v>1187</v>
      </c>
      <c r="S712" s="149">
        <v>0</v>
      </c>
    </row>
    <row r="713" ht="12.9" customHeight="1">
      <c r="R713" t="s" s="40">
        <v>109</v>
      </c>
      <c r="S713" s="150">
        <v>630</v>
      </c>
    </row>
    <row r="714" ht="12.9" customHeight="1">
      <c r="R714" t="s" s="40">
        <v>3431</v>
      </c>
      <c r="S714" s="150">
        <v>80</v>
      </c>
    </row>
    <row r="715" ht="12.9" customHeight="1">
      <c r="R715" t="s" s="40">
        <v>3912</v>
      </c>
      <c r="S715" s="150">
        <v>6.06521775</v>
      </c>
    </row>
    <row r="716" ht="12.9" customHeight="1">
      <c r="R716" t="s" s="40">
        <v>3910</v>
      </c>
      <c r="S716" s="150">
        <v>2.771739</v>
      </c>
    </row>
    <row r="717" ht="12.9" customHeight="1">
      <c r="R717" t="s" s="40">
        <v>4048</v>
      </c>
      <c r="S717" s="150">
        <v>2.263044</v>
      </c>
    </row>
    <row r="718" ht="12.9" customHeight="1">
      <c r="R718" t="s" s="40">
        <v>775</v>
      </c>
      <c r="S718" s="150">
        <v>163.043478</v>
      </c>
    </row>
    <row r="719" ht="12.9" customHeight="1">
      <c r="R719" t="s" s="40">
        <v>4127</v>
      </c>
      <c r="S719" s="150">
        <v>680</v>
      </c>
    </row>
    <row r="720" ht="12.9" customHeight="1">
      <c r="R720" t="s" s="40">
        <v>593</v>
      </c>
      <c r="S720" s="150">
        <v>134.5108695</v>
      </c>
    </row>
    <row r="721" ht="12.9" customHeight="1">
      <c r="R721" t="s" s="40">
        <v>111</v>
      </c>
      <c r="S721" s="150">
        <v>59.25</v>
      </c>
    </row>
    <row r="722" ht="12.9" customHeight="1">
      <c r="R722" t="s" s="40">
        <v>1892</v>
      </c>
      <c r="S722" s="149">
        <v>0</v>
      </c>
    </row>
    <row r="723" ht="12.9" customHeight="1">
      <c r="R723" t="s" s="40">
        <v>780</v>
      </c>
      <c r="S723" s="150">
        <v>5.4347825</v>
      </c>
    </row>
    <row r="724" ht="12.9" customHeight="1">
      <c r="R724" t="s" s="40">
        <v>3950</v>
      </c>
      <c r="S724" s="149">
        <v>0</v>
      </c>
    </row>
    <row r="725" ht="12.9" customHeight="1">
      <c r="R725" t="s" s="40">
        <v>3952</v>
      </c>
      <c r="S725" s="149">
        <v>0</v>
      </c>
    </row>
    <row r="726" ht="12.9" customHeight="1">
      <c r="R726" t="s" s="40">
        <v>1007</v>
      </c>
      <c r="S726" s="149">
        <v>0</v>
      </c>
    </row>
    <row r="727" ht="12.9" customHeight="1">
      <c r="R727" t="s" s="40">
        <v>4124</v>
      </c>
      <c r="S727" s="150">
        <v>772.5</v>
      </c>
    </row>
    <row r="728" ht="12.9" customHeight="1">
      <c r="R728" t="s" s="40">
        <v>266</v>
      </c>
      <c r="S728" s="149">
        <v>0</v>
      </c>
    </row>
    <row r="729" ht="12.9" customHeight="1">
      <c r="R729" t="s" s="40">
        <v>4050</v>
      </c>
      <c r="S729" s="150">
        <v>3</v>
      </c>
    </row>
    <row r="730" ht="12.9" customHeight="1">
      <c r="R730" t="s" s="40">
        <v>123</v>
      </c>
      <c r="S730" s="150">
        <v>3914.7825</v>
      </c>
    </row>
    <row r="731" ht="12.9" customHeight="1">
      <c r="R731" t="s" s="40">
        <v>165</v>
      </c>
      <c r="S731" s="149">
        <v>0</v>
      </c>
    </row>
    <row r="732" ht="12.9" customHeight="1">
      <c r="R732" t="s" s="40">
        <v>19</v>
      </c>
      <c r="S732" s="150">
        <v>8549.2875</v>
      </c>
    </row>
    <row r="733" ht="12.9" customHeight="1">
      <c r="R733" t="s" s="40">
        <v>2787</v>
      </c>
      <c r="S733" s="150">
        <v>400</v>
      </c>
    </row>
    <row r="734" ht="12.9" customHeight="1">
      <c r="R734" t="s" s="40">
        <v>227</v>
      </c>
      <c r="S734" s="150">
        <v>89.97</v>
      </c>
    </row>
    <row r="735" ht="12.9" customHeight="1">
      <c r="R735" t="s" s="40">
        <v>54</v>
      </c>
      <c r="S735" s="150">
        <v>439.56</v>
      </c>
    </row>
    <row r="736" ht="12.9" customHeight="1">
      <c r="R736" t="s" s="40">
        <v>1695</v>
      </c>
      <c r="S736" s="150">
        <v>899.8200000000001</v>
      </c>
    </row>
    <row r="737" ht="12.9" customHeight="1">
      <c r="R737" t="s" s="40">
        <v>57</v>
      </c>
      <c r="S737" s="150">
        <v>6199.9225</v>
      </c>
    </row>
    <row r="738" ht="12.9" customHeight="1">
      <c r="R738" t="s" s="40">
        <v>1141</v>
      </c>
      <c r="S738" s="150">
        <v>2399.97</v>
      </c>
    </row>
    <row r="739" ht="12.9" customHeight="1">
      <c r="R739" t="s" s="40">
        <v>84</v>
      </c>
      <c r="S739" s="150">
        <v>15</v>
      </c>
    </row>
    <row r="740" ht="12.9" customHeight="1">
      <c r="R740" t="s" s="40">
        <v>660</v>
      </c>
      <c r="S740" s="150">
        <v>35.94</v>
      </c>
    </row>
    <row r="741" ht="12.9" customHeight="1">
      <c r="R741" t="s" s="40">
        <v>179</v>
      </c>
      <c r="S741" s="150">
        <v>637.3724999999999</v>
      </c>
    </row>
    <row r="742" ht="12.9" customHeight="1">
      <c r="R742" t="s" s="40">
        <v>412</v>
      </c>
      <c r="S742" s="150">
        <v>11.94</v>
      </c>
    </row>
    <row r="743" ht="12.9" customHeight="1">
      <c r="R743" t="s" s="40">
        <v>119</v>
      </c>
      <c r="S743" s="150">
        <v>3.98</v>
      </c>
    </row>
    <row r="744" ht="12.9" customHeight="1">
      <c r="R744" t="s" s="40">
        <v>589</v>
      </c>
      <c r="S744" s="150">
        <v>29.96</v>
      </c>
    </row>
    <row r="745" ht="12.9" customHeight="1">
      <c r="R745" t="s" s="40">
        <v>345</v>
      </c>
      <c r="S745" s="150">
        <v>219.99</v>
      </c>
    </row>
    <row r="746" ht="12.9" customHeight="1">
      <c r="R746" t="s" s="40">
        <v>225</v>
      </c>
      <c r="S746" s="150">
        <v>499.99</v>
      </c>
    </row>
    <row r="747" ht="12.9" customHeight="1">
      <c r="R747" t="s" s="40">
        <v>585</v>
      </c>
      <c r="S747" s="150">
        <v>749.985</v>
      </c>
    </row>
    <row r="748" ht="12.9" customHeight="1">
      <c r="R748" t="s" s="40">
        <v>125</v>
      </c>
      <c r="S748" s="150">
        <v>974.85</v>
      </c>
    </row>
    <row r="749" ht="12.9" customHeight="1">
      <c r="R749" t="s" s="40">
        <v>299</v>
      </c>
      <c r="S749" s="150">
        <v>314.955</v>
      </c>
    </row>
    <row r="750" ht="12.9" customHeight="1">
      <c r="R750" t="s" s="40">
        <v>1069</v>
      </c>
      <c r="S750" s="150">
        <v>199.98</v>
      </c>
    </row>
    <row r="751" ht="12.9" customHeight="1">
      <c r="R751" t="s" s="40">
        <v>882</v>
      </c>
      <c r="S751" s="150">
        <v>337.455</v>
      </c>
    </row>
    <row r="752" ht="12.9" customHeight="1">
      <c r="R752" t="s" s="40">
        <v>1593</v>
      </c>
      <c r="S752" s="150">
        <v>199.98</v>
      </c>
    </row>
    <row r="753" ht="12.9" customHeight="1">
      <c r="R753" t="s" s="40">
        <v>239</v>
      </c>
      <c r="S753" s="150">
        <v>499.95</v>
      </c>
    </row>
    <row r="754" ht="12.9" customHeight="1">
      <c r="R754" t="s" s="40">
        <v>487</v>
      </c>
      <c r="S754" s="150">
        <v>549.95</v>
      </c>
    </row>
    <row r="755" ht="12.9" customHeight="1">
      <c r="R755" t="s" s="40">
        <v>39</v>
      </c>
      <c r="S755" s="150">
        <v>1209.89</v>
      </c>
    </row>
    <row r="756" ht="12.9" customHeight="1">
      <c r="R756" t="s" s="40">
        <v>213</v>
      </c>
      <c r="S756" s="150">
        <v>3712.4325</v>
      </c>
    </row>
    <row r="757" ht="12.9" customHeight="1">
      <c r="R757" t="s" s="40">
        <v>1054</v>
      </c>
      <c r="S757" s="150">
        <v>1199.92</v>
      </c>
    </row>
    <row r="758" ht="12.9" customHeight="1">
      <c r="R758" t="s" s="40">
        <v>354</v>
      </c>
      <c r="S758" s="150">
        <v>449.97</v>
      </c>
    </row>
    <row r="759" ht="12.9" customHeight="1">
      <c r="R759" t="s" s="40">
        <v>23</v>
      </c>
      <c r="S759" s="150">
        <v>2324.845</v>
      </c>
    </row>
    <row r="760" ht="12.9" customHeight="1">
      <c r="R760" t="s" s="40">
        <v>462</v>
      </c>
      <c r="S760" s="150">
        <v>1199.94</v>
      </c>
    </row>
    <row r="761" ht="12.9" customHeight="1">
      <c r="R761" t="s" s="40">
        <v>133</v>
      </c>
      <c r="S761" s="150">
        <v>2549.8925</v>
      </c>
    </row>
    <row r="762" ht="12.9" customHeight="1">
      <c r="R762" t="s" s="40">
        <v>682</v>
      </c>
      <c r="S762" s="150">
        <v>249.99</v>
      </c>
    </row>
    <row r="763" ht="12.9" customHeight="1">
      <c r="R763" t="s" s="40">
        <v>1875</v>
      </c>
      <c r="S763" s="150">
        <v>1374.945</v>
      </c>
    </row>
    <row r="764" ht="12.9" customHeight="1">
      <c r="R764" t="s" s="40">
        <v>470</v>
      </c>
      <c r="S764" s="150">
        <v>1249.99</v>
      </c>
    </row>
    <row r="765" ht="12.9" customHeight="1">
      <c r="R765" t="s" s="40">
        <v>3886</v>
      </c>
      <c r="S765" s="150">
        <v>1199.96</v>
      </c>
    </row>
    <row r="766" ht="12.9" customHeight="1">
      <c r="R766" t="s" s="40">
        <v>1479</v>
      </c>
      <c r="S766" s="150">
        <v>449.985</v>
      </c>
    </row>
    <row r="767" ht="12.9" customHeight="1">
      <c r="R767" t="s" s="40">
        <v>602</v>
      </c>
      <c r="S767" s="150">
        <v>2249.9425</v>
      </c>
    </row>
    <row r="768" ht="12.9" customHeight="1">
      <c r="R768" t="s" s="40">
        <v>35</v>
      </c>
      <c r="S768" s="150">
        <v>1924.615</v>
      </c>
    </row>
    <row r="769" ht="12.9" customHeight="1">
      <c r="R769" t="s" s="40">
        <v>89</v>
      </c>
      <c r="S769" s="150">
        <v>1379.77</v>
      </c>
    </row>
    <row r="770" ht="12.9" customHeight="1">
      <c r="R770" t="s" s="40">
        <v>1619</v>
      </c>
      <c r="S770" s="150">
        <v>59.9675</v>
      </c>
    </row>
    <row r="771" ht="12.9" customHeight="1">
      <c r="R771" t="s" s="40">
        <v>52</v>
      </c>
      <c r="S771" s="150">
        <v>279.86</v>
      </c>
    </row>
    <row r="772" ht="12.9" customHeight="1">
      <c r="R772" t="s" s="40">
        <v>359</v>
      </c>
      <c r="S772" s="150">
        <v>1139.62</v>
      </c>
    </row>
    <row r="773" ht="12.9" customHeight="1">
      <c r="R773" t="s" s="40">
        <v>497</v>
      </c>
      <c r="S773" s="150">
        <v>37.485</v>
      </c>
    </row>
    <row r="774" ht="12.9" customHeight="1">
      <c r="R774" t="s" s="40">
        <v>1731</v>
      </c>
      <c r="S774" s="150">
        <v>118.7025</v>
      </c>
    </row>
    <row r="775" ht="12.9" customHeight="1">
      <c r="R775" t="s" s="40">
        <v>77</v>
      </c>
      <c r="S775" s="150">
        <v>589.705</v>
      </c>
    </row>
    <row r="776" ht="12.9" customHeight="1">
      <c r="R776" t="s" s="40">
        <v>146</v>
      </c>
      <c r="S776" s="150">
        <v>179.91</v>
      </c>
    </row>
    <row r="777" ht="12.9" customHeight="1">
      <c r="R777" t="s" s="40">
        <v>258</v>
      </c>
      <c r="S777" s="150">
        <v>18.99</v>
      </c>
    </row>
    <row r="778" ht="12.9" customHeight="1">
      <c r="R778" t="s" s="40">
        <v>95</v>
      </c>
      <c r="S778" s="150">
        <v>3849.89</v>
      </c>
    </row>
    <row r="779" ht="12.9" customHeight="1">
      <c r="R779" t="s" s="40">
        <v>171</v>
      </c>
      <c r="S779" s="150">
        <v>4374.92</v>
      </c>
    </row>
    <row r="780" ht="12.9" customHeight="1">
      <c r="R780" t="s" s="40">
        <v>11</v>
      </c>
      <c r="S780" s="150">
        <v>3599.91</v>
      </c>
    </row>
    <row r="781" ht="12.9" customHeight="1">
      <c r="R781" t="s" s="40">
        <v>31</v>
      </c>
      <c r="S781" s="150">
        <v>6449.8925</v>
      </c>
    </row>
    <row r="782" ht="12.9" customHeight="1">
      <c r="R782" t="s" s="40">
        <v>81</v>
      </c>
      <c r="S782" s="150">
        <v>11899.86</v>
      </c>
    </row>
    <row r="783" ht="12.9" customHeight="1">
      <c r="R783" t="s" s="40">
        <v>722</v>
      </c>
      <c r="S783" s="150">
        <v>5219.94</v>
      </c>
    </row>
    <row r="784" ht="12.9" customHeight="1">
      <c r="R784" t="s" s="40">
        <v>50</v>
      </c>
      <c r="S784" s="150">
        <v>194.935</v>
      </c>
    </row>
    <row r="785" ht="12.9" customHeight="1">
      <c r="R785" t="s" s="40">
        <v>1896</v>
      </c>
      <c r="S785" s="150">
        <v>454.93</v>
      </c>
    </row>
    <row r="786" ht="12.9" customHeight="1">
      <c r="R786" t="s" s="40">
        <v>979</v>
      </c>
      <c r="S786" s="150">
        <v>74.98999999999999</v>
      </c>
    </row>
    <row r="787" ht="12.9" customHeight="1">
      <c r="R787" t="s" s="40">
        <v>48</v>
      </c>
      <c r="S787" s="150">
        <v>25049.835</v>
      </c>
    </row>
    <row r="788" ht="12.9" customHeight="1">
      <c r="R788" t="s" s="40">
        <v>4053</v>
      </c>
      <c r="S788" s="150">
        <v>974.9924999999999</v>
      </c>
    </row>
    <row r="789" ht="12.9" customHeight="1">
      <c r="R789" t="s" s="40">
        <v>468</v>
      </c>
      <c r="S789" s="150">
        <v>9450</v>
      </c>
    </row>
    <row r="790" ht="12.9" customHeight="1">
      <c r="R790" t="s" s="40">
        <v>1155</v>
      </c>
      <c r="S790" s="150">
        <v>11375</v>
      </c>
    </row>
    <row r="791" ht="12.9" customHeight="1">
      <c r="R791" t="s" s="40">
        <v>489</v>
      </c>
      <c r="S791" s="150">
        <v>3824.955</v>
      </c>
    </row>
    <row r="792" ht="12.9" customHeight="1">
      <c r="R792" t="s" s="40">
        <v>1633</v>
      </c>
      <c r="S792" s="150">
        <v>449.9775</v>
      </c>
    </row>
    <row r="793" ht="12.9" customHeight="1">
      <c r="R793" t="s" s="40">
        <v>491</v>
      </c>
      <c r="S793" s="150">
        <v>2249.8875</v>
      </c>
    </row>
    <row r="794" ht="12.9" customHeight="1">
      <c r="R794" t="s" s="40">
        <v>493</v>
      </c>
      <c r="S794" s="150">
        <v>674.955</v>
      </c>
    </row>
    <row r="795" ht="12.9" customHeight="1">
      <c r="R795" t="s" s="40">
        <v>143</v>
      </c>
      <c r="S795" s="150">
        <v>4999.98</v>
      </c>
    </row>
    <row r="796" ht="12.9" customHeight="1">
      <c r="R796" t="s" s="40">
        <v>59</v>
      </c>
      <c r="S796" s="150">
        <v>5099.9575</v>
      </c>
    </row>
    <row r="797" ht="12.9" customHeight="1">
      <c r="R797" t="s" s="40">
        <v>73</v>
      </c>
      <c r="S797" s="150">
        <v>12499.6875</v>
      </c>
    </row>
    <row r="798" ht="12.9" customHeight="1">
      <c r="R798" t="s" s="40">
        <v>559</v>
      </c>
      <c r="S798" s="150">
        <v>250</v>
      </c>
    </row>
    <row r="799" ht="12.9" customHeight="1">
      <c r="R799" t="s" s="40">
        <v>15</v>
      </c>
      <c r="S799" s="150">
        <v>923.7775</v>
      </c>
    </row>
    <row r="800" ht="12.9" customHeight="1">
      <c r="R800" t="s" s="40">
        <v>1456</v>
      </c>
      <c r="S800" s="149">
        <v>0</v>
      </c>
    </row>
    <row r="801" ht="12.9" customHeight="1">
      <c r="R801" t="s" s="40">
        <v>2960</v>
      </c>
      <c r="S801" s="149">
        <v>0</v>
      </c>
    </row>
    <row r="802" ht="12.9" customHeight="1">
      <c r="R802" t="s" s="40">
        <v>207</v>
      </c>
      <c r="S802" s="149">
        <v>0</v>
      </c>
    </row>
    <row r="803" ht="12.9" customHeight="1">
      <c r="R803" t="s" s="40">
        <v>442</v>
      </c>
      <c r="S803" s="150">
        <v>-419.995</v>
      </c>
    </row>
    <row r="804" ht="12.9" customHeight="1">
      <c r="R804" t="s" s="40">
        <v>4152</v>
      </c>
      <c r="S804" s="149">
        <v>0</v>
      </c>
    </row>
    <row r="805" ht="12.9" customHeight="1">
      <c r="R805" t="s" s="40">
        <v>443</v>
      </c>
      <c r="S805" s="150">
        <v>281.25</v>
      </c>
    </row>
    <row r="806" ht="12.9" customHeight="1">
      <c r="R806" t="s" s="40">
        <v>3914</v>
      </c>
      <c r="S806" s="150">
        <v>262.5</v>
      </c>
    </row>
    <row r="807" ht="12.9" customHeight="1">
      <c r="R807" t="s" s="40">
        <v>3847</v>
      </c>
      <c r="S807" s="149">
        <v>0</v>
      </c>
    </row>
    <row r="808" ht="12.9" customHeight="1">
      <c r="R808" t="s" s="40">
        <v>3889</v>
      </c>
      <c r="S808" s="150">
        <v>93.71250000000001</v>
      </c>
    </row>
    <row r="809" ht="12.9" customHeight="1">
      <c r="R809" t="s" s="40">
        <v>254</v>
      </c>
      <c r="S809" s="149">
        <v>0</v>
      </c>
    </row>
    <row r="810" ht="12.9" customHeight="1">
      <c r="R810" t="s" s="40">
        <v>63</v>
      </c>
      <c r="S810" s="150">
        <v>1235.5</v>
      </c>
    </row>
    <row r="811" ht="12.9" customHeight="1">
      <c r="R811" t="s" s="40">
        <v>47</v>
      </c>
      <c r="S811" s="150">
        <v>180</v>
      </c>
    </row>
    <row r="812" ht="12.9" customHeight="1">
      <c r="R812" t="s" s="40">
        <v>110</v>
      </c>
      <c r="S812" s="150">
        <v>7.5</v>
      </c>
    </row>
    <row r="813" ht="13.1" customHeight="1">
      <c r="R813" t="s" s="42">
        <v>1204</v>
      </c>
      <c r="S813" s="324">
        <v>45</v>
      </c>
    </row>
    <row r="814" ht="13.1" customHeight="1">
      <c r="R814" t="s" s="44">
        <v>620</v>
      </c>
      <c r="S814" s="50">
        <v>171525.98163075</v>
      </c>
    </row>
  </sheetData>
  <mergeCells count="4">
    <mergeCell ref="A1:H1"/>
    <mergeCell ref="I440:O440"/>
    <mergeCell ref="P598:Q598"/>
    <mergeCell ref="R707:S70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8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414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29" customWidth="1"/>
    <col min="6" max="6" width="9.92969" style="329" customWidth="1"/>
    <col min="7" max="8" width="16.3516" style="329" customWidth="1"/>
    <col min="9" max="9" width="30.4297" style="330" customWidth="1"/>
    <col min="10" max="11" width="13.3516" style="330" customWidth="1"/>
    <col min="12" max="12" width="12.9219" style="330" customWidth="1"/>
    <col min="13" max="15" width="13.3516" style="330" customWidth="1"/>
    <col min="16" max="16" width="37.625" style="331" customWidth="1"/>
    <col min="17" max="17" width="13.3516" style="331" customWidth="1"/>
    <col min="18" max="18" width="40.4219" style="332" customWidth="1"/>
    <col min="19" max="19" width="13.3516" style="332" customWidth="1"/>
    <col min="20" max="16384" width="16.3516" style="332" customWidth="1"/>
  </cols>
  <sheetData>
    <row r="1" ht="15.55" customHeight="1">
      <c r="A1" t="s" s="2">
        <v>4167</v>
      </c>
      <c r="B1" s="2"/>
      <c r="C1" s="2"/>
      <c r="D1" s="2"/>
      <c r="E1" s="2"/>
      <c r="F1" s="2"/>
      <c r="G1" s="2"/>
      <c r="H1" s="2"/>
    </row>
    <row r="2" ht="16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6.1" customHeight="1">
      <c r="A3" t="s" s="4">
        <v>4168</v>
      </c>
      <c r="B3" t="s" s="5">
        <v>4169</v>
      </c>
      <c r="C3" s="6">
        <v>45199.938108460650</v>
      </c>
      <c r="D3" t="s" s="7">
        <v>470</v>
      </c>
      <c r="E3" t="s" s="7">
        <v>517</v>
      </c>
      <c r="F3" s="8">
        <v>2</v>
      </c>
      <c r="G3" s="9">
        <v>249.99</v>
      </c>
      <c r="H3" s="9">
        <v>499.98</v>
      </c>
    </row>
    <row r="4" ht="16.1" customHeight="1">
      <c r="A4" t="s" s="10">
        <v>4170</v>
      </c>
      <c r="B4" t="s" s="11">
        <v>4171</v>
      </c>
      <c r="C4" s="12">
        <v>45198.959672673613</v>
      </c>
      <c r="D4" t="s" s="13">
        <v>11</v>
      </c>
      <c r="E4" t="s" s="13">
        <v>12</v>
      </c>
      <c r="F4" s="14">
        <v>1</v>
      </c>
      <c r="G4" s="15">
        <v>399.99</v>
      </c>
      <c r="H4" s="15">
        <v>399.99</v>
      </c>
    </row>
    <row r="5" ht="16.1" customHeight="1">
      <c r="A5" t="s" s="10">
        <v>4172</v>
      </c>
      <c r="B5" t="s" s="11">
        <v>4173</v>
      </c>
      <c r="C5" s="12">
        <v>45198.784034027776</v>
      </c>
      <c r="D5" t="s" s="13">
        <v>95</v>
      </c>
      <c r="E5" t="s" s="13">
        <v>12</v>
      </c>
      <c r="F5" s="14">
        <v>1</v>
      </c>
      <c r="G5" s="15">
        <v>349.99</v>
      </c>
      <c r="H5" s="15">
        <v>349.99</v>
      </c>
    </row>
    <row r="6" ht="16.1" customHeight="1">
      <c r="A6" t="s" s="10">
        <v>4174</v>
      </c>
      <c r="B6" t="s" s="11">
        <v>4175</v>
      </c>
      <c r="C6" s="12">
        <v>45198.159170023151</v>
      </c>
      <c r="D6" t="s" s="13">
        <v>73</v>
      </c>
      <c r="E6" t="s" s="13">
        <v>74</v>
      </c>
      <c r="F6" s="14">
        <v>1</v>
      </c>
      <c r="G6" s="15">
        <v>399.99</v>
      </c>
      <c r="H6" s="15">
        <v>399.99</v>
      </c>
    </row>
    <row r="7" ht="16.1" customHeight="1">
      <c r="A7" t="s" s="10">
        <v>4176</v>
      </c>
      <c r="B7" t="s" s="11">
        <v>1451</v>
      </c>
      <c r="C7" s="12">
        <v>45198.1006659375</v>
      </c>
      <c r="D7" t="s" s="13">
        <v>1593</v>
      </c>
      <c r="E7" t="s" s="13">
        <v>240</v>
      </c>
      <c r="F7" s="14">
        <v>1</v>
      </c>
      <c r="G7" s="15">
        <v>99.98999999999999</v>
      </c>
      <c r="H7" s="15">
        <v>99.98999999999999</v>
      </c>
    </row>
    <row r="8" ht="16.1" customHeight="1">
      <c r="A8" t="s" s="10">
        <v>4177</v>
      </c>
      <c r="B8" t="s" s="11">
        <v>583</v>
      </c>
      <c r="C8" s="12">
        <v>45198.097269548613</v>
      </c>
      <c r="D8" t="s" s="13">
        <v>19</v>
      </c>
      <c r="E8" t="s" s="13">
        <v>20</v>
      </c>
      <c r="F8" s="14">
        <v>1</v>
      </c>
      <c r="G8" s="15">
        <v>119.99</v>
      </c>
      <c r="H8" s="15">
        <v>119.99</v>
      </c>
    </row>
    <row r="9" ht="16.1" customHeight="1">
      <c r="A9" t="s" s="10">
        <v>4177</v>
      </c>
      <c r="B9" t="s" s="11">
        <v>583</v>
      </c>
      <c r="C9" s="12">
        <v>45198.097269548613</v>
      </c>
      <c r="D9" t="s" s="13">
        <v>15</v>
      </c>
      <c r="E9" t="s" s="13">
        <v>16</v>
      </c>
      <c r="F9" s="14">
        <v>1</v>
      </c>
      <c r="G9" s="15">
        <v>9.99</v>
      </c>
      <c r="H9" s="15">
        <v>9.99</v>
      </c>
    </row>
    <row r="10" ht="16.1" customHeight="1">
      <c r="A10" t="s" s="10">
        <v>4177</v>
      </c>
      <c r="B10" t="s" s="11">
        <v>583</v>
      </c>
      <c r="C10" s="12">
        <v>45198.097269548613</v>
      </c>
      <c r="D10" t="s" s="13">
        <v>23</v>
      </c>
      <c r="E10" t="s" s="13">
        <v>24</v>
      </c>
      <c r="F10" s="14">
        <v>1</v>
      </c>
      <c r="G10" s="15">
        <v>149.99</v>
      </c>
      <c r="H10" s="15">
        <v>149.99</v>
      </c>
    </row>
    <row r="11" ht="16.1" customHeight="1">
      <c r="A11" t="s" s="10">
        <v>4178</v>
      </c>
      <c r="B11" t="s" s="11">
        <v>4179</v>
      </c>
      <c r="C11" s="12">
        <v>45198</v>
      </c>
      <c r="D11" t="s" s="13">
        <v>585</v>
      </c>
      <c r="E11" t="s" s="13">
        <v>586</v>
      </c>
      <c r="F11" s="14">
        <v>2</v>
      </c>
      <c r="G11" s="15">
        <v>499.99</v>
      </c>
      <c r="H11" s="15">
        <v>999.98</v>
      </c>
    </row>
    <row r="12" ht="16.1" customHeight="1">
      <c r="A12" t="s" s="10">
        <v>4178</v>
      </c>
      <c r="B12" t="s" s="11">
        <v>4179</v>
      </c>
      <c r="C12" s="12">
        <v>45198</v>
      </c>
      <c r="D12" t="s" s="13">
        <v>165</v>
      </c>
      <c r="E12" t="s" s="13">
        <v>392</v>
      </c>
      <c r="F12" s="14">
        <v>2</v>
      </c>
      <c r="G12" s="15">
        <v>0</v>
      </c>
      <c r="H12" s="15">
        <v>0</v>
      </c>
    </row>
    <row r="13" ht="16.1" customHeight="1">
      <c r="A13" t="s" s="10">
        <v>4178</v>
      </c>
      <c r="B13" t="s" s="11">
        <v>4179</v>
      </c>
      <c r="C13" s="12">
        <v>45198</v>
      </c>
      <c r="D13" t="s" s="13">
        <v>73</v>
      </c>
      <c r="E13" t="s" s="13">
        <v>74</v>
      </c>
      <c r="F13" s="14">
        <v>1</v>
      </c>
      <c r="G13" s="15">
        <v>399.99</v>
      </c>
      <c r="H13" s="15">
        <v>399.99</v>
      </c>
    </row>
    <row r="14" ht="16.1" customHeight="1">
      <c r="A14" t="s" s="10">
        <v>4178</v>
      </c>
      <c r="B14" t="s" s="11">
        <v>4179</v>
      </c>
      <c r="C14" s="12">
        <v>45198</v>
      </c>
      <c r="D14" t="s" s="13">
        <v>691</v>
      </c>
      <c r="E14" t="s" s="13">
        <v>692</v>
      </c>
      <c r="F14" s="14">
        <v>1</v>
      </c>
      <c r="G14" s="15">
        <v>295</v>
      </c>
      <c r="H14" s="15">
        <v>295</v>
      </c>
    </row>
    <row r="15" ht="16.1" customHeight="1">
      <c r="A15" t="s" s="10">
        <v>4178</v>
      </c>
      <c r="B15" t="s" s="11">
        <v>4179</v>
      </c>
      <c r="C15" s="12">
        <v>45198</v>
      </c>
      <c r="D15" t="s" s="13">
        <v>19</v>
      </c>
      <c r="E15" t="s" s="13">
        <v>20</v>
      </c>
      <c r="F15" s="14">
        <v>1</v>
      </c>
      <c r="G15" s="15">
        <v>119.99</v>
      </c>
      <c r="H15" s="15">
        <v>119.99</v>
      </c>
    </row>
    <row r="16" ht="16.1" customHeight="1">
      <c r="A16" t="s" s="10">
        <v>4178</v>
      </c>
      <c r="B16" t="s" s="11">
        <v>4179</v>
      </c>
      <c r="C16" s="12">
        <v>45198</v>
      </c>
      <c r="D16" t="s" s="13">
        <v>4180</v>
      </c>
      <c r="E16" t="s" s="13">
        <v>4181</v>
      </c>
      <c r="F16" s="14">
        <v>1</v>
      </c>
      <c r="G16" s="15">
        <v>174.99</v>
      </c>
      <c r="H16" s="15">
        <v>174.99</v>
      </c>
    </row>
    <row r="17" ht="16.1" customHeight="1">
      <c r="A17" t="s" s="10">
        <v>4178</v>
      </c>
      <c r="B17" t="s" s="11">
        <v>4179</v>
      </c>
      <c r="C17" s="12">
        <v>45198</v>
      </c>
      <c r="D17" t="s" s="13">
        <v>1986</v>
      </c>
      <c r="E17" t="s" s="13">
        <v>1986</v>
      </c>
      <c r="F17" s="14">
        <v>1</v>
      </c>
      <c r="G17" s="15">
        <v>74.98999999999999</v>
      </c>
      <c r="H17" s="15">
        <v>74.98999999999999</v>
      </c>
    </row>
    <row r="18" ht="16.1" customHeight="1">
      <c r="A18" t="s" s="10">
        <v>4178</v>
      </c>
      <c r="B18" t="s" s="11">
        <v>4179</v>
      </c>
      <c r="C18" s="12">
        <v>45198</v>
      </c>
      <c r="D18" t="s" s="13">
        <v>1007</v>
      </c>
      <c r="E18" t="s" s="13">
        <v>1008</v>
      </c>
      <c r="F18" s="14">
        <v>1</v>
      </c>
      <c r="G18" s="15">
        <v>0</v>
      </c>
      <c r="H18" s="15">
        <v>0</v>
      </c>
    </row>
    <row r="19" ht="16.1" customHeight="1">
      <c r="A19" t="s" s="10">
        <v>4178</v>
      </c>
      <c r="B19" t="s" s="11">
        <v>4179</v>
      </c>
      <c r="C19" s="12">
        <v>45198</v>
      </c>
      <c r="D19" t="s" s="13">
        <v>301</v>
      </c>
      <c r="E19" t="s" s="13">
        <v>302</v>
      </c>
      <c r="F19" s="14">
        <v>1</v>
      </c>
      <c r="G19" s="15">
        <v>0</v>
      </c>
      <c r="H19" s="15">
        <v>0</v>
      </c>
    </row>
    <row r="20" ht="16.1" customHeight="1">
      <c r="A20" t="s" s="10">
        <v>4178</v>
      </c>
      <c r="B20" t="s" s="11">
        <v>4179</v>
      </c>
      <c r="C20" s="12">
        <v>45198</v>
      </c>
      <c r="D20" t="s" s="13">
        <v>443</v>
      </c>
      <c r="E20" t="s" s="13">
        <v>444</v>
      </c>
      <c r="F20" s="14">
        <v>2</v>
      </c>
      <c r="G20" s="15">
        <v>0</v>
      </c>
      <c r="H20" s="15">
        <v>0</v>
      </c>
    </row>
    <row r="21" ht="16.1" customHeight="1">
      <c r="A21" t="s" s="10">
        <v>4178</v>
      </c>
      <c r="B21" t="s" s="11">
        <v>4179</v>
      </c>
      <c r="C21" s="12">
        <v>45198</v>
      </c>
      <c r="D21" t="s" s="13">
        <v>15</v>
      </c>
      <c r="E21" t="s" s="13">
        <v>16</v>
      </c>
      <c r="F21" s="14">
        <v>2</v>
      </c>
      <c r="G21" s="15">
        <v>0</v>
      </c>
      <c r="H21" s="15">
        <v>0</v>
      </c>
    </row>
    <row r="22" ht="16.1" customHeight="1">
      <c r="A22" t="s" s="10">
        <v>4178</v>
      </c>
      <c r="B22" t="s" s="11">
        <v>4179</v>
      </c>
      <c r="C22" s="12">
        <v>45198</v>
      </c>
      <c r="D22" t="s" s="13">
        <v>54</v>
      </c>
      <c r="E22" t="s" s="13">
        <v>93</v>
      </c>
      <c r="F22" s="14">
        <v>2</v>
      </c>
      <c r="G22" s="15">
        <v>0</v>
      </c>
      <c r="H22" s="15">
        <v>0</v>
      </c>
    </row>
    <row r="23" ht="16.1" customHeight="1">
      <c r="A23" t="s" s="10">
        <v>4178</v>
      </c>
      <c r="B23" t="s" s="11">
        <v>4179</v>
      </c>
      <c r="C23" s="12">
        <v>45198</v>
      </c>
      <c r="D23" t="s" s="13">
        <v>2787</v>
      </c>
      <c r="E23" t="s" s="13">
        <v>2788</v>
      </c>
      <c r="F23" s="14">
        <v>1</v>
      </c>
      <c r="G23" s="15">
        <v>0</v>
      </c>
      <c r="H23" s="15">
        <v>0</v>
      </c>
    </row>
    <row r="24" ht="16.1" customHeight="1">
      <c r="A24" t="s" s="10">
        <v>4182</v>
      </c>
      <c r="B24" t="s" s="11">
        <v>69</v>
      </c>
      <c r="C24" s="12">
        <v>45198</v>
      </c>
      <c r="D24" t="s" s="13">
        <v>89</v>
      </c>
      <c r="E24" t="s" s="13">
        <v>90</v>
      </c>
      <c r="F24" s="14">
        <v>4</v>
      </c>
      <c r="G24" s="15">
        <v>44.9925</v>
      </c>
      <c r="H24" s="15">
        <v>179.97</v>
      </c>
    </row>
    <row r="25" ht="16.1" customHeight="1">
      <c r="A25" t="s" s="10">
        <v>4182</v>
      </c>
      <c r="B25" t="s" s="11">
        <v>69</v>
      </c>
      <c r="C25" s="12">
        <v>45198</v>
      </c>
      <c r="D25" t="s" s="13">
        <v>63</v>
      </c>
      <c r="E25" s="16"/>
      <c r="F25" s="14">
        <v>1</v>
      </c>
      <c r="G25" s="15">
        <v>30</v>
      </c>
      <c r="H25" s="15">
        <v>30</v>
      </c>
    </row>
    <row r="26" ht="16.1" customHeight="1">
      <c r="A26" t="s" s="10">
        <v>4183</v>
      </c>
      <c r="B26" t="s" s="11">
        <v>911</v>
      </c>
      <c r="C26" s="12">
        <v>45198</v>
      </c>
      <c r="D26" t="s" s="13">
        <v>585</v>
      </c>
      <c r="E26" t="s" s="13">
        <v>586</v>
      </c>
      <c r="F26" s="14">
        <v>5</v>
      </c>
      <c r="G26" s="15">
        <v>499.99</v>
      </c>
      <c r="H26" s="15">
        <v>2499.95</v>
      </c>
    </row>
    <row r="27" ht="16.1" customHeight="1">
      <c r="A27" t="s" s="10">
        <v>4184</v>
      </c>
      <c r="B27" t="s" s="11">
        <v>69</v>
      </c>
      <c r="C27" s="12">
        <v>45198</v>
      </c>
      <c r="D27" t="s" s="13">
        <v>2351</v>
      </c>
      <c r="E27" t="s" s="13">
        <v>2352</v>
      </c>
      <c r="F27" s="14">
        <v>4</v>
      </c>
      <c r="G27" s="15">
        <v>23.4</v>
      </c>
      <c r="H27" s="15">
        <v>93.59999999999999</v>
      </c>
    </row>
    <row r="28" ht="16.1" customHeight="1">
      <c r="A28" t="s" s="10">
        <v>4184</v>
      </c>
      <c r="B28" t="s" s="11">
        <v>69</v>
      </c>
      <c r="C28" s="12">
        <v>45198</v>
      </c>
      <c r="D28" t="s" s="13">
        <v>110</v>
      </c>
      <c r="E28" t="s" s="13">
        <v>110</v>
      </c>
      <c r="F28" s="14">
        <v>4</v>
      </c>
      <c r="G28" s="15">
        <v>0</v>
      </c>
      <c r="H28" s="15">
        <v>0</v>
      </c>
    </row>
    <row r="29" ht="16.1" customHeight="1">
      <c r="A29" t="s" s="10">
        <v>4184</v>
      </c>
      <c r="B29" t="s" s="11">
        <v>69</v>
      </c>
      <c r="C29" s="12">
        <v>45198</v>
      </c>
      <c r="D29" t="s" s="13">
        <v>4050</v>
      </c>
      <c r="E29" t="s" s="13">
        <v>4051</v>
      </c>
      <c r="F29" s="14">
        <v>12</v>
      </c>
      <c r="G29" s="15">
        <v>1.5</v>
      </c>
      <c r="H29" s="15">
        <v>18</v>
      </c>
    </row>
    <row r="30" ht="16.1" customHeight="1">
      <c r="A30" t="s" s="10">
        <v>4184</v>
      </c>
      <c r="B30" t="s" s="11">
        <v>69</v>
      </c>
      <c r="C30" s="12">
        <v>45198</v>
      </c>
      <c r="D30" t="s" s="13">
        <v>3910</v>
      </c>
      <c r="E30" t="s" s="13">
        <v>3911</v>
      </c>
      <c r="F30" s="14">
        <v>4</v>
      </c>
      <c r="G30" s="15">
        <v>2.771739</v>
      </c>
      <c r="H30" s="15">
        <v>11.086956</v>
      </c>
    </row>
    <row r="31" ht="16.1" customHeight="1">
      <c r="A31" t="s" s="10">
        <v>4184</v>
      </c>
      <c r="B31" t="s" s="11">
        <v>69</v>
      </c>
      <c r="C31" s="12">
        <v>45198</v>
      </c>
      <c r="D31" t="s" s="13">
        <v>2425</v>
      </c>
      <c r="E31" t="s" s="13">
        <v>2426</v>
      </c>
      <c r="F31" s="14">
        <v>4</v>
      </c>
      <c r="G31" s="15">
        <v>148.7789865</v>
      </c>
      <c r="H31" s="15">
        <v>595.115946</v>
      </c>
    </row>
    <row r="32" ht="16.1" customHeight="1">
      <c r="A32" t="s" s="10">
        <v>4184</v>
      </c>
      <c r="B32" t="s" s="11">
        <v>69</v>
      </c>
      <c r="C32" s="12">
        <v>45198</v>
      </c>
      <c r="D32" t="s" s="13">
        <v>443</v>
      </c>
      <c r="E32" t="s" s="13">
        <v>444</v>
      </c>
      <c r="F32" s="14">
        <v>4</v>
      </c>
      <c r="G32" s="15">
        <v>0</v>
      </c>
      <c r="H32" s="15">
        <v>0</v>
      </c>
    </row>
    <row r="33" ht="16.1" customHeight="1">
      <c r="A33" t="s" s="10">
        <v>4184</v>
      </c>
      <c r="B33" t="s" s="11">
        <v>69</v>
      </c>
      <c r="C33" s="12">
        <v>45198</v>
      </c>
      <c r="D33" t="s" s="13">
        <v>1707</v>
      </c>
      <c r="E33" t="s" s="13">
        <v>1708</v>
      </c>
      <c r="F33" s="14">
        <v>4</v>
      </c>
      <c r="G33" s="15">
        <v>0</v>
      </c>
      <c r="H33" s="15">
        <v>0</v>
      </c>
    </row>
    <row r="34" ht="16.1" customHeight="1">
      <c r="A34" t="s" s="10">
        <v>4184</v>
      </c>
      <c r="B34" t="s" s="11">
        <v>69</v>
      </c>
      <c r="C34" s="12">
        <v>45198</v>
      </c>
      <c r="D34" t="s" s="13">
        <v>63</v>
      </c>
      <c r="E34" s="16"/>
      <c r="F34" s="14">
        <v>1</v>
      </c>
      <c r="G34" s="15">
        <v>30</v>
      </c>
      <c r="H34" s="15">
        <v>30</v>
      </c>
    </row>
    <row r="35" ht="16.1" customHeight="1">
      <c r="A35" t="s" s="10">
        <v>4185</v>
      </c>
      <c r="B35" t="s" s="11">
        <v>69</v>
      </c>
      <c r="C35" s="12">
        <v>45198</v>
      </c>
      <c r="D35" t="s" s="13">
        <v>59</v>
      </c>
      <c r="E35" t="s" s="13">
        <v>4186</v>
      </c>
      <c r="F35" s="14">
        <v>1</v>
      </c>
      <c r="G35" s="15">
        <v>899.9924999999999</v>
      </c>
      <c r="H35" s="15">
        <v>899.9924999999999</v>
      </c>
    </row>
    <row r="36" ht="16.1" customHeight="1">
      <c r="A36" t="s" s="10">
        <v>4187</v>
      </c>
      <c r="B36" t="s" s="11">
        <v>2403</v>
      </c>
      <c r="C36" s="12">
        <v>45198</v>
      </c>
      <c r="D36" t="s" s="13">
        <v>4127</v>
      </c>
      <c r="E36" t="s" s="13">
        <v>4128</v>
      </c>
      <c r="F36" s="14">
        <v>10</v>
      </c>
      <c r="G36" s="15">
        <v>130</v>
      </c>
      <c r="H36" s="15">
        <v>1300</v>
      </c>
    </row>
    <row r="37" ht="16.1" customHeight="1">
      <c r="A37" t="s" s="10">
        <v>4187</v>
      </c>
      <c r="B37" t="s" s="11">
        <v>2403</v>
      </c>
      <c r="C37" s="12">
        <v>45198</v>
      </c>
      <c r="D37" t="s" s="13">
        <v>4188</v>
      </c>
      <c r="E37" t="s" s="13">
        <v>4189</v>
      </c>
      <c r="F37" s="14">
        <v>10</v>
      </c>
      <c r="G37" s="15">
        <v>210</v>
      </c>
      <c r="H37" s="15">
        <v>2100</v>
      </c>
    </row>
    <row r="38" ht="16.1" customHeight="1">
      <c r="A38" t="s" s="10">
        <v>4187</v>
      </c>
      <c r="B38" t="s" s="11">
        <v>2403</v>
      </c>
      <c r="C38" s="12">
        <v>45198</v>
      </c>
      <c r="D38" t="s" s="13">
        <v>1007</v>
      </c>
      <c r="E38" t="s" s="13">
        <v>1008</v>
      </c>
      <c r="F38" s="14">
        <v>20</v>
      </c>
      <c r="G38" s="15">
        <v>0</v>
      </c>
      <c r="H38" s="15">
        <v>0</v>
      </c>
    </row>
    <row r="39" ht="16.1" customHeight="1">
      <c r="A39" t="s" s="10">
        <v>4187</v>
      </c>
      <c r="B39" t="s" s="11">
        <v>2403</v>
      </c>
      <c r="C39" s="12">
        <v>45198</v>
      </c>
      <c r="D39" t="s" s="13">
        <v>73</v>
      </c>
      <c r="E39" t="s" s="13">
        <v>74</v>
      </c>
      <c r="F39" s="14">
        <v>1</v>
      </c>
      <c r="G39" s="15">
        <v>399.99</v>
      </c>
      <c r="H39" s="15">
        <v>399.99</v>
      </c>
    </row>
    <row r="40" ht="16.1" customHeight="1">
      <c r="A40" t="s" s="10">
        <v>4190</v>
      </c>
      <c r="B40" t="s" s="11">
        <v>69</v>
      </c>
      <c r="C40" s="12">
        <v>45198</v>
      </c>
      <c r="D40" t="s" s="13">
        <v>59</v>
      </c>
      <c r="E40" t="s" s="13">
        <v>4186</v>
      </c>
      <c r="F40" s="14">
        <v>1</v>
      </c>
      <c r="G40" s="15">
        <v>899.9924999999999</v>
      </c>
      <c r="H40" s="15">
        <v>899.9924999999999</v>
      </c>
    </row>
    <row r="41" ht="16.1" customHeight="1">
      <c r="A41" t="s" s="10">
        <v>4191</v>
      </c>
      <c r="B41" t="s" s="11">
        <v>4192</v>
      </c>
      <c r="C41" s="12">
        <v>45197.907680509263</v>
      </c>
      <c r="D41" t="s" s="13">
        <v>95</v>
      </c>
      <c r="E41" t="s" s="13">
        <v>12</v>
      </c>
      <c r="F41" s="14">
        <v>1</v>
      </c>
      <c r="G41" s="15">
        <v>349.99</v>
      </c>
      <c r="H41" s="15">
        <v>349.99</v>
      </c>
    </row>
    <row r="42" ht="16.1" customHeight="1">
      <c r="A42" t="s" s="10">
        <v>4193</v>
      </c>
      <c r="B42" t="s" s="11">
        <v>3523</v>
      </c>
      <c r="C42" s="12">
        <v>45197.795251087962</v>
      </c>
      <c r="D42" t="s" s="13">
        <v>73</v>
      </c>
      <c r="E42" t="s" s="13">
        <v>74</v>
      </c>
      <c r="F42" s="14">
        <v>1</v>
      </c>
      <c r="G42" s="15">
        <v>399.99</v>
      </c>
      <c r="H42" s="15">
        <v>399.99</v>
      </c>
    </row>
    <row r="43" ht="16.1" customHeight="1">
      <c r="A43" t="s" s="10">
        <v>4194</v>
      </c>
      <c r="B43" t="s" s="11">
        <v>3583</v>
      </c>
      <c r="C43" s="12">
        <v>45197.547383275465</v>
      </c>
      <c r="D43" t="s" s="13">
        <v>95</v>
      </c>
      <c r="E43" t="s" s="13">
        <v>12</v>
      </c>
      <c r="F43" s="14">
        <v>1</v>
      </c>
      <c r="G43" s="15">
        <v>349.99</v>
      </c>
      <c r="H43" s="15">
        <v>349.99</v>
      </c>
    </row>
    <row r="44" ht="16.1" customHeight="1">
      <c r="A44" t="s" s="10">
        <v>4195</v>
      </c>
      <c r="B44" t="s" s="11">
        <v>4196</v>
      </c>
      <c r="C44" s="12">
        <v>45197.544300763890</v>
      </c>
      <c r="D44" t="s" s="13">
        <v>73</v>
      </c>
      <c r="E44" t="s" s="13">
        <v>74</v>
      </c>
      <c r="F44" s="14">
        <v>1</v>
      </c>
      <c r="G44" s="15">
        <v>399.99</v>
      </c>
      <c r="H44" s="15">
        <v>399.99</v>
      </c>
    </row>
    <row r="45" ht="16.1" customHeight="1">
      <c r="A45" t="s" s="10">
        <v>4197</v>
      </c>
      <c r="B45" t="s" s="11">
        <v>911</v>
      </c>
      <c r="C45" s="12">
        <v>45197</v>
      </c>
      <c r="D45" t="s" s="13">
        <v>585</v>
      </c>
      <c r="E45" t="s" s="13">
        <v>586</v>
      </c>
      <c r="F45" s="14">
        <v>5</v>
      </c>
      <c r="G45" s="15">
        <v>499.99</v>
      </c>
      <c r="H45" s="15">
        <v>2499.95</v>
      </c>
    </row>
    <row r="46" ht="16.1" customHeight="1">
      <c r="A46" t="s" s="10">
        <v>4198</v>
      </c>
      <c r="B46" t="s" s="11">
        <v>69</v>
      </c>
      <c r="C46" s="12">
        <v>45197</v>
      </c>
      <c r="D46" t="s" s="13">
        <v>359</v>
      </c>
      <c r="E46" t="s" s="13">
        <v>4199</v>
      </c>
      <c r="F46" s="14">
        <v>4</v>
      </c>
      <c r="G46" s="15">
        <v>0</v>
      </c>
      <c r="H46" s="15">
        <v>0</v>
      </c>
    </row>
    <row r="47" ht="16.1" customHeight="1">
      <c r="A47" t="s" s="10">
        <v>4198</v>
      </c>
      <c r="B47" t="s" s="11">
        <v>69</v>
      </c>
      <c r="C47" s="12">
        <v>45197</v>
      </c>
      <c r="D47" t="s" s="13">
        <v>443</v>
      </c>
      <c r="E47" t="s" s="13">
        <v>444</v>
      </c>
      <c r="F47" s="14">
        <v>4</v>
      </c>
      <c r="G47" s="15">
        <v>0</v>
      </c>
      <c r="H47" s="15">
        <v>0</v>
      </c>
    </row>
    <row r="48" ht="16.1" customHeight="1">
      <c r="A48" t="s" s="10">
        <v>4200</v>
      </c>
      <c r="B48" t="s" s="11">
        <v>4201</v>
      </c>
      <c r="C48" s="12">
        <v>45196.825618865740</v>
      </c>
      <c r="D48" t="s" s="13">
        <v>73</v>
      </c>
      <c r="E48" t="s" s="13">
        <v>74</v>
      </c>
      <c r="F48" s="14">
        <v>1</v>
      </c>
      <c r="G48" s="15">
        <v>399.99</v>
      </c>
      <c r="H48" s="15">
        <v>399.99</v>
      </c>
    </row>
    <row r="49" ht="16.1" customHeight="1">
      <c r="A49" t="s" s="10">
        <v>4202</v>
      </c>
      <c r="B49" t="s" s="11">
        <v>4203</v>
      </c>
      <c r="C49" s="12">
        <v>45196.766199027777</v>
      </c>
      <c r="D49" t="s" s="13">
        <v>95</v>
      </c>
      <c r="E49" t="s" s="13">
        <v>12</v>
      </c>
      <c r="F49" s="14">
        <v>1</v>
      </c>
      <c r="G49" s="15">
        <v>349.99</v>
      </c>
      <c r="H49" s="15">
        <v>349.99</v>
      </c>
    </row>
    <row r="50" ht="16.1" customHeight="1">
      <c r="A50" t="s" s="10">
        <v>4202</v>
      </c>
      <c r="B50" t="s" s="11">
        <v>4203</v>
      </c>
      <c r="C50" s="12">
        <v>45196.766199027777</v>
      </c>
      <c r="D50" t="s" s="13">
        <v>54</v>
      </c>
      <c r="E50" t="s" s="13">
        <v>93</v>
      </c>
      <c r="F50" s="14">
        <v>1</v>
      </c>
      <c r="G50" s="15">
        <v>9.99</v>
      </c>
      <c r="H50" s="15">
        <v>9.99</v>
      </c>
    </row>
    <row r="51" ht="16.1" customHeight="1">
      <c r="A51" t="s" s="10">
        <v>4204</v>
      </c>
      <c r="B51" t="s" s="11">
        <v>4205</v>
      </c>
      <c r="C51" s="12">
        <v>45196.714401539350</v>
      </c>
      <c r="D51" t="s" s="13">
        <v>19</v>
      </c>
      <c r="E51" t="s" s="13">
        <v>20</v>
      </c>
      <c r="F51" s="14">
        <v>1</v>
      </c>
      <c r="G51" s="15">
        <v>119.99</v>
      </c>
      <c r="H51" s="15">
        <v>119.99</v>
      </c>
    </row>
    <row r="52" ht="16.1" customHeight="1">
      <c r="A52" t="s" s="10">
        <v>4204</v>
      </c>
      <c r="B52" t="s" s="11">
        <v>4205</v>
      </c>
      <c r="C52" s="12">
        <v>45196.714401539350</v>
      </c>
      <c r="D52" t="s" s="13">
        <v>15</v>
      </c>
      <c r="E52" t="s" s="13">
        <v>16</v>
      </c>
      <c r="F52" s="14">
        <v>1</v>
      </c>
      <c r="G52" s="15">
        <v>9.99</v>
      </c>
      <c r="H52" s="15">
        <v>9.99</v>
      </c>
    </row>
    <row r="53" ht="16.1" customHeight="1">
      <c r="A53" t="s" s="10">
        <v>4206</v>
      </c>
      <c r="B53" t="s" s="11">
        <v>4207</v>
      </c>
      <c r="C53" s="12">
        <v>45196.6655799537</v>
      </c>
      <c r="D53" t="s" s="13">
        <v>359</v>
      </c>
      <c r="E53" t="s" s="13">
        <v>4199</v>
      </c>
      <c r="F53" s="14">
        <v>1</v>
      </c>
      <c r="G53" s="15">
        <v>29.99</v>
      </c>
      <c r="H53" s="15">
        <v>29.99</v>
      </c>
    </row>
    <row r="54" ht="16.1" customHeight="1">
      <c r="A54" t="s" s="10">
        <v>4208</v>
      </c>
      <c r="B54" t="s" s="11">
        <v>4209</v>
      </c>
      <c r="C54" s="12">
        <v>45196.107624363423</v>
      </c>
      <c r="D54" t="s" s="13">
        <v>73</v>
      </c>
      <c r="E54" t="s" s="13">
        <v>74</v>
      </c>
      <c r="F54" s="14">
        <v>1</v>
      </c>
      <c r="G54" s="15">
        <v>399.99</v>
      </c>
      <c r="H54" s="15">
        <v>399.99</v>
      </c>
    </row>
    <row r="55" ht="16.1" customHeight="1">
      <c r="A55" t="s" s="10">
        <v>4210</v>
      </c>
      <c r="B55" t="s" s="11">
        <v>896</v>
      </c>
      <c r="C55" s="12">
        <v>45196</v>
      </c>
      <c r="D55" t="s" s="13">
        <v>4211</v>
      </c>
      <c r="E55" t="s" s="13">
        <v>4212</v>
      </c>
      <c r="F55" s="14">
        <v>9</v>
      </c>
      <c r="G55" s="15">
        <v>576.4</v>
      </c>
      <c r="H55" s="15">
        <v>5187.6</v>
      </c>
    </row>
    <row r="56" ht="16.1" customHeight="1">
      <c r="A56" t="s" s="10">
        <v>4210</v>
      </c>
      <c r="B56" t="s" s="11">
        <v>896</v>
      </c>
      <c r="C56" s="12">
        <v>45196</v>
      </c>
      <c r="D56" t="s" s="13">
        <v>4213</v>
      </c>
      <c r="E56" t="s" s="13">
        <v>4214</v>
      </c>
      <c r="F56" s="14">
        <v>1</v>
      </c>
      <c r="G56" s="15">
        <v>589.6</v>
      </c>
      <c r="H56" s="15">
        <v>589.6</v>
      </c>
    </row>
    <row r="57" ht="16.1" customHeight="1">
      <c r="A57" t="s" s="10">
        <v>4210</v>
      </c>
      <c r="B57" t="s" s="11">
        <v>896</v>
      </c>
      <c r="C57" s="12">
        <v>45196</v>
      </c>
      <c r="D57" t="s" s="13">
        <v>63</v>
      </c>
      <c r="E57" s="16"/>
      <c r="F57" s="14">
        <v>1</v>
      </c>
      <c r="G57" s="15">
        <v>200</v>
      </c>
      <c r="H57" s="15">
        <v>200</v>
      </c>
    </row>
    <row r="58" ht="16.1" customHeight="1">
      <c r="A58" t="s" s="10">
        <v>4215</v>
      </c>
      <c r="B58" t="s" s="11">
        <v>896</v>
      </c>
      <c r="C58" s="12">
        <v>45196</v>
      </c>
      <c r="D58" t="s" s="13">
        <v>3396</v>
      </c>
      <c r="E58" t="s" s="13">
        <v>3397</v>
      </c>
      <c r="F58" s="14">
        <v>150</v>
      </c>
      <c r="G58" s="15">
        <v>4</v>
      </c>
      <c r="H58" s="15">
        <v>600</v>
      </c>
    </row>
    <row r="59" ht="16.1" customHeight="1">
      <c r="A59" t="s" s="10">
        <v>4215</v>
      </c>
      <c r="B59" t="s" s="11">
        <v>896</v>
      </c>
      <c r="C59" s="12">
        <v>45196</v>
      </c>
      <c r="D59" t="s" s="13">
        <v>3398</v>
      </c>
      <c r="E59" t="s" s="13">
        <v>3399</v>
      </c>
      <c r="F59" s="14">
        <v>100</v>
      </c>
      <c r="G59" s="15">
        <v>4</v>
      </c>
      <c r="H59" s="15">
        <v>400</v>
      </c>
    </row>
    <row r="60" ht="16.1" customHeight="1">
      <c r="A60" t="s" s="10">
        <v>4215</v>
      </c>
      <c r="B60" t="s" s="11">
        <v>896</v>
      </c>
      <c r="C60" s="12">
        <v>45196</v>
      </c>
      <c r="D60" t="s" s="13">
        <v>63</v>
      </c>
      <c r="E60" s="16"/>
      <c r="F60" s="14">
        <v>1</v>
      </c>
      <c r="G60" s="15">
        <v>50</v>
      </c>
      <c r="H60" s="15">
        <v>50</v>
      </c>
    </row>
    <row r="61" ht="16.1" customHeight="1">
      <c r="A61" t="s" s="10">
        <v>4216</v>
      </c>
      <c r="B61" t="s" s="11">
        <v>4217</v>
      </c>
      <c r="C61" s="12">
        <v>45195.992108622682</v>
      </c>
      <c r="D61" t="s" s="13">
        <v>1695</v>
      </c>
      <c r="E61" t="s" s="13">
        <v>140</v>
      </c>
      <c r="F61" s="14">
        <v>1</v>
      </c>
      <c r="G61" s="15">
        <v>49.99</v>
      </c>
      <c r="H61" s="15">
        <v>49.99</v>
      </c>
    </row>
    <row r="62" ht="16.1" customHeight="1">
      <c r="A62" t="s" s="10">
        <v>4216</v>
      </c>
      <c r="B62" t="s" s="11">
        <v>4217</v>
      </c>
      <c r="C62" s="12">
        <v>45195.992108622682</v>
      </c>
      <c r="D62" t="s" s="13">
        <v>15</v>
      </c>
      <c r="E62" t="s" s="13">
        <v>16</v>
      </c>
      <c r="F62" s="14">
        <v>1</v>
      </c>
      <c r="G62" s="15">
        <v>9.99</v>
      </c>
      <c r="H62" s="15">
        <v>9.99</v>
      </c>
    </row>
    <row r="63" ht="16.1" customHeight="1">
      <c r="A63" t="s" s="10">
        <v>4218</v>
      </c>
      <c r="B63" t="s" s="11">
        <v>4219</v>
      </c>
      <c r="C63" s="12">
        <v>45195.887412175929</v>
      </c>
      <c r="D63" t="s" s="13">
        <v>95</v>
      </c>
      <c r="E63" t="s" s="13">
        <v>12</v>
      </c>
      <c r="F63" s="14">
        <v>1</v>
      </c>
      <c r="G63" s="15">
        <v>324.99</v>
      </c>
      <c r="H63" s="15">
        <v>324.99</v>
      </c>
    </row>
    <row r="64" ht="16.1" customHeight="1">
      <c r="A64" t="s" s="10">
        <v>4220</v>
      </c>
      <c r="B64" t="s" s="11">
        <v>4221</v>
      </c>
      <c r="C64" s="12">
        <v>45195.874548842592</v>
      </c>
      <c r="D64" t="s" s="13">
        <v>95</v>
      </c>
      <c r="E64" t="s" s="13">
        <v>12</v>
      </c>
      <c r="F64" s="14">
        <v>1</v>
      </c>
      <c r="G64" s="15">
        <v>349.99</v>
      </c>
      <c r="H64" s="15">
        <v>349.99</v>
      </c>
    </row>
    <row r="65" ht="16.1" customHeight="1">
      <c r="A65" t="s" s="10">
        <v>4222</v>
      </c>
      <c r="B65" t="s" s="11">
        <v>4223</v>
      </c>
      <c r="C65" s="12">
        <v>45195.651784849535</v>
      </c>
      <c r="D65" t="s" s="13">
        <v>77</v>
      </c>
      <c r="E65" t="s" s="13">
        <v>4224</v>
      </c>
      <c r="F65" s="14">
        <v>2</v>
      </c>
      <c r="G65" s="15">
        <v>19.99</v>
      </c>
      <c r="H65" s="15">
        <v>39.98</v>
      </c>
    </row>
    <row r="66" ht="16.1" customHeight="1">
      <c r="A66" t="s" s="10">
        <v>4222</v>
      </c>
      <c r="B66" t="s" s="11">
        <v>4223</v>
      </c>
      <c r="C66" s="12">
        <v>45195.651784849535</v>
      </c>
      <c r="D66" t="s" s="13">
        <v>1961</v>
      </c>
      <c r="E66" t="s" s="13">
        <v>1962</v>
      </c>
      <c r="F66" s="14">
        <v>1</v>
      </c>
      <c r="G66" s="15">
        <v>109.99</v>
      </c>
      <c r="H66" s="15">
        <v>109.99</v>
      </c>
    </row>
    <row r="67" ht="16.1" customHeight="1">
      <c r="A67" t="s" s="10">
        <v>4222</v>
      </c>
      <c r="B67" t="s" s="11">
        <v>4223</v>
      </c>
      <c r="C67" s="12">
        <v>45195.651784849535</v>
      </c>
      <c r="D67" t="s" s="13">
        <v>84</v>
      </c>
      <c r="E67" t="s" s="13">
        <v>4225</v>
      </c>
      <c r="F67" s="14">
        <v>1</v>
      </c>
      <c r="G67" s="15">
        <v>15</v>
      </c>
      <c r="H67" s="15">
        <v>15</v>
      </c>
    </row>
    <row r="68" ht="16.1" customHeight="1">
      <c r="A68" t="s" s="10">
        <v>4226</v>
      </c>
      <c r="B68" t="s" s="11">
        <v>3142</v>
      </c>
      <c r="C68" s="12">
        <v>45195.109761527776</v>
      </c>
      <c r="D68" t="s" s="13">
        <v>89</v>
      </c>
      <c r="E68" t="s" s="13">
        <v>90</v>
      </c>
      <c r="F68" s="14">
        <v>2</v>
      </c>
      <c r="G68" s="15">
        <v>59.99</v>
      </c>
      <c r="H68" s="15">
        <v>119.98</v>
      </c>
    </row>
    <row r="69" ht="16.1" customHeight="1">
      <c r="A69" t="s" s="10">
        <v>4226</v>
      </c>
      <c r="B69" t="s" s="11">
        <v>3142</v>
      </c>
      <c r="C69" s="12">
        <v>45195.109761527776</v>
      </c>
      <c r="D69" t="s" s="13">
        <v>54</v>
      </c>
      <c r="E69" t="s" s="13">
        <v>93</v>
      </c>
      <c r="F69" s="14">
        <v>1</v>
      </c>
      <c r="G69" s="15">
        <v>9.99</v>
      </c>
      <c r="H69" s="15">
        <v>9.99</v>
      </c>
    </row>
    <row r="70" ht="16.1" customHeight="1">
      <c r="A70" t="s" s="10">
        <v>4226</v>
      </c>
      <c r="B70" t="s" s="11">
        <v>3142</v>
      </c>
      <c r="C70" s="12">
        <v>45195.109761527776</v>
      </c>
      <c r="D70" t="s" s="13">
        <v>1695</v>
      </c>
      <c r="E70" t="s" s="13">
        <v>140</v>
      </c>
      <c r="F70" s="14">
        <v>1</v>
      </c>
      <c r="G70" s="15">
        <v>49.99</v>
      </c>
      <c r="H70" s="15">
        <v>49.99</v>
      </c>
    </row>
    <row r="71" ht="16.1" customHeight="1">
      <c r="A71" t="s" s="10">
        <v>4226</v>
      </c>
      <c r="B71" t="s" s="11">
        <v>3142</v>
      </c>
      <c r="C71" s="12">
        <v>45195.109761527776</v>
      </c>
      <c r="D71" t="s" s="13">
        <v>15</v>
      </c>
      <c r="E71" t="s" s="13">
        <v>16</v>
      </c>
      <c r="F71" s="14">
        <v>1</v>
      </c>
      <c r="G71" s="15">
        <v>9.99</v>
      </c>
      <c r="H71" s="15">
        <v>9.99</v>
      </c>
    </row>
    <row r="72" ht="16.1" customHeight="1">
      <c r="A72" t="s" s="10">
        <v>4227</v>
      </c>
      <c r="B72" t="s" s="11">
        <v>4228</v>
      </c>
      <c r="C72" s="12">
        <v>45195.096442141206</v>
      </c>
      <c r="D72" t="s" s="13">
        <v>23</v>
      </c>
      <c r="E72" t="s" s="13">
        <v>24</v>
      </c>
      <c r="F72" s="14">
        <v>1</v>
      </c>
      <c r="G72" s="15">
        <v>149.99</v>
      </c>
      <c r="H72" s="15">
        <v>149.99</v>
      </c>
    </row>
    <row r="73" ht="16.1" customHeight="1">
      <c r="A73" t="s" s="10">
        <v>4227</v>
      </c>
      <c r="B73" t="s" s="11">
        <v>4228</v>
      </c>
      <c r="C73" s="12">
        <v>45195.096442141206</v>
      </c>
      <c r="D73" t="s" s="13">
        <v>84</v>
      </c>
      <c r="E73" t="s" s="13">
        <v>4225</v>
      </c>
      <c r="F73" s="14">
        <v>1</v>
      </c>
      <c r="G73" s="15">
        <v>15</v>
      </c>
      <c r="H73" s="15">
        <v>15</v>
      </c>
    </row>
    <row r="74" ht="16.1" customHeight="1">
      <c r="A74" t="s" s="10">
        <v>4229</v>
      </c>
      <c r="B74" t="s" s="11">
        <v>4228</v>
      </c>
      <c r="C74" s="12">
        <v>45195.086573009263</v>
      </c>
      <c r="D74" t="s" s="13">
        <v>73</v>
      </c>
      <c r="E74" t="s" s="13">
        <v>74</v>
      </c>
      <c r="F74" s="14">
        <v>1</v>
      </c>
      <c r="G74" s="15">
        <v>399.99</v>
      </c>
      <c r="H74" s="15">
        <v>399.99</v>
      </c>
    </row>
    <row r="75" ht="16.1" customHeight="1">
      <c r="A75" t="s" s="10">
        <v>4230</v>
      </c>
      <c r="B75" t="s" s="11">
        <v>210</v>
      </c>
      <c r="C75" s="12">
        <v>45195</v>
      </c>
      <c r="D75" t="s" s="13">
        <v>50</v>
      </c>
      <c r="E75" t="s" s="13">
        <v>83</v>
      </c>
      <c r="F75" s="14">
        <v>12</v>
      </c>
      <c r="G75" s="15">
        <v>29.99</v>
      </c>
      <c r="H75" s="15">
        <v>359.88</v>
      </c>
    </row>
    <row r="76" ht="16.1" customHeight="1">
      <c r="A76" t="s" s="10">
        <v>4231</v>
      </c>
      <c r="B76" t="s" s="11">
        <v>4232</v>
      </c>
      <c r="C76" s="12">
        <v>45195</v>
      </c>
      <c r="D76" t="s" s="13">
        <v>95</v>
      </c>
      <c r="E76" t="s" s="13">
        <v>12</v>
      </c>
      <c r="F76" s="14">
        <v>1</v>
      </c>
      <c r="G76" s="15">
        <v>349.99</v>
      </c>
      <c r="H76" s="15">
        <v>349.99</v>
      </c>
    </row>
    <row r="77" ht="16.1" customHeight="1">
      <c r="A77" t="s" s="10">
        <v>4233</v>
      </c>
      <c r="B77" t="s" s="11">
        <v>2292</v>
      </c>
      <c r="C77" s="12">
        <v>45194.909913217591</v>
      </c>
      <c r="D77" t="s" s="13">
        <v>227</v>
      </c>
      <c r="E77" t="s" s="13">
        <v>228</v>
      </c>
      <c r="F77" s="14">
        <v>4</v>
      </c>
      <c r="G77" s="15">
        <v>29.99</v>
      </c>
      <c r="H77" s="15">
        <v>119.96</v>
      </c>
    </row>
    <row r="78" ht="16.1" customHeight="1">
      <c r="A78" t="s" s="10">
        <v>4233</v>
      </c>
      <c r="B78" t="s" s="11">
        <v>2292</v>
      </c>
      <c r="C78" s="12">
        <v>45194.909913217591</v>
      </c>
      <c r="D78" t="s" s="13">
        <v>15</v>
      </c>
      <c r="E78" t="s" s="13">
        <v>16</v>
      </c>
      <c r="F78" s="14">
        <v>10</v>
      </c>
      <c r="G78" s="15">
        <v>8.49</v>
      </c>
      <c r="H78" s="15">
        <v>84.90000000000001</v>
      </c>
    </row>
    <row r="79" ht="16.1" customHeight="1">
      <c r="A79" t="s" s="10">
        <v>4234</v>
      </c>
      <c r="B79" t="s" s="11">
        <v>4235</v>
      </c>
      <c r="C79" s="12">
        <v>45194.879746354163</v>
      </c>
      <c r="D79" t="s" s="13">
        <v>50</v>
      </c>
      <c r="E79" t="s" s="13">
        <v>83</v>
      </c>
      <c r="F79" s="14">
        <v>4</v>
      </c>
      <c r="G79" s="15">
        <v>29.99</v>
      </c>
      <c r="H79" s="15">
        <v>119.96</v>
      </c>
    </row>
    <row r="80" ht="16.1" customHeight="1">
      <c r="A80" t="s" s="10">
        <v>4236</v>
      </c>
      <c r="B80" t="s" s="11">
        <v>4237</v>
      </c>
      <c r="C80" s="12">
        <v>45194.833866909721</v>
      </c>
      <c r="D80" t="s" s="13">
        <v>19</v>
      </c>
      <c r="E80" t="s" s="13">
        <v>20</v>
      </c>
      <c r="F80" s="14">
        <v>4</v>
      </c>
      <c r="G80" s="15">
        <v>99.98999999999999</v>
      </c>
      <c r="H80" s="15">
        <v>399.96</v>
      </c>
    </row>
    <row r="81" ht="16.1" customHeight="1">
      <c r="A81" t="s" s="10">
        <v>4238</v>
      </c>
      <c r="B81" t="s" s="11">
        <v>4221</v>
      </c>
      <c r="C81" s="12">
        <v>45194.751432407407</v>
      </c>
      <c r="D81" t="s" s="13">
        <v>95</v>
      </c>
      <c r="E81" t="s" s="13">
        <v>12</v>
      </c>
      <c r="F81" s="14">
        <v>1</v>
      </c>
      <c r="G81" s="15">
        <v>349.99</v>
      </c>
      <c r="H81" s="15">
        <v>349.99</v>
      </c>
    </row>
    <row r="82" ht="16.1" customHeight="1">
      <c r="A82" t="s" s="10">
        <v>4239</v>
      </c>
      <c r="B82" t="s" s="11">
        <v>2782</v>
      </c>
      <c r="C82" s="12">
        <v>45194.7094069213</v>
      </c>
      <c r="D82" t="s" s="13">
        <v>11</v>
      </c>
      <c r="E82" t="s" s="13">
        <v>12</v>
      </c>
      <c r="F82" s="14">
        <v>1</v>
      </c>
      <c r="G82" s="15">
        <v>399.99</v>
      </c>
      <c r="H82" s="15">
        <v>399.99</v>
      </c>
    </row>
    <row r="83" ht="16.1" customHeight="1">
      <c r="A83" t="s" s="10">
        <v>4240</v>
      </c>
      <c r="B83" t="s" s="11">
        <v>4241</v>
      </c>
      <c r="C83" s="12">
        <v>45194.623000092593</v>
      </c>
      <c r="D83" t="s" s="13">
        <v>95</v>
      </c>
      <c r="E83" t="s" s="13">
        <v>12</v>
      </c>
      <c r="F83" s="14">
        <v>1</v>
      </c>
      <c r="G83" s="15">
        <v>349.99</v>
      </c>
      <c r="H83" s="15">
        <v>349.99</v>
      </c>
    </row>
    <row r="84" ht="16.1" customHeight="1">
      <c r="A84" t="s" s="10">
        <v>4242</v>
      </c>
      <c r="B84" t="s" s="11">
        <v>4243</v>
      </c>
      <c r="C84" s="12">
        <v>45194.571495960648</v>
      </c>
      <c r="D84" t="s" s="13">
        <v>11</v>
      </c>
      <c r="E84" t="s" s="13">
        <v>12</v>
      </c>
      <c r="F84" s="14">
        <v>1</v>
      </c>
      <c r="G84" s="15">
        <v>399.99</v>
      </c>
      <c r="H84" s="15">
        <v>399.99</v>
      </c>
    </row>
    <row r="85" ht="16.1" customHeight="1">
      <c r="A85" t="s" s="10">
        <v>4242</v>
      </c>
      <c r="B85" t="s" s="11">
        <v>4243</v>
      </c>
      <c r="C85" s="12">
        <v>45194.571495960648</v>
      </c>
      <c r="D85" t="s" s="13">
        <v>225</v>
      </c>
      <c r="E85" t="s" s="13">
        <v>226</v>
      </c>
      <c r="F85" s="14">
        <v>1</v>
      </c>
      <c r="G85" s="15">
        <v>499.99</v>
      </c>
      <c r="H85" s="15">
        <v>499.99</v>
      </c>
    </row>
    <row r="86" ht="16.1" customHeight="1">
      <c r="A86" t="s" s="10">
        <v>4242</v>
      </c>
      <c r="B86" t="s" s="11">
        <v>4243</v>
      </c>
      <c r="C86" s="12">
        <v>45194.571495960648</v>
      </c>
      <c r="D86" t="s" s="13">
        <v>227</v>
      </c>
      <c r="E86" t="s" s="13">
        <v>228</v>
      </c>
      <c r="F86" s="14">
        <v>1</v>
      </c>
      <c r="G86" s="15">
        <v>0</v>
      </c>
      <c r="H86" s="15">
        <v>0</v>
      </c>
    </row>
    <row r="87" ht="16.1" customHeight="1">
      <c r="A87" t="s" s="10">
        <v>4242</v>
      </c>
      <c r="B87" t="s" s="11">
        <v>4243</v>
      </c>
      <c r="C87" s="12">
        <v>45194.571495960648</v>
      </c>
      <c r="D87" t="s" s="13">
        <v>133</v>
      </c>
      <c r="E87" t="s" s="13">
        <v>134</v>
      </c>
      <c r="F87" s="14">
        <v>1</v>
      </c>
      <c r="G87" s="15">
        <v>199.99</v>
      </c>
      <c r="H87" s="15">
        <v>199.99</v>
      </c>
    </row>
    <row r="88" ht="16.1" customHeight="1">
      <c r="A88" t="s" s="10">
        <v>4242</v>
      </c>
      <c r="B88" t="s" s="11">
        <v>4243</v>
      </c>
      <c r="C88" s="12">
        <v>45194.571495960648</v>
      </c>
      <c r="D88" t="s" s="13">
        <v>84</v>
      </c>
      <c r="E88" t="s" s="13">
        <v>4225</v>
      </c>
      <c r="F88" s="14">
        <v>1</v>
      </c>
      <c r="G88" s="15">
        <v>15</v>
      </c>
      <c r="H88" s="15">
        <v>15</v>
      </c>
    </row>
    <row r="89" ht="16.1" customHeight="1">
      <c r="A89" t="s" s="10">
        <v>4244</v>
      </c>
      <c r="B89" t="s" s="11">
        <v>4030</v>
      </c>
      <c r="C89" s="12">
        <v>45194.148286840275</v>
      </c>
      <c r="D89" t="s" s="13">
        <v>19</v>
      </c>
      <c r="E89" t="s" s="13">
        <v>20</v>
      </c>
      <c r="F89" s="14">
        <v>1</v>
      </c>
      <c r="G89" s="15">
        <v>119.99</v>
      </c>
      <c r="H89" s="15">
        <v>119.99</v>
      </c>
    </row>
    <row r="90" ht="16.1" customHeight="1">
      <c r="A90" t="s" s="10">
        <v>4244</v>
      </c>
      <c r="B90" t="s" s="11">
        <v>4030</v>
      </c>
      <c r="C90" s="12">
        <v>45194.148286840275</v>
      </c>
      <c r="D90" t="s" s="13">
        <v>15</v>
      </c>
      <c r="E90" t="s" s="13">
        <v>16</v>
      </c>
      <c r="F90" s="14">
        <v>1</v>
      </c>
      <c r="G90" s="15">
        <v>9.99</v>
      </c>
      <c r="H90" s="15">
        <v>9.99</v>
      </c>
    </row>
    <row r="91" ht="16.1" customHeight="1">
      <c r="A91" t="s" s="10">
        <v>4244</v>
      </c>
      <c r="B91" t="s" s="11">
        <v>4030</v>
      </c>
      <c r="C91" s="12">
        <v>45194.148286840275</v>
      </c>
      <c r="D91" t="s" s="13">
        <v>359</v>
      </c>
      <c r="E91" t="s" s="13">
        <v>4199</v>
      </c>
      <c r="F91" s="14">
        <v>1</v>
      </c>
      <c r="G91" s="15">
        <v>29.99</v>
      </c>
      <c r="H91" s="15">
        <v>29.99</v>
      </c>
    </row>
    <row r="92" ht="16.1" customHeight="1">
      <c r="A92" t="s" s="10">
        <v>4245</v>
      </c>
      <c r="B92" t="s" s="11">
        <v>4246</v>
      </c>
      <c r="C92" s="12">
        <v>45194.0624172338</v>
      </c>
      <c r="D92" t="s" s="13">
        <v>412</v>
      </c>
      <c r="E92" t="s" s="13">
        <v>413</v>
      </c>
      <c r="F92" s="14">
        <v>2</v>
      </c>
      <c r="G92" s="15">
        <v>1.99</v>
      </c>
      <c r="H92" s="15">
        <v>3.98</v>
      </c>
    </row>
    <row r="93" ht="16.1" customHeight="1">
      <c r="A93" t="s" s="10">
        <v>4245</v>
      </c>
      <c r="B93" t="s" s="11">
        <v>4246</v>
      </c>
      <c r="C93" s="12">
        <v>45194.0624172338</v>
      </c>
      <c r="D93" t="s" s="13">
        <v>119</v>
      </c>
      <c r="E93" t="s" s="13">
        <v>120</v>
      </c>
      <c r="F93" s="14">
        <v>2</v>
      </c>
      <c r="G93" s="15">
        <v>1.99</v>
      </c>
      <c r="H93" s="15">
        <v>3.98</v>
      </c>
    </row>
    <row r="94" ht="16.1" customHeight="1">
      <c r="A94" t="s" s="10">
        <v>4245</v>
      </c>
      <c r="B94" t="s" s="11">
        <v>4246</v>
      </c>
      <c r="C94" s="12">
        <v>45194.0624172338</v>
      </c>
      <c r="D94" t="s" s="13">
        <v>354</v>
      </c>
      <c r="E94" t="s" s="13">
        <v>355</v>
      </c>
      <c r="F94" s="14">
        <v>1</v>
      </c>
      <c r="G94" s="15">
        <v>149.99</v>
      </c>
      <c r="H94" s="15">
        <v>149.99</v>
      </c>
    </row>
    <row r="95" ht="16.1" customHeight="1">
      <c r="A95" t="s" s="10">
        <v>4245</v>
      </c>
      <c r="B95" t="s" s="11">
        <v>4246</v>
      </c>
      <c r="C95" s="12">
        <v>45194.0624172338</v>
      </c>
      <c r="D95" t="s" s="13">
        <v>84</v>
      </c>
      <c r="E95" t="s" s="13">
        <v>4225</v>
      </c>
      <c r="F95" s="14">
        <v>1</v>
      </c>
      <c r="G95" s="15">
        <v>15</v>
      </c>
      <c r="H95" s="15">
        <v>15</v>
      </c>
    </row>
    <row r="96" ht="16.1" customHeight="1">
      <c r="A96" t="s" s="10">
        <v>4247</v>
      </c>
      <c r="B96" t="s" s="11">
        <v>555</v>
      </c>
      <c r="C96" s="12">
        <v>45194</v>
      </c>
      <c r="D96" t="s" s="13">
        <v>73</v>
      </c>
      <c r="E96" t="s" s="13">
        <v>74</v>
      </c>
      <c r="F96" s="14">
        <v>10</v>
      </c>
      <c r="G96" s="15">
        <v>299.9925</v>
      </c>
      <c r="H96" s="15">
        <v>2999.925</v>
      </c>
    </row>
    <row r="97" ht="16.1" customHeight="1">
      <c r="A97" t="s" s="10">
        <v>4247</v>
      </c>
      <c r="B97" t="s" s="11">
        <v>555</v>
      </c>
      <c r="C97" s="12">
        <v>45194</v>
      </c>
      <c r="D97" t="s" s="13">
        <v>143</v>
      </c>
      <c r="E97" t="s" s="13">
        <v>144</v>
      </c>
      <c r="F97" s="14">
        <v>1</v>
      </c>
      <c r="G97" s="15">
        <v>2499.99</v>
      </c>
      <c r="H97" s="15">
        <v>2499.99</v>
      </c>
    </row>
    <row r="98" ht="16.1" customHeight="1">
      <c r="A98" t="s" s="10">
        <v>4247</v>
      </c>
      <c r="B98" t="s" s="11">
        <v>555</v>
      </c>
      <c r="C98" s="12">
        <v>45194</v>
      </c>
      <c r="D98" t="s" s="13">
        <v>63</v>
      </c>
      <c r="E98" s="16"/>
      <c r="F98" s="14">
        <v>1</v>
      </c>
      <c r="G98" s="15">
        <v>120</v>
      </c>
      <c r="H98" s="15">
        <v>120</v>
      </c>
    </row>
    <row r="99" ht="16.1" customHeight="1">
      <c r="A99" t="s" s="10">
        <v>4248</v>
      </c>
      <c r="B99" t="s" s="11">
        <v>122</v>
      </c>
      <c r="C99" s="12">
        <v>45194</v>
      </c>
      <c r="D99" t="s" s="13">
        <v>57</v>
      </c>
      <c r="E99" t="s" s="13">
        <v>4019</v>
      </c>
      <c r="F99" s="14">
        <v>1</v>
      </c>
      <c r="G99" s="15">
        <v>0</v>
      </c>
      <c r="H99" s="15">
        <v>0</v>
      </c>
    </row>
    <row r="100" ht="16.1" customHeight="1">
      <c r="A100" t="s" s="10">
        <v>4248</v>
      </c>
      <c r="B100" t="s" s="11">
        <v>122</v>
      </c>
      <c r="C100" s="12">
        <v>45194</v>
      </c>
      <c r="D100" t="s" s="13">
        <v>1639</v>
      </c>
      <c r="E100" t="s" s="13">
        <v>4249</v>
      </c>
      <c r="F100" s="14">
        <v>1</v>
      </c>
      <c r="G100" s="15">
        <v>0</v>
      </c>
      <c r="H100" s="15">
        <v>0</v>
      </c>
    </row>
    <row r="101" ht="16.1" customHeight="1">
      <c r="A101" t="s" s="10">
        <v>4250</v>
      </c>
      <c r="B101" t="s" s="11">
        <v>4251</v>
      </c>
      <c r="C101" s="12">
        <v>45194</v>
      </c>
      <c r="D101" t="s" s="13">
        <v>369</v>
      </c>
      <c r="E101" t="s" s="13">
        <v>370</v>
      </c>
      <c r="F101" s="14">
        <v>1</v>
      </c>
      <c r="G101" s="15">
        <v>0</v>
      </c>
      <c r="H101" s="15">
        <v>0</v>
      </c>
    </row>
    <row r="102" ht="16.1" customHeight="1">
      <c r="A102" t="s" s="10">
        <v>4250</v>
      </c>
      <c r="B102" t="s" s="11">
        <v>4251</v>
      </c>
      <c r="C102" s="12">
        <v>45194</v>
      </c>
      <c r="D102" t="s" s="13">
        <v>404</v>
      </c>
      <c r="E102" t="s" s="13">
        <v>405</v>
      </c>
      <c r="F102" s="14">
        <v>1</v>
      </c>
      <c r="G102" s="15">
        <v>0</v>
      </c>
      <c r="H102" s="15">
        <v>0</v>
      </c>
    </row>
    <row r="103" ht="16.1" customHeight="1">
      <c r="A103" t="s" s="10">
        <v>4252</v>
      </c>
      <c r="B103" t="s" s="11">
        <v>4253</v>
      </c>
      <c r="C103" s="12">
        <v>45194</v>
      </c>
      <c r="D103" t="s" s="13">
        <v>254</v>
      </c>
      <c r="E103" t="s" s="13">
        <v>4254</v>
      </c>
      <c r="F103" s="14">
        <v>1</v>
      </c>
      <c r="G103" s="15">
        <v>0</v>
      </c>
      <c r="H103" s="15">
        <v>0</v>
      </c>
    </row>
    <row r="104" ht="16.1" customHeight="1">
      <c r="A104" t="s" s="10">
        <v>4255</v>
      </c>
      <c r="B104" t="s" s="11">
        <v>4256</v>
      </c>
      <c r="C104" s="12">
        <v>45192.2184337963</v>
      </c>
      <c r="D104" t="s" s="13">
        <v>2787</v>
      </c>
      <c r="E104" t="s" s="13">
        <v>2788</v>
      </c>
      <c r="F104" s="14">
        <v>2</v>
      </c>
      <c r="G104" s="15">
        <v>22.99</v>
      </c>
      <c r="H104" s="15">
        <v>45.98</v>
      </c>
    </row>
    <row r="105" ht="16.1" customHeight="1">
      <c r="A105" t="s" s="10">
        <v>4257</v>
      </c>
      <c r="B105" t="s" s="11">
        <v>4258</v>
      </c>
      <c r="C105" s="12">
        <v>45191.727800960645</v>
      </c>
      <c r="D105" t="s" s="13">
        <v>35</v>
      </c>
      <c r="E105" t="s" s="13">
        <v>36</v>
      </c>
      <c r="F105" s="14">
        <v>1</v>
      </c>
      <c r="G105" s="15">
        <v>49.99</v>
      </c>
      <c r="H105" s="15">
        <v>49.99</v>
      </c>
    </row>
    <row r="106" ht="16.1" customHeight="1">
      <c r="A106" t="s" s="10">
        <v>4257</v>
      </c>
      <c r="B106" t="s" s="11">
        <v>4258</v>
      </c>
      <c r="C106" s="12">
        <v>45191.727800960645</v>
      </c>
      <c r="D106" t="s" s="13">
        <v>54</v>
      </c>
      <c r="E106" t="s" s="13">
        <v>93</v>
      </c>
      <c r="F106" s="14">
        <v>1</v>
      </c>
      <c r="G106" s="15">
        <v>9.99</v>
      </c>
      <c r="H106" s="15">
        <v>9.99</v>
      </c>
    </row>
    <row r="107" ht="16.1" customHeight="1">
      <c r="A107" t="s" s="10">
        <v>4259</v>
      </c>
      <c r="B107" t="s" s="11">
        <v>3617</v>
      </c>
      <c r="C107" s="12">
        <v>45191.610831793980</v>
      </c>
      <c r="D107" t="s" s="13">
        <v>15</v>
      </c>
      <c r="E107" t="s" s="13">
        <v>16</v>
      </c>
      <c r="F107" s="14">
        <v>20</v>
      </c>
      <c r="G107" s="15">
        <v>8.49</v>
      </c>
      <c r="H107" s="15">
        <v>169.8</v>
      </c>
    </row>
    <row r="108" ht="16.1" customHeight="1">
      <c r="A108" t="s" s="10">
        <v>4259</v>
      </c>
      <c r="B108" t="s" s="11">
        <v>3617</v>
      </c>
      <c r="C108" s="12">
        <v>45191.610831793980</v>
      </c>
      <c r="D108" t="s" s="13">
        <v>73</v>
      </c>
      <c r="E108" t="s" s="13">
        <v>74</v>
      </c>
      <c r="F108" s="14">
        <v>1</v>
      </c>
      <c r="G108" s="15">
        <v>399.99</v>
      </c>
      <c r="H108" s="15">
        <v>399.99</v>
      </c>
    </row>
    <row r="109" ht="16.1" customHeight="1">
      <c r="A109" t="s" s="10">
        <v>4260</v>
      </c>
      <c r="B109" t="s" s="11">
        <v>4261</v>
      </c>
      <c r="C109" s="12">
        <v>45191.548928240743</v>
      </c>
      <c r="D109" t="s" s="13">
        <v>1695</v>
      </c>
      <c r="E109" t="s" s="13">
        <v>140</v>
      </c>
      <c r="F109" s="14">
        <v>1</v>
      </c>
      <c r="G109" s="15">
        <v>49.99</v>
      </c>
      <c r="H109" s="15">
        <v>49.99</v>
      </c>
    </row>
    <row r="110" ht="16.1" customHeight="1">
      <c r="A110" t="s" s="10">
        <v>4260</v>
      </c>
      <c r="B110" t="s" s="11">
        <v>4261</v>
      </c>
      <c r="C110" s="12">
        <v>45191.548928240743</v>
      </c>
      <c r="D110" t="s" s="13">
        <v>15</v>
      </c>
      <c r="E110" t="s" s="13">
        <v>16</v>
      </c>
      <c r="F110" s="14">
        <v>1</v>
      </c>
      <c r="G110" s="15">
        <v>9.99</v>
      </c>
      <c r="H110" s="15">
        <v>9.99</v>
      </c>
    </row>
    <row r="111" ht="16.1" customHeight="1">
      <c r="A111" t="s" s="10">
        <v>4262</v>
      </c>
      <c r="B111" t="s" s="11">
        <v>4263</v>
      </c>
      <c r="C111" s="12">
        <v>45191.0598437037</v>
      </c>
      <c r="D111" t="s" s="13">
        <v>54</v>
      </c>
      <c r="E111" t="s" s="13">
        <v>93</v>
      </c>
      <c r="F111" s="14">
        <v>2</v>
      </c>
      <c r="G111" s="15">
        <v>9.99</v>
      </c>
      <c r="H111" s="15">
        <v>19.98</v>
      </c>
    </row>
    <row r="112" ht="16.1" customHeight="1">
      <c r="A112" t="s" s="10">
        <v>4264</v>
      </c>
      <c r="B112" t="s" s="11">
        <v>985</v>
      </c>
      <c r="C112" s="12">
        <v>45191</v>
      </c>
      <c r="D112" t="s" s="13">
        <v>227</v>
      </c>
      <c r="E112" t="s" s="13">
        <v>228</v>
      </c>
      <c r="F112" s="14">
        <v>8</v>
      </c>
      <c r="G112" s="15">
        <v>0</v>
      </c>
      <c r="H112" s="15">
        <v>0</v>
      </c>
    </row>
    <row r="113" ht="16.1" customHeight="1">
      <c r="A113" t="s" s="10">
        <v>4264</v>
      </c>
      <c r="B113" t="s" s="11">
        <v>985</v>
      </c>
      <c r="C113" s="12">
        <v>45191</v>
      </c>
      <c r="D113" t="s" s="13">
        <v>1186</v>
      </c>
      <c r="E113" t="s" s="13">
        <v>1186</v>
      </c>
      <c r="F113" s="14">
        <v>8</v>
      </c>
      <c r="G113" s="15">
        <v>0</v>
      </c>
      <c r="H113" s="15">
        <v>0</v>
      </c>
    </row>
    <row r="114" ht="16.1" customHeight="1">
      <c r="A114" t="s" s="10">
        <v>4265</v>
      </c>
      <c r="B114" t="s" s="11">
        <v>4266</v>
      </c>
      <c r="C114" s="12">
        <v>45190.828630613425</v>
      </c>
      <c r="D114" t="s" s="13">
        <v>11</v>
      </c>
      <c r="E114" t="s" s="13">
        <v>12</v>
      </c>
      <c r="F114" s="14">
        <v>2</v>
      </c>
      <c r="G114" s="15">
        <v>399.99</v>
      </c>
      <c r="H114" s="15">
        <v>799.98</v>
      </c>
    </row>
    <row r="115" ht="16.1" customHeight="1">
      <c r="A115" t="s" s="10">
        <v>4267</v>
      </c>
      <c r="B115" t="s" s="11">
        <v>4268</v>
      </c>
      <c r="C115" s="12">
        <v>45190.731066712964</v>
      </c>
      <c r="D115" t="s" s="13">
        <v>81</v>
      </c>
      <c r="E115" t="s" s="13">
        <v>82</v>
      </c>
      <c r="F115" s="14">
        <v>1</v>
      </c>
      <c r="G115" s="15">
        <v>849.99</v>
      </c>
      <c r="H115" s="15">
        <v>849.99</v>
      </c>
    </row>
    <row r="116" ht="16.1" customHeight="1">
      <c r="A116" t="s" s="10">
        <v>4267</v>
      </c>
      <c r="B116" t="s" s="11">
        <v>4268</v>
      </c>
      <c r="C116" s="12">
        <v>45190.731066712964</v>
      </c>
      <c r="D116" t="s" s="13">
        <v>133</v>
      </c>
      <c r="E116" t="s" s="13">
        <v>134</v>
      </c>
      <c r="F116" s="14">
        <v>1</v>
      </c>
      <c r="G116" s="15">
        <v>50</v>
      </c>
      <c r="H116" s="15">
        <v>50</v>
      </c>
    </row>
    <row r="117" ht="16.1" customHeight="1">
      <c r="A117" t="s" s="10">
        <v>4267</v>
      </c>
      <c r="B117" t="s" s="11">
        <v>4268</v>
      </c>
      <c r="C117" s="12">
        <v>45190.731066712964</v>
      </c>
      <c r="D117" t="s" s="13">
        <v>660</v>
      </c>
      <c r="E117" t="s" s="13">
        <v>661</v>
      </c>
      <c r="F117" s="14">
        <v>1</v>
      </c>
      <c r="G117" s="15">
        <v>5.99</v>
      </c>
      <c r="H117" s="15">
        <v>5.99</v>
      </c>
    </row>
    <row r="118" ht="16.1" customHeight="1">
      <c r="A118" t="s" s="10">
        <v>4267</v>
      </c>
      <c r="B118" t="s" s="11">
        <v>4268</v>
      </c>
      <c r="C118" s="12">
        <v>45190.731066712964</v>
      </c>
      <c r="D118" t="s" s="13">
        <v>50</v>
      </c>
      <c r="E118" t="s" s="13">
        <v>83</v>
      </c>
      <c r="F118" s="14">
        <v>1</v>
      </c>
      <c r="G118" s="15">
        <v>0</v>
      </c>
      <c r="H118" s="15">
        <v>0</v>
      </c>
    </row>
    <row r="119" ht="16.1" customHeight="1">
      <c r="A119" t="s" s="10">
        <v>4267</v>
      </c>
      <c r="B119" t="s" s="11">
        <v>4268</v>
      </c>
      <c r="C119" s="12">
        <v>45190.731066712964</v>
      </c>
      <c r="D119" t="s" s="13">
        <v>84</v>
      </c>
      <c r="E119" t="s" s="13">
        <v>4225</v>
      </c>
      <c r="F119" s="14">
        <v>1</v>
      </c>
      <c r="G119" s="15">
        <v>0</v>
      </c>
      <c r="H119" s="15">
        <v>0</v>
      </c>
    </row>
    <row r="120" ht="16.1" customHeight="1">
      <c r="A120" t="s" s="10">
        <v>4267</v>
      </c>
      <c r="B120" t="s" s="11">
        <v>4268</v>
      </c>
      <c r="C120" s="12">
        <v>45190.731066712964</v>
      </c>
      <c r="D120" t="s" s="13">
        <v>73</v>
      </c>
      <c r="E120" t="s" s="13">
        <v>74</v>
      </c>
      <c r="F120" s="14">
        <v>1</v>
      </c>
      <c r="G120" s="15">
        <v>399.99</v>
      </c>
      <c r="H120" s="15">
        <v>399.99</v>
      </c>
    </row>
    <row r="121" ht="16.1" customHeight="1">
      <c r="A121" t="s" s="10">
        <v>4269</v>
      </c>
      <c r="B121" t="s" s="11">
        <v>4134</v>
      </c>
      <c r="C121" s="12">
        <v>45190.7289652662</v>
      </c>
      <c r="D121" t="s" s="13">
        <v>73</v>
      </c>
      <c r="E121" t="s" s="13">
        <v>74</v>
      </c>
      <c r="F121" s="14">
        <v>1</v>
      </c>
      <c r="G121" s="15">
        <v>399.99</v>
      </c>
      <c r="H121" s="15">
        <v>399.99</v>
      </c>
    </row>
    <row r="122" ht="16.1" customHeight="1">
      <c r="A122" t="s" s="10">
        <v>4270</v>
      </c>
      <c r="B122" t="s" s="11">
        <v>4271</v>
      </c>
      <c r="C122" s="12">
        <v>45190.680980243058</v>
      </c>
      <c r="D122" t="s" s="13">
        <v>23</v>
      </c>
      <c r="E122" t="s" s="13">
        <v>24</v>
      </c>
      <c r="F122" s="14">
        <v>1</v>
      </c>
      <c r="G122" s="15">
        <v>149.99</v>
      </c>
      <c r="H122" s="15">
        <v>149.99</v>
      </c>
    </row>
    <row r="123" ht="16.1" customHeight="1">
      <c r="A123" t="s" s="10">
        <v>4272</v>
      </c>
      <c r="B123" t="s" s="11">
        <v>4273</v>
      </c>
      <c r="C123" s="12">
        <v>45190.598788194446</v>
      </c>
      <c r="D123" t="s" s="13">
        <v>179</v>
      </c>
      <c r="E123" t="s" s="13">
        <v>180</v>
      </c>
      <c r="F123" s="14">
        <v>4</v>
      </c>
      <c r="G123" s="15">
        <v>49.99</v>
      </c>
      <c r="H123" s="15">
        <v>199.96</v>
      </c>
    </row>
    <row r="124" ht="16.1" customHeight="1">
      <c r="A124" t="s" s="10">
        <v>4274</v>
      </c>
      <c r="B124" t="s" s="11">
        <v>911</v>
      </c>
      <c r="C124" s="12">
        <v>45190</v>
      </c>
      <c r="D124" t="s" s="13">
        <v>359</v>
      </c>
      <c r="E124" t="s" s="13">
        <v>4199</v>
      </c>
      <c r="F124" s="14">
        <v>6</v>
      </c>
      <c r="G124" s="15">
        <v>29.99</v>
      </c>
      <c r="H124" s="15">
        <v>179.94</v>
      </c>
    </row>
    <row r="125" ht="16.1" customHeight="1">
      <c r="A125" t="s" s="10">
        <v>4275</v>
      </c>
      <c r="B125" t="s" s="11">
        <v>69</v>
      </c>
      <c r="C125" s="12">
        <v>45190</v>
      </c>
      <c r="D125" t="s" s="13">
        <v>2787</v>
      </c>
      <c r="E125" t="s" s="13">
        <v>2788</v>
      </c>
      <c r="F125" s="14">
        <v>3</v>
      </c>
      <c r="G125" s="15">
        <v>17.2425</v>
      </c>
      <c r="H125" s="15">
        <v>51.7275</v>
      </c>
    </row>
    <row r="126" ht="16.1" customHeight="1">
      <c r="A126" t="s" s="10">
        <v>4275</v>
      </c>
      <c r="B126" t="s" s="11">
        <v>69</v>
      </c>
      <c r="C126" s="12">
        <v>45190</v>
      </c>
      <c r="D126" t="s" s="13">
        <v>63</v>
      </c>
      <c r="E126" s="16"/>
      <c r="F126" s="14">
        <v>1</v>
      </c>
      <c r="G126" s="15">
        <v>10</v>
      </c>
      <c r="H126" s="15">
        <v>10</v>
      </c>
    </row>
    <row r="127" ht="16.1" customHeight="1">
      <c r="A127" t="s" s="10">
        <v>4276</v>
      </c>
      <c r="B127" t="s" s="11">
        <v>42</v>
      </c>
      <c r="C127" s="12">
        <v>45190</v>
      </c>
      <c r="D127" t="s" s="13">
        <v>3543</v>
      </c>
      <c r="E127" t="s" s="13">
        <v>3543</v>
      </c>
      <c r="F127" s="14">
        <v>1</v>
      </c>
      <c r="G127" s="15">
        <v>0</v>
      </c>
      <c r="H127" s="15">
        <v>0</v>
      </c>
    </row>
    <row r="128" ht="16.1" customHeight="1">
      <c r="A128" t="s" s="10">
        <v>4276</v>
      </c>
      <c r="B128" t="s" s="11">
        <v>42</v>
      </c>
      <c r="C128" s="12">
        <v>45190</v>
      </c>
      <c r="D128" t="s" s="13">
        <v>3610</v>
      </c>
      <c r="E128" t="s" s="13">
        <v>3542</v>
      </c>
      <c r="F128" s="14">
        <v>1</v>
      </c>
      <c r="G128" s="15">
        <v>0</v>
      </c>
      <c r="H128" s="15">
        <v>0</v>
      </c>
    </row>
    <row r="129" ht="16.1" customHeight="1">
      <c r="A129" t="s" s="10">
        <v>4277</v>
      </c>
      <c r="B129" t="s" s="11">
        <v>3984</v>
      </c>
      <c r="C129" s="12">
        <v>45190</v>
      </c>
      <c r="D129" t="s" s="13">
        <v>81</v>
      </c>
      <c r="E129" t="s" s="13">
        <v>82</v>
      </c>
      <c r="F129" s="14">
        <v>2</v>
      </c>
      <c r="G129" s="15">
        <v>849.99</v>
      </c>
      <c r="H129" s="15">
        <v>1699.98</v>
      </c>
    </row>
    <row r="130" ht="16.1" customHeight="1">
      <c r="A130" t="s" s="10">
        <v>4277</v>
      </c>
      <c r="B130" t="s" s="11">
        <v>3984</v>
      </c>
      <c r="C130" s="12">
        <v>45190</v>
      </c>
      <c r="D130" t="s" s="13">
        <v>84</v>
      </c>
      <c r="E130" t="s" s="13">
        <v>4225</v>
      </c>
      <c r="F130" s="14">
        <v>2</v>
      </c>
      <c r="G130" s="15">
        <v>0</v>
      </c>
      <c r="H130" s="15">
        <v>0</v>
      </c>
    </row>
    <row r="131" ht="16.1" customHeight="1">
      <c r="A131" t="s" s="10">
        <v>4277</v>
      </c>
      <c r="B131" t="s" s="11">
        <v>3984</v>
      </c>
      <c r="C131" s="12">
        <v>45190</v>
      </c>
      <c r="D131" t="s" s="13">
        <v>470</v>
      </c>
      <c r="E131" t="s" s="13">
        <v>4278</v>
      </c>
      <c r="F131" s="14">
        <v>1</v>
      </c>
      <c r="G131" s="15">
        <v>100</v>
      </c>
      <c r="H131" s="15">
        <v>100</v>
      </c>
    </row>
    <row r="132" ht="16.1" customHeight="1">
      <c r="A132" t="s" s="10">
        <v>4277</v>
      </c>
      <c r="B132" t="s" s="11">
        <v>3984</v>
      </c>
      <c r="C132" s="12">
        <v>45190</v>
      </c>
      <c r="D132" t="s" s="13">
        <v>602</v>
      </c>
      <c r="E132" t="s" s="13">
        <v>4279</v>
      </c>
      <c r="F132" s="14">
        <v>1</v>
      </c>
      <c r="G132" s="15">
        <v>175</v>
      </c>
      <c r="H132" s="15">
        <v>175</v>
      </c>
    </row>
    <row r="133" ht="16.1" customHeight="1">
      <c r="A133" t="s" s="10">
        <v>4277</v>
      </c>
      <c r="B133" t="s" s="11">
        <v>3984</v>
      </c>
      <c r="C133" s="12">
        <v>45190</v>
      </c>
      <c r="D133" t="s" s="13">
        <v>73</v>
      </c>
      <c r="E133" t="s" s="13">
        <v>74</v>
      </c>
      <c r="F133" s="14">
        <v>1</v>
      </c>
      <c r="G133" s="15">
        <v>399.99</v>
      </c>
      <c r="H133" s="15">
        <v>399.99</v>
      </c>
    </row>
    <row r="134" ht="16.1" customHeight="1">
      <c r="A134" t="s" s="10">
        <v>4277</v>
      </c>
      <c r="B134" t="s" s="11">
        <v>3984</v>
      </c>
      <c r="C134" s="12">
        <v>45190</v>
      </c>
      <c r="D134" t="s" s="13">
        <v>1132</v>
      </c>
      <c r="E134" t="s" s="13">
        <v>4280</v>
      </c>
      <c r="F134" s="14">
        <v>2</v>
      </c>
      <c r="G134" s="15">
        <v>80</v>
      </c>
      <c r="H134" s="15">
        <v>160</v>
      </c>
    </row>
    <row r="135" ht="16.1" customHeight="1">
      <c r="A135" t="s" s="10">
        <v>4277</v>
      </c>
      <c r="B135" t="s" s="11">
        <v>3984</v>
      </c>
      <c r="C135" s="12">
        <v>45190</v>
      </c>
      <c r="D135" t="s" s="13">
        <v>50</v>
      </c>
      <c r="E135" t="s" s="13">
        <v>83</v>
      </c>
      <c r="F135" s="14">
        <v>2</v>
      </c>
      <c r="G135" s="15">
        <v>0</v>
      </c>
      <c r="H135" s="15">
        <v>0</v>
      </c>
    </row>
    <row r="136" ht="16.1" customHeight="1">
      <c r="A136" t="s" s="10">
        <v>4277</v>
      </c>
      <c r="B136" t="s" s="11">
        <v>3984</v>
      </c>
      <c r="C136" s="12">
        <v>45190</v>
      </c>
      <c r="D136" t="s" s="13">
        <v>63</v>
      </c>
      <c r="E136" s="16"/>
      <c r="F136" s="14">
        <v>1</v>
      </c>
      <c r="G136" s="15">
        <v>180</v>
      </c>
      <c r="H136" s="15">
        <v>180</v>
      </c>
    </row>
    <row r="137" ht="16.1" customHeight="1">
      <c r="A137" t="s" s="10">
        <v>4281</v>
      </c>
      <c r="B137" t="s" s="11">
        <v>42</v>
      </c>
      <c r="C137" s="12">
        <v>45190</v>
      </c>
      <c r="D137" t="s" s="13">
        <v>3910</v>
      </c>
      <c r="E137" t="s" s="13">
        <v>3911</v>
      </c>
      <c r="F137" s="14">
        <v>8</v>
      </c>
      <c r="G137" s="15">
        <v>0</v>
      </c>
      <c r="H137" s="15">
        <v>0</v>
      </c>
    </row>
    <row r="138" ht="16.1" customHeight="1">
      <c r="A138" t="s" s="10">
        <v>4281</v>
      </c>
      <c r="B138" t="s" s="11">
        <v>42</v>
      </c>
      <c r="C138" s="12">
        <v>45190</v>
      </c>
      <c r="D138" t="s" s="13">
        <v>109</v>
      </c>
      <c r="E138" t="s" s="13">
        <v>109</v>
      </c>
      <c r="F138" s="14">
        <v>4</v>
      </c>
      <c r="G138" s="15">
        <v>0</v>
      </c>
      <c r="H138" s="15">
        <v>0</v>
      </c>
    </row>
    <row r="139" ht="16.1" customHeight="1">
      <c r="A139" t="s" s="10">
        <v>4281</v>
      </c>
      <c r="B139" t="s" s="11">
        <v>42</v>
      </c>
      <c r="C139" s="12">
        <v>45190</v>
      </c>
      <c r="D139" t="s" s="13">
        <v>722</v>
      </c>
      <c r="E139" t="s" s="13">
        <v>4282</v>
      </c>
      <c r="F139" s="14">
        <v>4</v>
      </c>
      <c r="G139" s="15">
        <v>500</v>
      </c>
      <c r="H139" s="15">
        <v>2000</v>
      </c>
    </row>
    <row r="140" ht="16.1" customHeight="1">
      <c r="A140" t="s" s="10">
        <v>4281</v>
      </c>
      <c r="B140" t="s" s="11">
        <v>42</v>
      </c>
      <c r="C140" s="12">
        <v>45190</v>
      </c>
      <c r="D140" t="s" s="13">
        <v>50</v>
      </c>
      <c r="E140" t="s" s="13">
        <v>83</v>
      </c>
      <c r="F140" s="14">
        <v>4</v>
      </c>
      <c r="G140" s="15">
        <v>0</v>
      </c>
      <c r="H140" s="15">
        <v>0</v>
      </c>
    </row>
    <row r="141" ht="16.1" customHeight="1">
      <c r="A141" t="s" s="10">
        <v>4281</v>
      </c>
      <c r="B141" t="s" s="11">
        <v>42</v>
      </c>
      <c r="C141" s="12">
        <v>45190</v>
      </c>
      <c r="D141" t="s" s="13">
        <v>4283</v>
      </c>
      <c r="E141" t="s" s="13">
        <v>4284</v>
      </c>
      <c r="F141" s="14">
        <v>4</v>
      </c>
      <c r="G141" s="15">
        <v>46.956522</v>
      </c>
      <c r="H141" s="15">
        <v>187.826088</v>
      </c>
    </row>
    <row r="142" ht="16.1" customHeight="1">
      <c r="A142" t="s" s="10">
        <v>4281</v>
      </c>
      <c r="B142" t="s" s="11">
        <v>42</v>
      </c>
      <c r="C142" s="12">
        <v>45190</v>
      </c>
      <c r="D142" t="s" s="13">
        <v>63</v>
      </c>
      <c r="E142" s="16"/>
      <c r="F142" s="14">
        <v>1</v>
      </c>
      <c r="G142" s="15">
        <v>45</v>
      </c>
      <c r="H142" s="15">
        <v>45</v>
      </c>
    </row>
    <row r="143" ht="16.1" customHeight="1">
      <c r="A143" t="s" s="10">
        <v>4285</v>
      </c>
      <c r="B143" t="s" s="11">
        <v>4286</v>
      </c>
      <c r="C143" s="12">
        <v>45189.989193414352</v>
      </c>
      <c r="D143" t="s" s="13">
        <v>77</v>
      </c>
      <c r="E143" t="s" s="13">
        <v>4224</v>
      </c>
      <c r="F143" s="14">
        <v>3</v>
      </c>
      <c r="G143" s="15">
        <v>19.99</v>
      </c>
      <c r="H143" s="15">
        <v>59.97</v>
      </c>
    </row>
    <row r="144" ht="16.1" customHeight="1">
      <c r="A144" t="s" s="10">
        <v>4285</v>
      </c>
      <c r="B144" t="s" s="11">
        <v>4286</v>
      </c>
      <c r="C144" s="12">
        <v>45189.989193414352</v>
      </c>
      <c r="D144" t="s" s="13">
        <v>52</v>
      </c>
      <c r="E144" t="s" s="13">
        <v>4287</v>
      </c>
      <c r="F144" s="14">
        <v>1</v>
      </c>
      <c r="G144" s="15">
        <v>19.99</v>
      </c>
      <c r="H144" s="15">
        <v>19.99</v>
      </c>
    </row>
    <row r="145" ht="16.1" customHeight="1">
      <c r="A145" t="s" s="10">
        <v>4288</v>
      </c>
      <c r="B145" t="s" s="11">
        <v>4289</v>
      </c>
      <c r="C145" s="12">
        <v>45189.982021064818</v>
      </c>
      <c r="D145" t="s" s="13">
        <v>31</v>
      </c>
      <c r="E145" t="s" s="13">
        <v>32</v>
      </c>
      <c r="F145" s="14">
        <v>1</v>
      </c>
      <c r="G145" s="15">
        <v>587.49</v>
      </c>
      <c r="H145" s="15">
        <v>587.49</v>
      </c>
    </row>
    <row r="146" ht="16.1" customHeight="1">
      <c r="A146" t="s" s="10">
        <v>4288</v>
      </c>
      <c r="B146" t="s" s="11">
        <v>4289</v>
      </c>
      <c r="C146" s="12">
        <v>45189.982021064818</v>
      </c>
      <c r="D146" t="s" s="13">
        <v>35</v>
      </c>
      <c r="E146" t="s" s="13">
        <v>36</v>
      </c>
      <c r="F146" s="14">
        <v>1</v>
      </c>
      <c r="G146" s="15">
        <v>37.49</v>
      </c>
      <c r="H146" s="15">
        <v>37.49</v>
      </c>
    </row>
    <row r="147" ht="16.1" customHeight="1">
      <c r="A147" t="s" s="10">
        <v>4290</v>
      </c>
      <c r="B147" t="s" s="11">
        <v>4291</v>
      </c>
      <c r="C147" s="12">
        <v>45189.973259444443</v>
      </c>
      <c r="D147" t="s" s="13">
        <v>35</v>
      </c>
      <c r="E147" t="s" s="13">
        <v>36</v>
      </c>
      <c r="F147" s="14">
        <v>2</v>
      </c>
      <c r="G147" s="15">
        <v>49.99</v>
      </c>
      <c r="H147" s="15">
        <v>99.98</v>
      </c>
    </row>
    <row r="148" ht="16.1" customHeight="1">
      <c r="A148" t="s" s="10">
        <v>4292</v>
      </c>
      <c r="B148" t="s" s="11">
        <v>4221</v>
      </c>
      <c r="C148" s="12">
        <v>45189.893296446760</v>
      </c>
      <c r="D148" t="s" s="13">
        <v>39</v>
      </c>
      <c r="E148" t="s" s="13">
        <v>40</v>
      </c>
      <c r="F148" s="14">
        <v>1</v>
      </c>
      <c r="G148" s="15">
        <v>109.99</v>
      </c>
      <c r="H148" s="15">
        <v>109.99</v>
      </c>
    </row>
    <row r="149" ht="16.1" customHeight="1">
      <c r="A149" t="s" s="10">
        <v>4293</v>
      </c>
      <c r="B149" t="s" s="11">
        <v>3852</v>
      </c>
      <c r="C149" s="12">
        <v>45189.801629363428</v>
      </c>
      <c r="D149" t="s" s="13">
        <v>133</v>
      </c>
      <c r="E149" t="s" s="13">
        <v>134</v>
      </c>
      <c r="F149" s="14">
        <v>6</v>
      </c>
      <c r="G149" s="15">
        <v>199.99</v>
      </c>
      <c r="H149" s="15">
        <v>1199.94</v>
      </c>
    </row>
    <row r="150" ht="16.1" customHeight="1">
      <c r="A150" t="s" s="10">
        <v>4293</v>
      </c>
      <c r="B150" t="s" s="11">
        <v>3852</v>
      </c>
      <c r="C150" s="12">
        <v>45189.801629363428</v>
      </c>
      <c r="D150" t="s" s="13">
        <v>84</v>
      </c>
      <c r="E150" t="s" s="13">
        <v>4225</v>
      </c>
      <c r="F150" s="14">
        <v>6</v>
      </c>
      <c r="G150" s="15">
        <v>15</v>
      </c>
      <c r="H150" s="15">
        <v>90</v>
      </c>
    </row>
    <row r="151" ht="16.1" customHeight="1">
      <c r="A151" t="s" s="10">
        <v>4294</v>
      </c>
      <c r="B151" t="s" s="11">
        <v>4286</v>
      </c>
      <c r="C151" s="12">
        <v>45189.780764236108</v>
      </c>
      <c r="D151" t="s" s="13">
        <v>19</v>
      </c>
      <c r="E151" t="s" s="13">
        <v>20</v>
      </c>
      <c r="F151" s="14">
        <v>4</v>
      </c>
      <c r="G151" s="15">
        <v>119.99</v>
      </c>
      <c r="H151" s="15">
        <v>479.96</v>
      </c>
    </row>
    <row r="152" ht="16.1" customHeight="1">
      <c r="A152" t="s" s="10">
        <v>4294</v>
      </c>
      <c r="B152" t="s" s="11">
        <v>4286</v>
      </c>
      <c r="C152" s="12">
        <v>45189.780764236108</v>
      </c>
      <c r="D152" t="s" s="13">
        <v>15</v>
      </c>
      <c r="E152" t="s" s="13">
        <v>16</v>
      </c>
      <c r="F152" s="14">
        <v>4</v>
      </c>
      <c r="G152" s="15">
        <v>9.99</v>
      </c>
      <c r="H152" s="15">
        <v>39.96</v>
      </c>
    </row>
    <row r="153" ht="16.1" customHeight="1">
      <c r="A153" t="s" s="10">
        <v>4295</v>
      </c>
      <c r="B153" t="s" s="11">
        <v>4296</v>
      </c>
      <c r="C153" s="12">
        <v>45189.124746111112</v>
      </c>
      <c r="D153" t="s" s="13">
        <v>95</v>
      </c>
      <c r="E153" t="s" s="13">
        <v>12</v>
      </c>
      <c r="F153" s="14">
        <v>1</v>
      </c>
      <c r="G153" s="15">
        <v>349.99</v>
      </c>
      <c r="H153" s="15">
        <v>349.99</v>
      </c>
    </row>
    <row r="154" ht="16.1" customHeight="1">
      <c r="A154" t="s" s="10">
        <v>4297</v>
      </c>
      <c r="B154" t="s" s="11">
        <v>476</v>
      </c>
      <c r="C154" s="12">
        <v>45189</v>
      </c>
      <c r="D154" t="s" s="13">
        <v>4298</v>
      </c>
      <c r="E154" t="s" s="13">
        <v>4299</v>
      </c>
      <c r="F154" s="14">
        <v>8</v>
      </c>
      <c r="G154" s="15">
        <v>0</v>
      </c>
      <c r="H154" s="15">
        <v>0</v>
      </c>
    </row>
    <row r="155" ht="16.1" customHeight="1">
      <c r="A155" t="s" s="10">
        <v>4300</v>
      </c>
      <c r="B155" t="s" s="11">
        <v>4301</v>
      </c>
      <c r="C155" s="12">
        <v>45189</v>
      </c>
      <c r="D155" t="s" s="13">
        <v>1671</v>
      </c>
      <c r="E155" t="s" s="13">
        <v>1672</v>
      </c>
      <c r="F155" s="14">
        <v>1</v>
      </c>
      <c r="G155" s="15">
        <v>0</v>
      </c>
      <c r="H155" s="15">
        <v>0</v>
      </c>
    </row>
    <row r="156" ht="16.1" customHeight="1">
      <c r="A156" t="s" s="10">
        <v>4300</v>
      </c>
      <c r="B156" t="s" s="11">
        <v>4301</v>
      </c>
      <c r="C156" s="12">
        <v>45189</v>
      </c>
      <c r="D156" t="s" s="13">
        <v>2435</v>
      </c>
      <c r="E156" t="s" s="13">
        <v>2436</v>
      </c>
      <c r="F156" s="14">
        <v>1</v>
      </c>
      <c r="G156" s="15">
        <v>0</v>
      </c>
      <c r="H156" s="15">
        <v>0</v>
      </c>
    </row>
    <row r="157" ht="16.1" customHeight="1">
      <c r="A157" t="s" s="10">
        <v>4300</v>
      </c>
      <c r="B157" t="s" s="11">
        <v>4301</v>
      </c>
      <c r="C157" s="12">
        <v>45189</v>
      </c>
      <c r="D157" t="s" s="13">
        <v>589</v>
      </c>
      <c r="E157" t="s" s="13">
        <v>590</v>
      </c>
      <c r="F157" s="14">
        <v>1</v>
      </c>
      <c r="G157" s="15">
        <v>0</v>
      </c>
      <c r="H157" s="15">
        <v>0</v>
      </c>
    </row>
    <row r="158" ht="16.1" customHeight="1">
      <c r="A158" t="s" s="10">
        <v>4302</v>
      </c>
      <c r="B158" t="s" s="11">
        <v>2931</v>
      </c>
      <c r="C158" s="12">
        <v>45189</v>
      </c>
      <c r="D158" t="s" s="13">
        <v>4303</v>
      </c>
      <c r="E158" t="s" s="13">
        <v>3404</v>
      </c>
      <c r="F158" s="14">
        <v>10</v>
      </c>
      <c r="G158" s="15">
        <v>15.99</v>
      </c>
      <c r="H158" s="15">
        <v>159.9</v>
      </c>
    </row>
    <row r="159" ht="16.1" customHeight="1">
      <c r="A159" t="s" s="10">
        <v>4302</v>
      </c>
      <c r="B159" t="s" s="11">
        <v>2931</v>
      </c>
      <c r="C159" s="12">
        <v>45189</v>
      </c>
      <c r="D159" t="s" s="13">
        <v>4304</v>
      </c>
      <c r="E159" t="s" s="13">
        <v>3404</v>
      </c>
      <c r="F159" s="14">
        <v>10</v>
      </c>
      <c r="G159" s="15">
        <v>15.99</v>
      </c>
      <c r="H159" s="15">
        <v>159.9</v>
      </c>
    </row>
    <row r="160" ht="16.1" customHeight="1">
      <c r="A160" t="s" s="10">
        <v>4302</v>
      </c>
      <c r="B160" t="s" s="11">
        <v>2931</v>
      </c>
      <c r="C160" s="12">
        <v>45189</v>
      </c>
      <c r="D160" t="s" s="13">
        <v>63</v>
      </c>
      <c r="E160" s="16"/>
      <c r="F160" s="14">
        <v>1</v>
      </c>
      <c r="G160" s="15">
        <v>75</v>
      </c>
      <c r="H160" s="15">
        <v>75</v>
      </c>
    </row>
    <row r="161" ht="16.1" customHeight="1">
      <c r="A161" t="s" s="10">
        <v>4305</v>
      </c>
      <c r="B161" t="s" s="11">
        <v>2362</v>
      </c>
      <c r="C161" s="12">
        <v>45188.820320486113</v>
      </c>
      <c r="D161" t="s" s="13">
        <v>73</v>
      </c>
      <c r="E161" t="s" s="13">
        <v>74</v>
      </c>
      <c r="F161" s="14">
        <v>1</v>
      </c>
      <c r="G161" s="15">
        <v>399.99</v>
      </c>
      <c r="H161" s="15">
        <v>399.99</v>
      </c>
    </row>
    <row r="162" ht="16.1" customHeight="1">
      <c r="A162" t="s" s="10">
        <v>4305</v>
      </c>
      <c r="B162" t="s" s="11">
        <v>2362</v>
      </c>
      <c r="C162" s="12">
        <v>45188.820320486113</v>
      </c>
      <c r="D162" t="s" s="13">
        <v>39</v>
      </c>
      <c r="E162" t="s" s="13">
        <v>40</v>
      </c>
      <c r="F162" s="14">
        <v>2</v>
      </c>
      <c r="G162" s="15">
        <v>109.99</v>
      </c>
      <c r="H162" s="15">
        <v>219.98</v>
      </c>
    </row>
    <row r="163" ht="16.1" customHeight="1">
      <c r="A163" t="s" s="10">
        <v>4306</v>
      </c>
      <c r="B163" t="s" s="11">
        <v>4307</v>
      </c>
      <c r="C163" s="12">
        <v>45188.809210833337</v>
      </c>
      <c r="D163" t="s" s="13">
        <v>39</v>
      </c>
      <c r="E163" t="s" s="13">
        <v>40</v>
      </c>
      <c r="F163" s="14">
        <v>1</v>
      </c>
      <c r="G163" s="15">
        <v>109.99</v>
      </c>
      <c r="H163" s="15">
        <v>109.99</v>
      </c>
    </row>
    <row r="164" ht="16.1" customHeight="1">
      <c r="A164" t="s" s="10">
        <v>4306</v>
      </c>
      <c r="B164" t="s" s="11">
        <v>4307</v>
      </c>
      <c r="C164" s="12">
        <v>45188.809210833337</v>
      </c>
      <c r="D164" t="s" s="13">
        <v>84</v>
      </c>
      <c r="E164" t="s" s="13">
        <v>4225</v>
      </c>
      <c r="F164" s="14">
        <v>1</v>
      </c>
      <c r="G164" s="15">
        <v>15</v>
      </c>
      <c r="H164" s="15">
        <v>15</v>
      </c>
    </row>
    <row r="165" ht="16.1" customHeight="1">
      <c r="A165" t="s" s="10">
        <v>4308</v>
      </c>
      <c r="B165" t="s" s="11">
        <v>4309</v>
      </c>
      <c r="C165" s="12">
        <v>45188.720716273150</v>
      </c>
      <c r="D165" t="s" s="13">
        <v>95</v>
      </c>
      <c r="E165" t="s" s="13">
        <v>12</v>
      </c>
      <c r="F165" s="14">
        <v>1</v>
      </c>
      <c r="G165" s="15">
        <v>349.99</v>
      </c>
      <c r="H165" s="15">
        <v>349.99</v>
      </c>
    </row>
    <row r="166" ht="16.1" customHeight="1">
      <c r="A166" t="s" s="10">
        <v>4310</v>
      </c>
      <c r="B166" t="s" s="11">
        <v>4311</v>
      </c>
      <c r="C166" s="12">
        <v>45188.589752071763</v>
      </c>
      <c r="D166" t="s" s="13">
        <v>54</v>
      </c>
      <c r="E166" t="s" s="13">
        <v>93</v>
      </c>
      <c r="F166" s="14">
        <v>4</v>
      </c>
      <c r="G166" s="15">
        <v>9.99</v>
      </c>
      <c r="H166" s="15">
        <v>39.96</v>
      </c>
    </row>
    <row r="167" ht="16.1" customHeight="1">
      <c r="A167" t="s" s="10">
        <v>4312</v>
      </c>
      <c r="B167" t="s" s="11">
        <v>4313</v>
      </c>
      <c r="C167" s="12">
        <v>45188.405061030091</v>
      </c>
      <c r="D167" t="s" s="13">
        <v>19</v>
      </c>
      <c r="E167" t="s" s="13">
        <v>20</v>
      </c>
      <c r="F167" s="14">
        <v>1</v>
      </c>
      <c r="G167" s="15">
        <v>119.99</v>
      </c>
      <c r="H167" s="15">
        <v>119.99</v>
      </c>
    </row>
    <row r="168" ht="16.1" customHeight="1">
      <c r="A168" t="s" s="10">
        <v>4312</v>
      </c>
      <c r="B168" t="s" s="11">
        <v>4313</v>
      </c>
      <c r="C168" s="12">
        <v>45188.405061030091</v>
      </c>
      <c r="D168" t="s" s="13">
        <v>15</v>
      </c>
      <c r="E168" t="s" s="13">
        <v>16</v>
      </c>
      <c r="F168" s="14">
        <v>1</v>
      </c>
      <c r="G168" s="15">
        <v>9.99</v>
      </c>
      <c r="H168" s="15">
        <v>9.99</v>
      </c>
    </row>
    <row r="169" ht="16.1" customHeight="1">
      <c r="A169" t="s" s="10">
        <v>4312</v>
      </c>
      <c r="B169" t="s" s="11">
        <v>4313</v>
      </c>
      <c r="C169" s="12">
        <v>45188.405061030091</v>
      </c>
      <c r="D169" t="s" s="13">
        <v>412</v>
      </c>
      <c r="E169" t="s" s="13">
        <v>413</v>
      </c>
      <c r="F169" s="14">
        <v>1</v>
      </c>
      <c r="G169" s="15">
        <v>1.99</v>
      </c>
      <c r="H169" s="15">
        <v>1.99</v>
      </c>
    </row>
    <row r="170" ht="16.1" customHeight="1">
      <c r="A170" t="s" s="10">
        <v>4314</v>
      </c>
      <c r="B170" t="s" s="11">
        <v>4315</v>
      </c>
      <c r="C170" s="12">
        <v>45188.3091165625</v>
      </c>
      <c r="D170" t="s" s="13">
        <v>31</v>
      </c>
      <c r="E170" t="s" s="13">
        <v>32</v>
      </c>
      <c r="F170" s="14">
        <v>1</v>
      </c>
      <c r="G170" s="15">
        <v>587.49</v>
      </c>
      <c r="H170" s="15">
        <v>587.49</v>
      </c>
    </row>
    <row r="171" ht="16.1" customHeight="1">
      <c r="A171" t="s" s="10">
        <v>4314</v>
      </c>
      <c r="B171" t="s" s="11">
        <v>4315</v>
      </c>
      <c r="C171" s="12">
        <v>45188.3091165625</v>
      </c>
      <c r="D171" t="s" s="13">
        <v>35</v>
      </c>
      <c r="E171" t="s" s="13">
        <v>36</v>
      </c>
      <c r="F171" s="14">
        <v>1</v>
      </c>
      <c r="G171" s="15">
        <v>37.49</v>
      </c>
      <c r="H171" s="15">
        <v>37.49</v>
      </c>
    </row>
    <row r="172" ht="16.1" customHeight="1">
      <c r="A172" t="s" s="10">
        <v>4316</v>
      </c>
      <c r="B172" t="s" s="11">
        <v>473</v>
      </c>
      <c r="C172" s="12">
        <v>45188</v>
      </c>
      <c r="D172" t="s" s="13">
        <v>468</v>
      </c>
      <c r="E172" t="s" s="13">
        <v>469</v>
      </c>
      <c r="F172" s="14">
        <v>4</v>
      </c>
      <c r="G172" s="15">
        <v>1575</v>
      </c>
      <c r="H172" s="15">
        <v>6300</v>
      </c>
    </row>
    <row r="173" ht="16.1" customHeight="1">
      <c r="A173" t="s" s="10">
        <v>4316</v>
      </c>
      <c r="B173" t="s" s="11">
        <v>473</v>
      </c>
      <c r="C173" s="12">
        <v>45188</v>
      </c>
      <c r="D173" t="s" s="13">
        <v>50</v>
      </c>
      <c r="E173" t="s" s="13">
        <v>4317</v>
      </c>
      <c r="F173" s="14">
        <v>4</v>
      </c>
      <c r="G173" s="15">
        <v>0</v>
      </c>
      <c r="H173" s="15">
        <v>0</v>
      </c>
    </row>
    <row r="174" ht="16.1" customHeight="1">
      <c r="A174" t="s" s="10">
        <v>4316</v>
      </c>
      <c r="B174" t="s" s="11">
        <v>473</v>
      </c>
      <c r="C174" s="12">
        <v>45188</v>
      </c>
      <c r="D174" t="s" s="13">
        <v>359</v>
      </c>
      <c r="E174" t="s" s="13">
        <v>4199</v>
      </c>
      <c r="F174" s="14">
        <v>16</v>
      </c>
      <c r="G174" s="15">
        <v>22.4925</v>
      </c>
      <c r="H174" s="15">
        <v>359.88</v>
      </c>
    </row>
    <row r="175" ht="16.1" customHeight="1">
      <c r="A175" t="s" s="10">
        <v>4316</v>
      </c>
      <c r="B175" t="s" s="11">
        <v>473</v>
      </c>
      <c r="C175" s="12">
        <v>45188</v>
      </c>
      <c r="D175" t="s" s="13">
        <v>47</v>
      </c>
      <c r="E175" s="16"/>
      <c r="F175" s="14">
        <v>1</v>
      </c>
      <c r="G175" s="15">
        <v>60</v>
      </c>
      <c r="H175" s="15">
        <v>60</v>
      </c>
    </row>
    <row r="176" ht="16.1" customHeight="1">
      <c r="A176" t="s" s="10">
        <v>4318</v>
      </c>
      <c r="B176" t="s" s="11">
        <v>4100</v>
      </c>
      <c r="C176" s="12">
        <v>45187.909102800928</v>
      </c>
      <c r="D176" t="s" s="13">
        <v>35</v>
      </c>
      <c r="E176" t="s" s="13">
        <v>36</v>
      </c>
      <c r="F176" s="14">
        <v>2</v>
      </c>
      <c r="G176" s="15">
        <v>49.99</v>
      </c>
      <c r="H176" s="15">
        <v>99.98</v>
      </c>
    </row>
    <row r="177" ht="16.1" customHeight="1">
      <c r="A177" t="s" s="10">
        <v>4319</v>
      </c>
      <c r="B177" t="s" s="11">
        <v>4320</v>
      </c>
      <c r="C177" s="12">
        <v>45187.806509918984</v>
      </c>
      <c r="D177" t="s" s="13">
        <v>882</v>
      </c>
      <c r="E177" t="s" s="13">
        <v>883</v>
      </c>
      <c r="F177" s="14">
        <v>1</v>
      </c>
      <c r="G177" s="15">
        <v>74.98999999999999</v>
      </c>
      <c r="H177" s="15">
        <v>74.98999999999999</v>
      </c>
    </row>
    <row r="178" ht="16.1" customHeight="1">
      <c r="A178" t="s" s="10">
        <v>4321</v>
      </c>
      <c r="B178" t="s" s="11">
        <v>4322</v>
      </c>
      <c r="C178" s="12">
        <v>45187.657152743057</v>
      </c>
      <c r="D178" t="s" s="13">
        <v>23</v>
      </c>
      <c r="E178" t="s" s="13">
        <v>24</v>
      </c>
      <c r="F178" s="14">
        <v>2</v>
      </c>
      <c r="G178" s="15">
        <v>149.99</v>
      </c>
      <c r="H178" s="15">
        <v>299.98</v>
      </c>
    </row>
    <row r="179" ht="16.1" customHeight="1">
      <c r="A179" t="s" s="10">
        <v>4323</v>
      </c>
      <c r="B179" t="s" s="11">
        <v>4324</v>
      </c>
      <c r="C179" s="12">
        <v>45187.561969189817</v>
      </c>
      <c r="D179" t="s" s="13">
        <v>54</v>
      </c>
      <c r="E179" t="s" s="13">
        <v>93</v>
      </c>
      <c r="F179" s="14">
        <v>1</v>
      </c>
      <c r="G179" s="15">
        <v>9.99</v>
      </c>
      <c r="H179" s="15">
        <v>9.99</v>
      </c>
    </row>
    <row r="180" ht="16.1" customHeight="1">
      <c r="A180" t="s" s="10">
        <v>4323</v>
      </c>
      <c r="B180" t="s" s="11">
        <v>4324</v>
      </c>
      <c r="C180" s="12">
        <v>45187.561969189817</v>
      </c>
      <c r="D180" t="s" s="13">
        <v>4325</v>
      </c>
      <c r="E180" t="s" s="13">
        <v>4326</v>
      </c>
      <c r="F180" s="14">
        <v>1</v>
      </c>
      <c r="G180" s="15">
        <v>54.99</v>
      </c>
      <c r="H180" s="15">
        <v>54.99</v>
      </c>
    </row>
    <row r="181" ht="16.1" customHeight="1">
      <c r="A181" t="s" s="10">
        <v>4323</v>
      </c>
      <c r="B181" t="s" s="11">
        <v>4324</v>
      </c>
      <c r="C181" s="12">
        <v>45187.561969189817</v>
      </c>
      <c r="D181" t="s" s="13">
        <v>4327</v>
      </c>
      <c r="E181" t="s" s="13">
        <v>4328</v>
      </c>
      <c r="F181" s="14">
        <v>1</v>
      </c>
      <c r="G181" s="15">
        <v>84.98999999999999</v>
      </c>
      <c r="H181" s="15">
        <v>84.98999999999999</v>
      </c>
    </row>
    <row r="182" ht="16.1" customHeight="1">
      <c r="A182" t="s" s="10">
        <v>4329</v>
      </c>
      <c r="B182" t="s" s="11">
        <v>122</v>
      </c>
      <c r="C182" s="12">
        <v>45187</v>
      </c>
      <c r="D182" t="s" s="13">
        <v>77</v>
      </c>
      <c r="E182" t="s" s="13">
        <v>4224</v>
      </c>
      <c r="F182" s="14">
        <v>10</v>
      </c>
      <c r="G182" s="15">
        <v>14.9925</v>
      </c>
      <c r="H182" s="15">
        <v>149.925</v>
      </c>
    </row>
    <row r="183" ht="16.1" customHeight="1">
      <c r="A183" t="s" s="10">
        <v>4329</v>
      </c>
      <c r="B183" t="s" s="11">
        <v>122</v>
      </c>
      <c r="C183" s="12">
        <v>45187</v>
      </c>
      <c r="D183" t="s" s="13">
        <v>63</v>
      </c>
      <c r="E183" s="16"/>
      <c r="F183" s="14">
        <v>1</v>
      </c>
      <c r="G183" s="15">
        <v>40</v>
      </c>
      <c r="H183" s="15">
        <v>40</v>
      </c>
    </row>
    <row r="184" ht="16.1" customHeight="1">
      <c r="A184" t="s" s="10">
        <v>4330</v>
      </c>
      <c r="B184" t="s" s="11">
        <v>161</v>
      </c>
      <c r="C184" s="12">
        <v>45187</v>
      </c>
      <c r="D184" t="s" s="13">
        <v>998</v>
      </c>
      <c r="E184" t="s" s="13">
        <v>1367</v>
      </c>
      <c r="F184" s="14">
        <v>3</v>
      </c>
      <c r="G184" s="15">
        <v>900</v>
      </c>
      <c r="H184" s="15">
        <v>2700</v>
      </c>
    </row>
    <row r="185" ht="16.1" customHeight="1">
      <c r="A185" t="s" s="10">
        <v>4330</v>
      </c>
      <c r="B185" t="s" s="11">
        <v>161</v>
      </c>
      <c r="C185" s="12">
        <v>45187</v>
      </c>
      <c r="D185" t="s" s="13">
        <v>50</v>
      </c>
      <c r="E185" t="s" s="13">
        <v>83</v>
      </c>
      <c r="F185" s="14">
        <v>3</v>
      </c>
      <c r="G185" s="15">
        <v>0</v>
      </c>
      <c r="H185" s="15">
        <v>0</v>
      </c>
    </row>
    <row r="186" ht="16.1" customHeight="1">
      <c r="A186" t="s" s="10">
        <v>4330</v>
      </c>
      <c r="B186" t="s" s="11">
        <v>161</v>
      </c>
      <c r="C186" s="12">
        <v>45187</v>
      </c>
      <c r="D186" t="s" s="13">
        <v>63</v>
      </c>
      <c r="E186" s="16"/>
      <c r="F186" s="14">
        <v>1</v>
      </c>
      <c r="G186" s="15">
        <v>60</v>
      </c>
      <c r="H186" s="15">
        <v>60</v>
      </c>
    </row>
    <row r="187" ht="16.1" customHeight="1">
      <c r="A187" t="s" s="10">
        <v>4331</v>
      </c>
      <c r="B187" t="s" s="11">
        <v>1110</v>
      </c>
      <c r="C187" s="12">
        <v>45187</v>
      </c>
      <c r="D187" t="s" s="13">
        <v>489</v>
      </c>
      <c r="E187" t="s" s="13">
        <v>490</v>
      </c>
      <c r="F187" s="14">
        <v>4</v>
      </c>
      <c r="G187" s="15">
        <v>1199.9925</v>
      </c>
      <c r="H187" s="15">
        <v>4799.97</v>
      </c>
    </row>
    <row r="188" ht="16.1" customHeight="1">
      <c r="A188" t="s" s="10">
        <v>4331</v>
      </c>
      <c r="B188" t="s" s="11">
        <v>1110</v>
      </c>
      <c r="C188" s="12">
        <v>45187</v>
      </c>
      <c r="D188" t="s" s="13">
        <v>1633</v>
      </c>
      <c r="E188" t="s" s="13">
        <v>2981</v>
      </c>
      <c r="F188" s="14">
        <v>4</v>
      </c>
      <c r="G188" s="15">
        <v>0</v>
      </c>
      <c r="H188" s="15">
        <v>0</v>
      </c>
    </row>
    <row r="189" ht="16.1" customHeight="1">
      <c r="A189" t="s" s="10">
        <v>4331</v>
      </c>
      <c r="B189" t="s" s="11">
        <v>1110</v>
      </c>
      <c r="C189" s="12">
        <v>45187</v>
      </c>
      <c r="D189" t="s" s="13">
        <v>491</v>
      </c>
      <c r="E189" t="s" s="13">
        <v>2680</v>
      </c>
      <c r="F189" s="14">
        <v>8</v>
      </c>
      <c r="G189" s="15">
        <v>0</v>
      </c>
      <c r="H189" s="15">
        <v>0</v>
      </c>
    </row>
    <row r="190" ht="16.1" customHeight="1">
      <c r="A190" t="s" s="10">
        <v>4331</v>
      </c>
      <c r="B190" t="s" s="11">
        <v>1110</v>
      </c>
      <c r="C190" s="12">
        <v>45187</v>
      </c>
      <c r="D190" t="s" s="13">
        <v>493</v>
      </c>
      <c r="E190" t="s" s="13">
        <v>2681</v>
      </c>
      <c r="F190" s="14">
        <v>4</v>
      </c>
      <c r="G190" s="15">
        <v>0</v>
      </c>
      <c r="H190" s="15">
        <v>0</v>
      </c>
    </row>
    <row r="191" ht="16.1" customHeight="1">
      <c r="A191" t="s" s="10">
        <v>4331</v>
      </c>
      <c r="B191" t="s" s="11">
        <v>1110</v>
      </c>
      <c r="C191" s="12">
        <v>45187</v>
      </c>
      <c r="D191" t="s" s="13">
        <v>63</v>
      </c>
      <c r="E191" s="16"/>
      <c r="F191" s="14">
        <v>1</v>
      </c>
      <c r="G191" s="15">
        <v>250</v>
      </c>
      <c r="H191" s="15">
        <v>250</v>
      </c>
    </row>
    <row r="192" ht="16.1" customHeight="1">
      <c r="A192" t="s" s="10">
        <v>4332</v>
      </c>
      <c r="B192" t="s" s="11">
        <v>4333</v>
      </c>
      <c r="C192" s="12">
        <v>45186.208558761573</v>
      </c>
      <c r="D192" t="s" s="13">
        <v>54</v>
      </c>
      <c r="E192" t="s" s="13">
        <v>93</v>
      </c>
      <c r="F192" s="14">
        <v>1</v>
      </c>
      <c r="G192" s="15">
        <v>9.99</v>
      </c>
      <c r="H192" s="15">
        <v>9.99</v>
      </c>
    </row>
    <row r="193" ht="16.1" customHeight="1">
      <c r="A193" t="s" s="10">
        <v>4334</v>
      </c>
      <c r="B193" t="s" s="11">
        <v>2543</v>
      </c>
      <c r="C193" s="12">
        <v>45186.171041898146</v>
      </c>
      <c r="D193" t="s" s="13">
        <v>35</v>
      </c>
      <c r="E193" t="s" s="13">
        <v>36</v>
      </c>
      <c r="F193" s="14">
        <v>1</v>
      </c>
      <c r="G193" s="15">
        <v>49.99</v>
      </c>
      <c r="H193" s="15">
        <v>49.99</v>
      </c>
    </row>
    <row r="194" ht="16.1" customHeight="1">
      <c r="A194" t="s" s="10">
        <v>4335</v>
      </c>
      <c r="B194" t="s" s="11">
        <v>3852</v>
      </c>
      <c r="C194" s="12">
        <v>45185.794442268518</v>
      </c>
      <c r="D194" t="s" s="13">
        <v>133</v>
      </c>
      <c r="E194" t="s" s="13">
        <v>134</v>
      </c>
      <c r="F194" s="14">
        <v>2</v>
      </c>
      <c r="G194" s="15">
        <v>199.99</v>
      </c>
      <c r="H194" s="15">
        <v>399.98</v>
      </c>
    </row>
    <row r="195" ht="16.1" customHeight="1">
      <c r="A195" t="s" s="10">
        <v>4335</v>
      </c>
      <c r="B195" t="s" s="11">
        <v>3852</v>
      </c>
      <c r="C195" s="12">
        <v>45185.794442268518</v>
      </c>
      <c r="D195" t="s" s="13">
        <v>84</v>
      </c>
      <c r="E195" t="s" s="13">
        <v>4225</v>
      </c>
      <c r="F195" s="14">
        <v>2</v>
      </c>
      <c r="G195" s="15">
        <v>15</v>
      </c>
      <c r="H195" s="15">
        <v>30</v>
      </c>
    </row>
    <row r="196" ht="16.1" customHeight="1">
      <c r="A196" t="s" s="10">
        <v>4336</v>
      </c>
      <c r="B196" t="s" s="11">
        <v>4337</v>
      </c>
      <c r="C196" s="12">
        <v>45185.703389849536</v>
      </c>
      <c r="D196" t="s" s="13">
        <v>73</v>
      </c>
      <c r="E196" t="s" s="13">
        <v>74</v>
      </c>
      <c r="F196" s="14">
        <v>1</v>
      </c>
      <c r="G196" s="15">
        <v>399.99</v>
      </c>
      <c r="H196" s="15">
        <v>399.99</v>
      </c>
    </row>
    <row r="197" ht="16.1" customHeight="1">
      <c r="A197" t="s" s="10">
        <v>4338</v>
      </c>
      <c r="B197" t="s" s="11">
        <v>3389</v>
      </c>
      <c r="C197" s="12">
        <v>45185.613263449071</v>
      </c>
      <c r="D197" t="s" s="13">
        <v>19</v>
      </c>
      <c r="E197" t="s" s="13">
        <v>20</v>
      </c>
      <c r="F197" s="14">
        <v>2</v>
      </c>
      <c r="G197" s="15">
        <v>119.99</v>
      </c>
      <c r="H197" s="15">
        <v>239.98</v>
      </c>
    </row>
    <row r="198" ht="16.1" customHeight="1">
      <c r="A198" t="s" s="10">
        <v>4338</v>
      </c>
      <c r="B198" t="s" s="11">
        <v>3389</v>
      </c>
      <c r="C198" s="12">
        <v>45185.613263449071</v>
      </c>
      <c r="D198" t="s" s="13">
        <v>15</v>
      </c>
      <c r="E198" t="s" s="13">
        <v>16</v>
      </c>
      <c r="F198" s="14">
        <v>2</v>
      </c>
      <c r="G198" s="15">
        <v>9.99</v>
      </c>
      <c r="H198" s="15">
        <v>19.98</v>
      </c>
    </row>
    <row r="199" ht="16.1" customHeight="1">
      <c r="A199" t="s" s="10">
        <v>4339</v>
      </c>
      <c r="B199" t="s" s="11">
        <v>4340</v>
      </c>
      <c r="C199" s="12">
        <v>45184.908447800924</v>
      </c>
      <c r="D199" t="s" s="13">
        <v>73</v>
      </c>
      <c r="E199" t="s" s="13">
        <v>74</v>
      </c>
      <c r="F199" s="14">
        <v>1</v>
      </c>
      <c r="G199" s="15">
        <v>399.99</v>
      </c>
      <c r="H199" s="15">
        <v>399.99</v>
      </c>
    </row>
    <row r="200" ht="16.1" customHeight="1">
      <c r="A200" t="s" s="10">
        <v>4341</v>
      </c>
      <c r="B200" t="s" s="11">
        <v>4342</v>
      </c>
      <c r="C200" s="12">
        <v>45184.834893796295</v>
      </c>
      <c r="D200" t="s" s="13">
        <v>2787</v>
      </c>
      <c r="E200" t="s" s="13">
        <v>2788</v>
      </c>
      <c r="F200" s="14">
        <v>1</v>
      </c>
      <c r="G200" s="15">
        <v>22.99</v>
      </c>
      <c r="H200" s="15">
        <v>22.99</v>
      </c>
    </row>
    <row r="201" ht="16.1" customHeight="1">
      <c r="A201" t="s" s="10">
        <v>4341</v>
      </c>
      <c r="B201" t="s" s="11">
        <v>4342</v>
      </c>
      <c r="C201" s="12">
        <v>45184.834893796295</v>
      </c>
      <c r="D201" t="s" s="13">
        <v>2961</v>
      </c>
      <c r="E201" t="s" s="13">
        <v>2962</v>
      </c>
      <c r="F201" s="14">
        <v>1</v>
      </c>
      <c r="G201" s="15">
        <v>22.99</v>
      </c>
      <c r="H201" s="15">
        <v>22.99</v>
      </c>
    </row>
    <row r="202" ht="16.1" customHeight="1">
      <c r="A202" t="s" s="10">
        <v>4343</v>
      </c>
      <c r="B202" t="s" s="11">
        <v>3902</v>
      </c>
      <c r="C202" s="12">
        <v>45184.772254571762</v>
      </c>
      <c r="D202" t="s" s="13">
        <v>133</v>
      </c>
      <c r="E202" t="s" s="13">
        <v>134</v>
      </c>
      <c r="F202" s="14">
        <v>1</v>
      </c>
      <c r="G202" s="15">
        <v>199.99</v>
      </c>
      <c r="H202" s="15">
        <v>199.99</v>
      </c>
    </row>
    <row r="203" ht="16.1" customHeight="1">
      <c r="A203" t="s" s="10">
        <v>4343</v>
      </c>
      <c r="B203" t="s" s="11">
        <v>3902</v>
      </c>
      <c r="C203" s="12">
        <v>45184.772254571762</v>
      </c>
      <c r="D203" t="s" s="13">
        <v>84</v>
      </c>
      <c r="E203" t="s" s="13">
        <v>4225</v>
      </c>
      <c r="F203" s="14">
        <v>1</v>
      </c>
      <c r="G203" s="15">
        <v>15</v>
      </c>
      <c r="H203" s="15">
        <v>15</v>
      </c>
    </row>
    <row r="204" ht="16.1" customHeight="1">
      <c r="A204" t="s" s="10">
        <v>4344</v>
      </c>
      <c r="B204" t="s" s="11">
        <v>4345</v>
      </c>
      <c r="C204" s="12">
        <v>45184.664082106479</v>
      </c>
      <c r="D204" t="s" s="13">
        <v>31</v>
      </c>
      <c r="E204" t="s" s="13">
        <v>32</v>
      </c>
      <c r="F204" s="14">
        <v>1</v>
      </c>
      <c r="G204" s="15">
        <v>599.99</v>
      </c>
      <c r="H204" s="15">
        <v>599.99</v>
      </c>
    </row>
    <row r="205" ht="16.1" customHeight="1">
      <c r="A205" t="s" s="10">
        <v>4346</v>
      </c>
      <c r="B205" t="s" s="11">
        <v>4347</v>
      </c>
      <c r="C205" s="12">
        <v>45184.644682858794</v>
      </c>
      <c r="D205" t="s" s="13">
        <v>35</v>
      </c>
      <c r="E205" t="s" s="13">
        <v>36</v>
      </c>
      <c r="F205" s="14">
        <v>1</v>
      </c>
      <c r="G205" s="15">
        <v>49.99</v>
      </c>
      <c r="H205" s="15">
        <v>49.99</v>
      </c>
    </row>
    <row r="206" ht="16.1" customHeight="1">
      <c r="A206" t="s" s="10">
        <v>4348</v>
      </c>
      <c r="B206" t="s" s="11">
        <v>4349</v>
      </c>
      <c r="C206" s="12">
        <v>45184.118200949073</v>
      </c>
      <c r="D206" t="s" s="13">
        <v>73</v>
      </c>
      <c r="E206" t="s" s="13">
        <v>74</v>
      </c>
      <c r="F206" s="14">
        <v>1</v>
      </c>
      <c r="G206" s="15">
        <v>399.99</v>
      </c>
      <c r="H206" s="15">
        <v>399.99</v>
      </c>
    </row>
    <row r="207" ht="16.1" customHeight="1">
      <c r="A207" t="s" s="10">
        <v>4350</v>
      </c>
      <c r="B207" t="s" s="11">
        <v>3372</v>
      </c>
      <c r="C207" s="12">
        <v>45184.103600474540</v>
      </c>
      <c r="D207" t="s" s="13">
        <v>1479</v>
      </c>
      <c r="E207" t="s" s="13">
        <v>1480</v>
      </c>
      <c r="F207" s="14">
        <v>4</v>
      </c>
      <c r="G207" s="15">
        <v>299.99</v>
      </c>
      <c r="H207" s="15">
        <v>1199.96</v>
      </c>
    </row>
    <row r="208" ht="16.1" customHeight="1">
      <c r="A208" t="s" s="10">
        <v>4351</v>
      </c>
      <c r="B208" t="s" s="11">
        <v>4352</v>
      </c>
      <c r="C208" s="12">
        <v>45184.040563773146</v>
      </c>
      <c r="D208" t="s" s="13">
        <v>19</v>
      </c>
      <c r="E208" t="s" s="13">
        <v>20</v>
      </c>
      <c r="F208" s="14">
        <v>2</v>
      </c>
      <c r="G208" s="15">
        <v>119.99</v>
      </c>
      <c r="H208" s="15">
        <v>239.98</v>
      </c>
    </row>
    <row r="209" ht="16.1" customHeight="1">
      <c r="A209" t="s" s="10">
        <v>4351</v>
      </c>
      <c r="B209" t="s" s="11">
        <v>4352</v>
      </c>
      <c r="C209" s="12">
        <v>45184.040563773146</v>
      </c>
      <c r="D209" t="s" s="13">
        <v>15</v>
      </c>
      <c r="E209" t="s" s="13">
        <v>16</v>
      </c>
      <c r="F209" s="14">
        <v>2</v>
      </c>
      <c r="G209" s="15">
        <v>9.99</v>
      </c>
      <c r="H209" s="15">
        <v>19.98</v>
      </c>
    </row>
    <row r="210" ht="16.1" customHeight="1">
      <c r="A210" t="s" s="10">
        <v>4353</v>
      </c>
      <c r="B210" t="s" s="11">
        <v>3590</v>
      </c>
      <c r="C210" s="12">
        <v>45184</v>
      </c>
      <c r="D210" t="s" s="13">
        <v>468</v>
      </c>
      <c r="E210" t="s" s="13">
        <v>469</v>
      </c>
      <c r="F210" s="14">
        <v>2</v>
      </c>
      <c r="G210" s="15">
        <v>1874.9925</v>
      </c>
      <c r="H210" s="15">
        <v>3749.985</v>
      </c>
    </row>
    <row r="211" ht="16.1" customHeight="1">
      <c r="A211" t="s" s="10">
        <v>4353</v>
      </c>
      <c r="B211" t="s" s="11">
        <v>3590</v>
      </c>
      <c r="C211" s="12">
        <v>45184</v>
      </c>
      <c r="D211" t="s" s="13">
        <v>50</v>
      </c>
      <c r="E211" t="s" s="13">
        <v>83</v>
      </c>
      <c r="F211" s="14">
        <v>2</v>
      </c>
      <c r="G211" s="15">
        <v>0</v>
      </c>
      <c r="H211" s="15">
        <v>0</v>
      </c>
    </row>
    <row r="212" ht="16.1" customHeight="1">
      <c r="A212" t="s" s="10">
        <v>4353</v>
      </c>
      <c r="B212" t="s" s="11">
        <v>3590</v>
      </c>
      <c r="C212" s="12">
        <v>45184</v>
      </c>
      <c r="D212" t="s" s="13">
        <v>1593</v>
      </c>
      <c r="E212" t="s" s="13">
        <v>240</v>
      </c>
      <c r="F212" s="14">
        <v>8</v>
      </c>
      <c r="G212" s="15">
        <v>0</v>
      </c>
      <c r="H212" s="15">
        <v>0</v>
      </c>
    </row>
    <row r="213" ht="16.1" customHeight="1">
      <c r="A213" t="s" s="10">
        <v>4353</v>
      </c>
      <c r="B213" t="s" s="11">
        <v>3590</v>
      </c>
      <c r="C213" s="12">
        <v>45184</v>
      </c>
      <c r="D213" t="s" s="13">
        <v>54</v>
      </c>
      <c r="E213" t="s" s="13">
        <v>93</v>
      </c>
      <c r="F213" s="14">
        <v>8</v>
      </c>
      <c r="G213" s="15">
        <v>0</v>
      </c>
      <c r="H213" s="15">
        <v>0</v>
      </c>
    </row>
    <row r="214" ht="16.1" customHeight="1">
      <c r="A214" t="s" s="10">
        <v>4353</v>
      </c>
      <c r="B214" t="s" s="11">
        <v>3590</v>
      </c>
      <c r="C214" s="12">
        <v>45184</v>
      </c>
      <c r="D214" t="s" s="13">
        <v>15</v>
      </c>
      <c r="E214" t="s" s="13">
        <v>16</v>
      </c>
      <c r="F214" s="14">
        <v>8</v>
      </c>
      <c r="G214" s="15">
        <v>0</v>
      </c>
      <c r="H214" s="15">
        <v>0</v>
      </c>
    </row>
    <row r="215" ht="16.1" customHeight="1">
      <c r="A215" t="s" s="10">
        <v>4353</v>
      </c>
      <c r="B215" t="s" s="11">
        <v>3590</v>
      </c>
      <c r="C215" s="12">
        <v>45184</v>
      </c>
      <c r="D215" t="s" s="13">
        <v>63</v>
      </c>
      <c r="E215" s="16"/>
      <c r="F215" s="14">
        <v>1</v>
      </c>
      <c r="G215" s="15">
        <v>50</v>
      </c>
      <c r="H215" s="15">
        <v>50</v>
      </c>
    </row>
    <row r="216" ht="16.1" customHeight="1">
      <c r="A216" t="s" s="10">
        <v>4354</v>
      </c>
      <c r="B216" t="s" s="11">
        <v>831</v>
      </c>
      <c r="C216" s="12">
        <v>45184</v>
      </c>
      <c r="D216" t="s" s="13">
        <v>1917</v>
      </c>
      <c r="E216" t="s" s="13">
        <v>1917</v>
      </c>
      <c r="F216" s="14">
        <v>31</v>
      </c>
      <c r="G216" s="15">
        <v>28.5</v>
      </c>
      <c r="H216" s="15">
        <v>883.5</v>
      </c>
    </row>
    <row r="217" ht="16.1" customHeight="1">
      <c r="A217" t="s" s="10">
        <v>4354</v>
      </c>
      <c r="B217" t="s" s="11">
        <v>831</v>
      </c>
      <c r="C217" s="12">
        <v>45184</v>
      </c>
      <c r="D217" t="s" s="13">
        <v>4355</v>
      </c>
      <c r="E217" t="s" s="13">
        <v>4356</v>
      </c>
      <c r="F217" s="14">
        <v>42</v>
      </c>
      <c r="G217" s="15">
        <v>0</v>
      </c>
      <c r="H217" s="15">
        <v>0</v>
      </c>
    </row>
    <row r="218" ht="16.1" customHeight="1">
      <c r="A218" t="s" s="10">
        <v>4354</v>
      </c>
      <c r="B218" t="s" s="11">
        <v>831</v>
      </c>
      <c r="C218" s="12">
        <v>45184</v>
      </c>
      <c r="D218" t="s" s="13">
        <v>4357</v>
      </c>
      <c r="E218" t="s" s="13">
        <v>4358</v>
      </c>
      <c r="F218" s="14">
        <v>42</v>
      </c>
      <c r="G218" s="15">
        <v>0</v>
      </c>
      <c r="H218" s="15">
        <v>0</v>
      </c>
    </row>
    <row r="219" ht="16.1" customHeight="1">
      <c r="A219" t="s" s="10">
        <v>4354</v>
      </c>
      <c r="B219" t="s" s="11">
        <v>831</v>
      </c>
      <c r="C219" s="12">
        <v>45184</v>
      </c>
      <c r="D219" t="s" s="13">
        <v>398</v>
      </c>
      <c r="E219" t="s" s="13">
        <v>399</v>
      </c>
      <c r="F219" s="14">
        <v>125</v>
      </c>
      <c r="G219" s="15">
        <v>0</v>
      </c>
      <c r="H219" s="15">
        <v>0</v>
      </c>
    </row>
    <row r="220" ht="16.1" customHeight="1">
      <c r="A220" t="s" s="10">
        <v>4359</v>
      </c>
      <c r="B220" t="s" s="11">
        <v>4360</v>
      </c>
      <c r="C220" s="12">
        <v>45184</v>
      </c>
      <c r="D220" t="s" s="13">
        <v>722</v>
      </c>
      <c r="E220" t="s" s="13">
        <v>82</v>
      </c>
      <c r="F220" s="14">
        <v>4</v>
      </c>
      <c r="G220" s="15">
        <v>652.4924999999999</v>
      </c>
      <c r="H220" s="15">
        <v>2609.97</v>
      </c>
    </row>
    <row r="221" ht="16.1" customHeight="1">
      <c r="A221" t="s" s="10">
        <v>4359</v>
      </c>
      <c r="B221" t="s" s="11">
        <v>4360</v>
      </c>
      <c r="C221" s="12">
        <v>45184</v>
      </c>
      <c r="D221" t="s" s="13">
        <v>133</v>
      </c>
      <c r="E221" t="s" s="13">
        <v>134</v>
      </c>
      <c r="F221" s="14">
        <v>4</v>
      </c>
      <c r="G221" s="15">
        <v>37.5</v>
      </c>
      <c r="H221" s="15">
        <v>150</v>
      </c>
    </row>
    <row r="222" ht="16.1" customHeight="1">
      <c r="A222" t="s" s="10">
        <v>4359</v>
      </c>
      <c r="B222" t="s" s="11">
        <v>4360</v>
      </c>
      <c r="C222" s="12">
        <v>45184</v>
      </c>
      <c r="D222" t="s" s="13">
        <v>225</v>
      </c>
      <c r="E222" t="s" s="13">
        <v>226</v>
      </c>
      <c r="F222" s="14">
        <v>4</v>
      </c>
      <c r="G222" s="15">
        <v>374.9925</v>
      </c>
      <c r="H222" s="15">
        <v>1499.97</v>
      </c>
    </row>
    <row r="223" ht="16.1" customHeight="1">
      <c r="A223" t="s" s="10">
        <v>4359</v>
      </c>
      <c r="B223" t="s" s="11">
        <v>4360</v>
      </c>
      <c r="C223" s="12">
        <v>45184</v>
      </c>
      <c r="D223" t="s" s="13">
        <v>165</v>
      </c>
      <c r="E223" t="s" s="13">
        <v>392</v>
      </c>
      <c r="F223" s="14">
        <v>4</v>
      </c>
      <c r="G223" s="15">
        <v>0</v>
      </c>
      <c r="H223" s="15">
        <v>0</v>
      </c>
    </row>
    <row r="224" ht="16.1" customHeight="1">
      <c r="A224" t="s" s="10">
        <v>4359</v>
      </c>
      <c r="B224" t="s" s="11">
        <v>4360</v>
      </c>
      <c r="C224" s="12">
        <v>45184</v>
      </c>
      <c r="D224" t="s" s="13">
        <v>133</v>
      </c>
      <c r="E224" t="s" s="13">
        <v>134</v>
      </c>
      <c r="F224" s="14">
        <v>4</v>
      </c>
      <c r="G224" s="15">
        <v>149.9925</v>
      </c>
      <c r="H224" s="15">
        <v>599.97</v>
      </c>
    </row>
    <row r="225" ht="16.1" customHeight="1">
      <c r="A225" t="s" s="10">
        <v>4359</v>
      </c>
      <c r="B225" t="s" s="11">
        <v>4360</v>
      </c>
      <c r="C225" s="12">
        <v>45184</v>
      </c>
      <c r="D225" t="s" s="13">
        <v>73</v>
      </c>
      <c r="E225" t="s" s="13">
        <v>74</v>
      </c>
      <c r="F225" s="14">
        <v>2</v>
      </c>
      <c r="G225" s="15">
        <v>299.9925</v>
      </c>
      <c r="H225" s="15">
        <v>599.985</v>
      </c>
    </row>
    <row r="226" ht="16.1" customHeight="1">
      <c r="A226" t="s" s="10">
        <v>4359</v>
      </c>
      <c r="B226" t="s" s="11">
        <v>4360</v>
      </c>
      <c r="C226" s="12">
        <v>45184</v>
      </c>
      <c r="D226" t="s" s="13">
        <v>48</v>
      </c>
      <c r="E226" t="s" s="13">
        <v>49</v>
      </c>
      <c r="F226" s="14">
        <v>4</v>
      </c>
      <c r="G226" s="15">
        <v>974.9924999999999</v>
      </c>
      <c r="H226" s="15">
        <v>3899.97</v>
      </c>
    </row>
    <row r="227" ht="16.1" customHeight="1">
      <c r="A227" t="s" s="10">
        <v>4359</v>
      </c>
      <c r="B227" t="s" s="11">
        <v>4360</v>
      </c>
      <c r="C227" s="12">
        <v>45184</v>
      </c>
      <c r="D227" t="s" s="13">
        <v>133</v>
      </c>
      <c r="E227" t="s" s="13">
        <v>134</v>
      </c>
      <c r="F227" s="14">
        <v>4</v>
      </c>
      <c r="G227" s="15">
        <v>37.5</v>
      </c>
      <c r="H227" s="15">
        <v>150</v>
      </c>
    </row>
    <row r="228" ht="16.1" customHeight="1">
      <c r="A228" t="s" s="10">
        <v>4359</v>
      </c>
      <c r="B228" t="s" s="11">
        <v>4360</v>
      </c>
      <c r="C228" s="12">
        <v>45184</v>
      </c>
      <c r="D228" t="s" s="13">
        <v>59</v>
      </c>
      <c r="E228" t="s" s="13">
        <v>60</v>
      </c>
      <c r="F228" s="14">
        <v>1</v>
      </c>
      <c r="G228" s="15">
        <v>899.9924999999999</v>
      </c>
      <c r="H228" s="15">
        <v>899.9924999999999</v>
      </c>
    </row>
    <row r="229" ht="16.1" customHeight="1">
      <c r="A229" t="s" s="10">
        <v>4359</v>
      </c>
      <c r="B229" t="s" s="11">
        <v>4360</v>
      </c>
      <c r="C229" s="12">
        <v>45184</v>
      </c>
      <c r="D229" t="s" s="13">
        <v>77</v>
      </c>
      <c r="E229" t="s" s="13">
        <v>4224</v>
      </c>
      <c r="F229" s="14">
        <v>5</v>
      </c>
      <c r="G229" s="15">
        <v>14.9925</v>
      </c>
      <c r="H229" s="15">
        <v>74.96250000000001</v>
      </c>
    </row>
    <row r="230" ht="16.1" customHeight="1">
      <c r="A230" t="s" s="10">
        <v>4359</v>
      </c>
      <c r="B230" t="s" s="11">
        <v>4360</v>
      </c>
      <c r="C230" s="12">
        <v>45184</v>
      </c>
      <c r="D230" t="s" s="13">
        <v>359</v>
      </c>
      <c r="E230" t="s" s="13">
        <v>4199</v>
      </c>
      <c r="F230" s="14">
        <v>5</v>
      </c>
      <c r="G230" s="15">
        <v>22.4925</v>
      </c>
      <c r="H230" s="15">
        <v>112.4625</v>
      </c>
    </row>
    <row r="231" ht="16.1" customHeight="1">
      <c r="A231" t="s" s="10">
        <v>4359</v>
      </c>
      <c r="B231" t="s" s="11">
        <v>4360</v>
      </c>
      <c r="C231" s="12">
        <v>45184</v>
      </c>
      <c r="D231" t="s" s="13">
        <v>47</v>
      </c>
      <c r="E231" s="16"/>
      <c r="F231" s="14">
        <v>1</v>
      </c>
      <c r="G231" s="15">
        <v>560</v>
      </c>
      <c r="H231" s="15">
        <v>560</v>
      </c>
    </row>
    <row r="232" ht="16.1" customHeight="1">
      <c r="A232" t="s" s="10">
        <v>4361</v>
      </c>
      <c r="B232" t="s" s="11">
        <v>210</v>
      </c>
      <c r="C232" s="12">
        <v>45184</v>
      </c>
      <c r="D232" t="s" s="13">
        <v>73</v>
      </c>
      <c r="E232" t="s" s="13">
        <v>74</v>
      </c>
      <c r="F232" s="14">
        <v>1</v>
      </c>
      <c r="G232" s="15">
        <v>330</v>
      </c>
      <c r="H232" s="15">
        <v>330</v>
      </c>
    </row>
    <row r="233" ht="16.1" customHeight="1">
      <c r="A233" t="s" s="10">
        <v>4362</v>
      </c>
      <c r="B233" t="s" s="11">
        <v>4363</v>
      </c>
      <c r="C233" s="12">
        <v>45183.946579212963</v>
      </c>
      <c r="D233" t="s" s="13">
        <v>354</v>
      </c>
      <c r="E233" t="s" s="13">
        <v>355</v>
      </c>
      <c r="F233" s="14">
        <v>1</v>
      </c>
      <c r="G233" s="15">
        <v>149.99</v>
      </c>
      <c r="H233" s="15">
        <v>149.99</v>
      </c>
    </row>
    <row r="234" ht="16.1" customHeight="1">
      <c r="A234" t="s" s="10">
        <v>4364</v>
      </c>
      <c r="B234" t="s" s="11">
        <v>4253</v>
      </c>
      <c r="C234" s="12">
        <v>45183.825199513885</v>
      </c>
      <c r="D234" t="s" s="13">
        <v>48</v>
      </c>
      <c r="E234" t="s" s="13">
        <v>49</v>
      </c>
      <c r="F234" s="14">
        <v>4</v>
      </c>
      <c r="G234" s="15">
        <v>1299.99</v>
      </c>
      <c r="H234" s="15">
        <v>5199.96</v>
      </c>
    </row>
    <row r="235" ht="16.1" customHeight="1">
      <c r="A235" t="s" s="10">
        <v>4364</v>
      </c>
      <c r="B235" t="s" s="11">
        <v>4253</v>
      </c>
      <c r="C235" s="12">
        <v>45183.825199513885</v>
      </c>
      <c r="D235" t="s" s="13">
        <v>50</v>
      </c>
      <c r="E235" t="s" s="13">
        <v>83</v>
      </c>
      <c r="F235" s="14">
        <v>4</v>
      </c>
      <c r="G235" s="15">
        <v>0</v>
      </c>
      <c r="H235" s="15">
        <v>0</v>
      </c>
    </row>
    <row r="236" ht="16.1" customHeight="1">
      <c r="A236" t="s" s="10">
        <v>4364</v>
      </c>
      <c r="B236" t="s" s="11">
        <v>4253</v>
      </c>
      <c r="C236" s="12">
        <v>45183.825199513885</v>
      </c>
      <c r="D236" t="s" s="13">
        <v>52</v>
      </c>
      <c r="E236" t="s" s="13">
        <v>4287</v>
      </c>
      <c r="F236" s="14">
        <v>4</v>
      </c>
      <c r="G236" s="15">
        <v>0</v>
      </c>
      <c r="H236" s="15">
        <v>0</v>
      </c>
    </row>
    <row r="237" ht="16.1" customHeight="1">
      <c r="A237" t="s" s="10">
        <v>4364</v>
      </c>
      <c r="B237" t="s" s="11">
        <v>4253</v>
      </c>
      <c r="C237" s="12">
        <v>45183.825199513885</v>
      </c>
      <c r="D237" t="s" s="13">
        <v>84</v>
      </c>
      <c r="E237" t="s" s="13">
        <v>4225</v>
      </c>
      <c r="F237" s="14">
        <v>4</v>
      </c>
      <c r="G237" s="15">
        <v>0</v>
      </c>
      <c r="H237" s="15">
        <v>0</v>
      </c>
    </row>
    <row r="238" ht="16.1" customHeight="1">
      <c r="A238" t="s" s="10">
        <v>4364</v>
      </c>
      <c r="B238" t="s" s="11">
        <v>4253</v>
      </c>
      <c r="C238" s="12">
        <v>45183.825199513885</v>
      </c>
      <c r="D238" t="s" s="13">
        <v>23</v>
      </c>
      <c r="E238" t="s" s="13">
        <v>24</v>
      </c>
      <c r="F238" s="14">
        <v>4</v>
      </c>
      <c r="G238" s="15">
        <v>0</v>
      </c>
      <c r="H238" s="15">
        <v>0</v>
      </c>
    </row>
    <row r="239" ht="16.1" customHeight="1">
      <c r="A239" t="s" s="10">
        <v>4364</v>
      </c>
      <c r="B239" t="s" s="11">
        <v>4253</v>
      </c>
      <c r="C239" s="12">
        <v>45183.825199513885</v>
      </c>
      <c r="D239" t="s" s="13">
        <v>73</v>
      </c>
      <c r="E239" t="s" s="13">
        <v>74</v>
      </c>
      <c r="F239" s="14">
        <v>2</v>
      </c>
      <c r="G239" s="15">
        <v>399.99</v>
      </c>
      <c r="H239" s="15">
        <v>799.98</v>
      </c>
    </row>
    <row r="240" ht="16.1" customHeight="1">
      <c r="A240" t="s" s="10">
        <v>4364</v>
      </c>
      <c r="B240" t="s" s="11">
        <v>4253</v>
      </c>
      <c r="C240" s="12">
        <v>45183.825199513885</v>
      </c>
      <c r="D240" t="s" s="13">
        <v>59</v>
      </c>
      <c r="E240" t="s" s="13">
        <v>60</v>
      </c>
      <c r="F240" s="14">
        <v>1</v>
      </c>
      <c r="G240" s="15">
        <v>1199.99</v>
      </c>
      <c r="H240" s="15">
        <v>1199.99</v>
      </c>
    </row>
    <row r="241" ht="16.1" customHeight="1">
      <c r="A241" t="s" s="10">
        <v>4364</v>
      </c>
      <c r="B241" t="s" s="11">
        <v>4253</v>
      </c>
      <c r="C241" s="12">
        <v>45183.825199513885</v>
      </c>
      <c r="D241" t="s" s="13">
        <v>1054</v>
      </c>
      <c r="E241" t="s" s="13">
        <v>1055</v>
      </c>
      <c r="F241" s="14">
        <v>4</v>
      </c>
      <c r="G241" s="15">
        <v>149.99</v>
      </c>
      <c r="H241" s="15">
        <v>599.96</v>
      </c>
    </row>
    <row r="242" ht="16.1" customHeight="1">
      <c r="A242" t="s" s="10">
        <v>4364</v>
      </c>
      <c r="B242" t="s" s="11">
        <v>4253</v>
      </c>
      <c r="C242" s="12">
        <v>45183.825199513885</v>
      </c>
      <c r="D242" t="s" s="13">
        <v>123</v>
      </c>
      <c r="E242" t="s" s="13">
        <v>124</v>
      </c>
      <c r="F242" s="14">
        <v>2</v>
      </c>
      <c r="G242" s="15">
        <v>179.99</v>
      </c>
      <c r="H242" s="15">
        <v>359.98</v>
      </c>
    </row>
    <row r="243" ht="16.1" customHeight="1">
      <c r="A243" t="s" s="10">
        <v>4364</v>
      </c>
      <c r="B243" t="s" s="11">
        <v>4253</v>
      </c>
      <c r="C243" s="12">
        <v>45183.825199513885</v>
      </c>
      <c r="D243" t="s" s="13">
        <v>299</v>
      </c>
      <c r="E243" t="s" s="13">
        <v>300</v>
      </c>
      <c r="F243" s="14">
        <v>8</v>
      </c>
      <c r="G243" s="15">
        <v>69.98999999999999</v>
      </c>
      <c r="H243" s="15">
        <v>559.92</v>
      </c>
    </row>
    <row r="244" ht="16.1" customHeight="1">
      <c r="A244" t="s" s="10">
        <v>4364</v>
      </c>
      <c r="B244" t="s" s="11">
        <v>4253</v>
      </c>
      <c r="C244" s="12">
        <v>45183.825199513885</v>
      </c>
      <c r="D244" t="s" s="13">
        <v>1896</v>
      </c>
      <c r="E244" t="s" s="13">
        <v>1897</v>
      </c>
      <c r="F244" s="14">
        <v>4</v>
      </c>
      <c r="G244" s="15">
        <v>64.98999999999999</v>
      </c>
      <c r="H244" s="15">
        <v>259.96</v>
      </c>
    </row>
    <row r="245" ht="16.1" customHeight="1">
      <c r="A245" t="s" s="10">
        <v>4365</v>
      </c>
      <c r="B245" t="s" s="11">
        <v>4366</v>
      </c>
      <c r="C245" s="12">
        <v>45183.447997881944</v>
      </c>
      <c r="D245" t="s" s="13">
        <v>54</v>
      </c>
      <c r="E245" t="s" s="13">
        <v>93</v>
      </c>
      <c r="F245" s="14">
        <v>2</v>
      </c>
      <c r="G245" s="15">
        <v>9.99</v>
      </c>
      <c r="H245" s="15">
        <v>19.98</v>
      </c>
    </row>
    <row r="246" ht="16.1" customHeight="1">
      <c r="A246" t="s" s="10">
        <v>4365</v>
      </c>
      <c r="B246" t="s" s="11">
        <v>4366</v>
      </c>
      <c r="C246" s="12">
        <v>45183.447997881944</v>
      </c>
      <c r="D246" t="s" s="13">
        <v>35</v>
      </c>
      <c r="E246" t="s" s="13">
        <v>36</v>
      </c>
      <c r="F246" s="14">
        <v>1</v>
      </c>
      <c r="G246" s="15">
        <v>49.99</v>
      </c>
      <c r="H246" s="15">
        <v>49.99</v>
      </c>
    </row>
    <row r="247" ht="16.1" customHeight="1">
      <c r="A247" t="s" s="10">
        <v>4367</v>
      </c>
      <c r="B247" t="s" s="11">
        <v>4368</v>
      </c>
      <c r="C247" s="12">
        <v>45183.248967372689</v>
      </c>
      <c r="D247" t="s" s="13">
        <v>59</v>
      </c>
      <c r="E247" t="s" s="13">
        <v>60</v>
      </c>
      <c r="F247" s="14">
        <v>1</v>
      </c>
      <c r="G247" s="15">
        <v>1199.99</v>
      </c>
      <c r="H247" s="15">
        <v>1199.99</v>
      </c>
    </row>
    <row r="248" ht="16.1" customHeight="1">
      <c r="A248" t="s" s="10">
        <v>4367</v>
      </c>
      <c r="B248" t="s" s="11">
        <v>4368</v>
      </c>
      <c r="C248" s="12">
        <v>45183.248967372689</v>
      </c>
      <c r="D248" t="s" s="13">
        <v>73</v>
      </c>
      <c r="E248" t="s" s="13">
        <v>74</v>
      </c>
      <c r="F248" s="14">
        <v>1</v>
      </c>
      <c r="G248" s="15">
        <v>399.99</v>
      </c>
      <c r="H248" s="15">
        <v>399.99</v>
      </c>
    </row>
    <row r="249" ht="16.1" customHeight="1">
      <c r="A249" t="s" s="10">
        <v>4369</v>
      </c>
      <c r="B249" t="s" s="11">
        <v>4098</v>
      </c>
      <c r="C249" s="12">
        <v>45183.071042534721</v>
      </c>
      <c r="D249" t="s" s="13">
        <v>123</v>
      </c>
      <c r="E249" t="s" s="13">
        <v>124</v>
      </c>
      <c r="F249" s="14">
        <v>3</v>
      </c>
      <c r="G249" s="15">
        <v>179.99</v>
      </c>
      <c r="H249" s="15">
        <v>539.97</v>
      </c>
    </row>
    <row r="250" ht="16.1" customHeight="1">
      <c r="A250" t="s" s="10">
        <v>4370</v>
      </c>
      <c r="B250" t="s" s="11">
        <v>4371</v>
      </c>
      <c r="C250" s="12">
        <v>45183.056464317131</v>
      </c>
      <c r="D250" t="s" s="13">
        <v>19</v>
      </c>
      <c r="E250" t="s" s="13">
        <v>20</v>
      </c>
      <c r="F250" s="14">
        <v>1</v>
      </c>
      <c r="G250" s="15">
        <v>119.99</v>
      </c>
      <c r="H250" s="15">
        <v>119.99</v>
      </c>
    </row>
    <row r="251" ht="16.1" customHeight="1">
      <c r="A251" t="s" s="10">
        <v>4370</v>
      </c>
      <c r="B251" t="s" s="11">
        <v>4371</v>
      </c>
      <c r="C251" s="12">
        <v>45183.056464317131</v>
      </c>
      <c r="D251" t="s" s="13">
        <v>15</v>
      </c>
      <c r="E251" t="s" s="13">
        <v>16</v>
      </c>
      <c r="F251" s="14">
        <v>1</v>
      </c>
      <c r="G251" s="15">
        <v>9.99</v>
      </c>
      <c r="H251" s="15">
        <v>9.99</v>
      </c>
    </row>
    <row r="252" ht="16.1" customHeight="1">
      <c r="A252" t="s" s="10">
        <v>4370</v>
      </c>
      <c r="B252" t="s" s="11">
        <v>4371</v>
      </c>
      <c r="C252" s="12">
        <v>45183.056464317131</v>
      </c>
      <c r="D252" t="s" s="13">
        <v>35</v>
      </c>
      <c r="E252" t="s" s="13">
        <v>36</v>
      </c>
      <c r="F252" s="14">
        <v>1</v>
      </c>
      <c r="G252" s="15">
        <v>49.99</v>
      </c>
      <c r="H252" s="15">
        <v>49.99</v>
      </c>
    </row>
    <row r="253" ht="16.1" customHeight="1">
      <c r="A253" t="s" s="10">
        <v>4372</v>
      </c>
      <c r="B253" t="s" s="11">
        <v>831</v>
      </c>
      <c r="C253" s="12">
        <v>45183</v>
      </c>
      <c r="D253" t="s" s="13">
        <v>48</v>
      </c>
      <c r="E253" t="s" s="13">
        <v>49</v>
      </c>
      <c r="F253" s="14">
        <v>4</v>
      </c>
      <c r="G253" s="15">
        <v>974.9924999999999</v>
      </c>
      <c r="H253" s="15">
        <v>3899.97</v>
      </c>
    </row>
    <row r="254" ht="16.1" customHeight="1">
      <c r="A254" t="s" s="10">
        <v>4372</v>
      </c>
      <c r="B254" t="s" s="11">
        <v>831</v>
      </c>
      <c r="C254" s="12">
        <v>45183</v>
      </c>
      <c r="D254" t="s" s="13">
        <v>50</v>
      </c>
      <c r="E254" t="s" s="13">
        <v>83</v>
      </c>
      <c r="F254" s="14">
        <v>4</v>
      </c>
      <c r="G254" s="15">
        <v>0</v>
      </c>
      <c r="H254" s="15">
        <v>0</v>
      </c>
    </row>
    <row r="255" ht="16.1" customHeight="1">
      <c r="A255" t="s" s="10">
        <v>4372</v>
      </c>
      <c r="B255" t="s" s="11">
        <v>831</v>
      </c>
      <c r="C255" s="12">
        <v>45183</v>
      </c>
      <c r="D255" t="s" s="13">
        <v>52</v>
      </c>
      <c r="E255" t="s" s="13">
        <v>4287</v>
      </c>
      <c r="F255" s="14">
        <v>4</v>
      </c>
      <c r="G255" s="15">
        <v>0</v>
      </c>
      <c r="H255" s="15">
        <v>0</v>
      </c>
    </row>
    <row r="256" ht="16.1" customHeight="1">
      <c r="A256" t="s" s="10">
        <v>4372</v>
      </c>
      <c r="B256" t="s" s="11">
        <v>831</v>
      </c>
      <c r="C256" s="12">
        <v>45183</v>
      </c>
      <c r="D256" t="s" s="13">
        <v>1257</v>
      </c>
      <c r="E256" t="s" s="13">
        <v>4373</v>
      </c>
      <c r="F256" s="14">
        <v>4</v>
      </c>
      <c r="G256" s="15">
        <v>262.5</v>
      </c>
      <c r="H256" s="15">
        <v>1050</v>
      </c>
    </row>
    <row r="257" ht="16.1" customHeight="1">
      <c r="A257" t="s" s="10">
        <v>4372</v>
      </c>
      <c r="B257" t="s" s="11">
        <v>831</v>
      </c>
      <c r="C257" s="12">
        <v>45183</v>
      </c>
      <c r="D257" t="s" s="13">
        <v>227</v>
      </c>
      <c r="E257" t="s" s="13">
        <v>228</v>
      </c>
      <c r="F257" s="14">
        <v>4</v>
      </c>
      <c r="G257" s="15">
        <v>22.4925</v>
      </c>
      <c r="H257" s="15">
        <v>89.97</v>
      </c>
    </row>
    <row r="258" ht="16.1" customHeight="1">
      <c r="A258" t="s" s="10">
        <v>4372</v>
      </c>
      <c r="B258" t="s" s="11">
        <v>831</v>
      </c>
      <c r="C258" s="12">
        <v>45183</v>
      </c>
      <c r="D258" t="s" s="13">
        <v>63</v>
      </c>
      <c r="E258" s="16"/>
      <c r="F258" s="14">
        <v>1</v>
      </c>
      <c r="G258" s="15">
        <v>70</v>
      </c>
      <c r="H258" s="15">
        <v>70</v>
      </c>
    </row>
    <row r="259" ht="16.1" customHeight="1">
      <c r="A259" t="s" s="10">
        <v>4374</v>
      </c>
      <c r="B259" t="s" s="11">
        <v>476</v>
      </c>
      <c r="C259" s="12">
        <v>45183</v>
      </c>
      <c r="D259" t="s" s="13">
        <v>998</v>
      </c>
      <c r="E259" t="s" s="13">
        <v>999</v>
      </c>
      <c r="F259" s="14">
        <v>8</v>
      </c>
      <c r="G259" s="15">
        <v>974.9924999999999</v>
      </c>
      <c r="H259" s="15">
        <v>7799.94</v>
      </c>
    </row>
    <row r="260" ht="16.1" customHeight="1">
      <c r="A260" t="s" s="10">
        <v>4374</v>
      </c>
      <c r="B260" t="s" s="11">
        <v>476</v>
      </c>
      <c r="C260" s="12">
        <v>45183</v>
      </c>
      <c r="D260" t="s" s="13">
        <v>63</v>
      </c>
      <c r="E260" s="16"/>
      <c r="F260" s="14">
        <v>1</v>
      </c>
      <c r="G260" s="15">
        <v>95</v>
      </c>
      <c r="H260" s="15">
        <v>95</v>
      </c>
    </row>
    <row r="261" ht="16.1" customHeight="1">
      <c r="A261" t="s" s="10">
        <v>4375</v>
      </c>
      <c r="B261" t="s" s="11">
        <v>831</v>
      </c>
      <c r="C261" s="12">
        <v>45183</v>
      </c>
      <c r="D261" t="s" s="13">
        <v>48</v>
      </c>
      <c r="E261" t="s" s="13">
        <v>49</v>
      </c>
      <c r="F261" s="14">
        <v>4</v>
      </c>
      <c r="G261" s="15">
        <v>974.9924999999999</v>
      </c>
      <c r="H261" s="15">
        <v>3899.97</v>
      </c>
    </row>
    <row r="262" ht="16.1" customHeight="1">
      <c r="A262" t="s" s="10">
        <v>4375</v>
      </c>
      <c r="B262" t="s" s="11">
        <v>831</v>
      </c>
      <c r="C262" s="12">
        <v>45183</v>
      </c>
      <c r="D262" t="s" s="13">
        <v>50</v>
      </c>
      <c r="E262" t="s" s="13">
        <v>83</v>
      </c>
      <c r="F262" s="14">
        <v>4</v>
      </c>
      <c r="G262" s="15">
        <v>0</v>
      </c>
      <c r="H262" s="15">
        <v>0</v>
      </c>
    </row>
    <row r="263" ht="16.1" customHeight="1">
      <c r="A263" t="s" s="10">
        <v>4375</v>
      </c>
      <c r="B263" t="s" s="11">
        <v>831</v>
      </c>
      <c r="C263" s="12">
        <v>45183</v>
      </c>
      <c r="D263" t="s" s="13">
        <v>52</v>
      </c>
      <c r="E263" t="s" s="13">
        <v>4287</v>
      </c>
      <c r="F263" s="14">
        <v>4</v>
      </c>
      <c r="G263" s="15">
        <v>0</v>
      </c>
      <c r="H263" s="15">
        <v>0</v>
      </c>
    </row>
    <row r="264" ht="16.1" customHeight="1">
      <c r="A264" t="s" s="10">
        <v>4375</v>
      </c>
      <c r="B264" t="s" s="11">
        <v>831</v>
      </c>
      <c r="C264" s="12">
        <v>45183</v>
      </c>
      <c r="D264" t="s" s="13">
        <v>1257</v>
      </c>
      <c r="E264" t="s" s="13">
        <v>4373</v>
      </c>
      <c r="F264" s="14">
        <v>4</v>
      </c>
      <c r="G264" s="15">
        <v>262.5</v>
      </c>
      <c r="H264" s="15">
        <v>1050</v>
      </c>
    </row>
    <row r="265" ht="16.1" customHeight="1">
      <c r="A265" t="s" s="10">
        <v>4375</v>
      </c>
      <c r="B265" t="s" s="11">
        <v>831</v>
      </c>
      <c r="C265" s="12">
        <v>45183</v>
      </c>
      <c r="D265" t="s" s="13">
        <v>57</v>
      </c>
      <c r="E265" t="s" s="13">
        <v>58</v>
      </c>
      <c r="F265" s="14">
        <v>12</v>
      </c>
      <c r="G265" s="15">
        <v>599.9924999999999</v>
      </c>
      <c r="H265" s="15">
        <v>7199.91</v>
      </c>
    </row>
    <row r="266" ht="16.1" customHeight="1">
      <c r="A266" t="s" s="10">
        <v>4375</v>
      </c>
      <c r="B266" t="s" s="11">
        <v>831</v>
      </c>
      <c r="C266" s="12">
        <v>45183</v>
      </c>
      <c r="D266" t="s" s="13">
        <v>227</v>
      </c>
      <c r="E266" t="s" s="13">
        <v>228</v>
      </c>
      <c r="F266" s="14">
        <v>4</v>
      </c>
      <c r="G266" s="15">
        <v>22.4925</v>
      </c>
      <c r="H266" s="15">
        <v>89.97</v>
      </c>
    </row>
    <row r="267" ht="16.1" customHeight="1">
      <c r="A267" t="s" s="10">
        <v>4375</v>
      </c>
      <c r="B267" t="s" s="11">
        <v>831</v>
      </c>
      <c r="C267" s="12">
        <v>45183</v>
      </c>
      <c r="D267" t="s" s="13">
        <v>63</v>
      </c>
      <c r="E267" s="16"/>
      <c r="F267" s="14">
        <v>1</v>
      </c>
      <c r="G267" s="15">
        <v>100</v>
      </c>
      <c r="H267" s="15">
        <v>100</v>
      </c>
    </row>
    <row r="268" ht="16.1" customHeight="1">
      <c r="A268" t="s" s="10">
        <v>4376</v>
      </c>
      <c r="B268" t="s" s="11">
        <v>2931</v>
      </c>
      <c r="C268" s="12">
        <v>45183</v>
      </c>
      <c r="D268" t="s" s="13">
        <v>57</v>
      </c>
      <c r="E268" t="s" s="13">
        <v>58</v>
      </c>
      <c r="F268" s="14">
        <v>8</v>
      </c>
      <c r="G268" s="15">
        <v>599.9924999999999</v>
      </c>
      <c r="H268" s="15">
        <v>4799.94</v>
      </c>
    </row>
    <row r="269" ht="16.1" customHeight="1">
      <c r="A269" t="s" s="10">
        <v>4376</v>
      </c>
      <c r="B269" t="s" s="11">
        <v>2931</v>
      </c>
      <c r="C269" s="12">
        <v>45183</v>
      </c>
      <c r="D269" t="s" s="13">
        <v>63</v>
      </c>
      <c r="E269" s="16"/>
      <c r="F269" s="14">
        <v>1</v>
      </c>
      <c r="G269" s="15">
        <v>65</v>
      </c>
      <c r="H269" s="15">
        <v>65</v>
      </c>
    </row>
    <row r="270" ht="16.1" customHeight="1">
      <c r="A270" t="s" s="10">
        <v>4377</v>
      </c>
      <c r="B270" t="s" s="11">
        <v>2931</v>
      </c>
      <c r="C270" s="12">
        <v>45183</v>
      </c>
      <c r="D270" t="s" s="13">
        <v>1046</v>
      </c>
      <c r="E270" t="s" s="13">
        <v>1047</v>
      </c>
      <c r="F270" s="14">
        <v>12</v>
      </c>
      <c r="G270" s="15">
        <v>0</v>
      </c>
      <c r="H270" s="15">
        <v>0</v>
      </c>
    </row>
    <row r="271" ht="16.1" customHeight="1">
      <c r="A271" t="s" s="10">
        <v>4377</v>
      </c>
      <c r="B271" t="s" s="11">
        <v>2931</v>
      </c>
      <c r="C271" s="12">
        <v>45183</v>
      </c>
      <c r="D271" t="s" s="13">
        <v>1044</v>
      </c>
      <c r="E271" t="s" s="13">
        <v>1045</v>
      </c>
      <c r="F271" s="14">
        <v>12</v>
      </c>
      <c r="G271" s="15">
        <v>0</v>
      </c>
      <c r="H271" s="15">
        <v>0</v>
      </c>
    </row>
    <row r="272" ht="16.1" customHeight="1">
      <c r="A272" t="s" s="10">
        <v>4377</v>
      </c>
      <c r="B272" t="s" s="11">
        <v>2931</v>
      </c>
      <c r="C272" s="12">
        <v>45183</v>
      </c>
      <c r="D272" t="s" s="13">
        <v>1048</v>
      </c>
      <c r="E272" t="s" s="13">
        <v>1049</v>
      </c>
      <c r="F272" s="14">
        <v>12</v>
      </c>
      <c r="G272" s="15">
        <v>0</v>
      </c>
      <c r="H272" s="15">
        <v>0</v>
      </c>
    </row>
    <row r="273" ht="16.1" customHeight="1">
      <c r="A273" t="s" s="10">
        <v>4378</v>
      </c>
      <c r="B273" t="s" s="11">
        <v>1043</v>
      </c>
      <c r="C273" s="12">
        <v>45183</v>
      </c>
      <c r="D273" t="s" s="13">
        <v>57</v>
      </c>
      <c r="E273" t="s" s="13">
        <v>4379</v>
      </c>
      <c r="F273" s="14">
        <v>2</v>
      </c>
      <c r="G273" s="15">
        <v>799.99</v>
      </c>
      <c r="H273" s="15">
        <v>1599.98</v>
      </c>
    </row>
    <row r="274" ht="16.1" customHeight="1">
      <c r="A274" t="s" s="10">
        <v>4380</v>
      </c>
      <c r="B274" t="s" s="11">
        <v>122</v>
      </c>
      <c r="C274" s="12">
        <v>45183</v>
      </c>
      <c r="D274" t="s" s="13">
        <v>254</v>
      </c>
      <c r="E274" t="s" s="13">
        <v>4381</v>
      </c>
      <c r="F274" s="14">
        <v>1</v>
      </c>
      <c r="G274" s="15">
        <v>0</v>
      </c>
      <c r="H274" s="15">
        <v>0</v>
      </c>
    </row>
    <row r="275" ht="16.1" customHeight="1">
      <c r="A275" t="s" s="10">
        <v>4382</v>
      </c>
      <c r="B275" t="s" s="11">
        <v>4383</v>
      </c>
      <c r="C275" s="12">
        <v>45182.945800254631</v>
      </c>
      <c r="D275" t="s" s="13">
        <v>171</v>
      </c>
      <c r="E275" t="s" s="13">
        <v>172</v>
      </c>
      <c r="F275" s="14">
        <v>1</v>
      </c>
      <c r="G275" s="15">
        <v>549.99</v>
      </c>
      <c r="H275" s="15">
        <v>549.99</v>
      </c>
    </row>
    <row r="276" ht="16.1" customHeight="1">
      <c r="A276" t="s" s="10">
        <v>4384</v>
      </c>
      <c r="B276" t="s" s="11">
        <v>4385</v>
      </c>
      <c r="C276" s="12">
        <v>45182.753376875</v>
      </c>
      <c r="D276" t="s" s="13">
        <v>59</v>
      </c>
      <c r="E276" t="s" s="13">
        <v>60</v>
      </c>
      <c r="F276" s="14">
        <v>1</v>
      </c>
      <c r="G276" s="15">
        <v>1199.99</v>
      </c>
      <c r="H276" s="15">
        <v>1199.99</v>
      </c>
    </row>
    <row r="277" ht="16.1" customHeight="1">
      <c r="A277" t="s" s="10">
        <v>4384</v>
      </c>
      <c r="B277" t="s" s="11">
        <v>4385</v>
      </c>
      <c r="C277" s="12">
        <v>45182.753376875</v>
      </c>
      <c r="D277" t="s" s="13">
        <v>722</v>
      </c>
      <c r="E277" t="s" s="13">
        <v>82</v>
      </c>
      <c r="F277" s="14">
        <v>2</v>
      </c>
      <c r="G277" s="15">
        <v>869.99</v>
      </c>
      <c r="H277" s="15">
        <v>1739.98</v>
      </c>
    </row>
    <row r="278" ht="16.1" customHeight="1">
      <c r="A278" t="s" s="10">
        <v>4384</v>
      </c>
      <c r="B278" t="s" s="11">
        <v>4385</v>
      </c>
      <c r="C278" s="12">
        <v>45182.753376875</v>
      </c>
      <c r="D278" t="s" s="13">
        <v>133</v>
      </c>
      <c r="E278" t="s" s="13">
        <v>134</v>
      </c>
      <c r="F278" s="14">
        <v>2</v>
      </c>
      <c r="G278" s="15">
        <v>50</v>
      </c>
      <c r="H278" s="15">
        <v>100</v>
      </c>
    </row>
    <row r="279" ht="16.1" customHeight="1">
      <c r="A279" t="s" s="10">
        <v>4384</v>
      </c>
      <c r="B279" t="s" s="11">
        <v>4385</v>
      </c>
      <c r="C279" s="12">
        <v>45182.753376875</v>
      </c>
      <c r="D279" t="s" s="13">
        <v>50</v>
      </c>
      <c r="E279" t="s" s="13">
        <v>83</v>
      </c>
      <c r="F279" s="14">
        <v>2</v>
      </c>
      <c r="G279" s="15">
        <v>0</v>
      </c>
      <c r="H279" s="15">
        <v>0</v>
      </c>
    </row>
    <row r="280" ht="16.1" customHeight="1">
      <c r="A280" t="s" s="10">
        <v>4384</v>
      </c>
      <c r="B280" t="s" s="11">
        <v>4385</v>
      </c>
      <c r="C280" s="12">
        <v>45182.753376875</v>
      </c>
      <c r="D280" t="s" s="13">
        <v>84</v>
      </c>
      <c r="E280" t="s" s="13">
        <v>4225</v>
      </c>
      <c r="F280" s="14">
        <v>2</v>
      </c>
      <c r="G280" s="15">
        <v>0</v>
      </c>
      <c r="H280" s="15">
        <v>0</v>
      </c>
    </row>
    <row r="281" ht="16.1" customHeight="1">
      <c r="A281" t="s" s="10">
        <v>4386</v>
      </c>
      <c r="B281" t="s" s="11">
        <v>4387</v>
      </c>
      <c r="C281" s="12">
        <v>45182.753180729167</v>
      </c>
      <c r="D281" t="s" s="13">
        <v>133</v>
      </c>
      <c r="E281" t="s" s="13">
        <v>134</v>
      </c>
      <c r="F281" s="14">
        <v>1</v>
      </c>
      <c r="G281" s="15">
        <v>199.99</v>
      </c>
      <c r="H281" s="15">
        <v>199.99</v>
      </c>
    </row>
    <row r="282" ht="16.1" customHeight="1">
      <c r="A282" t="s" s="10">
        <v>4388</v>
      </c>
      <c r="B282" t="s" s="11">
        <v>4389</v>
      </c>
      <c r="C282" s="12">
        <v>45182.751251990740</v>
      </c>
      <c r="D282" t="s" s="13">
        <v>73</v>
      </c>
      <c r="E282" t="s" s="13">
        <v>74</v>
      </c>
      <c r="F282" s="14">
        <v>1</v>
      </c>
      <c r="G282" s="15">
        <v>399.99</v>
      </c>
      <c r="H282" s="15">
        <v>399.99</v>
      </c>
    </row>
    <row r="283" ht="16.1" customHeight="1">
      <c r="A283" t="s" s="10">
        <v>4390</v>
      </c>
      <c r="B283" t="s" s="11">
        <v>4391</v>
      </c>
      <c r="C283" s="12">
        <v>45182.751113310187</v>
      </c>
      <c r="D283" t="s" s="13">
        <v>345</v>
      </c>
      <c r="E283" t="s" s="13">
        <v>346</v>
      </c>
      <c r="F283" s="14">
        <v>1</v>
      </c>
      <c r="G283" s="15">
        <v>219.99</v>
      </c>
      <c r="H283" s="15">
        <v>219.99</v>
      </c>
    </row>
    <row r="284" ht="16.1" customHeight="1">
      <c r="A284" t="s" s="10">
        <v>4390</v>
      </c>
      <c r="B284" t="s" s="11">
        <v>4391</v>
      </c>
      <c r="C284" s="12">
        <v>45182.751113310187</v>
      </c>
      <c r="D284" t="s" s="13">
        <v>19</v>
      </c>
      <c r="E284" t="s" s="13">
        <v>20</v>
      </c>
      <c r="F284" s="14">
        <v>4</v>
      </c>
      <c r="G284" s="15">
        <v>119.99</v>
      </c>
      <c r="H284" s="15">
        <v>479.96</v>
      </c>
    </row>
    <row r="285" ht="16.1" customHeight="1">
      <c r="A285" t="s" s="10">
        <v>4390</v>
      </c>
      <c r="B285" t="s" s="11">
        <v>4391</v>
      </c>
      <c r="C285" s="12">
        <v>45182.751113310187</v>
      </c>
      <c r="D285" t="s" s="13">
        <v>15</v>
      </c>
      <c r="E285" t="s" s="13">
        <v>16</v>
      </c>
      <c r="F285" s="14">
        <v>4</v>
      </c>
      <c r="G285" s="15">
        <v>9.99</v>
      </c>
      <c r="H285" s="15">
        <v>39.96</v>
      </c>
    </row>
    <row r="286" ht="16.1" customHeight="1">
      <c r="A286" t="s" s="10">
        <v>4390</v>
      </c>
      <c r="B286" t="s" s="11">
        <v>4391</v>
      </c>
      <c r="C286" s="12">
        <v>45182.751113310187</v>
      </c>
      <c r="D286" t="s" s="13">
        <v>73</v>
      </c>
      <c r="E286" t="s" s="13">
        <v>74</v>
      </c>
      <c r="F286" s="14">
        <v>1</v>
      </c>
      <c r="G286" s="15">
        <v>399.99</v>
      </c>
      <c r="H286" s="15">
        <v>399.99</v>
      </c>
    </row>
    <row r="287" ht="16.1" customHeight="1">
      <c r="A287" t="s" s="10">
        <v>4392</v>
      </c>
      <c r="B287" t="s" s="11">
        <v>4207</v>
      </c>
      <c r="C287" s="12">
        <v>45182.750625393521</v>
      </c>
      <c r="D287" t="s" s="13">
        <v>48</v>
      </c>
      <c r="E287" t="s" s="13">
        <v>49</v>
      </c>
      <c r="F287" s="14">
        <v>2</v>
      </c>
      <c r="G287" s="15">
        <v>1299.99</v>
      </c>
      <c r="H287" s="15">
        <v>2599.98</v>
      </c>
    </row>
    <row r="288" ht="16.1" customHeight="1">
      <c r="A288" t="s" s="10">
        <v>4392</v>
      </c>
      <c r="B288" t="s" s="11">
        <v>4207</v>
      </c>
      <c r="C288" s="12">
        <v>45182.750625393521</v>
      </c>
      <c r="D288" t="s" s="13">
        <v>50</v>
      </c>
      <c r="E288" t="s" s="13">
        <v>83</v>
      </c>
      <c r="F288" s="14">
        <v>2</v>
      </c>
      <c r="G288" s="15">
        <v>0</v>
      </c>
      <c r="H288" s="15">
        <v>0</v>
      </c>
    </row>
    <row r="289" ht="16.1" customHeight="1">
      <c r="A289" t="s" s="10">
        <v>4392</v>
      </c>
      <c r="B289" t="s" s="11">
        <v>4207</v>
      </c>
      <c r="C289" s="12">
        <v>45182.750625393521</v>
      </c>
      <c r="D289" t="s" s="13">
        <v>52</v>
      </c>
      <c r="E289" t="s" s="13">
        <v>4287</v>
      </c>
      <c r="F289" s="14">
        <v>2</v>
      </c>
      <c r="G289" s="15">
        <v>0</v>
      </c>
      <c r="H289" s="15">
        <v>0</v>
      </c>
    </row>
    <row r="290" ht="16.1" customHeight="1">
      <c r="A290" t="s" s="10">
        <v>4392</v>
      </c>
      <c r="B290" t="s" s="11">
        <v>4207</v>
      </c>
      <c r="C290" s="12">
        <v>45182.750625393521</v>
      </c>
      <c r="D290" t="s" s="13">
        <v>84</v>
      </c>
      <c r="E290" t="s" s="13">
        <v>4225</v>
      </c>
      <c r="F290" s="14">
        <v>2</v>
      </c>
      <c r="G290" s="15">
        <v>0</v>
      </c>
      <c r="H290" s="15">
        <v>0</v>
      </c>
    </row>
    <row r="291" ht="16.1" customHeight="1">
      <c r="A291" t="s" s="10">
        <v>4392</v>
      </c>
      <c r="B291" t="s" s="11">
        <v>4207</v>
      </c>
      <c r="C291" s="12">
        <v>45182.750625393521</v>
      </c>
      <c r="D291" t="s" s="13">
        <v>23</v>
      </c>
      <c r="E291" t="s" s="13">
        <v>24</v>
      </c>
      <c r="F291" s="14">
        <v>2</v>
      </c>
      <c r="G291" s="15">
        <v>0</v>
      </c>
      <c r="H291" s="15">
        <v>0</v>
      </c>
    </row>
    <row r="292" ht="16.1" customHeight="1">
      <c r="A292" t="s" s="10">
        <v>4392</v>
      </c>
      <c r="B292" t="s" s="11">
        <v>4207</v>
      </c>
      <c r="C292" s="12">
        <v>45182.750625393521</v>
      </c>
      <c r="D292" t="s" s="13">
        <v>73</v>
      </c>
      <c r="E292" t="s" s="13">
        <v>74</v>
      </c>
      <c r="F292" s="14">
        <v>1</v>
      </c>
      <c r="G292" s="15">
        <v>399.99</v>
      </c>
      <c r="H292" s="15">
        <v>399.99</v>
      </c>
    </row>
    <row r="293" ht="16.1" customHeight="1">
      <c r="A293" t="s" s="10">
        <v>4393</v>
      </c>
      <c r="B293" t="s" s="11">
        <v>3852</v>
      </c>
      <c r="C293" s="12">
        <v>45182.750507638892</v>
      </c>
      <c r="D293" t="s" s="13">
        <v>133</v>
      </c>
      <c r="E293" t="s" s="13">
        <v>134</v>
      </c>
      <c r="F293" s="14">
        <v>4</v>
      </c>
      <c r="G293" s="15">
        <v>199.99</v>
      </c>
      <c r="H293" s="15">
        <v>799.96</v>
      </c>
    </row>
    <row r="294" ht="16.1" customHeight="1">
      <c r="A294" t="s" s="10">
        <v>4393</v>
      </c>
      <c r="B294" t="s" s="11">
        <v>3852</v>
      </c>
      <c r="C294" s="12">
        <v>45182.750507638892</v>
      </c>
      <c r="D294" t="s" s="13">
        <v>84</v>
      </c>
      <c r="E294" t="s" s="13">
        <v>4225</v>
      </c>
      <c r="F294" s="14">
        <v>4</v>
      </c>
      <c r="G294" s="15">
        <v>15</v>
      </c>
      <c r="H294" s="15">
        <v>60</v>
      </c>
    </row>
    <row r="295" ht="16.1" customHeight="1">
      <c r="A295" t="s" s="10">
        <v>4393</v>
      </c>
      <c r="B295" t="s" s="11">
        <v>3852</v>
      </c>
      <c r="C295" s="12">
        <v>45182.750507638892</v>
      </c>
      <c r="D295" t="s" s="13">
        <v>602</v>
      </c>
      <c r="E295" t="s" s="13">
        <v>686</v>
      </c>
      <c r="F295" s="14">
        <v>4</v>
      </c>
      <c r="G295" s="15">
        <v>299.99</v>
      </c>
      <c r="H295" s="15">
        <v>1199.96</v>
      </c>
    </row>
    <row r="296" ht="16.1" customHeight="1">
      <c r="A296" t="s" s="10">
        <v>4393</v>
      </c>
      <c r="B296" t="s" s="11">
        <v>3852</v>
      </c>
      <c r="C296" s="12">
        <v>45182.750507638892</v>
      </c>
      <c r="D296" t="s" s="13">
        <v>84</v>
      </c>
      <c r="E296" t="s" s="13">
        <v>4225</v>
      </c>
      <c r="F296" s="14">
        <v>4</v>
      </c>
      <c r="G296" s="15">
        <v>15</v>
      </c>
      <c r="H296" s="15">
        <v>60</v>
      </c>
    </row>
    <row r="297" ht="16.1" customHeight="1">
      <c r="A297" t="s" s="10">
        <v>4394</v>
      </c>
      <c r="B297" t="s" s="11">
        <v>1996</v>
      </c>
      <c r="C297" s="12">
        <v>45182.750325949077</v>
      </c>
      <c r="D297" t="s" s="13">
        <v>171</v>
      </c>
      <c r="E297" t="s" s="13">
        <v>172</v>
      </c>
      <c r="F297" s="14">
        <v>1</v>
      </c>
      <c r="G297" s="15">
        <v>549.99</v>
      </c>
      <c r="H297" s="15">
        <v>549.99</v>
      </c>
    </row>
    <row r="298" ht="16.1" customHeight="1">
      <c r="A298" t="s" s="10">
        <v>4395</v>
      </c>
      <c r="B298" t="s" s="11">
        <v>3852</v>
      </c>
      <c r="C298" s="12">
        <v>45182.749927372686</v>
      </c>
      <c r="D298" t="s" s="13">
        <v>73</v>
      </c>
      <c r="E298" t="s" s="13">
        <v>74</v>
      </c>
      <c r="F298" s="14">
        <v>6</v>
      </c>
      <c r="G298" s="15">
        <v>399.99</v>
      </c>
      <c r="H298" s="15">
        <v>2399.94</v>
      </c>
    </row>
    <row r="299" ht="16.1" customHeight="1">
      <c r="A299" t="s" s="10">
        <v>4396</v>
      </c>
      <c r="B299" t="s" s="11">
        <v>4397</v>
      </c>
      <c r="C299" s="12">
        <v>45182.7497458912</v>
      </c>
      <c r="D299" t="s" s="13">
        <v>171</v>
      </c>
      <c r="E299" t="s" s="13">
        <v>172</v>
      </c>
      <c r="F299" s="14">
        <v>1</v>
      </c>
      <c r="G299" s="15">
        <v>549.99</v>
      </c>
      <c r="H299" s="15">
        <v>549.99</v>
      </c>
    </row>
    <row r="300" ht="16.1" customHeight="1">
      <c r="A300" t="s" s="10">
        <v>4398</v>
      </c>
      <c r="B300" t="s" s="11">
        <v>476</v>
      </c>
      <c r="C300" s="12">
        <v>45182</v>
      </c>
      <c r="D300" t="s" s="13">
        <v>89</v>
      </c>
      <c r="E300" t="s" s="13">
        <v>90</v>
      </c>
      <c r="F300" s="14">
        <v>3</v>
      </c>
      <c r="G300" s="15">
        <v>44.9925</v>
      </c>
      <c r="H300" s="15">
        <v>134.9775</v>
      </c>
    </row>
    <row r="301" ht="16.1" customHeight="1">
      <c r="A301" t="s" s="10">
        <v>4398</v>
      </c>
      <c r="B301" t="s" s="11">
        <v>476</v>
      </c>
      <c r="C301" s="12">
        <v>45182</v>
      </c>
      <c r="D301" t="s" s="13">
        <v>63</v>
      </c>
      <c r="E301" s="16"/>
      <c r="F301" s="14">
        <v>1</v>
      </c>
      <c r="G301" s="15">
        <v>26</v>
      </c>
      <c r="H301" s="15">
        <v>26</v>
      </c>
    </row>
    <row r="302" ht="16.1" customHeight="1">
      <c r="A302" t="s" s="10">
        <v>4399</v>
      </c>
      <c r="B302" t="s" s="11">
        <v>4400</v>
      </c>
      <c r="C302" s="12">
        <v>45181.221591284724</v>
      </c>
      <c r="D302" t="s" s="13">
        <v>50</v>
      </c>
      <c r="E302" t="s" s="13">
        <v>83</v>
      </c>
      <c r="F302" s="14">
        <v>3</v>
      </c>
      <c r="G302" s="15">
        <v>29.99</v>
      </c>
      <c r="H302" s="15">
        <v>89.97</v>
      </c>
    </row>
    <row r="303" ht="16.1" customHeight="1">
      <c r="A303" t="s" s="10">
        <v>4401</v>
      </c>
      <c r="B303" t="s" s="11">
        <v>4402</v>
      </c>
      <c r="C303" s="12">
        <v>45181.090623460645</v>
      </c>
      <c r="D303" t="s" s="13">
        <v>589</v>
      </c>
      <c r="E303" t="s" s="13">
        <v>590</v>
      </c>
      <c r="F303" s="14">
        <v>2</v>
      </c>
      <c r="G303" s="15">
        <v>7.49</v>
      </c>
      <c r="H303" s="15">
        <v>14.98</v>
      </c>
    </row>
    <row r="304" ht="16.1" customHeight="1">
      <c r="A304" t="s" s="10">
        <v>4403</v>
      </c>
      <c r="B304" t="s" s="11">
        <v>69</v>
      </c>
      <c r="C304" s="12">
        <v>45181</v>
      </c>
      <c r="D304" t="s" s="13">
        <v>933</v>
      </c>
      <c r="E304" t="s" s="13">
        <v>934</v>
      </c>
      <c r="F304" s="14">
        <v>10</v>
      </c>
      <c r="G304" s="15">
        <v>900</v>
      </c>
      <c r="H304" s="15">
        <v>9000</v>
      </c>
    </row>
    <row r="305" ht="16.1" customHeight="1">
      <c r="A305" t="s" s="10">
        <v>4403</v>
      </c>
      <c r="B305" t="s" s="11">
        <v>69</v>
      </c>
      <c r="C305" s="12">
        <v>45181</v>
      </c>
      <c r="D305" t="s" s="13">
        <v>50</v>
      </c>
      <c r="E305" t="s" s="13">
        <v>83</v>
      </c>
      <c r="F305" s="14">
        <v>10</v>
      </c>
      <c r="G305" s="15">
        <v>0</v>
      </c>
      <c r="H305" s="15">
        <v>0</v>
      </c>
    </row>
    <row r="306" ht="16.1" customHeight="1">
      <c r="A306" t="s" s="10">
        <v>4403</v>
      </c>
      <c r="B306" t="s" s="11">
        <v>69</v>
      </c>
      <c r="C306" s="12">
        <v>45181</v>
      </c>
      <c r="D306" t="s" s="13">
        <v>52</v>
      </c>
      <c r="E306" t="s" s="13">
        <v>4404</v>
      </c>
      <c r="F306" s="14">
        <v>10</v>
      </c>
      <c r="G306" s="15">
        <v>0</v>
      </c>
      <c r="H306" s="15">
        <v>0</v>
      </c>
    </row>
    <row r="307" ht="16.1" customHeight="1">
      <c r="A307" t="s" s="10">
        <v>4403</v>
      </c>
      <c r="B307" t="s" s="11">
        <v>69</v>
      </c>
      <c r="C307" s="12">
        <v>45181</v>
      </c>
      <c r="D307" t="s" s="13">
        <v>47</v>
      </c>
      <c r="E307" s="16"/>
      <c r="F307" s="14">
        <v>1</v>
      </c>
      <c r="G307" s="15">
        <v>75</v>
      </c>
      <c r="H307" s="15">
        <v>75</v>
      </c>
    </row>
    <row r="308" ht="16.1" customHeight="1">
      <c r="A308" t="s" s="10">
        <v>4405</v>
      </c>
      <c r="B308" t="s" s="11">
        <v>69</v>
      </c>
      <c r="C308" s="12">
        <v>45181</v>
      </c>
      <c r="D308" t="s" s="13">
        <v>50</v>
      </c>
      <c r="E308" t="s" s="13">
        <v>83</v>
      </c>
      <c r="F308" s="14">
        <v>14</v>
      </c>
      <c r="G308" s="15">
        <v>0</v>
      </c>
      <c r="H308" s="15">
        <v>0</v>
      </c>
    </row>
    <row r="309" ht="16.1" customHeight="1">
      <c r="A309" t="s" s="10">
        <v>4405</v>
      </c>
      <c r="B309" t="s" s="11">
        <v>69</v>
      </c>
      <c r="C309" s="12">
        <v>45181</v>
      </c>
      <c r="D309" t="s" s="13">
        <v>933</v>
      </c>
      <c r="E309" t="s" s="13">
        <v>934</v>
      </c>
      <c r="F309" s="14">
        <v>14</v>
      </c>
      <c r="G309" s="15">
        <v>900</v>
      </c>
      <c r="H309" s="15">
        <v>12600</v>
      </c>
    </row>
    <row r="310" ht="16.1" customHeight="1">
      <c r="A310" t="s" s="10">
        <v>4405</v>
      </c>
      <c r="B310" t="s" s="11">
        <v>69</v>
      </c>
      <c r="C310" s="12">
        <v>45181</v>
      </c>
      <c r="D310" t="s" s="13">
        <v>52</v>
      </c>
      <c r="E310" t="s" s="13">
        <v>4287</v>
      </c>
      <c r="F310" s="14">
        <v>14</v>
      </c>
      <c r="G310" s="15">
        <v>0</v>
      </c>
      <c r="H310" s="15">
        <v>0</v>
      </c>
    </row>
    <row r="311" ht="16.1" customHeight="1">
      <c r="A311" t="s" s="10">
        <v>4405</v>
      </c>
      <c r="B311" t="s" s="11">
        <v>69</v>
      </c>
      <c r="C311" s="12">
        <v>45181</v>
      </c>
      <c r="D311" t="s" s="13">
        <v>47</v>
      </c>
      <c r="E311" s="16"/>
      <c r="F311" s="14">
        <v>1</v>
      </c>
      <c r="G311" s="15">
        <v>105</v>
      </c>
      <c r="H311" s="15">
        <v>105</v>
      </c>
    </row>
    <row r="312" ht="16.1" customHeight="1">
      <c r="A312" t="s" s="10">
        <v>4406</v>
      </c>
      <c r="B312" t="s" s="11">
        <v>4407</v>
      </c>
      <c r="C312" s="12">
        <v>45180.935510300929</v>
      </c>
      <c r="D312" t="s" s="13">
        <v>19</v>
      </c>
      <c r="E312" t="s" s="13">
        <v>20</v>
      </c>
      <c r="F312" s="14">
        <v>1</v>
      </c>
      <c r="G312" s="15">
        <v>119.99</v>
      </c>
      <c r="H312" s="15">
        <v>119.99</v>
      </c>
    </row>
    <row r="313" ht="16.1" customHeight="1">
      <c r="A313" t="s" s="10">
        <v>4406</v>
      </c>
      <c r="B313" t="s" s="11">
        <v>4407</v>
      </c>
      <c r="C313" s="12">
        <v>45180.935510300929</v>
      </c>
      <c r="D313" t="s" s="13">
        <v>15</v>
      </c>
      <c r="E313" t="s" s="13">
        <v>16</v>
      </c>
      <c r="F313" s="14">
        <v>1</v>
      </c>
      <c r="G313" s="15">
        <v>8.99</v>
      </c>
      <c r="H313" s="15">
        <v>8.99</v>
      </c>
    </row>
    <row r="314" ht="16.1" customHeight="1">
      <c r="A314" t="s" s="10">
        <v>4408</v>
      </c>
      <c r="B314" t="s" s="11">
        <v>4363</v>
      </c>
      <c r="C314" s="12">
        <v>45180.9151356713</v>
      </c>
      <c r="D314" t="s" s="13">
        <v>77</v>
      </c>
      <c r="E314" t="s" s="13">
        <v>4224</v>
      </c>
      <c r="F314" s="14">
        <v>2</v>
      </c>
      <c r="G314" s="15">
        <v>19.99</v>
      </c>
      <c r="H314" s="15">
        <v>39.98</v>
      </c>
    </row>
    <row r="315" ht="16.1" customHeight="1">
      <c r="A315" t="s" s="10">
        <v>4409</v>
      </c>
      <c r="B315" t="s" s="11">
        <v>325</v>
      </c>
      <c r="C315" s="12">
        <v>45180.897995706022</v>
      </c>
      <c r="D315" t="s" s="13">
        <v>73</v>
      </c>
      <c r="E315" t="s" s="13">
        <v>74</v>
      </c>
      <c r="F315" s="14">
        <v>1</v>
      </c>
      <c r="G315" s="15">
        <v>399.99</v>
      </c>
      <c r="H315" s="15">
        <v>399.99</v>
      </c>
    </row>
    <row r="316" ht="16.1" customHeight="1">
      <c r="A316" t="s" s="10">
        <v>4409</v>
      </c>
      <c r="B316" t="s" s="11">
        <v>325</v>
      </c>
      <c r="C316" s="12">
        <v>45180.897995706022</v>
      </c>
      <c r="D316" t="s" s="13">
        <v>589</v>
      </c>
      <c r="E316" t="s" s="13">
        <v>590</v>
      </c>
      <c r="F316" s="14">
        <v>1</v>
      </c>
      <c r="G316" s="15">
        <v>7.49</v>
      </c>
      <c r="H316" s="15">
        <v>7.49</v>
      </c>
    </row>
    <row r="317" ht="16.1" customHeight="1">
      <c r="A317" t="s" s="10">
        <v>4410</v>
      </c>
      <c r="B317" t="s" s="11">
        <v>4411</v>
      </c>
      <c r="C317" s="12">
        <v>45180.859301828707</v>
      </c>
      <c r="D317" t="s" s="13">
        <v>73</v>
      </c>
      <c r="E317" t="s" s="13">
        <v>74</v>
      </c>
      <c r="F317" s="14">
        <v>1</v>
      </c>
      <c r="G317" s="15">
        <v>399.99</v>
      </c>
      <c r="H317" s="15">
        <v>399.99</v>
      </c>
    </row>
    <row r="318" ht="16.1" customHeight="1">
      <c r="A318" t="s" s="10">
        <v>4412</v>
      </c>
      <c r="B318" t="s" s="11">
        <v>519</v>
      </c>
      <c r="C318" s="12">
        <v>45180.815702847220</v>
      </c>
      <c r="D318" t="s" s="13">
        <v>1695</v>
      </c>
      <c r="E318" t="s" s="13">
        <v>140</v>
      </c>
      <c r="F318" s="14">
        <v>2</v>
      </c>
      <c r="G318" s="15">
        <v>49.99</v>
      </c>
      <c r="H318" s="15">
        <v>99.98</v>
      </c>
    </row>
    <row r="319" ht="16.1" customHeight="1">
      <c r="A319" t="s" s="10">
        <v>4412</v>
      </c>
      <c r="B319" t="s" s="11">
        <v>519</v>
      </c>
      <c r="C319" s="12">
        <v>45180.815702847220</v>
      </c>
      <c r="D319" t="s" s="13">
        <v>15</v>
      </c>
      <c r="E319" t="s" s="13">
        <v>16</v>
      </c>
      <c r="F319" s="14">
        <v>2</v>
      </c>
      <c r="G319" s="15">
        <v>8.99</v>
      </c>
      <c r="H319" s="15">
        <v>17.98</v>
      </c>
    </row>
    <row r="320" ht="16.1" customHeight="1">
      <c r="A320" t="s" s="10">
        <v>4413</v>
      </c>
      <c r="B320" t="s" s="11">
        <v>4414</v>
      </c>
      <c r="C320" s="12">
        <v>45180.798101018518</v>
      </c>
      <c r="D320" t="s" s="13">
        <v>359</v>
      </c>
      <c r="E320" t="s" s="13">
        <v>4199</v>
      </c>
      <c r="F320" s="14">
        <v>2</v>
      </c>
      <c r="G320" s="15">
        <v>29.99</v>
      </c>
      <c r="H320" s="15">
        <v>59.98</v>
      </c>
    </row>
    <row r="321" ht="16.1" customHeight="1">
      <c r="A321" t="s" s="10">
        <v>4415</v>
      </c>
      <c r="B321" t="s" s="11">
        <v>4363</v>
      </c>
      <c r="C321" s="12">
        <v>45180.780794733793</v>
      </c>
      <c r="D321" t="s" s="13">
        <v>15</v>
      </c>
      <c r="E321" t="s" s="13">
        <v>16</v>
      </c>
      <c r="F321" s="14">
        <v>4</v>
      </c>
      <c r="G321" s="15">
        <v>8.99</v>
      </c>
      <c r="H321" s="15">
        <v>35.96</v>
      </c>
    </row>
    <row r="322" ht="16.1" customHeight="1">
      <c r="A322" t="s" s="10">
        <v>4416</v>
      </c>
      <c r="B322" t="s" s="11">
        <v>2756</v>
      </c>
      <c r="C322" s="12">
        <v>45180.701400335645</v>
      </c>
      <c r="D322" t="s" s="13">
        <v>133</v>
      </c>
      <c r="E322" t="s" s="13">
        <v>134</v>
      </c>
      <c r="F322" s="14">
        <v>2</v>
      </c>
      <c r="G322" s="15">
        <v>199.99</v>
      </c>
      <c r="H322" s="15">
        <v>399.98</v>
      </c>
    </row>
    <row r="323" ht="16.1" customHeight="1">
      <c r="A323" t="s" s="10">
        <v>4416</v>
      </c>
      <c r="B323" t="s" s="11">
        <v>2756</v>
      </c>
      <c r="C323" s="12">
        <v>45180.701400335645</v>
      </c>
      <c r="D323" t="s" s="13">
        <v>39</v>
      </c>
      <c r="E323" t="s" s="13">
        <v>40</v>
      </c>
      <c r="F323" s="14">
        <v>2</v>
      </c>
      <c r="G323" s="15">
        <v>109.99</v>
      </c>
      <c r="H323" s="15">
        <v>219.98</v>
      </c>
    </row>
    <row r="324" ht="16.1" customHeight="1">
      <c r="A324" t="s" s="10">
        <v>4416</v>
      </c>
      <c r="B324" t="s" s="11">
        <v>2756</v>
      </c>
      <c r="C324" s="12">
        <v>45180.701400335645</v>
      </c>
      <c r="D324" t="s" s="13">
        <v>23</v>
      </c>
      <c r="E324" t="s" s="13">
        <v>24</v>
      </c>
      <c r="F324" s="14">
        <v>3</v>
      </c>
      <c r="G324" s="15">
        <v>149.99</v>
      </c>
      <c r="H324" s="15">
        <v>449.97</v>
      </c>
    </row>
    <row r="325" ht="16.1" customHeight="1">
      <c r="A325" t="s" s="10">
        <v>4417</v>
      </c>
      <c r="B325" t="s" s="11">
        <v>4418</v>
      </c>
      <c r="C325" s="12">
        <v>45179.960493831015</v>
      </c>
      <c r="D325" t="s" s="13">
        <v>35</v>
      </c>
      <c r="E325" t="s" s="13">
        <v>36</v>
      </c>
      <c r="F325" s="14">
        <v>3</v>
      </c>
      <c r="G325" s="15">
        <v>49.99</v>
      </c>
      <c r="H325" s="15">
        <v>149.97</v>
      </c>
    </row>
    <row r="326" ht="16.1" customHeight="1">
      <c r="A326" t="s" s="10">
        <v>4419</v>
      </c>
      <c r="B326" t="s" s="11">
        <v>4030</v>
      </c>
      <c r="C326" s="12">
        <v>45179.914689247686</v>
      </c>
      <c r="D326" t="s" s="13">
        <v>73</v>
      </c>
      <c r="E326" t="s" s="13">
        <v>74</v>
      </c>
      <c r="F326" s="14">
        <v>1</v>
      </c>
      <c r="G326" s="15">
        <v>399.99</v>
      </c>
      <c r="H326" s="15">
        <v>399.99</v>
      </c>
    </row>
    <row r="327" ht="16.1" customHeight="1">
      <c r="A327" t="s" s="10">
        <v>4420</v>
      </c>
      <c r="B327" t="s" s="11">
        <v>4421</v>
      </c>
      <c r="C327" s="12">
        <v>45179.885342997688</v>
      </c>
      <c r="D327" t="s" s="13">
        <v>35</v>
      </c>
      <c r="E327" t="s" s="13">
        <v>36</v>
      </c>
      <c r="F327" s="14">
        <v>1</v>
      </c>
      <c r="G327" s="15">
        <v>49.99</v>
      </c>
      <c r="H327" s="15">
        <v>49.99</v>
      </c>
    </row>
    <row r="328" ht="16.1" customHeight="1">
      <c r="A328" t="s" s="10">
        <v>4422</v>
      </c>
      <c r="B328" t="s" s="11">
        <v>4423</v>
      </c>
      <c r="C328" s="12">
        <v>45178.365861030092</v>
      </c>
      <c r="D328" t="s" s="13">
        <v>31</v>
      </c>
      <c r="E328" t="s" s="13">
        <v>32</v>
      </c>
      <c r="F328" s="14">
        <v>2</v>
      </c>
      <c r="G328" s="15">
        <v>599.99</v>
      </c>
      <c r="H328" s="15">
        <v>1199.98</v>
      </c>
    </row>
    <row r="329" ht="16.1" customHeight="1">
      <c r="A329" t="s" s="10">
        <v>4424</v>
      </c>
      <c r="B329" t="s" s="11">
        <v>4425</v>
      </c>
      <c r="C329" s="12">
        <v>45177.526278900463</v>
      </c>
      <c r="D329" t="s" s="13">
        <v>35</v>
      </c>
      <c r="E329" t="s" s="13">
        <v>36</v>
      </c>
      <c r="F329" s="14">
        <v>1</v>
      </c>
      <c r="G329" s="15">
        <v>49.99</v>
      </c>
      <c r="H329" s="15">
        <v>49.99</v>
      </c>
    </row>
    <row r="330" ht="16.1" customHeight="1">
      <c r="A330" t="s" s="10">
        <v>4426</v>
      </c>
      <c r="B330" t="s" s="11">
        <v>4427</v>
      </c>
      <c r="C330" s="12">
        <v>45177.082835648151</v>
      </c>
      <c r="D330" t="s" s="13">
        <v>95</v>
      </c>
      <c r="E330" t="s" s="13">
        <v>12</v>
      </c>
      <c r="F330" s="14">
        <v>1</v>
      </c>
      <c r="G330" s="15">
        <v>349.99</v>
      </c>
      <c r="H330" s="15">
        <v>349.99</v>
      </c>
    </row>
    <row r="331" ht="16.1" customHeight="1">
      <c r="A331" t="s" s="10">
        <v>4426</v>
      </c>
      <c r="B331" t="s" s="11">
        <v>4427</v>
      </c>
      <c r="C331" s="12">
        <v>45177.082835648151</v>
      </c>
      <c r="D331" t="s" s="13">
        <v>35</v>
      </c>
      <c r="E331" t="s" s="13">
        <v>36</v>
      </c>
      <c r="F331" s="14">
        <v>2</v>
      </c>
      <c r="G331" s="15">
        <v>49.99</v>
      </c>
      <c r="H331" s="15">
        <v>99.98</v>
      </c>
    </row>
    <row r="332" ht="16.1" customHeight="1">
      <c r="A332" t="s" s="10">
        <v>4426</v>
      </c>
      <c r="B332" t="s" s="11">
        <v>4427</v>
      </c>
      <c r="C332" s="12">
        <v>45177.082835648151</v>
      </c>
      <c r="D332" t="s" s="13">
        <v>89</v>
      </c>
      <c r="E332" t="s" s="13">
        <v>90</v>
      </c>
      <c r="F332" s="14">
        <v>2</v>
      </c>
      <c r="G332" s="15">
        <v>59.99</v>
      </c>
      <c r="H332" s="15">
        <v>119.98</v>
      </c>
    </row>
    <row r="333" ht="16.1" customHeight="1">
      <c r="A333" t="s" s="10">
        <v>4426</v>
      </c>
      <c r="B333" t="s" s="11">
        <v>4427</v>
      </c>
      <c r="C333" s="12">
        <v>45177.082835648151</v>
      </c>
      <c r="D333" t="s" s="13">
        <v>54</v>
      </c>
      <c r="E333" t="s" s="13">
        <v>93</v>
      </c>
      <c r="F333" s="14">
        <v>1</v>
      </c>
      <c r="G333" s="15">
        <v>9.99</v>
      </c>
      <c r="H333" s="15">
        <v>9.99</v>
      </c>
    </row>
    <row r="334" ht="16.1" customHeight="1">
      <c r="A334" t="s" s="10">
        <v>4426</v>
      </c>
      <c r="B334" t="s" s="11">
        <v>4427</v>
      </c>
      <c r="C334" s="12">
        <v>45177.082835648151</v>
      </c>
      <c r="D334" t="s" s="13">
        <v>15</v>
      </c>
      <c r="E334" t="s" s="13">
        <v>16</v>
      </c>
      <c r="F334" s="14">
        <v>1</v>
      </c>
      <c r="G334" s="15">
        <v>8.99</v>
      </c>
      <c r="H334" s="15">
        <v>8.99</v>
      </c>
    </row>
    <row r="335" ht="16.1" customHeight="1">
      <c r="A335" t="s" s="10">
        <v>4428</v>
      </c>
      <c r="B335" t="s" s="11">
        <v>69</v>
      </c>
      <c r="C335" s="12">
        <v>45177</v>
      </c>
      <c r="D335" t="s" s="13">
        <v>559</v>
      </c>
      <c r="E335" t="s" s="13">
        <v>560</v>
      </c>
      <c r="F335" s="14">
        <v>1000</v>
      </c>
      <c r="G335" s="15">
        <v>0.25</v>
      </c>
      <c r="H335" s="15">
        <v>250</v>
      </c>
    </row>
    <row r="336" ht="16.1" customHeight="1">
      <c r="A336" t="s" s="10">
        <v>4428</v>
      </c>
      <c r="B336" t="s" s="11">
        <v>69</v>
      </c>
      <c r="C336" s="12">
        <v>45177</v>
      </c>
      <c r="D336" t="s" s="13">
        <v>2787</v>
      </c>
      <c r="E336" t="s" s="13">
        <v>2788</v>
      </c>
      <c r="F336" s="14">
        <v>1</v>
      </c>
      <c r="G336" s="15">
        <v>0</v>
      </c>
      <c r="H336" s="15">
        <v>0</v>
      </c>
    </row>
    <row r="337" ht="16.1" customHeight="1">
      <c r="A337" t="s" s="10">
        <v>4428</v>
      </c>
      <c r="B337" t="s" s="11">
        <v>69</v>
      </c>
      <c r="C337" s="12">
        <v>45177</v>
      </c>
      <c r="D337" t="s" s="13">
        <v>47</v>
      </c>
      <c r="E337" s="16"/>
      <c r="F337" s="14">
        <v>1</v>
      </c>
      <c r="G337" s="15">
        <v>25</v>
      </c>
      <c r="H337" s="15">
        <v>25</v>
      </c>
    </row>
    <row r="338" ht="16.1" customHeight="1">
      <c r="A338" t="s" s="10">
        <v>4429</v>
      </c>
      <c r="B338" t="s" s="11">
        <v>122</v>
      </c>
      <c r="C338" s="12">
        <v>45177</v>
      </c>
      <c r="D338" t="s" s="13">
        <v>73</v>
      </c>
      <c r="E338" t="s" s="13">
        <v>74</v>
      </c>
      <c r="F338" s="14">
        <v>10</v>
      </c>
      <c r="G338" s="15">
        <v>299.9925</v>
      </c>
      <c r="H338" s="15">
        <v>2999.925</v>
      </c>
    </row>
    <row r="339" ht="16.1" customHeight="1">
      <c r="A339" t="s" s="10">
        <v>4429</v>
      </c>
      <c r="B339" t="s" s="11">
        <v>122</v>
      </c>
      <c r="C339" s="12">
        <v>45177</v>
      </c>
      <c r="D339" t="s" s="13">
        <v>63</v>
      </c>
      <c r="E339" s="16"/>
      <c r="F339" s="14">
        <v>1</v>
      </c>
      <c r="G339" s="15">
        <v>115</v>
      </c>
      <c r="H339" s="15">
        <v>115</v>
      </c>
    </row>
    <row r="340" ht="16.1" customHeight="1">
      <c r="A340" t="s" s="10">
        <v>4430</v>
      </c>
      <c r="B340" t="s" s="11">
        <v>4431</v>
      </c>
      <c r="C340" s="12">
        <v>45177</v>
      </c>
      <c r="D340" t="s" s="13">
        <v>31</v>
      </c>
      <c r="E340" t="s" s="13">
        <v>32</v>
      </c>
      <c r="F340" s="14">
        <v>1</v>
      </c>
      <c r="G340" s="15">
        <v>599.99</v>
      </c>
      <c r="H340" s="15">
        <v>599.99</v>
      </c>
    </row>
    <row r="341" ht="16.1" customHeight="1">
      <c r="A341" t="s" s="10">
        <v>4430</v>
      </c>
      <c r="B341" t="s" s="11">
        <v>4431</v>
      </c>
      <c r="C341" s="12">
        <v>45177</v>
      </c>
      <c r="D341" t="s" s="13">
        <v>861</v>
      </c>
      <c r="E341" s="16"/>
      <c r="F341" s="14">
        <v>1</v>
      </c>
      <c r="G341" s="15">
        <v>52.5</v>
      </c>
      <c r="H341" s="15">
        <v>52.5</v>
      </c>
    </row>
    <row r="342" ht="16.1" customHeight="1">
      <c r="A342" t="s" s="10">
        <v>4432</v>
      </c>
      <c r="B342" t="s" s="11">
        <v>4433</v>
      </c>
      <c r="C342" s="12">
        <v>45176.935373993052</v>
      </c>
      <c r="D342" t="s" s="13">
        <v>171</v>
      </c>
      <c r="E342" t="s" s="13">
        <v>172</v>
      </c>
      <c r="F342" s="14">
        <v>1</v>
      </c>
      <c r="G342" s="15">
        <v>549.99</v>
      </c>
      <c r="H342" s="15">
        <v>549.99</v>
      </c>
    </row>
    <row r="343" ht="16.1" customHeight="1">
      <c r="A343" t="s" s="10">
        <v>4434</v>
      </c>
      <c r="B343" t="s" s="11">
        <v>4435</v>
      </c>
      <c r="C343" s="12">
        <v>45176.830598032408</v>
      </c>
      <c r="D343" t="s" s="13">
        <v>1695</v>
      </c>
      <c r="E343" t="s" s="13">
        <v>140</v>
      </c>
      <c r="F343" s="14">
        <v>1</v>
      </c>
      <c r="G343" s="15">
        <v>49.99</v>
      </c>
      <c r="H343" s="15">
        <v>49.99</v>
      </c>
    </row>
    <row r="344" ht="16.1" customHeight="1">
      <c r="A344" t="s" s="10">
        <v>4434</v>
      </c>
      <c r="B344" t="s" s="11">
        <v>4435</v>
      </c>
      <c r="C344" s="12">
        <v>45176.830598032408</v>
      </c>
      <c r="D344" t="s" s="13">
        <v>15</v>
      </c>
      <c r="E344" t="s" s="13">
        <v>16</v>
      </c>
      <c r="F344" s="14">
        <v>1</v>
      </c>
      <c r="G344" s="15">
        <v>8.99</v>
      </c>
      <c r="H344" s="15">
        <v>8.99</v>
      </c>
    </row>
    <row r="345" ht="16.1" customHeight="1">
      <c r="A345" t="s" s="10">
        <v>4436</v>
      </c>
      <c r="B345" t="s" s="11">
        <v>4437</v>
      </c>
      <c r="C345" s="12">
        <v>45176.811514259258</v>
      </c>
      <c r="D345" t="s" s="13">
        <v>95</v>
      </c>
      <c r="E345" t="s" s="13">
        <v>12</v>
      </c>
      <c r="F345" s="14">
        <v>1</v>
      </c>
      <c r="G345" s="15">
        <v>324.99</v>
      </c>
      <c r="H345" s="15">
        <v>324.99</v>
      </c>
    </row>
    <row r="346" ht="16.1" customHeight="1">
      <c r="A346" t="s" s="10">
        <v>4438</v>
      </c>
      <c r="B346" t="s" s="11">
        <v>4100</v>
      </c>
      <c r="C346" s="12">
        <v>45176.742890821763</v>
      </c>
      <c r="D346" t="s" s="13">
        <v>171</v>
      </c>
      <c r="E346" t="s" s="13">
        <v>172</v>
      </c>
      <c r="F346" s="14">
        <v>2</v>
      </c>
      <c r="G346" s="15">
        <v>549.99</v>
      </c>
      <c r="H346" s="15">
        <v>1099.98</v>
      </c>
    </row>
    <row r="347" ht="16.1" customHeight="1">
      <c r="A347" t="s" s="10">
        <v>4438</v>
      </c>
      <c r="B347" t="s" s="11">
        <v>4100</v>
      </c>
      <c r="C347" s="12">
        <v>45176.742890821763</v>
      </c>
      <c r="D347" t="s" s="13">
        <v>35</v>
      </c>
      <c r="E347" t="s" s="13">
        <v>36</v>
      </c>
      <c r="F347" s="14">
        <v>2</v>
      </c>
      <c r="G347" s="15">
        <v>49.99</v>
      </c>
      <c r="H347" s="15">
        <v>99.98</v>
      </c>
    </row>
    <row r="348" ht="16.1" customHeight="1">
      <c r="A348" t="s" s="10">
        <v>4439</v>
      </c>
      <c r="B348" t="s" s="11">
        <v>4440</v>
      </c>
      <c r="C348" s="12">
        <v>45176.674641006946</v>
      </c>
      <c r="D348" t="s" s="13">
        <v>1695</v>
      </c>
      <c r="E348" t="s" s="13">
        <v>140</v>
      </c>
      <c r="F348" s="14">
        <v>1</v>
      </c>
      <c r="G348" s="15">
        <v>49.99</v>
      </c>
      <c r="H348" s="15">
        <v>49.99</v>
      </c>
    </row>
    <row r="349" ht="16.1" customHeight="1">
      <c r="A349" t="s" s="10">
        <v>4439</v>
      </c>
      <c r="B349" t="s" s="11">
        <v>4440</v>
      </c>
      <c r="C349" s="12">
        <v>45176.674641006946</v>
      </c>
      <c r="D349" t="s" s="13">
        <v>15</v>
      </c>
      <c r="E349" t="s" s="13">
        <v>16</v>
      </c>
      <c r="F349" s="14">
        <v>1</v>
      </c>
      <c r="G349" s="15">
        <v>8.99</v>
      </c>
      <c r="H349" s="15">
        <v>8.99</v>
      </c>
    </row>
    <row r="350" ht="16.1" customHeight="1">
      <c r="A350" t="s" s="10">
        <v>4441</v>
      </c>
      <c r="B350" t="s" s="11">
        <v>3644</v>
      </c>
      <c r="C350" s="12">
        <v>45176.022954537038</v>
      </c>
      <c r="D350" t="s" s="13">
        <v>11</v>
      </c>
      <c r="E350" t="s" s="13">
        <v>12</v>
      </c>
      <c r="F350" s="14">
        <v>1</v>
      </c>
      <c r="G350" s="15">
        <v>399.99</v>
      </c>
      <c r="H350" s="15">
        <v>399.99</v>
      </c>
    </row>
    <row r="351" ht="16.1" customHeight="1">
      <c r="A351" t="s" s="10">
        <v>4442</v>
      </c>
      <c r="B351" t="s" s="11">
        <v>4443</v>
      </c>
      <c r="C351" s="12">
        <v>45176</v>
      </c>
      <c r="D351" t="s" s="13">
        <v>691</v>
      </c>
      <c r="E351" t="s" s="13">
        <v>692</v>
      </c>
      <c r="F351" s="14">
        <v>1</v>
      </c>
      <c r="G351" s="15">
        <v>295</v>
      </c>
      <c r="H351" s="15">
        <v>295</v>
      </c>
    </row>
    <row r="352" ht="16.1" customHeight="1">
      <c r="A352" t="s" s="10">
        <v>4442</v>
      </c>
      <c r="B352" t="s" s="11">
        <v>4443</v>
      </c>
      <c r="C352" s="12">
        <v>45176</v>
      </c>
      <c r="D352" t="s" s="13">
        <v>63</v>
      </c>
      <c r="E352" s="16"/>
      <c r="F352" s="14">
        <v>1</v>
      </c>
      <c r="G352" s="15">
        <v>50</v>
      </c>
      <c r="H352" s="15">
        <v>50</v>
      </c>
    </row>
    <row r="353" ht="16.1" customHeight="1">
      <c r="A353" t="s" s="10">
        <v>4444</v>
      </c>
      <c r="B353" t="s" s="11">
        <v>911</v>
      </c>
      <c r="C353" s="12">
        <v>45176</v>
      </c>
      <c r="D353" t="s" s="13">
        <v>15</v>
      </c>
      <c r="E353" t="s" s="13">
        <v>16</v>
      </c>
      <c r="F353" s="14">
        <v>3</v>
      </c>
      <c r="G353" s="15">
        <v>7.99</v>
      </c>
      <c r="H353" s="15">
        <v>23.97</v>
      </c>
    </row>
    <row r="354" ht="16.1" customHeight="1">
      <c r="A354" t="s" s="10">
        <v>4445</v>
      </c>
      <c r="B354" t="s" s="11">
        <v>122</v>
      </c>
      <c r="C354" s="12">
        <v>45176</v>
      </c>
      <c r="D354" t="s" s="13">
        <v>254</v>
      </c>
      <c r="E354" t="s" s="13">
        <v>4446</v>
      </c>
      <c r="F354" s="14">
        <v>1</v>
      </c>
      <c r="G354" s="15">
        <v>0</v>
      </c>
      <c r="H354" s="15">
        <v>0</v>
      </c>
    </row>
    <row r="355" ht="16.1" customHeight="1">
      <c r="A355" t="s" s="10">
        <v>4447</v>
      </c>
      <c r="B355" t="s" s="11">
        <v>4098</v>
      </c>
      <c r="C355" s="12">
        <v>45175.900655775462</v>
      </c>
      <c r="D355" t="s" s="13">
        <v>123</v>
      </c>
      <c r="E355" t="s" s="13">
        <v>124</v>
      </c>
      <c r="F355" s="14">
        <v>1</v>
      </c>
      <c r="G355" s="15">
        <v>179.99</v>
      </c>
      <c r="H355" s="15">
        <v>179.99</v>
      </c>
    </row>
    <row r="356" ht="16.1" customHeight="1">
      <c r="A356" t="s" s="10">
        <v>4448</v>
      </c>
      <c r="B356" t="s" s="11">
        <v>164</v>
      </c>
      <c r="C356" s="12">
        <v>45175.866619479166</v>
      </c>
      <c r="D356" t="s" s="13">
        <v>225</v>
      </c>
      <c r="E356" t="s" s="13">
        <v>226</v>
      </c>
      <c r="F356" s="14">
        <v>2</v>
      </c>
      <c r="G356" s="15">
        <v>499.99</v>
      </c>
      <c r="H356" s="15">
        <v>999.98</v>
      </c>
    </row>
    <row r="357" ht="16.1" customHeight="1">
      <c r="A357" t="s" s="10">
        <v>4448</v>
      </c>
      <c r="B357" t="s" s="11">
        <v>164</v>
      </c>
      <c r="C357" s="12">
        <v>45175.866619479166</v>
      </c>
      <c r="D357" t="s" s="13">
        <v>165</v>
      </c>
      <c r="E357" t="s" s="13">
        <v>392</v>
      </c>
      <c r="F357" s="14">
        <v>2</v>
      </c>
      <c r="G357" s="15">
        <v>0</v>
      </c>
      <c r="H357" s="15">
        <v>0</v>
      </c>
    </row>
    <row r="358" ht="16.1" customHeight="1">
      <c r="A358" t="s" s="10">
        <v>4449</v>
      </c>
      <c r="B358" t="s" s="11">
        <v>4450</v>
      </c>
      <c r="C358" s="12">
        <v>45175.760366678238</v>
      </c>
      <c r="D358" t="s" s="13">
        <v>50</v>
      </c>
      <c r="E358" t="s" s="13">
        <v>83</v>
      </c>
      <c r="F358" s="14">
        <v>4</v>
      </c>
      <c r="G358" s="15">
        <v>29.99</v>
      </c>
      <c r="H358" s="15">
        <v>119.96</v>
      </c>
    </row>
    <row r="359" ht="16.1" customHeight="1">
      <c r="A359" t="s" s="10">
        <v>4451</v>
      </c>
      <c r="B359" t="s" s="11">
        <v>4452</v>
      </c>
      <c r="C359" s="12">
        <v>45175.733295231483</v>
      </c>
      <c r="D359" t="s" s="13">
        <v>23</v>
      </c>
      <c r="E359" t="s" s="13">
        <v>24</v>
      </c>
      <c r="F359" s="14">
        <v>2</v>
      </c>
      <c r="G359" s="15">
        <v>149.99</v>
      </c>
      <c r="H359" s="15">
        <v>299.98</v>
      </c>
    </row>
    <row r="360" ht="16.1" customHeight="1">
      <c r="A360" t="s" s="10">
        <v>4453</v>
      </c>
      <c r="B360" t="s" s="11">
        <v>4454</v>
      </c>
      <c r="C360" s="12">
        <v>45175.695298599538</v>
      </c>
      <c r="D360" t="s" s="13">
        <v>31</v>
      </c>
      <c r="E360" t="s" s="13">
        <v>32</v>
      </c>
      <c r="F360" s="14">
        <v>1</v>
      </c>
      <c r="G360" s="15">
        <v>599.99</v>
      </c>
      <c r="H360" s="15">
        <v>599.99</v>
      </c>
    </row>
    <row r="361" ht="16.1" customHeight="1">
      <c r="A361" t="s" s="10">
        <v>4453</v>
      </c>
      <c r="B361" t="s" s="11">
        <v>4454</v>
      </c>
      <c r="C361" s="12">
        <v>45175.695298599538</v>
      </c>
      <c r="D361" t="s" s="13">
        <v>35</v>
      </c>
      <c r="E361" t="s" s="13">
        <v>36</v>
      </c>
      <c r="F361" s="14">
        <v>4</v>
      </c>
      <c r="G361" s="15">
        <v>49.99</v>
      </c>
      <c r="H361" s="15">
        <v>199.96</v>
      </c>
    </row>
    <row r="362" ht="16.1" customHeight="1">
      <c r="A362" t="s" s="10">
        <v>4453</v>
      </c>
      <c r="B362" t="s" s="11">
        <v>4454</v>
      </c>
      <c r="C362" s="12">
        <v>45175.695298599538</v>
      </c>
      <c r="D362" t="s" s="13">
        <v>54</v>
      </c>
      <c r="E362" t="s" s="13">
        <v>93</v>
      </c>
      <c r="F362" s="14">
        <v>2</v>
      </c>
      <c r="G362" s="15">
        <v>9.99</v>
      </c>
      <c r="H362" s="15">
        <v>19.98</v>
      </c>
    </row>
    <row r="363" ht="16.1" customHeight="1">
      <c r="A363" t="s" s="10">
        <v>4453</v>
      </c>
      <c r="B363" t="s" s="11">
        <v>4454</v>
      </c>
      <c r="C363" s="12">
        <v>45175.695298599538</v>
      </c>
      <c r="D363" t="s" s="13">
        <v>412</v>
      </c>
      <c r="E363" t="s" s="13">
        <v>413</v>
      </c>
      <c r="F363" s="14">
        <v>4</v>
      </c>
      <c r="G363" s="15">
        <v>1.99</v>
      </c>
      <c r="H363" s="15">
        <v>7.96</v>
      </c>
    </row>
    <row r="364" ht="16.1" customHeight="1">
      <c r="A364" t="s" s="10">
        <v>4453</v>
      </c>
      <c r="B364" t="s" s="11">
        <v>4454</v>
      </c>
      <c r="C364" s="12">
        <v>45175.695298599538</v>
      </c>
      <c r="D364" t="s" s="13">
        <v>119</v>
      </c>
      <c r="E364" t="s" s="13">
        <v>120</v>
      </c>
      <c r="F364" s="14">
        <v>4</v>
      </c>
      <c r="G364" s="15">
        <v>1.99</v>
      </c>
      <c r="H364" s="15">
        <v>7.96</v>
      </c>
    </row>
    <row r="365" ht="16.1" customHeight="1">
      <c r="A365" t="s" s="10">
        <v>4453</v>
      </c>
      <c r="B365" t="s" s="11">
        <v>4454</v>
      </c>
      <c r="C365" s="12">
        <v>45175.695298599538</v>
      </c>
      <c r="D365" t="s" s="13">
        <v>81</v>
      </c>
      <c r="E365" t="s" s="13">
        <v>82</v>
      </c>
      <c r="F365" s="14">
        <v>2</v>
      </c>
      <c r="G365" s="15">
        <v>849.99</v>
      </c>
      <c r="H365" s="15">
        <v>1699.98</v>
      </c>
    </row>
    <row r="366" ht="16.1" customHeight="1">
      <c r="A366" t="s" s="10">
        <v>4453</v>
      </c>
      <c r="B366" t="s" s="11">
        <v>4454</v>
      </c>
      <c r="C366" s="12">
        <v>45175.695298599538</v>
      </c>
      <c r="D366" t="s" s="13">
        <v>23</v>
      </c>
      <c r="E366" t="s" s="13">
        <v>24</v>
      </c>
      <c r="F366" s="14">
        <v>2</v>
      </c>
      <c r="G366" s="15">
        <v>0</v>
      </c>
      <c r="H366" s="15">
        <v>0</v>
      </c>
    </row>
    <row r="367" ht="16.1" customHeight="1">
      <c r="A367" t="s" s="10">
        <v>4453</v>
      </c>
      <c r="B367" t="s" s="11">
        <v>4454</v>
      </c>
      <c r="C367" s="12">
        <v>45175.695298599538</v>
      </c>
      <c r="D367" t="s" s="13">
        <v>50</v>
      </c>
      <c r="E367" t="s" s="13">
        <v>83</v>
      </c>
      <c r="F367" s="14">
        <v>2</v>
      </c>
      <c r="G367" s="15">
        <v>0</v>
      </c>
      <c r="H367" s="15">
        <v>0</v>
      </c>
    </row>
    <row r="368" ht="16.1" customHeight="1">
      <c r="A368" t="s" s="10">
        <v>4453</v>
      </c>
      <c r="B368" t="s" s="11">
        <v>4454</v>
      </c>
      <c r="C368" s="12">
        <v>45175.695298599538</v>
      </c>
      <c r="D368" t="s" s="13">
        <v>84</v>
      </c>
      <c r="E368" t="s" s="13">
        <v>4225</v>
      </c>
      <c r="F368" s="14">
        <v>2</v>
      </c>
      <c r="G368" s="15">
        <v>0</v>
      </c>
      <c r="H368" s="15">
        <v>0</v>
      </c>
    </row>
    <row r="369" ht="16.1" customHeight="1">
      <c r="A369" t="s" s="10">
        <v>4453</v>
      </c>
      <c r="B369" t="s" s="11">
        <v>4454</v>
      </c>
      <c r="C369" s="12">
        <v>45175.695298599538</v>
      </c>
      <c r="D369" t="s" s="13">
        <v>19</v>
      </c>
      <c r="E369" t="s" s="13">
        <v>20</v>
      </c>
      <c r="F369" s="14">
        <v>1</v>
      </c>
      <c r="G369" s="15">
        <v>119.99</v>
      </c>
      <c r="H369" s="15">
        <v>119.99</v>
      </c>
    </row>
    <row r="370" ht="16.1" customHeight="1">
      <c r="A370" t="s" s="10">
        <v>4453</v>
      </c>
      <c r="B370" t="s" s="11">
        <v>4454</v>
      </c>
      <c r="C370" s="12">
        <v>45175.695298599538</v>
      </c>
      <c r="D370" t="s" s="13">
        <v>15</v>
      </c>
      <c r="E370" t="s" s="13">
        <v>16</v>
      </c>
      <c r="F370" s="14">
        <v>1</v>
      </c>
      <c r="G370" s="15">
        <v>8.99</v>
      </c>
      <c r="H370" s="15">
        <v>8.99</v>
      </c>
    </row>
    <row r="371" ht="16.1" customHeight="1">
      <c r="A371" t="s" s="10">
        <v>4455</v>
      </c>
      <c r="B371" t="s" s="11">
        <v>971</v>
      </c>
      <c r="C371" s="12">
        <v>45175.109111574071</v>
      </c>
      <c r="D371" t="s" s="13">
        <v>81</v>
      </c>
      <c r="E371" t="s" s="13">
        <v>82</v>
      </c>
      <c r="F371" s="14">
        <v>1</v>
      </c>
      <c r="G371" s="15">
        <v>849.99</v>
      </c>
      <c r="H371" s="15">
        <v>849.99</v>
      </c>
    </row>
    <row r="372" ht="16.1" customHeight="1">
      <c r="A372" t="s" s="10">
        <v>4455</v>
      </c>
      <c r="B372" t="s" s="11">
        <v>971</v>
      </c>
      <c r="C372" s="12">
        <v>45175.109111574071</v>
      </c>
      <c r="D372" t="s" s="13">
        <v>23</v>
      </c>
      <c r="E372" t="s" s="13">
        <v>24</v>
      </c>
      <c r="F372" s="14">
        <v>1</v>
      </c>
      <c r="G372" s="15">
        <v>0</v>
      </c>
      <c r="H372" s="15">
        <v>0</v>
      </c>
    </row>
    <row r="373" ht="16.1" customHeight="1">
      <c r="A373" t="s" s="10">
        <v>4455</v>
      </c>
      <c r="B373" t="s" s="11">
        <v>971</v>
      </c>
      <c r="C373" s="12">
        <v>45175.109111574071</v>
      </c>
      <c r="D373" t="s" s="13">
        <v>50</v>
      </c>
      <c r="E373" t="s" s="13">
        <v>83</v>
      </c>
      <c r="F373" s="14">
        <v>1</v>
      </c>
      <c r="G373" s="15">
        <v>0</v>
      </c>
      <c r="H373" s="15">
        <v>0</v>
      </c>
    </row>
    <row r="374" ht="16.1" customHeight="1">
      <c r="A374" t="s" s="10">
        <v>4455</v>
      </c>
      <c r="B374" t="s" s="11">
        <v>971</v>
      </c>
      <c r="C374" s="12">
        <v>45175.109111574071</v>
      </c>
      <c r="D374" t="s" s="13">
        <v>84</v>
      </c>
      <c r="E374" t="s" s="13">
        <v>4225</v>
      </c>
      <c r="F374" s="14">
        <v>1</v>
      </c>
      <c r="G374" s="15">
        <v>0</v>
      </c>
      <c r="H374" s="15">
        <v>0</v>
      </c>
    </row>
    <row r="375" ht="16.1" customHeight="1">
      <c r="A375" t="s" s="10">
        <v>4456</v>
      </c>
      <c r="B375" t="s" s="11">
        <v>4457</v>
      </c>
      <c r="C375" s="12">
        <v>45175.025007569442</v>
      </c>
      <c r="D375" t="s" s="13">
        <v>123</v>
      </c>
      <c r="E375" t="s" s="13">
        <v>124</v>
      </c>
      <c r="F375" s="14">
        <v>1</v>
      </c>
      <c r="G375" s="15">
        <v>179.99</v>
      </c>
      <c r="H375" s="15">
        <v>179.99</v>
      </c>
    </row>
    <row r="376" ht="16.1" customHeight="1">
      <c r="A376" t="s" s="10">
        <v>4456</v>
      </c>
      <c r="B376" t="s" s="11">
        <v>4457</v>
      </c>
      <c r="C376" s="12">
        <v>45175.025007569442</v>
      </c>
      <c r="D376" t="s" s="13">
        <v>77</v>
      </c>
      <c r="E376" t="s" s="13">
        <v>4224</v>
      </c>
      <c r="F376" s="14">
        <v>11</v>
      </c>
      <c r="G376" s="15">
        <v>19.99</v>
      </c>
      <c r="H376" s="15">
        <v>219.89</v>
      </c>
    </row>
    <row r="377" ht="16.1" customHeight="1">
      <c r="A377" t="s" s="10">
        <v>4456</v>
      </c>
      <c r="B377" t="s" s="11">
        <v>4457</v>
      </c>
      <c r="C377" s="12">
        <v>45175.025007569442</v>
      </c>
      <c r="D377" t="s" s="13">
        <v>359</v>
      </c>
      <c r="E377" t="s" s="13">
        <v>4199</v>
      </c>
      <c r="F377" s="14">
        <v>11</v>
      </c>
      <c r="G377" s="15">
        <v>29.99</v>
      </c>
      <c r="H377" s="15">
        <v>329.89</v>
      </c>
    </row>
    <row r="378" ht="16.1" customHeight="1">
      <c r="A378" t="s" s="10">
        <v>4458</v>
      </c>
      <c r="B378" t="s" s="11">
        <v>353</v>
      </c>
      <c r="C378" s="12">
        <v>45175</v>
      </c>
      <c r="D378" t="s" s="13">
        <v>1914</v>
      </c>
      <c r="E378" t="s" s="13">
        <v>1915</v>
      </c>
      <c r="F378" s="14">
        <v>1</v>
      </c>
      <c r="G378" s="15">
        <v>0</v>
      </c>
      <c r="H378" s="15">
        <v>0</v>
      </c>
    </row>
    <row r="379" ht="16.1" customHeight="1">
      <c r="A379" t="s" s="10">
        <v>4458</v>
      </c>
      <c r="B379" t="s" s="11">
        <v>353</v>
      </c>
      <c r="C379" s="12">
        <v>45175</v>
      </c>
      <c r="D379" t="s" s="13">
        <v>409</v>
      </c>
      <c r="E379" t="s" s="13">
        <v>409</v>
      </c>
      <c r="F379" s="14">
        <v>1</v>
      </c>
      <c r="G379" s="15">
        <v>0</v>
      </c>
      <c r="H379" s="15">
        <v>0</v>
      </c>
    </row>
    <row r="380" ht="16.1" customHeight="1">
      <c r="A380" t="s" s="10">
        <v>4458</v>
      </c>
      <c r="B380" t="s" s="11">
        <v>353</v>
      </c>
      <c r="C380" s="12">
        <v>45175</v>
      </c>
      <c r="D380" t="s" s="13">
        <v>2549</v>
      </c>
      <c r="E380" t="s" s="13">
        <v>2550</v>
      </c>
      <c r="F380" s="14">
        <v>1</v>
      </c>
      <c r="G380" s="15">
        <v>0</v>
      </c>
      <c r="H380" s="15">
        <v>0</v>
      </c>
    </row>
    <row r="381" ht="16.1" customHeight="1">
      <c r="A381" t="s" s="10">
        <v>4459</v>
      </c>
      <c r="B381" t="s" s="11">
        <v>476</v>
      </c>
      <c r="C381" s="12">
        <v>45175</v>
      </c>
      <c r="D381" t="s" s="13">
        <v>468</v>
      </c>
      <c r="E381" t="s" s="13">
        <v>4460</v>
      </c>
      <c r="F381" s="14">
        <v>1</v>
      </c>
      <c r="G381" s="15">
        <v>0</v>
      </c>
      <c r="H381" s="15">
        <v>0</v>
      </c>
    </row>
    <row r="382" ht="16.1" customHeight="1">
      <c r="A382" t="s" s="10">
        <v>4459</v>
      </c>
      <c r="B382" t="s" s="11">
        <v>476</v>
      </c>
      <c r="C382" s="12">
        <v>45175</v>
      </c>
      <c r="D382" t="s" s="13">
        <v>133</v>
      </c>
      <c r="E382" t="s" s="13">
        <v>134</v>
      </c>
      <c r="F382" s="14">
        <v>4</v>
      </c>
      <c r="G382" s="15">
        <v>0</v>
      </c>
      <c r="H382" s="15">
        <v>0</v>
      </c>
    </row>
    <row r="383" ht="16.1" customHeight="1">
      <c r="A383" t="s" s="10">
        <v>4459</v>
      </c>
      <c r="B383" t="s" s="11">
        <v>476</v>
      </c>
      <c r="C383" s="12">
        <v>45175</v>
      </c>
      <c r="D383" t="s" s="13">
        <v>50</v>
      </c>
      <c r="E383" t="s" s="13">
        <v>83</v>
      </c>
      <c r="F383" s="14">
        <v>1</v>
      </c>
      <c r="G383" s="15">
        <v>0</v>
      </c>
      <c r="H383" s="15">
        <v>0</v>
      </c>
    </row>
    <row r="384" ht="16.1" customHeight="1">
      <c r="A384" t="s" s="10">
        <v>4459</v>
      </c>
      <c r="B384" t="s" s="11">
        <v>476</v>
      </c>
      <c r="C384" s="12">
        <v>45175</v>
      </c>
      <c r="D384" t="s" s="13">
        <v>54</v>
      </c>
      <c r="E384" t="s" s="13">
        <v>93</v>
      </c>
      <c r="F384" s="14">
        <v>4</v>
      </c>
      <c r="G384" s="15">
        <v>0</v>
      </c>
      <c r="H384" s="15">
        <v>0</v>
      </c>
    </row>
    <row r="385" ht="16.1" customHeight="1">
      <c r="A385" t="s" s="10">
        <v>4459</v>
      </c>
      <c r="B385" t="s" s="11">
        <v>476</v>
      </c>
      <c r="C385" s="12">
        <v>45175</v>
      </c>
      <c r="D385" t="s" s="13">
        <v>15</v>
      </c>
      <c r="E385" t="s" s="13">
        <v>16</v>
      </c>
      <c r="F385" s="14">
        <v>1</v>
      </c>
      <c r="G385" s="15">
        <v>0</v>
      </c>
      <c r="H385" s="15">
        <v>0</v>
      </c>
    </row>
    <row r="386" ht="16.1" customHeight="1">
      <c r="A386" t="s" s="10">
        <v>4461</v>
      </c>
      <c r="B386" t="s" s="11">
        <v>4462</v>
      </c>
      <c r="C386" s="12">
        <v>45175</v>
      </c>
      <c r="D386" t="s" s="13">
        <v>254</v>
      </c>
      <c r="E386" t="s" s="13">
        <v>4463</v>
      </c>
      <c r="F386" s="14">
        <v>1</v>
      </c>
      <c r="G386" s="15">
        <v>0</v>
      </c>
      <c r="H386" s="15">
        <v>0</v>
      </c>
    </row>
    <row r="387" ht="16.1" customHeight="1">
      <c r="A387" t="s" s="10">
        <v>4464</v>
      </c>
      <c r="B387" t="s" s="11">
        <v>1570</v>
      </c>
      <c r="C387" s="12">
        <v>45175</v>
      </c>
      <c r="D387" t="s" s="13">
        <v>4465</v>
      </c>
      <c r="E387" t="s" s="13">
        <v>4466</v>
      </c>
      <c r="F387" s="14">
        <v>8</v>
      </c>
      <c r="G387" s="15">
        <v>50.0025</v>
      </c>
      <c r="H387" s="15">
        <v>400.02</v>
      </c>
    </row>
    <row r="388" ht="16.1" customHeight="1">
      <c r="A388" t="s" s="10">
        <v>4464</v>
      </c>
      <c r="B388" t="s" s="11">
        <v>1570</v>
      </c>
      <c r="C388" s="12">
        <v>45175</v>
      </c>
      <c r="D388" t="s" s="13">
        <v>3910</v>
      </c>
      <c r="E388" t="s" s="13">
        <v>3911</v>
      </c>
      <c r="F388" s="14">
        <v>8</v>
      </c>
      <c r="G388" s="15">
        <v>2.771739</v>
      </c>
      <c r="H388" s="15">
        <v>22.173912</v>
      </c>
    </row>
    <row r="389" ht="16.1" customHeight="1">
      <c r="A389" t="s" s="10">
        <v>4464</v>
      </c>
      <c r="B389" t="s" s="11">
        <v>1570</v>
      </c>
      <c r="C389" s="12">
        <v>45175</v>
      </c>
      <c r="D389" t="s" s="13">
        <v>54</v>
      </c>
      <c r="E389" t="s" s="13">
        <v>93</v>
      </c>
      <c r="F389" s="14">
        <v>10</v>
      </c>
      <c r="G389" s="15">
        <v>7.4925</v>
      </c>
      <c r="H389" s="15">
        <v>74.925</v>
      </c>
    </row>
    <row r="390" ht="16.1" customHeight="1">
      <c r="A390" t="s" s="10">
        <v>4464</v>
      </c>
      <c r="B390" t="s" s="11">
        <v>1570</v>
      </c>
      <c r="C390" s="12">
        <v>45175</v>
      </c>
      <c r="D390" t="s" s="13">
        <v>462</v>
      </c>
      <c r="E390" t="s" s="13">
        <v>463</v>
      </c>
      <c r="F390" s="14">
        <v>4</v>
      </c>
      <c r="G390" s="15">
        <v>149.9925</v>
      </c>
      <c r="H390" s="15">
        <v>599.97</v>
      </c>
    </row>
    <row r="391" ht="16.1" customHeight="1">
      <c r="A391" t="s" s="10">
        <v>4464</v>
      </c>
      <c r="B391" t="s" s="11">
        <v>1570</v>
      </c>
      <c r="C391" s="12">
        <v>45175</v>
      </c>
      <c r="D391" t="s" s="13">
        <v>1069</v>
      </c>
      <c r="E391" t="s" s="13">
        <v>1070</v>
      </c>
      <c r="F391" s="14">
        <v>10</v>
      </c>
      <c r="G391" s="15">
        <v>74.99250000000001</v>
      </c>
      <c r="H391" s="15">
        <v>749.925</v>
      </c>
    </row>
    <row r="392" ht="16.1" customHeight="1">
      <c r="A392" t="s" s="10">
        <v>4464</v>
      </c>
      <c r="B392" t="s" s="11">
        <v>1570</v>
      </c>
      <c r="C392" s="12">
        <v>45175</v>
      </c>
      <c r="D392" t="s" s="13">
        <v>1695</v>
      </c>
      <c r="E392" t="s" s="13">
        <v>140</v>
      </c>
      <c r="F392" s="14">
        <v>6</v>
      </c>
      <c r="G392" s="15">
        <v>37.4925</v>
      </c>
      <c r="H392" s="15">
        <v>224.955</v>
      </c>
    </row>
    <row r="393" ht="16.1" customHeight="1">
      <c r="A393" t="s" s="10">
        <v>4464</v>
      </c>
      <c r="B393" t="s" s="11">
        <v>1570</v>
      </c>
      <c r="C393" s="12">
        <v>45175</v>
      </c>
      <c r="D393" t="s" s="13">
        <v>15</v>
      </c>
      <c r="E393" t="s" s="13">
        <v>16</v>
      </c>
      <c r="F393" s="14">
        <v>6</v>
      </c>
      <c r="G393" s="15">
        <v>0</v>
      </c>
      <c r="H393" s="15">
        <v>0</v>
      </c>
    </row>
    <row r="394" ht="16.1" customHeight="1">
      <c r="A394" t="s" s="10">
        <v>4464</v>
      </c>
      <c r="B394" t="s" s="11">
        <v>1570</v>
      </c>
      <c r="C394" s="12">
        <v>45175</v>
      </c>
      <c r="D394" t="s" s="13">
        <v>19</v>
      </c>
      <c r="E394" t="s" s="13">
        <v>20</v>
      </c>
      <c r="F394" s="14">
        <v>8</v>
      </c>
      <c r="G394" s="15">
        <v>89.99250000000001</v>
      </c>
      <c r="H394" s="15">
        <v>719.9400000000001</v>
      </c>
    </row>
    <row r="395" ht="16.1" customHeight="1">
      <c r="A395" t="s" s="10">
        <v>4464</v>
      </c>
      <c r="B395" t="s" s="11">
        <v>1570</v>
      </c>
      <c r="C395" s="12">
        <v>45175</v>
      </c>
      <c r="D395" t="s" s="13">
        <v>77</v>
      </c>
      <c r="E395" t="s" s="13">
        <v>4224</v>
      </c>
      <c r="F395" s="14">
        <v>10</v>
      </c>
      <c r="G395" s="15">
        <v>14.9925</v>
      </c>
      <c r="H395" s="15">
        <v>149.925</v>
      </c>
    </row>
    <row r="396" ht="16.1" customHeight="1">
      <c r="A396" t="s" s="10">
        <v>4464</v>
      </c>
      <c r="B396" t="s" s="11">
        <v>1570</v>
      </c>
      <c r="C396" s="12">
        <v>45175</v>
      </c>
      <c r="D396" t="s" s="13">
        <v>359</v>
      </c>
      <c r="E396" t="s" s="13">
        <v>4199</v>
      </c>
      <c r="F396" s="14">
        <v>10</v>
      </c>
      <c r="G396" s="15">
        <v>22.4925</v>
      </c>
      <c r="H396" s="15">
        <v>224.925</v>
      </c>
    </row>
    <row r="397" ht="16.1" customHeight="1">
      <c r="A397" t="s" s="10">
        <v>4464</v>
      </c>
      <c r="B397" t="s" s="11">
        <v>1570</v>
      </c>
      <c r="C397" s="12">
        <v>45175</v>
      </c>
      <c r="D397" t="s" s="13">
        <v>63</v>
      </c>
      <c r="E397" s="16"/>
      <c r="F397" s="14">
        <v>1</v>
      </c>
      <c r="G397" s="15">
        <v>75</v>
      </c>
      <c r="H397" s="15">
        <v>75</v>
      </c>
    </row>
    <row r="398" ht="16.1" customHeight="1">
      <c r="A398" t="s" s="10">
        <v>4464</v>
      </c>
      <c r="B398" t="s" s="11">
        <v>1570</v>
      </c>
      <c r="C398" s="12">
        <v>45175</v>
      </c>
      <c r="D398" t="s" s="13">
        <v>861</v>
      </c>
      <c r="E398" s="16"/>
      <c r="F398" s="14">
        <v>1</v>
      </c>
      <c r="G398" s="15">
        <v>277.09</v>
      </c>
      <c r="H398" s="15">
        <v>277.09</v>
      </c>
    </row>
    <row r="399" ht="16.1" customHeight="1">
      <c r="A399" t="s" s="10">
        <v>4467</v>
      </c>
      <c r="B399" t="s" s="11">
        <v>210</v>
      </c>
      <c r="C399" s="12">
        <v>45175</v>
      </c>
      <c r="D399" t="s" s="13">
        <v>254</v>
      </c>
      <c r="E399" t="s" s="13">
        <v>4468</v>
      </c>
      <c r="F399" s="14">
        <v>1</v>
      </c>
      <c r="G399" s="15">
        <v>0</v>
      </c>
      <c r="H399" s="15">
        <v>0</v>
      </c>
    </row>
    <row r="400" ht="16.1" customHeight="1">
      <c r="A400" t="s" s="10">
        <v>4467</v>
      </c>
      <c r="B400" t="s" s="11">
        <v>210</v>
      </c>
      <c r="C400" s="12">
        <v>45175</v>
      </c>
      <c r="D400" t="s" s="13">
        <v>3467</v>
      </c>
      <c r="E400" t="s" s="13">
        <v>3468</v>
      </c>
      <c r="F400" s="14">
        <v>4</v>
      </c>
      <c r="G400" s="15">
        <v>0</v>
      </c>
      <c r="H400" s="15">
        <v>0</v>
      </c>
    </row>
    <row r="401" ht="16.1" customHeight="1">
      <c r="A401" t="s" s="10">
        <v>4467</v>
      </c>
      <c r="B401" t="s" s="11">
        <v>210</v>
      </c>
      <c r="C401" s="12">
        <v>45175</v>
      </c>
      <c r="D401" t="s" s="13">
        <v>258</v>
      </c>
      <c r="E401" t="s" s="13">
        <v>3592</v>
      </c>
      <c r="F401" s="14">
        <v>4</v>
      </c>
      <c r="G401" s="15">
        <v>0</v>
      </c>
      <c r="H401" s="15">
        <v>0</v>
      </c>
    </row>
    <row r="402" ht="16.1" customHeight="1">
      <c r="A402" t="s" s="10">
        <v>4469</v>
      </c>
      <c r="B402" t="s" s="11">
        <v>4470</v>
      </c>
      <c r="C402" s="12">
        <v>45174.957164710650</v>
      </c>
      <c r="D402" t="s" s="13">
        <v>11</v>
      </c>
      <c r="E402" t="s" s="13">
        <v>12</v>
      </c>
      <c r="F402" s="14">
        <v>1</v>
      </c>
      <c r="G402" s="15">
        <v>399.99</v>
      </c>
      <c r="H402" s="15">
        <v>399.99</v>
      </c>
    </row>
    <row r="403" ht="16.1" customHeight="1">
      <c r="A403" t="s" s="10">
        <v>4471</v>
      </c>
      <c r="B403" t="s" s="11">
        <v>4340</v>
      </c>
      <c r="C403" s="12">
        <v>45174.786319675928</v>
      </c>
      <c r="D403" t="s" s="13">
        <v>73</v>
      </c>
      <c r="E403" t="s" s="13">
        <v>74</v>
      </c>
      <c r="F403" s="14">
        <v>1</v>
      </c>
      <c r="G403" s="15">
        <v>399.99</v>
      </c>
      <c r="H403" s="15">
        <v>399.99</v>
      </c>
    </row>
    <row r="404" ht="16.1" customHeight="1">
      <c r="A404" t="s" s="10">
        <v>4472</v>
      </c>
      <c r="B404" t="s" s="11">
        <v>4473</v>
      </c>
      <c r="C404" s="12">
        <v>45174.785089791665</v>
      </c>
      <c r="D404" t="s" s="13">
        <v>1695</v>
      </c>
      <c r="E404" t="s" s="13">
        <v>140</v>
      </c>
      <c r="F404" s="14">
        <v>1</v>
      </c>
      <c r="G404" s="15">
        <v>49.99</v>
      </c>
      <c r="H404" s="15">
        <v>49.99</v>
      </c>
    </row>
    <row r="405" ht="16.1" customHeight="1">
      <c r="A405" t="s" s="10">
        <v>4472</v>
      </c>
      <c r="B405" t="s" s="11">
        <v>4473</v>
      </c>
      <c r="C405" s="12">
        <v>45174.785089791665</v>
      </c>
      <c r="D405" t="s" s="13">
        <v>15</v>
      </c>
      <c r="E405" t="s" s="13">
        <v>16</v>
      </c>
      <c r="F405" s="14">
        <v>1</v>
      </c>
      <c r="G405" s="15">
        <v>8.99</v>
      </c>
      <c r="H405" s="15">
        <v>8.99</v>
      </c>
    </row>
    <row r="406" ht="16.1" customHeight="1">
      <c r="A406" t="s" s="10">
        <v>4472</v>
      </c>
      <c r="B406" t="s" s="11">
        <v>4473</v>
      </c>
      <c r="C406" s="12">
        <v>45174.785089791665</v>
      </c>
      <c r="D406" t="s" s="13">
        <v>589</v>
      </c>
      <c r="E406" t="s" s="13">
        <v>590</v>
      </c>
      <c r="F406" s="14">
        <v>2</v>
      </c>
      <c r="G406" s="15">
        <v>7.49</v>
      </c>
      <c r="H406" s="15">
        <v>14.98</v>
      </c>
    </row>
    <row r="407" ht="16.1" customHeight="1">
      <c r="A407" t="s" s="10">
        <v>4472</v>
      </c>
      <c r="B407" t="s" s="11">
        <v>4473</v>
      </c>
      <c r="C407" s="12">
        <v>45174.785089791665</v>
      </c>
      <c r="D407" t="s" s="13">
        <v>23</v>
      </c>
      <c r="E407" t="s" s="13">
        <v>24</v>
      </c>
      <c r="F407" s="14">
        <v>1</v>
      </c>
      <c r="G407" s="15">
        <v>149.99</v>
      </c>
      <c r="H407" s="15">
        <v>149.99</v>
      </c>
    </row>
    <row r="408" ht="16.1" customHeight="1">
      <c r="A408" t="s" s="10">
        <v>4472</v>
      </c>
      <c r="B408" t="s" s="11">
        <v>4473</v>
      </c>
      <c r="C408" s="12">
        <v>45174.785089791665</v>
      </c>
      <c r="D408" t="s" s="13">
        <v>84</v>
      </c>
      <c r="E408" t="s" s="13">
        <v>4225</v>
      </c>
      <c r="F408" s="14">
        <v>1</v>
      </c>
      <c r="G408" s="15">
        <v>15</v>
      </c>
      <c r="H408" s="15">
        <v>15</v>
      </c>
    </row>
    <row r="409" ht="16.1" customHeight="1">
      <c r="A409" t="s" s="10">
        <v>4474</v>
      </c>
      <c r="B409" t="s" s="11">
        <v>4475</v>
      </c>
      <c r="C409" s="12">
        <v>45174.690126192130</v>
      </c>
      <c r="D409" t="s" s="13">
        <v>35</v>
      </c>
      <c r="E409" t="s" s="13">
        <v>36</v>
      </c>
      <c r="F409" s="14">
        <v>4</v>
      </c>
      <c r="G409" s="15">
        <v>46.865</v>
      </c>
      <c r="H409" s="15">
        <v>187.46</v>
      </c>
    </row>
    <row r="410" ht="16.1" customHeight="1">
      <c r="A410" t="s" s="10">
        <v>4474</v>
      </c>
      <c r="B410" t="s" s="11">
        <v>4475</v>
      </c>
      <c r="C410" s="12">
        <v>45174.690126192130</v>
      </c>
      <c r="D410" t="s" s="13">
        <v>19</v>
      </c>
      <c r="E410" t="s" s="13">
        <v>20</v>
      </c>
      <c r="F410" s="14">
        <v>2</v>
      </c>
      <c r="G410" s="15">
        <v>116.87</v>
      </c>
      <c r="H410" s="15">
        <v>233.74</v>
      </c>
    </row>
    <row r="411" ht="16.1" customHeight="1">
      <c r="A411" t="s" s="10">
        <v>4474</v>
      </c>
      <c r="B411" t="s" s="11">
        <v>4475</v>
      </c>
      <c r="C411" s="12">
        <v>45174.690126192130</v>
      </c>
      <c r="D411" t="s" s="13">
        <v>15</v>
      </c>
      <c r="E411" t="s" s="13">
        <v>16</v>
      </c>
      <c r="F411" s="14">
        <v>2</v>
      </c>
      <c r="G411" s="15">
        <v>8.99</v>
      </c>
      <c r="H411" s="15">
        <v>17.98</v>
      </c>
    </row>
    <row r="412" ht="16.1" customHeight="1">
      <c r="A412" t="s" s="10">
        <v>4474</v>
      </c>
      <c r="B412" t="s" s="11">
        <v>4475</v>
      </c>
      <c r="C412" s="12">
        <v>45174.690126192130</v>
      </c>
      <c r="D412" t="s" s="13">
        <v>31</v>
      </c>
      <c r="E412" t="s" s="13">
        <v>32</v>
      </c>
      <c r="F412" s="14">
        <v>2</v>
      </c>
      <c r="G412" s="15">
        <v>596.86</v>
      </c>
      <c r="H412" s="15">
        <v>1193.72</v>
      </c>
    </row>
    <row r="413" ht="16.1" customHeight="1">
      <c r="A413" t="s" s="10">
        <v>4476</v>
      </c>
      <c r="B413" t="s" s="11">
        <v>4477</v>
      </c>
      <c r="C413" s="12">
        <v>45174.647870752313</v>
      </c>
      <c r="D413" t="s" s="13">
        <v>95</v>
      </c>
      <c r="E413" t="s" s="13">
        <v>12</v>
      </c>
      <c r="F413" s="14">
        <v>1</v>
      </c>
      <c r="G413" s="15">
        <v>349.99</v>
      </c>
      <c r="H413" s="15">
        <v>349.99</v>
      </c>
    </row>
    <row r="414" ht="16.1" customHeight="1">
      <c r="A414" t="s" s="10">
        <v>4476</v>
      </c>
      <c r="B414" t="s" s="11">
        <v>4477</v>
      </c>
      <c r="C414" s="12">
        <v>45174.647870752313</v>
      </c>
      <c r="D414" t="s" s="13">
        <v>19</v>
      </c>
      <c r="E414" t="s" s="13">
        <v>20</v>
      </c>
      <c r="F414" s="14">
        <v>1</v>
      </c>
      <c r="G414" s="15">
        <v>119.99</v>
      </c>
      <c r="H414" s="15">
        <v>119.99</v>
      </c>
    </row>
    <row r="415" ht="16.1" customHeight="1">
      <c r="A415" t="s" s="10">
        <v>4476</v>
      </c>
      <c r="B415" t="s" s="11">
        <v>4477</v>
      </c>
      <c r="C415" s="12">
        <v>45174.647870752313</v>
      </c>
      <c r="D415" t="s" s="13">
        <v>15</v>
      </c>
      <c r="E415" t="s" s="13">
        <v>16</v>
      </c>
      <c r="F415" s="14">
        <v>1</v>
      </c>
      <c r="G415" s="15">
        <v>8.99</v>
      </c>
      <c r="H415" s="15">
        <v>8.99</v>
      </c>
    </row>
    <row r="416" ht="16.1" customHeight="1">
      <c r="A416" t="s" s="10">
        <v>4478</v>
      </c>
      <c r="B416" t="s" s="11">
        <v>985</v>
      </c>
      <c r="C416" s="12">
        <v>45174.614968773145</v>
      </c>
      <c r="D416" t="s" s="13">
        <v>48</v>
      </c>
      <c r="E416" t="s" s="13">
        <v>49</v>
      </c>
      <c r="F416" s="14">
        <v>1</v>
      </c>
      <c r="G416" s="15">
        <v>1299.99</v>
      </c>
      <c r="H416" s="15">
        <v>1299.99</v>
      </c>
    </row>
    <row r="417" ht="16.1" customHeight="1">
      <c r="A417" t="s" s="10">
        <v>4478</v>
      </c>
      <c r="B417" t="s" s="11">
        <v>985</v>
      </c>
      <c r="C417" s="12">
        <v>45174.614968773145</v>
      </c>
      <c r="D417" t="s" s="13">
        <v>50</v>
      </c>
      <c r="E417" t="s" s="13">
        <v>83</v>
      </c>
      <c r="F417" s="14">
        <v>1</v>
      </c>
      <c r="G417" s="15">
        <v>0</v>
      </c>
      <c r="H417" s="15">
        <v>0</v>
      </c>
    </row>
    <row r="418" ht="16.1" customHeight="1">
      <c r="A418" t="s" s="10">
        <v>4478</v>
      </c>
      <c r="B418" t="s" s="11">
        <v>985</v>
      </c>
      <c r="C418" s="12">
        <v>45174.614968773145</v>
      </c>
      <c r="D418" t="s" s="13">
        <v>52</v>
      </c>
      <c r="E418" t="s" s="13">
        <v>4287</v>
      </c>
      <c r="F418" s="14">
        <v>1</v>
      </c>
      <c r="G418" s="15">
        <v>0</v>
      </c>
      <c r="H418" s="15">
        <v>0</v>
      </c>
    </row>
    <row r="419" ht="16.1" customHeight="1">
      <c r="A419" t="s" s="10">
        <v>4478</v>
      </c>
      <c r="B419" t="s" s="11">
        <v>985</v>
      </c>
      <c r="C419" s="12">
        <v>45174.614968773145</v>
      </c>
      <c r="D419" t="s" s="13">
        <v>84</v>
      </c>
      <c r="E419" t="s" s="13">
        <v>4225</v>
      </c>
      <c r="F419" s="14">
        <v>1</v>
      </c>
      <c r="G419" s="15">
        <v>0</v>
      </c>
      <c r="H419" s="15">
        <v>0</v>
      </c>
    </row>
    <row r="420" ht="16.1" customHeight="1">
      <c r="A420" t="s" s="10">
        <v>4478</v>
      </c>
      <c r="B420" t="s" s="11">
        <v>985</v>
      </c>
      <c r="C420" s="12">
        <v>45174.614968773145</v>
      </c>
      <c r="D420" t="s" s="13">
        <v>23</v>
      </c>
      <c r="E420" t="s" s="13">
        <v>24</v>
      </c>
      <c r="F420" s="14">
        <v>1</v>
      </c>
      <c r="G420" s="15">
        <v>0</v>
      </c>
      <c r="H420" s="15">
        <v>0</v>
      </c>
    </row>
    <row r="421" ht="16.1" customHeight="1">
      <c r="A421" t="s" s="10">
        <v>4478</v>
      </c>
      <c r="B421" t="s" s="11">
        <v>985</v>
      </c>
      <c r="C421" s="12">
        <v>45174.614968773145</v>
      </c>
      <c r="D421" t="s" s="13">
        <v>227</v>
      </c>
      <c r="E421" t="s" s="13">
        <v>228</v>
      </c>
      <c r="F421" s="14">
        <v>1</v>
      </c>
      <c r="G421" s="15">
        <v>29.99</v>
      </c>
      <c r="H421" s="15">
        <v>29.99</v>
      </c>
    </row>
    <row r="422" ht="16.1" customHeight="1">
      <c r="A422" t="s" s="10">
        <v>4479</v>
      </c>
      <c r="B422" t="s" s="11">
        <v>4480</v>
      </c>
      <c r="C422" s="12">
        <v>45174.580036446758</v>
      </c>
      <c r="D422" t="s" s="13">
        <v>11</v>
      </c>
      <c r="E422" t="s" s="13">
        <v>12</v>
      </c>
      <c r="F422" s="14">
        <v>1</v>
      </c>
      <c r="G422" s="15">
        <v>399.99</v>
      </c>
      <c r="H422" s="15">
        <v>399.99</v>
      </c>
    </row>
    <row r="423" ht="16.1" customHeight="1">
      <c r="A423" t="s" s="10">
        <v>4481</v>
      </c>
      <c r="B423" t="s" s="11">
        <v>4482</v>
      </c>
      <c r="C423" s="12">
        <v>45174.086793946757</v>
      </c>
      <c r="D423" t="s" s="13">
        <v>11</v>
      </c>
      <c r="E423" t="s" s="13">
        <v>12</v>
      </c>
      <c r="F423" s="14">
        <v>1</v>
      </c>
      <c r="G423" s="15">
        <v>399.99</v>
      </c>
      <c r="H423" s="15">
        <v>399.99</v>
      </c>
    </row>
    <row r="424" ht="16.1" customHeight="1">
      <c r="A424" t="s" s="10">
        <v>4483</v>
      </c>
      <c r="B424" t="s" s="11">
        <v>391</v>
      </c>
      <c r="C424" s="12">
        <v>45174</v>
      </c>
      <c r="D424" t="s" s="13">
        <v>4484</v>
      </c>
      <c r="E424" t="s" s="13">
        <v>4485</v>
      </c>
      <c r="F424" s="14">
        <v>6</v>
      </c>
      <c r="G424" s="15">
        <v>37.5</v>
      </c>
      <c r="H424" s="15">
        <v>225</v>
      </c>
    </row>
    <row r="425" ht="16.1" customHeight="1">
      <c r="A425" t="s" s="10">
        <v>4483</v>
      </c>
      <c r="B425" t="s" s="11">
        <v>391</v>
      </c>
      <c r="C425" s="12">
        <v>45174</v>
      </c>
      <c r="D425" t="s" s="13">
        <v>1202</v>
      </c>
      <c r="E425" t="s" s="13">
        <v>1203</v>
      </c>
      <c r="F425" s="14">
        <v>6</v>
      </c>
      <c r="G425" s="15">
        <v>75</v>
      </c>
      <c r="H425" s="15">
        <v>450</v>
      </c>
    </row>
    <row r="426" ht="16.1" customHeight="1">
      <c r="A426" t="s" s="10">
        <v>4483</v>
      </c>
      <c r="B426" t="s" s="11">
        <v>391</v>
      </c>
      <c r="C426" s="12">
        <v>45174</v>
      </c>
      <c r="D426" t="s" s="13">
        <v>39</v>
      </c>
      <c r="E426" t="s" s="13">
        <v>40</v>
      </c>
      <c r="F426" s="14">
        <v>6</v>
      </c>
      <c r="G426" s="15">
        <v>82.49250000000001</v>
      </c>
      <c r="H426" s="15">
        <v>494.955</v>
      </c>
    </row>
    <row r="427" ht="16.1" customHeight="1">
      <c r="A427" t="s" s="10">
        <v>4483</v>
      </c>
      <c r="B427" t="s" s="11">
        <v>391</v>
      </c>
      <c r="C427" s="12">
        <v>45174</v>
      </c>
      <c r="D427" t="s" s="13">
        <v>84</v>
      </c>
      <c r="E427" t="s" s="13">
        <v>4225</v>
      </c>
      <c r="F427" s="14">
        <v>6</v>
      </c>
      <c r="G427" s="15">
        <v>0</v>
      </c>
      <c r="H427" s="15">
        <v>0</v>
      </c>
    </row>
    <row r="428" ht="16.1" customHeight="1">
      <c r="A428" t="s" s="10">
        <v>4483</v>
      </c>
      <c r="B428" t="s" s="11">
        <v>391</v>
      </c>
      <c r="C428" s="12">
        <v>45174</v>
      </c>
      <c r="D428" t="s" s="13">
        <v>63</v>
      </c>
      <c r="E428" s="16"/>
      <c r="F428" s="14">
        <v>1</v>
      </c>
      <c r="G428" s="15">
        <v>45</v>
      </c>
      <c r="H428" s="15">
        <v>45</v>
      </c>
    </row>
    <row r="429" ht="16.1" customHeight="1">
      <c r="A429" t="s" s="10">
        <v>4486</v>
      </c>
      <c r="B429" t="s" s="11">
        <v>4487</v>
      </c>
      <c r="C429" s="12">
        <v>45173.695452708336</v>
      </c>
      <c r="D429" t="s" s="13">
        <v>31</v>
      </c>
      <c r="E429" t="s" s="13">
        <v>32</v>
      </c>
      <c r="F429" s="14">
        <v>1</v>
      </c>
      <c r="G429" s="15">
        <v>599.99</v>
      </c>
      <c r="H429" s="15">
        <v>599.99</v>
      </c>
    </row>
    <row r="430" ht="16.1" customHeight="1">
      <c r="A430" t="s" s="10">
        <v>4488</v>
      </c>
      <c r="B430" t="s" s="11">
        <v>2056</v>
      </c>
      <c r="C430" s="12">
        <v>45171.785714814818</v>
      </c>
      <c r="D430" t="s" s="13">
        <v>73</v>
      </c>
      <c r="E430" t="s" s="13">
        <v>74</v>
      </c>
      <c r="F430" s="14">
        <v>1</v>
      </c>
      <c r="G430" s="15">
        <v>399.99</v>
      </c>
      <c r="H430" s="15">
        <v>399.99</v>
      </c>
    </row>
    <row r="431" ht="16.1" customHeight="1">
      <c r="A431" t="s" s="10">
        <v>4489</v>
      </c>
      <c r="B431" t="s" s="11">
        <v>4490</v>
      </c>
      <c r="C431" s="12">
        <v>45171.221990486112</v>
      </c>
      <c r="D431" t="s" s="13">
        <v>95</v>
      </c>
      <c r="E431" t="s" s="13">
        <v>12</v>
      </c>
      <c r="F431" s="14">
        <v>1</v>
      </c>
      <c r="G431" s="15">
        <v>324.99</v>
      </c>
      <c r="H431" s="15">
        <v>324.99</v>
      </c>
    </row>
    <row r="432" ht="16.1" customHeight="1">
      <c r="A432" t="s" s="10">
        <v>4491</v>
      </c>
      <c r="B432" t="s" s="11">
        <v>4492</v>
      </c>
      <c r="C432" s="12">
        <v>45170.833016226854</v>
      </c>
      <c r="D432" t="s" s="13">
        <v>602</v>
      </c>
      <c r="E432" t="s" s="13">
        <v>686</v>
      </c>
      <c r="F432" s="14">
        <v>1</v>
      </c>
      <c r="G432" s="15">
        <v>299.99</v>
      </c>
      <c r="H432" s="15">
        <v>299.99</v>
      </c>
    </row>
    <row r="433" ht="16.1" customHeight="1">
      <c r="A433" t="s" s="10">
        <v>4491</v>
      </c>
      <c r="B433" t="s" s="11">
        <v>4492</v>
      </c>
      <c r="C433" s="12">
        <v>45170.833016226854</v>
      </c>
      <c r="D433" t="s" s="13">
        <v>19</v>
      </c>
      <c r="E433" t="s" s="13">
        <v>20</v>
      </c>
      <c r="F433" s="14">
        <v>4</v>
      </c>
      <c r="G433" s="15">
        <v>119.99</v>
      </c>
      <c r="H433" s="15">
        <v>479.96</v>
      </c>
    </row>
    <row r="434" ht="16.1" customHeight="1">
      <c r="A434" t="s" s="10">
        <v>4491</v>
      </c>
      <c r="B434" t="s" s="11">
        <v>4492</v>
      </c>
      <c r="C434" s="12">
        <v>45170.833016226854</v>
      </c>
      <c r="D434" t="s" s="13">
        <v>15</v>
      </c>
      <c r="E434" t="s" s="13">
        <v>16</v>
      </c>
      <c r="F434" s="14">
        <v>4</v>
      </c>
      <c r="G434" s="15">
        <v>8.99</v>
      </c>
      <c r="H434" s="15">
        <v>35.96</v>
      </c>
    </row>
    <row r="435" ht="16.1" customHeight="1">
      <c r="A435" t="s" s="10">
        <v>4491</v>
      </c>
      <c r="B435" t="s" s="11">
        <v>4492</v>
      </c>
      <c r="C435" s="12">
        <v>45170.833016226854</v>
      </c>
      <c r="D435" t="s" s="13">
        <v>3886</v>
      </c>
      <c r="E435" t="s" s="13">
        <v>3887</v>
      </c>
      <c r="F435" s="14">
        <v>1</v>
      </c>
      <c r="G435" s="15">
        <v>299.99</v>
      </c>
      <c r="H435" s="15">
        <v>299.99</v>
      </c>
    </row>
    <row r="436" ht="16.1" customHeight="1">
      <c r="A436" t="s" s="10">
        <v>4493</v>
      </c>
      <c r="B436" t="s" s="11">
        <v>4217</v>
      </c>
      <c r="C436" s="12">
        <v>45170.788183576391</v>
      </c>
      <c r="D436" t="s" s="13">
        <v>95</v>
      </c>
      <c r="E436" t="s" s="13">
        <v>12</v>
      </c>
      <c r="F436" s="14">
        <v>2</v>
      </c>
      <c r="G436" s="15">
        <v>349.99</v>
      </c>
      <c r="H436" s="15">
        <v>699.98</v>
      </c>
    </row>
    <row r="437" ht="16.1" customHeight="1">
      <c r="A437" t="s" s="10">
        <v>4494</v>
      </c>
      <c r="B437" t="s" s="11">
        <v>4495</v>
      </c>
      <c r="C437" s="12">
        <v>45170.676094872688</v>
      </c>
      <c r="D437" t="s" s="13">
        <v>77</v>
      </c>
      <c r="E437" t="s" s="13">
        <v>4224</v>
      </c>
      <c r="F437" s="14">
        <v>1</v>
      </c>
      <c r="G437" s="15">
        <v>19.99</v>
      </c>
      <c r="H437" s="15">
        <v>19.99</v>
      </c>
    </row>
    <row r="438" ht="16.1" customHeight="1">
      <c r="A438" t="s" s="10">
        <v>4494</v>
      </c>
      <c r="B438" t="s" s="11">
        <v>4495</v>
      </c>
      <c r="C438" s="12">
        <v>45170.676094872688</v>
      </c>
      <c r="D438" t="s" s="13">
        <v>1961</v>
      </c>
      <c r="E438" t="s" s="13">
        <v>1962</v>
      </c>
      <c r="F438" s="14">
        <v>1</v>
      </c>
      <c r="G438" s="15">
        <v>109.99</v>
      </c>
      <c r="H438" s="15">
        <v>109.99</v>
      </c>
    </row>
    <row r="439" ht="16.1" customHeight="1">
      <c r="A439" t="s" s="10">
        <v>4496</v>
      </c>
      <c r="B439" t="s" s="11">
        <v>4497</v>
      </c>
      <c r="C439" s="12">
        <v>45170.643664502313</v>
      </c>
      <c r="D439" t="s" s="13">
        <v>95</v>
      </c>
      <c r="E439" t="s" s="13">
        <v>12</v>
      </c>
      <c r="F439" s="14">
        <v>1</v>
      </c>
      <c r="G439" s="15">
        <v>349.99</v>
      </c>
      <c r="H439" s="15">
        <v>349.99</v>
      </c>
    </row>
    <row r="440" ht="16.1" customHeight="1">
      <c r="A440" t="s" s="10">
        <v>4498</v>
      </c>
      <c r="B440" t="s" s="11">
        <v>4499</v>
      </c>
      <c r="C440" s="12">
        <v>45170.538244895833</v>
      </c>
      <c r="D440" t="s" s="13">
        <v>89</v>
      </c>
      <c r="E440" t="s" s="13">
        <v>90</v>
      </c>
      <c r="F440" s="14">
        <v>1</v>
      </c>
      <c r="G440" s="15">
        <v>59.99</v>
      </c>
      <c r="H440" s="15">
        <v>59.99</v>
      </c>
    </row>
    <row r="441" ht="16.1" customHeight="1">
      <c r="A441" t="s" s="10">
        <v>4498</v>
      </c>
      <c r="B441" t="s" s="11">
        <v>4499</v>
      </c>
      <c r="C441" s="12">
        <v>45170.538244895833</v>
      </c>
      <c r="D441" t="s" s="13">
        <v>35</v>
      </c>
      <c r="E441" t="s" s="13">
        <v>36</v>
      </c>
      <c r="F441" s="14">
        <v>1</v>
      </c>
      <c r="G441" s="15">
        <v>49.99</v>
      </c>
      <c r="H441" s="15">
        <v>49.99</v>
      </c>
    </row>
    <row r="442" ht="16.1" customHeight="1">
      <c r="A442" t="s" s="10">
        <v>4500</v>
      </c>
      <c r="B442" t="s" s="11">
        <v>4501</v>
      </c>
      <c r="C442" s="12">
        <v>45170.171102824075</v>
      </c>
      <c r="D442" t="s" s="13">
        <v>19</v>
      </c>
      <c r="E442" t="s" s="13">
        <v>20</v>
      </c>
      <c r="F442" s="14">
        <v>1</v>
      </c>
      <c r="G442" s="15">
        <v>119.99</v>
      </c>
      <c r="H442" s="15">
        <v>119.99</v>
      </c>
    </row>
    <row r="443" ht="16.1" customHeight="1">
      <c r="A443" t="s" s="10">
        <v>4500</v>
      </c>
      <c r="B443" t="s" s="11">
        <v>4501</v>
      </c>
      <c r="C443" s="12">
        <v>45170.171102824075</v>
      </c>
      <c r="D443" t="s" s="13">
        <v>15</v>
      </c>
      <c r="E443" t="s" s="13">
        <v>16</v>
      </c>
      <c r="F443" s="14">
        <v>1</v>
      </c>
      <c r="G443" s="15">
        <v>8.99</v>
      </c>
      <c r="H443" s="15">
        <v>8.99</v>
      </c>
    </row>
    <row r="444" ht="16.1" customHeight="1">
      <c r="A444" t="s" s="10">
        <v>4502</v>
      </c>
      <c r="B444" t="s" s="11">
        <v>4503</v>
      </c>
      <c r="C444" s="12">
        <v>45170</v>
      </c>
      <c r="D444" t="s" s="13">
        <v>254</v>
      </c>
      <c r="E444" t="s" s="13">
        <v>4504</v>
      </c>
      <c r="F444" s="14">
        <v>1</v>
      </c>
      <c r="G444" s="15">
        <v>0</v>
      </c>
      <c r="H444" s="15">
        <v>0</v>
      </c>
    </row>
    <row r="446" ht="15.55" customHeight="1">
      <c r="I446" t="s" s="2">
        <v>4505</v>
      </c>
      <c r="J446" s="2"/>
      <c r="K446" s="2"/>
      <c r="L446" s="2"/>
      <c r="M446" s="2"/>
      <c r="N446" s="2"/>
      <c r="O446" s="2"/>
    </row>
    <row r="448" ht="16.1" customHeight="1">
      <c r="I448" t="s" s="20">
        <v>2</v>
      </c>
      <c r="J448" t="s" s="21">
        <v>1</v>
      </c>
      <c r="K448" t="s" s="21">
        <v>616</v>
      </c>
      <c r="L448" t="s" s="22">
        <v>4</v>
      </c>
      <c r="M448" t="s" s="23">
        <v>617</v>
      </c>
      <c r="N448" t="s" s="3">
        <v>618</v>
      </c>
      <c r="O448" t="s" s="3">
        <v>619</v>
      </c>
    </row>
    <row r="449" ht="16.1" customHeight="1">
      <c r="I449" t="s" s="121">
        <v>210</v>
      </c>
      <c r="J449" s="122"/>
      <c r="K449" s="122"/>
      <c r="L449" s="123"/>
      <c r="M449" s="124">
        <v>22</v>
      </c>
      <c r="N449" s="141">
        <v>359.99</v>
      </c>
      <c r="O449" s="141">
        <v>689.88</v>
      </c>
    </row>
    <row r="450" ht="16.1" customHeight="1">
      <c r="I450" t="s" s="126">
        <v>4487</v>
      </c>
      <c r="J450" s="127"/>
      <c r="K450" s="127"/>
      <c r="L450" s="128"/>
      <c r="M450" s="129">
        <v>1</v>
      </c>
      <c r="N450" s="142">
        <v>599.99</v>
      </c>
      <c r="O450" s="142">
        <v>599.99</v>
      </c>
    </row>
    <row r="451" ht="16.1" customHeight="1">
      <c r="I451" t="s" s="126">
        <v>4246</v>
      </c>
      <c r="J451" s="127"/>
      <c r="K451" s="127"/>
      <c r="L451" s="128"/>
      <c r="M451" s="129">
        <v>6</v>
      </c>
      <c r="N451" s="142">
        <v>168.97</v>
      </c>
      <c r="O451" s="142">
        <v>172.95</v>
      </c>
    </row>
    <row r="452" ht="16.1" customHeight="1">
      <c r="I452" t="s" s="126">
        <v>4435</v>
      </c>
      <c r="J452" s="127"/>
      <c r="K452" s="127"/>
      <c r="L452" s="128"/>
      <c r="M452" s="129">
        <v>2</v>
      </c>
      <c r="N452" s="142">
        <v>58.98</v>
      </c>
      <c r="O452" s="142">
        <v>58.98</v>
      </c>
    </row>
    <row r="453" ht="16.1" customHeight="1">
      <c r="I453" t="s" s="126">
        <v>1110</v>
      </c>
      <c r="J453" s="127"/>
      <c r="K453" s="127"/>
      <c r="L453" s="128"/>
      <c r="M453" s="129">
        <v>21</v>
      </c>
      <c r="N453" s="142">
        <v>1449.9925</v>
      </c>
      <c r="O453" s="142">
        <v>5049.97</v>
      </c>
    </row>
    <row r="454" ht="16.1" customHeight="1">
      <c r="I454" t="s" s="126">
        <v>161</v>
      </c>
      <c r="J454" s="127"/>
      <c r="K454" s="127"/>
      <c r="L454" s="128"/>
      <c r="M454" s="129">
        <v>7</v>
      </c>
      <c r="N454" s="142">
        <v>960</v>
      </c>
      <c r="O454" s="142">
        <v>2760</v>
      </c>
    </row>
    <row r="455" ht="16.1" customHeight="1">
      <c r="I455" t="s" s="126">
        <v>4205</v>
      </c>
      <c r="J455" s="127"/>
      <c r="K455" s="127"/>
      <c r="L455" s="128"/>
      <c r="M455" s="129">
        <v>2</v>
      </c>
      <c r="N455" s="142">
        <v>129.98</v>
      </c>
      <c r="O455" s="142">
        <v>129.98</v>
      </c>
    </row>
    <row r="456" ht="16.1" customHeight="1">
      <c r="I456" t="s" s="126">
        <v>4209</v>
      </c>
      <c r="J456" s="127"/>
      <c r="K456" s="127"/>
      <c r="L456" s="128"/>
      <c r="M456" s="129">
        <v>1</v>
      </c>
      <c r="N456" s="142">
        <v>399.99</v>
      </c>
      <c r="O456" s="142">
        <v>399.99</v>
      </c>
    </row>
    <row r="457" ht="16.1" customHeight="1">
      <c r="I457" t="s" s="126">
        <v>4217</v>
      </c>
      <c r="J457" s="127"/>
      <c r="K457" s="127"/>
      <c r="L457" s="128"/>
      <c r="M457" s="129">
        <v>4</v>
      </c>
      <c r="N457" s="142">
        <v>409.97</v>
      </c>
      <c r="O457" s="142">
        <v>759.96</v>
      </c>
    </row>
    <row r="458" ht="16.1" customHeight="1">
      <c r="I458" t="s" s="126">
        <v>2403</v>
      </c>
      <c r="J458" s="127"/>
      <c r="K458" s="127"/>
      <c r="L458" s="128"/>
      <c r="M458" s="129">
        <v>41</v>
      </c>
      <c r="N458" s="142">
        <v>739.99</v>
      </c>
      <c r="O458" s="142">
        <v>3799.99</v>
      </c>
    </row>
    <row r="459" ht="16.1" customHeight="1">
      <c r="I459" t="s" s="126">
        <v>4207</v>
      </c>
      <c r="J459" s="127"/>
      <c r="K459" s="127"/>
      <c r="L459" s="128"/>
      <c r="M459" s="129">
        <v>12</v>
      </c>
      <c r="N459" s="142">
        <v>1729.97</v>
      </c>
      <c r="O459" s="142">
        <v>3029.96</v>
      </c>
    </row>
    <row r="460" ht="16.1" customHeight="1">
      <c r="I460" t="s" s="126">
        <v>4100</v>
      </c>
      <c r="J460" s="127"/>
      <c r="K460" s="127"/>
      <c r="L460" s="128"/>
      <c r="M460" s="129">
        <v>6</v>
      </c>
      <c r="N460" s="142">
        <v>649.97</v>
      </c>
      <c r="O460" s="142">
        <v>1299.94</v>
      </c>
    </row>
    <row r="461" ht="16.1" customHeight="1">
      <c r="I461" t="s" s="126">
        <v>4286</v>
      </c>
      <c r="J461" s="127"/>
      <c r="K461" s="127"/>
      <c r="L461" s="128"/>
      <c r="M461" s="129">
        <v>12</v>
      </c>
      <c r="N461" s="142">
        <v>169.96</v>
      </c>
      <c r="O461" s="142">
        <v>599.88</v>
      </c>
    </row>
    <row r="462" ht="16.1" customHeight="1">
      <c r="I462" t="s" s="126">
        <v>4501</v>
      </c>
      <c r="J462" s="127"/>
      <c r="K462" s="127"/>
      <c r="L462" s="128"/>
      <c r="M462" s="129">
        <v>2</v>
      </c>
      <c r="N462" s="142">
        <v>128.98</v>
      </c>
      <c r="O462" s="142">
        <v>128.98</v>
      </c>
    </row>
    <row r="463" ht="16.1" customHeight="1">
      <c r="I463" t="s" s="126">
        <v>4470</v>
      </c>
      <c r="J463" s="127"/>
      <c r="K463" s="127"/>
      <c r="L463" s="128"/>
      <c r="M463" s="129">
        <v>1</v>
      </c>
      <c r="N463" s="142">
        <v>399.99</v>
      </c>
      <c r="O463" s="142">
        <v>399.99</v>
      </c>
    </row>
    <row r="464" ht="16.1" customHeight="1">
      <c r="I464" t="s" s="126">
        <v>4221</v>
      </c>
      <c r="J464" s="127"/>
      <c r="K464" s="127"/>
      <c r="L464" s="128"/>
      <c r="M464" s="129">
        <v>3</v>
      </c>
      <c r="N464" s="142">
        <v>809.97</v>
      </c>
      <c r="O464" s="142">
        <v>809.97</v>
      </c>
    </row>
    <row r="465" ht="16.1" customHeight="1">
      <c r="I465" t="s" s="126">
        <v>4477</v>
      </c>
      <c r="J465" s="127"/>
      <c r="K465" s="127"/>
      <c r="L465" s="128"/>
      <c r="M465" s="129">
        <v>3</v>
      </c>
      <c r="N465" s="142">
        <v>478.97</v>
      </c>
      <c r="O465" s="142">
        <v>478.97</v>
      </c>
    </row>
    <row r="466" ht="16.1" customHeight="1">
      <c r="I466" t="s" s="126">
        <v>4324</v>
      </c>
      <c r="J466" s="127"/>
      <c r="K466" s="127"/>
      <c r="L466" s="128"/>
      <c r="M466" s="129">
        <v>3</v>
      </c>
      <c r="N466" s="142">
        <v>149.97</v>
      </c>
      <c r="O466" s="142">
        <v>149.97</v>
      </c>
    </row>
    <row r="467" ht="16.1" customHeight="1">
      <c r="I467" t="s" s="126">
        <v>4402</v>
      </c>
      <c r="J467" s="127"/>
      <c r="K467" s="127"/>
      <c r="L467" s="128"/>
      <c r="M467" s="129">
        <v>2</v>
      </c>
      <c r="N467" s="142">
        <v>7.49</v>
      </c>
      <c r="O467" s="142">
        <v>14.98</v>
      </c>
    </row>
    <row r="468" ht="16.1" customHeight="1">
      <c r="I468" t="s" s="126">
        <v>4347</v>
      </c>
      <c r="J468" s="127"/>
      <c r="K468" s="127"/>
      <c r="L468" s="128"/>
      <c r="M468" s="129">
        <v>1</v>
      </c>
      <c r="N468" s="142">
        <v>49.99</v>
      </c>
      <c r="O468" s="142">
        <v>49.99</v>
      </c>
    </row>
    <row r="469" ht="16.1" customHeight="1">
      <c r="I469" t="s" s="126">
        <v>4266</v>
      </c>
      <c r="J469" s="127"/>
      <c r="K469" s="127"/>
      <c r="L469" s="128"/>
      <c r="M469" s="129">
        <v>2</v>
      </c>
      <c r="N469" s="142">
        <v>399.99</v>
      </c>
      <c r="O469" s="142">
        <v>799.98</v>
      </c>
    </row>
    <row r="470" ht="16.1" customHeight="1">
      <c r="I470" t="s" s="126">
        <v>4389</v>
      </c>
      <c r="J470" s="127"/>
      <c r="K470" s="127"/>
      <c r="L470" s="128"/>
      <c r="M470" s="129">
        <v>1</v>
      </c>
      <c r="N470" s="142">
        <v>399.99</v>
      </c>
      <c r="O470" s="142">
        <v>399.99</v>
      </c>
    </row>
    <row r="471" ht="16.1" customHeight="1">
      <c r="I471" t="s" s="126">
        <v>4368</v>
      </c>
      <c r="J471" s="127"/>
      <c r="K471" s="127"/>
      <c r="L471" s="128"/>
      <c r="M471" s="129">
        <v>2</v>
      </c>
      <c r="N471" s="142">
        <v>1599.98</v>
      </c>
      <c r="O471" s="142">
        <v>1599.98</v>
      </c>
    </row>
    <row r="472" ht="16.1" customHeight="1">
      <c r="I472" t="s" s="126">
        <v>2543</v>
      </c>
      <c r="J472" s="127"/>
      <c r="K472" s="127"/>
      <c r="L472" s="128"/>
      <c r="M472" s="129">
        <v>1</v>
      </c>
      <c r="N472" s="142">
        <v>49.99</v>
      </c>
      <c r="O472" s="142">
        <v>49.99</v>
      </c>
    </row>
    <row r="473" ht="16.1" customHeight="1">
      <c r="I473" t="s" s="126">
        <v>4503</v>
      </c>
      <c r="J473" s="127"/>
      <c r="K473" s="127"/>
      <c r="L473" s="128"/>
      <c r="M473" s="129">
        <v>1</v>
      </c>
      <c r="N473" s="142">
        <v>0</v>
      </c>
      <c r="O473" s="142">
        <v>0</v>
      </c>
    </row>
    <row r="474" ht="16.1" customHeight="1">
      <c r="I474" t="s" s="126">
        <v>4443</v>
      </c>
      <c r="J474" s="127"/>
      <c r="K474" s="127"/>
      <c r="L474" s="128"/>
      <c r="M474" s="129">
        <v>2</v>
      </c>
      <c r="N474" s="142">
        <v>345</v>
      </c>
      <c r="O474" s="142">
        <v>345</v>
      </c>
    </row>
    <row r="475" ht="16.1" customHeight="1">
      <c r="I475" t="s" s="126">
        <v>4360</v>
      </c>
      <c r="J475" s="127"/>
      <c r="K475" s="127"/>
      <c r="L475" s="128"/>
      <c r="M475" s="129">
        <v>42</v>
      </c>
      <c r="N475" s="142">
        <v>4024.94</v>
      </c>
      <c r="O475" s="142">
        <v>11157.2825</v>
      </c>
    </row>
    <row r="476" ht="16.1" customHeight="1">
      <c r="I476" t="s" s="126">
        <v>4296</v>
      </c>
      <c r="J476" s="127"/>
      <c r="K476" s="127"/>
      <c r="L476" s="128"/>
      <c r="M476" s="129">
        <v>1</v>
      </c>
      <c r="N476" s="142">
        <v>349.99</v>
      </c>
      <c r="O476" s="142">
        <v>349.99</v>
      </c>
    </row>
    <row r="477" ht="16.1" customHeight="1">
      <c r="I477" t="s" s="126">
        <v>4201</v>
      </c>
      <c r="J477" s="127"/>
      <c r="K477" s="127"/>
      <c r="L477" s="128"/>
      <c r="M477" s="129">
        <v>1</v>
      </c>
      <c r="N477" s="142">
        <v>399.99</v>
      </c>
      <c r="O477" s="142">
        <v>399.99</v>
      </c>
    </row>
    <row r="478" ht="16.1" customHeight="1">
      <c r="I478" t="s" s="126">
        <v>4171</v>
      </c>
      <c r="J478" s="127"/>
      <c r="K478" s="127"/>
      <c r="L478" s="128"/>
      <c r="M478" s="129">
        <v>1</v>
      </c>
      <c r="N478" s="142">
        <v>399.99</v>
      </c>
      <c r="O478" s="142">
        <v>399.99</v>
      </c>
    </row>
    <row r="479" ht="16.1" customHeight="1">
      <c r="I479" t="s" s="126">
        <v>4352</v>
      </c>
      <c r="J479" s="127"/>
      <c r="K479" s="127"/>
      <c r="L479" s="128"/>
      <c r="M479" s="129">
        <v>4</v>
      </c>
      <c r="N479" s="142">
        <v>129.98</v>
      </c>
      <c r="O479" s="142">
        <v>259.96</v>
      </c>
    </row>
    <row r="480" ht="16.1" customHeight="1">
      <c r="I480" t="s" s="126">
        <v>4030</v>
      </c>
      <c r="J480" s="127"/>
      <c r="K480" s="127"/>
      <c r="L480" s="128"/>
      <c r="M480" s="129">
        <v>4</v>
      </c>
      <c r="N480" s="142">
        <v>559.96</v>
      </c>
      <c r="O480" s="142">
        <v>559.96</v>
      </c>
    </row>
    <row r="481" ht="16.1" customHeight="1">
      <c r="I481" t="s" s="126">
        <v>4433</v>
      </c>
      <c r="J481" s="127"/>
      <c r="K481" s="127"/>
      <c r="L481" s="128"/>
      <c r="M481" s="129">
        <v>1</v>
      </c>
      <c r="N481" s="142">
        <v>549.99</v>
      </c>
      <c r="O481" s="142">
        <v>549.99</v>
      </c>
    </row>
    <row r="482" ht="16.1" customHeight="1">
      <c r="I482" t="s" s="126">
        <v>4492</v>
      </c>
      <c r="J482" s="127"/>
      <c r="K482" s="127"/>
      <c r="L482" s="128"/>
      <c r="M482" s="129">
        <v>10</v>
      </c>
      <c r="N482" s="142">
        <v>728.96</v>
      </c>
      <c r="O482" s="142">
        <v>1115.9</v>
      </c>
    </row>
    <row r="483" ht="16.1" customHeight="1">
      <c r="I483" t="s" s="126">
        <v>4219</v>
      </c>
      <c r="J483" s="127"/>
      <c r="K483" s="127"/>
      <c r="L483" s="128"/>
      <c r="M483" s="129">
        <v>1</v>
      </c>
      <c r="N483" s="142">
        <v>324.99</v>
      </c>
      <c r="O483" s="142">
        <v>324.99</v>
      </c>
    </row>
    <row r="484" ht="16.1" customHeight="1">
      <c r="I484" t="s" s="126">
        <v>2056</v>
      </c>
      <c r="J484" s="127"/>
      <c r="K484" s="127"/>
      <c r="L484" s="128"/>
      <c r="M484" s="129">
        <v>1</v>
      </c>
      <c r="N484" s="142">
        <v>399.99</v>
      </c>
      <c r="O484" s="142">
        <v>399.99</v>
      </c>
    </row>
    <row r="485" ht="16.1" customHeight="1">
      <c r="I485" t="s" s="126">
        <v>4268</v>
      </c>
      <c r="J485" s="127"/>
      <c r="K485" s="127"/>
      <c r="L485" s="128"/>
      <c r="M485" s="129">
        <v>6</v>
      </c>
      <c r="N485" s="142">
        <v>1305.97</v>
      </c>
      <c r="O485" s="142">
        <v>1305.97</v>
      </c>
    </row>
    <row r="486" ht="16.1" customHeight="1">
      <c r="I486" t="s" s="126">
        <v>4273</v>
      </c>
      <c r="J486" s="127"/>
      <c r="K486" s="127"/>
      <c r="L486" s="128"/>
      <c r="M486" s="129">
        <v>4</v>
      </c>
      <c r="N486" s="142">
        <v>49.99</v>
      </c>
      <c r="O486" s="142">
        <v>199.96</v>
      </c>
    </row>
    <row r="487" ht="16.1" customHeight="1">
      <c r="I487" t="s" s="126">
        <v>831</v>
      </c>
      <c r="J487" s="127"/>
      <c r="K487" s="127"/>
      <c r="L487" s="128"/>
      <c r="M487" s="129">
        <v>294</v>
      </c>
      <c r="N487" s="142">
        <v>3318.4625</v>
      </c>
      <c r="O487" s="142">
        <v>18333.29</v>
      </c>
    </row>
    <row r="488" ht="16.1" customHeight="1">
      <c r="I488" t="s" s="126">
        <v>4421</v>
      </c>
      <c r="J488" s="127"/>
      <c r="K488" s="127"/>
      <c r="L488" s="128"/>
      <c r="M488" s="129">
        <v>1</v>
      </c>
      <c r="N488" s="142">
        <v>49.99</v>
      </c>
      <c r="O488" s="142">
        <v>49.99</v>
      </c>
    </row>
    <row r="489" ht="16.1" customHeight="1">
      <c r="I489" t="s" s="126">
        <v>1570</v>
      </c>
      <c r="J489" s="127"/>
      <c r="K489" s="127"/>
      <c r="L489" s="128"/>
      <c r="M489" s="129">
        <v>82</v>
      </c>
      <c r="N489" s="142">
        <v>802.311739</v>
      </c>
      <c r="O489" s="142">
        <v>3518.848912</v>
      </c>
    </row>
    <row r="490" ht="16.1" customHeight="1">
      <c r="I490" t="s" s="126">
        <v>4237</v>
      </c>
      <c r="J490" s="127"/>
      <c r="K490" s="127"/>
      <c r="L490" s="128"/>
      <c r="M490" s="129">
        <v>4</v>
      </c>
      <c r="N490" s="142">
        <v>99.98999999999999</v>
      </c>
      <c r="O490" s="142">
        <v>399.96</v>
      </c>
    </row>
    <row r="491" ht="16.1" customHeight="1">
      <c r="I491" t="s" s="126">
        <v>391</v>
      </c>
      <c r="J491" s="127"/>
      <c r="K491" s="127"/>
      <c r="L491" s="128"/>
      <c r="M491" s="129">
        <v>25</v>
      </c>
      <c r="N491" s="142">
        <v>239.9925</v>
      </c>
      <c r="O491" s="142">
        <v>1214.955</v>
      </c>
    </row>
    <row r="492" ht="16.1" customHeight="1">
      <c r="I492" t="s" s="126">
        <v>911</v>
      </c>
      <c r="J492" s="127"/>
      <c r="K492" s="127"/>
      <c r="L492" s="128"/>
      <c r="M492" s="129">
        <v>19</v>
      </c>
      <c r="N492" s="142">
        <v>1037.96</v>
      </c>
      <c r="O492" s="142">
        <v>5203.81</v>
      </c>
    </row>
    <row r="493" ht="16.1" customHeight="1">
      <c r="I493" t="s" s="126">
        <v>4414</v>
      </c>
      <c r="J493" s="127"/>
      <c r="K493" s="127"/>
      <c r="L493" s="128"/>
      <c r="M493" s="129">
        <v>2</v>
      </c>
      <c r="N493" s="142">
        <v>29.99</v>
      </c>
      <c r="O493" s="142">
        <v>59.98</v>
      </c>
    </row>
    <row r="494" ht="16.1" customHeight="1">
      <c r="I494" t="s" s="126">
        <v>4423</v>
      </c>
      <c r="J494" s="127"/>
      <c r="K494" s="127"/>
      <c r="L494" s="128"/>
      <c r="M494" s="129">
        <v>2</v>
      </c>
      <c r="N494" s="142">
        <v>599.99</v>
      </c>
      <c r="O494" s="142">
        <v>1199.98</v>
      </c>
    </row>
    <row r="495" ht="16.1" customHeight="1">
      <c r="I495" t="s" s="126">
        <v>4431</v>
      </c>
      <c r="J495" s="127"/>
      <c r="K495" s="127"/>
      <c r="L495" s="128"/>
      <c r="M495" s="129">
        <v>2</v>
      </c>
      <c r="N495" s="142">
        <v>652.49</v>
      </c>
      <c r="O495" s="142">
        <v>652.49</v>
      </c>
    </row>
    <row r="496" ht="16.1" customHeight="1">
      <c r="I496" t="s" s="126">
        <v>4495</v>
      </c>
      <c r="J496" s="127"/>
      <c r="K496" s="127"/>
      <c r="L496" s="128"/>
      <c r="M496" s="129">
        <v>2</v>
      </c>
      <c r="N496" s="142">
        <v>129.98</v>
      </c>
      <c r="O496" s="142">
        <v>129.98</v>
      </c>
    </row>
    <row r="497" ht="16.1" customHeight="1">
      <c r="I497" t="s" s="126">
        <v>4256</v>
      </c>
      <c r="J497" s="127"/>
      <c r="K497" s="127"/>
      <c r="L497" s="128"/>
      <c r="M497" s="129">
        <v>2</v>
      </c>
      <c r="N497" s="142">
        <v>22.99</v>
      </c>
      <c r="O497" s="142">
        <v>45.98</v>
      </c>
    </row>
    <row r="498" ht="16.1" customHeight="1">
      <c r="I498" t="s" s="126">
        <v>555</v>
      </c>
      <c r="J498" s="127"/>
      <c r="K498" s="127"/>
      <c r="L498" s="128"/>
      <c r="M498" s="129">
        <v>12</v>
      </c>
      <c r="N498" s="142">
        <v>2919.9825</v>
      </c>
      <c r="O498" s="142">
        <v>5619.915</v>
      </c>
    </row>
    <row r="499" ht="16.1" customHeight="1">
      <c r="I499" t="s" s="126">
        <v>3142</v>
      </c>
      <c r="J499" s="127"/>
      <c r="K499" s="127"/>
      <c r="L499" s="128"/>
      <c r="M499" s="129">
        <v>5</v>
      </c>
      <c r="N499" s="142">
        <v>129.96</v>
      </c>
      <c r="O499" s="142">
        <v>189.95</v>
      </c>
    </row>
    <row r="500" ht="16.1" customHeight="1">
      <c r="I500" t="s" s="126">
        <v>69</v>
      </c>
      <c r="J500" s="127"/>
      <c r="K500" s="127"/>
      <c r="L500" s="128"/>
      <c r="M500" s="129">
        <v>1132</v>
      </c>
      <c r="N500" s="142">
        <v>4113.9207255</v>
      </c>
      <c r="O500" s="142">
        <v>24874.485402</v>
      </c>
    </row>
    <row r="501" ht="16.1" customHeight="1">
      <c r="I501" t="s" s="126">
        <v>4363</v>
      </c>
      <c r="J501" s="127"/>
      <c r="K501" s="127"/>
      <c r="L501" s="128"/>
      <c r="M501" s="129">
        <v>7</v>
      </c>
      <c r="N501" s="142">
        <v>178.97</v>
      </c>
      <c r="O501" s="142">
        <v>225.93</v>
      </c>
    </row>
    <row r="502" ht="16.1" customHeight="1">
      <c r="I502" t="s" s="126">
        <v>3902</v>
      </c>
      <c r="J502" s="127"/>
      <c r="K502" s="127"/>
      <c r="L502" s="128"/>
      <c r="M502" s="129">
        <v>2</v>
      </c>
      <c r="N502" s="142">
        <v>214.99</v>
      </c>
      <c r="O502" s="142">
        <v>214.99</v>
      </c>
    </row>
    <row r="503" ht="16.1" customHeight="1">
      <c r="I503" t="s" s="126">
        <v>4450</v>
      </c>
      <c r="J503" s="127"/>
      <c r="K503" s="127"/>
      <c r="L503" s="128"/>
      <c r="M503" s="129">
        <v>4</v>
      </c>
      <c r="N503" s="142">
        <v>29.99</v>
      </c>
      <c r="O503" s="142">
        <v>119.96</v>
      </c>
    </row>
    <row r="504" ht="16.1" customHeight="1">
      <c r="I504" t="s" s="126">
        <v>4427</v>
      </c>
      <c r="J504" s="127"/>
      <c r="K504" s="127"/>
      <c r="L504" s="128"/>
      <c r="M504" s="129">
        <v>7</v>
      </c>
      <c r="N504" s="142">
        <v>478.95</v>
      </c>
      <c r="O504" s="142">
        <v>588.9299999999999</v>
      </c>
    </row>
    <row r="505" ht="16.1" customHeight="1">
      <c r="I505" t="s" s="126">
        <v>4337</v>
      </c>
      <c r="J505" s="127"/>
      <c r="K505" s="127"/>
      <c r="L505" s="128"/>
      <c r="M505" s="129">
        <v>1</v>
      </c>
      <c r="N505" s="142">
        <v>399.99</v>
      </c>
      <c r="O505" s="142">
        <v>399.99</v>
      </c>
    </row>
    <row r="506" ht="16.1" customHeight="1">
      <c r="I506" t="s" s="126">
        <v>4196</v>
      </c>
      <c r="J506" s="127"/>
      <c r="K506" s="127"/>
      <c r="L506" s="128"/>
      <c r="M506" s="129">
        <v>1</v>
      </c>
      <c r="N506" s="142">
        <v>399.99</v>
      </c>
      <c r="O506" s="142">
        <v>399.99</v>
      </c>
    </row>
    <row r="507" ht="16.1" customHeight="1">
      <c r="I507" t="s" s="126">
        <v>4482</v>
      </c>
      <c r="J507" s="127"/>
      <c r="K507" s="127"/>
      <c r="L507" s="128"/>
      <c r="M507" s="129">
        <v>1</v>
      </c>
      <c r="N507" s="142">
        <v>399.99</v>
      </c>
      <c r="O507" s="142">
        <v>399.99</v>
      </c>
    </row>
    <row r="508" ht="16.1" customHeight="1">
      <c r="I508" t="s" s="126">
        <v>476</v>
      </c>
      <c r="J508" s="127"/>
      <c r="K508" s="127"/>
      <c r="L508" s="128"/>
      <c r="M508" s="129">
        <v>32</v>
      </c>
      <c r="N508" s="142">
        <v>1140.985</v>
      </c>
      <c r="O508" s="142">
        <v>8055.9175</v>
      </c>
    </row>
    <row r="509" ht="16.1" customHeight="1">
      <c r="I509" t="s" s="126">
        <v>896</v>
      </c>
      <c r="J509" s="127"/>
      <c r="K509" s="127"/>
      <c r="L509" s="128"/>
      <c r="M509" s="129">
        <v>262</v>
      </c>
      <c r="N509" s="142">
        <v>1424</v>
      </c>
      <c r="O509" s="142">
        <v>7027.2</v>
      </c>
    </row>
    <row r="510" ht="16.1" customHeight="1">
      <c r="I510" t="s" s="126">
        <v>3852</v>
      </c>
      <c r="J510" s="127"/>
      <c r="K510" s="127"/>
      <c r="L510" s="128"/>
      <c r="M510" s="129">
        <v>38</v>
      </c>
      <c r="N510" s="142">
        <v>1359.95</v>
      </c>
      <c r="O510" s="142">
        <v>6239.78</v>
      </c>
    </row>
    <row r="511" ht="16.1" customHeight="1">
      <c r="I511" t="s" s="126">
        <v>4385</v>
      </c>
      <c r="J511" s="127"/>
      <c r="K511" s="127"/>
      <c r="L511" s="128"/>
      <c r="M511" s="129">
        <v>9</v>
      </c>
      <c r="N511" s="142">
        <v>2119.98</v>
      </c>
      <c r="O511" s="142">
        <v>3039.97</v>
      </c>
    </row>
    <row r="512" ht="16.1" customHeight="1">
      <c r="I512" t="s" s="126">
        <v>4322</v>
      </c>
      <c r="J512" s="127"/>
      <c r="K512" s="127"/>
      <c r="L512" s="128"/>
      <c r="M512" s="129">
        <v>2</v>
      </c>
      <c r="N512" s="142">
        <v>149.99</v>
      </c>
      <c r="O512" s="142">
        <v>299.98</v>
      </c>
    </row>
    <row r="513" ht="16.1" customHeight="1">
      <c r="I513" t="s" s="126">
        <v>2756</v>
      </c>
      <c r="J513" s="127"/>
      <c r="K513" s="127"/>
      <c r="L513" s="128"/>
      <c r="M513" s="129">
        <v>7</v>
      </c>
      <c r="N513" s="142">
        <v>459.97</v>
      </c>
      <c r="O513" s="142">
        <v>1069.93</v>
      </c>
    </row>
    <row r="514" ht="16.1" customHeight="1">
      <c r="I514" t="s" s="126">
        <v>164</v>
      </c>
      <c r="J514" s="127"/>
      <c r="K514" s="127"/>
      <c r="L514" s="128"/>
      <c r="M514" s="129">
        <v>4</v>
      </c>
      <c r="N514" s="142">
        <v>499.99</v>
      </c>
      <c r="O514" s="142">
        <v>999.98</v>
      </c>
    </row>
    <row r="515" ht="16.1" customHeight="1">
      <c r="I515" t="s" s="126">
        <v>4301</v>
      </c>
      <c r="J515" s="127"/>
      <c r="K515" s="127"/>
      <c r="L515" s="128"/>
      <c r="M515" s="129">
        <v>3</v>
      </c>
      <c r="N515" s="142">
        <v>0</v>
      </c>
      <c r="O515" s="142">
        <v>0</v>
      </c>
    </row>
    <row r="516" ht="16.1" customHeight="1">
      <c r="I516" t="s" s="126">
        <v>4452</v>
      </c>
      <c r="J516" s="127"/>
      <c r="K516" s="127"/>
      <c r="L516" s="128"/>
      <c r="M516" s="129">
        <v>2</v>
      </c>
      <c r="N516" s="142">
        <v>149.99</v>
      </c>
      <c r="O516" s="142">
        <v>299.98</v>
      </c>
    </row>
    <row r="517" ht="16.1" customHeight="1">
      <c r="I517" t="s" s="126">
        <v>1043</v>
      </c>
      <c r="J517" s="127"/>
      <c r="K517" s="127"/>
      <c r="L517" s="128"/>
      <c r="M517" s="129">
        <v>2</v>
      </c>
      <c r="N517" s="142">
        <v>799.99</v>
      </c>
      <c r="O517" s="142">
        <v>1599.98</v>
      </c>
    </row>
    <row r="518" ht="16.1" customHeight="1">
      <c r="I518" t="s" s="126">
        <v>4490</v>
      </c>
      <c r="J518" s="127"/>
      <c r="K518" s="127"/>
      <c r="L518" s="128"/>
      <c r="M518" s="129">
        <v>1</v>
      </c>
      <c r="N518" s="142">
        <v>324.99</v>
      </c>
      <c r="O518" s="142">
        <v>324.99</v>
      </c>
    </row>
    <row r="519" ht="16.1" customHeight="1">
      <c r="I519" t="s" s="126">
        <v>4263</v>
      </c>
      <c r="J519" s="127"/>
      <c r="K519" s="127"/>
      <c r="L519" s="128"/>
      <c r="M519" s="129">
        <v>2</v>
      </c>
      <c r="N519" s="142">
        <v>9.99</v>
      </c>
      <c r="O519" s="142">
        <v>19.98</v>
      </c>
    </row>
    <row r="520" ht="16.1" customHeight="1">
      <c r="I520" t="s" s="126">
        <v>4311</v>
      </c>
      <c r="J520" s="127"/>
      <c r="K520" s="127"/>
      <c r="L520" s="128"/>
      <c r="M520" s="129">
        <v>4</v>
      </c>
      <c r="N520" s="142">
        <v>9.99</v>
      </c>
      <c r="O520" s="142">
        <v>39.96</v>
      </c>
    </row>
    <row r="521" ht="16.1" customHeight="1">
      <c r="I521" t="s" s="126">
        <v>4179</v>
      </c>
      <c r="J521" s="127"/>
      <c r="K521" s="127"/>
      <c r="L521" s="128"/>
      <c r="M521" s="129">
        <v>18</v>
      </c>
      <c r="N521" s="142">
        <v>1564.95</v>
      </c>
      <c r="O521" s="142">
        <v>2064.94</v>
      </c>
    </row>
    <row r="522" ht="16.1" customHeight="1">
      <c r="I522" t="s" s="126">
        <v>4291</v>
      </c>
      <c r="J522" s="127"/>
      <c r="K522" s="127"/>
      <c r="L522" s="128"/>
      <c r="M522" s="129">
        <v>2</v>
      </c>
      <c r="N522" s="142">
        <v>49.99</v>
      </c>
      <c r="O522" s="142">
        <v>99.98</v>
      </c>
    </row>
    <row r="523" ht="16.1" customHeight="1">
      <c r="I523" t="s" s="126">
        <v>4333</v>
      </c>
      <c r="J523" s="127"/>
      <c r="K523" s="127"/>
      <c r="L523" s="128"/>
      <c r="M523" s="129">
        <v>1</v>
      </c>
      <c r="N523" s="142">
        <v>9.99</v>
      </c>
      <c r="O523" s="142">
        <v>9.99</v>
      </c>
    </row>
    <row r="524" ht="16.1" customHeight="1">
      <c r="I524" t="s" s="126">
        <v>4457</v>
      </c>
      <c r="J524" s="127"/>
      <c r="K524" s="127"/>
      <c r="L524" s="128"/>
      <c r="M524" s="129">
        <v>23</v>
      </c>
      <c r="N524" s="142">
        <v>229.97</v>
      </c>
      <c r="O524" s="142">
        <v>729.77</v>
      </c>
    </row>
    <row r="525" ht="16.1" customHeight="1">
      <c r="I525" t="s" s="126">
        <v>4497</v>
      </c>
      <c r="J525" s="127"/>
      <c r="K525" s="127"/>
      <c r="L525" s="128"/>
      <c r="M525" s="129">
        <v>1</v>
      </c>
      <c r="N525" s="142">
        <v>349.99</v>
      </c>
      <c r="O525" s="142">
        <v>349.99</v>
      </c>
    </row>
    <row r="526" ht="16.1" customHeight="1">
      <c r="I526" t="s" s="126">
        <v>3644</v>
      </c>
      <c r="J526" s="127"/>
      <c r="K526" s="127"/>
      <c r="L526" s="128"/>
      <c r="M526" s="129">
        <v>1</v>
      </c>
      <c r="N526" s="142">
        <v>399.99</v>
      </c>
      <c r="O526" s="142">
        <v>399.99</v>
      </c>
    </row>
    <row r="527" ht="16.1" customHeight="1">
      <c r="I527" t="s" s="126">
        <v>325</v>
      </c>
      <c r="J527" s="127"/>
      <c r="K527" s="127"/>
      <c r="L527" s="128"/>
      <c r="M527" s="129">
        <v>2</v>
      </c>
      <c r="N527" s="142">
        <v>407.48</v>
      </c>
      <c r="O527" s="142">
        <v>407.48</v>
      </c>
    </row>
    <row r="528" ht="16.1" customHeight="1">
      <c r="I528" t="s" s="126">
        <v>4251</v>
      </c>
      <c r="J528" s="127"/>
      <c r="K528" s="127"/>
      <c r="L528" s="128"/>
      <c r="M528" s="129">
        <v>2</v>
      </c>
      <c r="N528" s="142">
        <v>0</v>
      </c>
      <c r="O528" s="142">
        <v>0</v>
      </c>
    </row>
    <row r="529" ht="16.1" customHeight="1">
      <c r="I529" t="s" s="126">
        <v>4342</v>
      </c>
      <c r="J529" s="127"/>
      <c r="K529" s="127"/>
      <c r="L529" s="128"/>
      <c r="M529" s="129">
        <v>2</v>
      </c>
      <c r="N529" s="142">
        <v>45.98</v>
      </c>
      <c r="O529" s="142">
        <v>45.98</v>
      </c>
    </row>
    <row r="530" ht="16.1" customHeight="1">
      <c r="I530" t="s" s="126">
        <v>4371</v>
      </c>
      <c r="J530" s="127"/>
      <c r="K530" s="127"/>
      <c r="L530" s="128"/>
      <c r="M530" s="129">
        <v>3</v>
      </c>
      <c r="N530" s="142">
        <v>179.97</v>
      </c>
      <c r="O530" s="142">
        <v>179.97</v>
      </c>
    </row>
    <row r="531" ht="16.1" customHeight="1">
      <c r="I531" t="s" s="126">
        <v>4437</v>
      </c>
      <c r="J531" s="127"/>
      <c r="K531" s="127"/>
      <c r="L531" s="128"/>
      <c r="M531" s="129">
        <v>1</v>
      </c>
      <c r="N531" s="142">
        <v>324.99</v>
      </c>
      <c r="O531" s="142">
        <v>324.99</v>
      </c>
    </row>
    <row r="532" ht="16.1" customHeight="1">
      <c r="I532" t="s" s="126">
        <v>4407</v>
      </c>
      <c r="J532" s="127"/>
      <c r="K532" s="127"/>
      <c r="L532" s="128"/>
      <c r="M532" s="129">
        <v>2</v>
      </c>
      <c r="N532" s="142">
        <v>128.98</v>
      </c>
      <c r="O532" s="142">
        <v>128.98</v>
      </c>
    </row>
    <row r="533" ht="16.1" customHeight="1">
      <c r="I533" t="s" s="126">
        <v>4235</v>
      </c>
      <c r="J533" s="127"/>
      <c r="K533" s="127"/>
      <c r="L533" s="128"/>
      <c r="M533" s="129">
        <v>4</v>
      </c>
      <c r="N533" s="142">
        <v>29.99</v>
      </c>
      <c r="O533" s="142">
        <v>119.96</v>
      </c>
    </row>
    <row r="534" ht="16.1" customHeight="1">
      <c r="I534" t="s" s="126">
        <v>4345</v>
      </c>
      <c r="J534" s="127"/>
      <c r="K534" s="127"/>
      <c r="L534" s="128"/>
      <c r="M534" s="129">
        <v>1</v>
      </c>
      <c r="N534" s="142">
        <v>599.99</v>
      </c>
      <c r="O534" s="142">
        <v>599.99</v>
      </c>
    </row>
    <row r="535" ht="16.1" customHeight="1">
      <c r="I535" t="s" s="126">
        <v>4425</v>
      </c>
      <c r="J535" s="127"/>
      <c r="K535" s="127"/>
      <c r="L535" s="128"/>
      <c r="M535" s="129">
        <v>1</v>
      </c>
      <c r="N535" s="142">
        <v>49.99</v>
      </c>
      <c r="O535" s="142">
        <v>49.99</v>
      </c>
    </row>
    <row r="536" ht="16.1" customHeight="1">
      <c r="I536" t="s" s="126">
        <v>4192</v>
      </c>
      <c r="J536" s="127"/>
      <c r="K536" s="127"/>
      <c r="L536" s="128"/>
      <c r="M536" s="129">
        <v>1</v>
      </c>
      <c r="N536" s="142">
        <v>349.99</v>
      </c>
      <c r="O536" s="142">
        <v>349.99</v>
      </c>
    </row>
    <row r="537" ht="16.1" customHeight="1">
      <c r="I537" t="s" s="126">
        <v>353</v>
      </c>
      <c r="J537" s="127"/>
      <c r="K537" s="127"/>
      <c r="L537" s="128"/>
      <c r="M537" s="129">
        <v>3</v>
      </c>
      <c r="N537" s="142">
        <v>0</v>
      </c>
      <c r="O537" s="142">
        <v>0</v>
      </c>
    </row>
    <row r="538" ht="16.1" customHeight="1">
      <c r="I538" t="s" s="126">
        <v>4169</v>
      </c>
      <c r="J538" s="127"/>
      <c r="K538" s="127"/>
      <c r="L538" s="128"/>
      <c r="M538" s="129">
        <v>2</v>
      </c>
      <c r="N538" s="142">
        <v>249.99</v>
      </c>
      <c r="O538" s="142">
        <v>499.98</v>
      </c>
    </row>
    <row r="539" ht="16.1" customHeight="1">
      <c r="I539" t="s" s="126">
        <v>4223</v>
      </c>
      <c r="J539" s="127"/>
      <c r="K539" s="127"/>
      <c r="L539" s="128"/>
      <c r="M539" s="129">
        <v>4</v>
      </c>
      <c r="N539" s="142">
        <v>144.98</v>
      </c>
      <c r="O539" s="142">
        <v>164.97</v>
      </c>
    </row>
    <row r="540" ht="16.1" customHeight="1">
      <c r="I540" t="s" s="126">
        <v>4454</v>
      </c>
      <c r="J540" s="127"/>
      <c r="K540" s="127"/>
      <c r="L540" s="128"/>
      <c r="M540" s="129">
        <v>25</v>
      </c>
      <c r="N540" s="142">
        <v>1642.92</v>
      </c>
      <c r="O540" s="142">
        <v>2664.81</v>
      </c>
    </row>
    <row r="541" ht="16.1" customHeight="1">
      <c r="I541" t="s" s="126">
        <v>4243</v>
      </c>
      <c r="J541" s="127"/>
      <c r="K541" s="127"/>
      <c r="L541" s="128"/>
      <c r="M541" s="129">
        <v>5</v>
      </c>
      <c r="N541" s="142">
        <v>1114.97</v>
      </c>
      <c r="O541" s="142">
        <v>1114.97</v>
      </c>
    </row>
    <row r="542" ht="16.1" customHeight="1">
      <c r="I542" t="s" s="126">
        <v>4203</v>
      </c>
      <c r="J542" s="127"/>
      <c r="K542" s="127"/>
      <c r="L542" s="128"/>
      <c r="M542" s="129">
        <v>2</v>
      </c>
      <c r="N542" s="142">
        <v>359.98</v>
      </c>
      <c r="O542" s="142">
        <v>359.98</v>
      </c>
    </row>
    <row r="543" ht="16.1" customHeight="1">
      <c r="I543" t="s" s="126">
        <v>4134</v>
      </c>
      <c r="J543" s="127"/>
      <c r="K543" s="127"/>
      <c r="L543" s="128"/>
      <c r="M543" s="129">
        <v>1</v>
      </c>
      <c r="N543" s="142">
        <v>399.99</v>
      </c>
      <c r="O543" s="142">
        <v>399.99</v>
      </c>
    </row>
    <row r="544" ht="16.1" customHeight="1">
      <c r="I544" t="s" s="126">
        <v>2782</v>
      </c>
      <c r="J544" s="127"/>
      <c r="K544" s="127"/>
      <c r="L544" s="128"/>
      <c r="M544" s="129">
        <v>1</v>
      </c>
      <c r="N544" s="142">
        <v>399.99</v>
      </c>
      <c r="O544" s="142">
        <v>399.99</v>
      </c>
    </row>
    <row r="545" ht="16.1" customHeight="1">
      <c r="I545" t="s" s="126">
        <v>4228</v>
      </c>
      <c r="J545" s="127"/>
      <c r="K545" s="127"/>
      <c r="L545" s="128"/>
      <c r="M545" s="129">
        <v>3</v>
      </c>
      <c r="N545" s="142">
        <v>564.98</v>
      </c>
      <c r="O545" s="142">
        <v>564.98</v>
      </c>
    </row>
    <row r="546" ht="16.1" customHeight="1">
      <c r="I546" t="s" s="126">
        <v>4241</v>
      </c>
      <c r="J546" s="127"/>
      <c r="K546" s="127"/>
      <c r="L546" s="128"/>
      <c r="M546" s="129">
        <v>1</v>
      </c>
      <c r="N546" s="142">
        <v>349.99</v>
      </c>
      <c r="O546" s="142">
        <v>349.99</v>
      </c>
    </row>
    <row r="547" ht="16.1" customHeight="1">
      <c r="I547" t="s" s="126">
        <v>2292</v>
      </c>
      <c r="J547" s="127"/>
      <c r="K547" s="127"/>
      <c r="L547" s="128"/>
      <c r="M547" s="129">
        <v>14</v>
      </c>
      <c r="N547" s="142">
        <v>38.48</v>
      </c>
      <c r="O547" s="142">
        <v>204.86</v>
      </c>
    </row>
    <row r="548" ht="16.1" customHeight="1">
      <c r="I548" t="s" s="126">
        <v>3389</v>
      </c>
      <c r="J548" s="127"/>
      <c r="K548" s="127"/>
      <c r="L548" s="128"/>
      <c r="M548" s="129">
        <v>4</v>
      </c>
      <c r="N548" s="142">
        <v>129.98</v>
      </c>
      <c r="O548" s="142">
        <v>259.96</v>
      </c>
    </row>
    <row r="549" ht="16.1" customHeight="1">
      <c r="I549" t="s" s="126">
        <v>4391</v>
      </c>
      <c r="J549" s="127"/>
      <c r="K549" s="127"/>
      <c r="L549" s="128"/>
      <c r="M549" s="129">
        <v>10</v>
      </c>
      <c r="N549" s="142">
        <v>749.96</v>
      </c>
      <c r="O549" s="142">
        <v>1139.9</v>
      </c>
    </row>
    <row r="550" ht="16.1" customHeight="1">
      <c r="I550" t="s" s="126">
        <v>4098</v>
      </c>
      <c r="J550" s="127"/>
      <c r="K550" s="127"/>
      <c r="L550" s="128"/>
      <c r="M550" s="129">
        <v>4</v>
      </c>
      <c r="N550" s="142">
        <v>359.98</v>
      </c>
      <c r="O550" s="142">
        <v>719.96</v>
      </c>
    </row>
    <row r="551" ht="16.1" customHeight="1">
      <c r="I551" t="s" s="126">
        <v>4366</v>
      </c>
      <c r="J551" s="127"/>
      <c r="K551" s="127"/>
      <c r="L551" s="128"/>
      <c r="M551" s="129">
        <v>3</v>
      </c>
      <c r="N551" s="142">
        <v>59.98</v>
      </c>
      <c r="O551" s="142">
        <v>69.97</v>
      </c>
    </row>
    <row r="552" ht="16.1" customHeight="1">
      <c r="I552" t="s" s="126">
        <v>4253</v>
      </c>
      <c r="J552" s="127"/>
      <c r="K552" s="127"/>
      <c r="L552" s="128"/>
      <c r="M552" s="129">
        <v>42</v>
      </c>
      <c r="N552" s="142">
        <v>3364.93</v>
      </c>
      <c r="O552" s="142">
        <v>8979.75</v>
      </c>
    </row>
    <row r="553" ht="16.1" customHeight="1">
      <c r="I553" t="s" s="126">
        <v>4173</v>
      </c>
      <c r="J553" s="127"/>
      <c r="K553" s="127"/>
      <c r="L553" s="128"/>
      <c r="M553" s="129">
        <v>1</v>
      </c>
      <c r="N553" s="142">
        <v>349.99</v>
      </c>
      <c r="O553" s="142">
        <v>349.99</v>
      </c>
    </row>
    <row r="554" ht="16.1" customHeight="1">
      <c r="I554" t="s" s="126">
        <v>4258</v>
      </c>
      <c r="J554" s="127"/>
      <c r="K554" s="127"/>
      <c r="L554" s="128"/>
      <c r="M554" s="129">
        <v>2</v>
      </c>
      <c r="N554" s="142">
        <v>59.98</v>
      </c>
      <c r="O554" s="142">
        <v>59.98</v>
      </c>
    </row>
    <row r="555" ht="16.1" customHeight="1">
      <c r="I555" t="s" s="126">
        <v>4261</v>
      </c>
      <c r="J555" s="127"/>
      <c r="K555" s="127"/>
      <c r="L555" s="128"/>
      <c r="M555" s="129">
        <v>2</v>
      </c>
      <c r="N555" s="142">
        <v>59.98</v>
      </c>
      <c r="O555" s="142">
        <v>59.98</v>
      </c>
    </row>
    <row r="556" ht="16.1" customHeight="1">
      <c r="I556" t="s" s="126">
        <v>4313</v>
      </c>
      <c r="J556" s="127"/>
      <c r="K556" s="127"/>
      <c r="L556" s="128"/>
      <c r="M556" s="129">
        <v>3</v>
      </c>
      <c r="N556" s="142">
        <v>131.97</v>
      </c>
      <c r="O556" s="142">
        <v>131.97</v>
      </c>
    </row>
    <row r="557" ht="16.1" customHeight="1">
      <c r="I557" t="s" s="126">
        <v>4418</v>
      </c>
      <c r="J557" s="127"/>
      <c r="K557" s="127"/>
      <c r="L557" s="128"/>
      <c r="M557" s="129">
        <v>3</v>
      </c>
      <c r="N557" s="142">
        <v>49.99</v>
      </c>
      <c r="O557" s="142">
        <v>149.97</v>
      </c>
    </row>
    <row r="558" ht="16.1" customHeight="1">
      <c r="I558" t="s" s="126">
        <v>2362</v>
      </c>
      <c r="J558" s="127"/>
      <c r="K558" s="127"/>
      <c r="L558" s="128"/>
      <c r="M558" s="129">
        <v>3</v>
      </c>
      <c r="N558" s="142">
        <v>509.98</v>
      </c>
      <c r="O558" s="142">
        <v>619.97</v>
      </c>
    </row>
    <row r="559" ht="16.1" customHeight="1">
      <c r="I559" t="s" s="126">
        <v>4307</v>
      </c>
      <c r="J559" s="127"/>
      <c r="K559" s="127"/>
      <c r="L559" s="128"/>
      <c r="M559" s="129">
        <v>2</v>
      </c>
      <c r="N559" s="142">
        <v>124.99</v>
      </c>
      <c r="O559" s="142">
        <v>124.99</v>
      </c>
    </row>
    <row r="560" ht="16.1" customHeight="1">
      <c r="I560" t="s" s="126">
        <v>971</v>
      </c>
      <c r="J560" s="127"/>
      <c r="K560" s="127"/>
      <c r="L560" s="128"/>
      <c r="M560" s="129">
        <v>4</v>
      </c>
      <c r="N560" s="142">
        <v>849.99</v>
      </c>
      <c r="O560" s="142">
        <v>849.99</v>
      </c>
    </row>
    <row r="561" ht="16.1" customHeight="1">
      <c r="I561" t="s" s="126">
        <v>4475</v>
      </c>
      <c r="J561" s="127"/>
      <c r="K561" s="127"/>
      <c r="L561" s="128"/>
      <c r="M561" s="129">
        <v>10</v>
      </c>
      <c r="N561" s="142">
        <v>769.585</v>
      </c>
      <c r="O561" s="142">
        <v>1632.9</v>
      </c>
    </row>
    <row r="562" ht="16.1" customHeight="1">
      <c r="I562" t="s" s="126">
        <v>3984</v>
      </c>
      <c r="J562" s="127"/>
      <c r="K562" s="127"/>
      <c r="L562" s="128"/>
      <c r="M562" s="129">
        <v>12</v>
      </c>
      <c r="N562" s="142">
        <v>1784.98</v>
      </c>
      <c r="O562" s="142">
        <v>2714.97</v>
      </c>
    </row>
    <row r="563" ht="16.1" customHeight="1">
      <c r="I563" t="s" s="126">
        <v>4473</v>
      </c>
      <c r="J563" s="127"/>
      <c r="K563" s="127"/>
      <c r="L563" s="128"/>
      <c r="M563" s="129">
        <v>6</v>
      </c>
      <c r="N563" s="142">
        <v>231.46</v>
      </c>
      <c r="O563" s="142">
        <v>238.95</v>
      </c>
    </row>
    <row r="564" ht="16.1" customHeight="1">
      <c r="I564" t="s" s="126">
        <v>473</v>
      </c>
      <c r="J564" s="127"/>
      <c r="K564" s="127"/>
      <c r="L564" s="128"/>
      <c r="M564" s="129">
        <v>25</v>
      </c>
      <c r="N564" s="142">
        <v>1657.4925</v>
      </c>
      <c r="O564" s="142">
        <v>6719.88</v>
      </c>
    </row>
    <row r="565" ht="16.1" customHeight="1">
      <c r="I565" t="s" s="126">
        <v>42</v>
      </c>
      <c r="J565" s="127"/>
      <c r="K565" s="127"/>
      <c r="L565" s="128"/>
      <c r="M565" s="129">
        <v>27</v>
      </c>
      <c r="N565" s="142">
        <v>591.9565219999999</v>
      </c>
      <c r="O565" s="142">
        <v>2232.826088</v>
      </c>
    </row>
    <row r="566" ht="16.1" customHeight="1">
      <c r="I566" t="s" s="126">
        <v>3583</v>
      </c>
      <c r="J566" s="127"/>
      <c r="K566" s="127"/>
      <c r="L566" s="128"/>
      <c r="M566" s="129">
        <v>1</v>
      </c>
      <c r="N566" s="142">
        <v>349.99</v>
      </c>
      <c r="O566" s="142">
        <v>349.99</v>
      </c>
    </row>
    <row r="567" ht="16.1" customHeight="1">
      <c r="I567" t="s" s="126">
        <v>4320</v>
      </c>
      <c r="J567" s="127"/>
      <c r="K567" s="127"/>
      <c r="L567" s="128"/>
      <c r="M567" s="129">
        <v>1</v>
      </c>
      <c r="N567" s="142">
        <v>74.98999999999999</v>
      </c>
      <c r="O567" s="142">
        <v>74.98999999999999</v>
      </c>
    </row>
    <row r="568" ht="16.1" customHeight="1">
      <c r="I568" t="s" s="126">
        <v>4315</v>
      </c>
      <c r="J568" s="127"/>
      <c r="K568" s="127"/>
      <c r="L568" s="128"/>
      <c r="M568" s="129">
        <v>2</v>
      </c>
      <c r="N568" s="142">
        <v>624.98</v>
      </c>
      <c r="O568" s="142">
        <v>624.98</v>
      </c>
    </row>
    <row r="569" ht="16.1" customHeight="1">
      <c r="I569" t="s" s="126">
        <v>4309</v>
      </c>
      <c r="J569" s="127"/>
      <c r="K569" s="127"/>
      <c r="L569" s="128"/>
      <c r="M569" s="129">
        <v>1</v>
      </c>
      <c r="N569" s="142">
        <v>349.99</v>
      </c>
      <c r="O569" s="142">
        <v>349.99</v>
      </c>
    </row>
    <row r="570" ht="16.1" customHeight="1">
      <c r="I570" t="s" s="126">
        <v>1996</v>
      </c>
      <c r="J570" s="127"/>
      <c r="K570" s="127"/>
      <c r="L570" s="128"/>
      <c r="M570" s="129">
        <v>1</v>
      </c>
      <c r="N570" s="142">
        <v>549.99</v>
      </c>
      <c r="O570" s="142">
        <v>549.99</v>
      </c>
    </row>
    <row r="571" ht="16.1" customHeight="1">
      <c r="I571" t="s" s="126">
        <v>3590</v>
      </c>
      <c r="J571" s="127"/>
      <c r="K571" s="127"/>
      <c r="L571" s="128"/>
      <c r="M571" s="129">
        <v>29</v>
      </c>
      <c r="N571" s="142">
        <v>1924.9925</v>
      </c>
      <c r="O571" s="142">
        <v>3799.985</v>
      </c>
    </row>
    <row r="572" ht="16.1" customHeight="1">
      <c r="I572" t="s" s="126">
        <v>4175</v>
      </c>
      <c r="J572" s="127"/>
      <c r="K572" s="127"/>
      <c r="L572" s="128"/>
      <c r="M572" s="129">
        <v>1</v>
      </c>
      <c r="N572" s="142">
        <v>399.99</v>
      </c>
      <c r="O572" s="142">
        <v>399.99</v>
      </c>
    </row>
    <row r="573" ht="16.1" customHeight="1">
      <c r="I573" t="s" s="126">
        <v>4383</v>
      </c>
      <c r="J573" s="127"/>
      <c r="K573" s="127"/>
      <c r="L573" s="128"/>
      <c r="M573" s="129">
        <v>1</v>
      </c>
      <c r="N573" s="142">
        <v>549.99</v>
      </c>
      <c r="O573" s="142">
        <v>549.99</v>
      </c>
    </row>
    <row r="574" ht="16.1" customHeight="1">
      <c r="I574" t="s" s="126">
        <v>4400</v>
      </c>
      <c r="J574" s="127"/>
      <c r="K574" s="127"/>
      <c r="L574" s="128"/>
      <c r="M574" s="129">
        <v>3</v>
      </c>
      <c r="N574" s="142">
        <v>29.99</v>
      </c>
      <c r="O574" s="142">
        <v>89.97</v>
      </c>
    </row>
    <row r="575" ht="16.1" customHeight="1">
      <c r="I575" t="s" s="126">
        <v>3523</v>
      </c>
      <c r="J575" s="127"/>
      <c r="K575" s="127"/>
      <c r="L575" s="128"/>
      <c r="M575" s="129">
        <v>1</v>
      </c>
      <c r="N575" s="142">
        <v>399.99</v>
      </c>
      <c r="O575" s="142">
        <v>399.99</v>
      </c>
    </row>
    <row r="576" ht="16.1" customHeight="1">
      <c r="I576" t="s" s="126">
        <v>4289</v>
      </c>
      <c r="J576" s="127"/>
      <c r="K576" s="127"/>
      <c r="L576" s="128"/>
      <c r="M576" s="129">
        <v>2</v>
      </c>
      <c r="N576" s="142">
        <v>624.98</v>
      </c>
      <c r="O576" s="142">
        <v>624.98</v>
      </c>
    </row>
    <row r="577" ht="16.1" customHeight="1">
      <c r="I577" t="s" s="126">
        <v>4397</v>
      </c>
      <c r="J577" s="127"/>
      <c r="K577" s="127"/>
      <c r="L577" s="128"/>
      <c r="M577" s="129">
        <v>1</v>
      </c>
      <c r="N577" s="142">
        <v>549.99</v>
      </c>
      <c r="O577" s="142">
        <v>549.99</v>
      </c>
    </row>
    <row r="578" ht="16.1" customHeight="1">
      <c r="I578" t="s" s="126">
        <v>122</v>
      </c>
      <c r="J578" s="127"/>
      <c r="K578" s="127"/>
      <c r="L578" s="128"/>
      <c r="M578" s="129">
        <v>26</v>
      </c>
      <c r="N578" s="142">
        <v>469.985</v>
      </c>
      <c r="O578" s="142">
        <v>3304.85</v>
      </c>
    </row>
    <row r="579" ht="16.1" customHeight="1">
      <c r="I579" t="s" s="126">
        <v>4440</v>
      </c>
      <c r="J579" s="127"/>
      <c r="K579" s="127"/>
      <c r="L579" s="128"/>
      <c r="M579" s="129">
        <v>2</v>
      </c>
      <c r="N579" s="142">
        <v>58.98</v>
      </c>
      <c r="O579" s="142">
        <v>58.98</v>
      </c>
    </row>
    <row r="580" ht="16.1" customHeight="1">
      <c r="I580" t="s" s="126">
        <v>4387</v>
      </c>
      <c r="J580" s="127"/>
      <c r="K580" s="127"/>
      <c r="L580" s="128"/>
      <c r="M580" s="129">
        <v>1</v>
      </c>
      <c r="N580" s="142">
        <v>199.99</v>
      </c>
      <c r="O580" s="142">
        <v>199.99</v>
      </c>
    </row>
    <row r="581" ht="16.1" customHeight="1">
      <c r="I581" t="s" s="126">
        <v>519</v>
      </c>
      <c r="J581" s="127"/>
      <c r="K581" s="127"/>
      <c r="L581" s="128"/>
      <c r="M581" s="129">
        <v>4</v>
      </c>
      <c r="N581" s="142">
        <v>58.98</v>
      </c>
      <c r="O581" s="142">
        <v>117.96</v>
      </c>
    </row>
    <row r="582" ht="16.1" customHeight="1">
      <c r="I582" t="s" s="126">
        <v>2931</v>
      </c>
      <c r="J582" s="127"/>
      <c r="K582" s="127"/>
      <c r="L582" s="128"/>
      <c r="M582" s="129">
        <v>66</v>
      </c>
      <c r="N582" s="142">
        <v>771.9725</v>
      </c>
      <c r="O582" s="142">
        <v>5259.74</v>
      </c>
    </row>
    <row r="583" ht="16.1" customHeight="1">
      <c r="I583" t="s" s="126">
        <v>583</v>
      </c>
      <c r="J583" s="127"/>
      <c r="K583" s="127"/>
      <c r="L583" s="128"/>
      <c r="M583" s="129">
        <v>3</v>
      </c>
      <c r="N583" s="142">
        <v>279.97</v>
      </c>
      <c r="O583" s="142">
        <v>279.97</v>
      </c>
    </row>
    <row r="584" ht="16.1" customHeight="1">
      <c r="I584" t="s" s="126">
        <v>4349</v>
      </c>
      <c r="J584" s="127"/>
      <c r="K584" s="127"/>
      <c r="L584" s="128"/>
      <c r="M584" s="129">
        <v>1</v>
      </c>
      <c r="N584" s="142">
        <v>399.99</v>
      </c>
      <c r="O584" s="142">
        <v>399.99</v>
      </c>
    </row>
    <row r="585" ht="16.1" customHeight="1">
      <c r="I585" t="s" s="126">
        <v>4411</v>
      </c>
      <c r="J585" s="127"/>
      <c r="K585" s="127"/>
      <c r="L585" s="128"/>
      <c r="M585" s="129">
        <v>1</v>
      </c>
      <c r="N585" s="142">
        <v>399.99</v>
      </c>
      <c r="O585" s="142">
        <v>399.99</v>
      </c>
    </row>
    <row r="586" ht="16.1" customHeight="1">
      <c r="I586" t="s" s="126">
        <v>985</v>
      </c>
      <c r="J586" s="127"/>
      <c r="K586" s="127"/>
      <c r="L586" s="128"/>
      <c r="M586" s="129">
        <v>22</v>
      </c>
      <c r="N586" s="142">
        <v>1329.98</v>
      </c>
      <c r="O586" s="142">
        <v>1329.98</v>
      </c>
    </row>
    <row r="587" ht="16.1" customHeight="1">
      <c r="I587" t="s" s="126">
        <v>4340</v>
      </c>
      <c r="J587" s="127"/>
      <c r="K587" s="127"/>
      <c r="L587" s="128"/>
      <c r="M587" s="129">
        <v>2</v>
      </c>
      <c r="N587" s="142">
        <v>799.98</v>
      </c>
      <c r="O587" s="142">
        <v>799.98</v>
      </c>
    </row>
    <row r="588" ht="16.1" customHeight="1">
      <c r="I588" t="s" s="126">
        <v>4462</v>
      </c>
      <c r="J588" s="127"/>
      <c r="K588" s="127"/>
      <c r="L588" s="128"/>
      <c r="M588" s="129">
        <v>1</v>
      </c>
      <c r="N588" s="142">
        <v>0</v>
      </c>
      <c r="O588" s="142">
        <v>0</v>
      </c>
    </row>
    <row r="589" ht="16.1" customHeight="1">
      <c r="I589" t="s" s="126">
        <v>1451</v>
      </c>
      <c r="J589" s="127"/>
      <c r="K589" s="127"/>
      <c r="L589" s="128"/>
      <c r="M589" s="129">
        <v>1</v>
      </c>
      <c r="N589" s="142">
        <v>99.98999999999999</v>
      </c>
      <c r="O589" s="142">
        <v>99.98999999999999</v>
      </c>
    </row>
    <row r="590" ht="16.1" customHeight="1">
      <c r="I590" t="s" s="126">
        <v>4480</v>
      </c>
      <c r="J590" s="127"/>
      <c r="K590" s="127"/>
      <c r="L590" s="128"/>
      <c r="M590" s="129">
        <v>1</v>
      </c>
      <c r="N590" s="142">
        <v>399.99</v>
      </c>
      <c r="O590" s="142">
        <v>399.99</v>
      </c>
    </row>
    <row r="591" ht="16.1" customHeight="1">
      <c r="I591" t="s" s="126">
        <v>4232</v>
      </c>
      <c r="J591" s="127"/>
      <c r="K591" s="127"/>
      <c r="L591" s="128"/>
      <c r="M591" s="129">
        <v>1</v>
      </c>
      <c r="N591" s="142">
        <v>349.99</v>
      </c>
      <c r="O591" s="142">
        <v>349.99</v>
      </c>
    </row>
    <row r="592" ht="16.1" customHeight="1">
      <c r="I592" t="s" s="126">
        <v>3617</v>
      </c>
      <c r="J592" s="127"/>
      <c r="K592" s="127"/>
      <c r="L592" s="128"/>
      <c r="M592" s="129">
        <v>21</v>
      </c>
      <c r="N592" s="142">
        <v>408.48</v>
      </c>
      <c r="O592" s="142">
        <v>569.79</v>
      </c>
    </row>
    <row r="593" ht="16.1" customHeight="1">
      <c r="I593" t="s" s="126">
        <v>4271</v>
      </c>
      <c r="J593" s="127"/>
      <c r="K593" s="127"/>
      <c r="L593" s="128"/>
      <c r="M593" s="129">
        <v>1</v>
      </c>
      <c r="N593" s="142">
        <v>149.99</v>
      </c>
      <c r="O593" s="142">
        <v>149.99</v>
      </c>
    </row>
    <row r="594" ht="16.1" customHeight="1">
      <c r="I594" t="s" s="126">
        <v>3372</v>
      </c>
      <c r="J594" s="127"/>
      <c r="K594" s="127"/>
      <c r="L594" s="128"/>
      <c r="M594" s="129">
        <v>4</v>
      </c>
      <c r="N594" s="142">
        <v>299.99</v>
      </c>
      <c r="O594" s="142">
        <v>1199.96</v>
      </c>
    </row>
    <row r="595" ht="16.1" customHeight="1">
      <c r="I595" t="s" s="132">
        <v>4499</v>
      </c>
      <c r="J595" s="133"/>
      <c r="K595" s="133"/>
      <c r="L595" s="134"/>
      <c r="M595" s="135">
        <v>2</v>
      </c>
      <c r="N595" s="143">
        <v>109.98</v>
      </c>
      <c r="O595" s="143">
        <v>109.98</v>
      </c>
    </row>
    <row r="596" ht="16.1" customHeight="1">
      <c r="I596" t="s" s="33">
        <v>620</v>
      </c>
      <c r="M596" s="34">
        <v>2705</v>
      </c>
      <c r="N596" s="35">
        <v>81417.2714865</v>
      </c>
      <c r="O596" s="35">
        <v>197502.645402</v>
      </c>
    </row>
    <row r="598" ht="15.55" customHeight="1">
      <c r="P598" t="s" s="2">
        <v>4506</v>
      </c>
      <c r="Q598" s="2"/>
    </row>
    <row r="599" ht="16.1" customHeight="1">
      <c r="P599" t="s" s="37">
        <v>4</v>
      </c>
      <c r="Q599" t="s" s="145">
        <v>617</v>
      </c>
    </row>
    <row r="600" ht="16.1" customHeight="1">
      <c r="P600" t="s" s="38">
        <v>2961</v>
      </c>
      <c r="Q600" s="34">
        <v>1</v>
      </c>
    </row>
    <row r="601" ht="16.1" customHeight="1">
      <c r="P601" t="s" s="40">
        <v>1046</v>
      </c>
      <c r="Q601" s="146">
        <v>12</v>
      </c>
    </row>
    <row r="602" ht="16.1" customHeight="1">
      <c r="P602" t="s" s="40">
        <v>1186</v>
      </c>
      <c r="Q602" s="146">
        <v>8</v>
      </c>
    </row>
    <row r="603" ht="16.1" customHeight="1">
      <c r="P603" t="s" s="40">
        <v>109</v>
      </c>
      <c r="Q603" s="146">
        <v>4</v>
      </c>
    </row>
    <row r="604" ht="16.1" customHeight="1">
      <c r="P604" t="s" s="40">
        <v>3910</v>
      </c>
      <c r="Q604" s="146">
        <v>20</v>
      </c>
    </row>
    <row r="605" ht="16.1" customHeight="1">
      <c r="P605" t="s" s="40">
        <v>4127</v>
      </c>
      <c r="Q605" s="146">
        <v>10</v>
      </c>
    </row>
    <row r="606" ht="16.1" customHeight="1">
      <c r="P606" t="s" s="40">
        <v>4180</v>
      </c>
      <c r="Q606" s="146">
        <v>1</v>
      </c>
    </row>
    <row r="607" ht="16.1" customHeight="1">
      <c r="P607" t="s" s="40">
        <v>4283</v>
      </c>
      <c r="Q607" s="146">
        <v>4</v>
      </c>
    </row>
    <row r="608" ht="16.1" customHeight="1">
      <c r="P608" t="s" s="40">
        <v>1007</v>
      </c>
      <c r="Q608" s="146">
        <v>21</v>
      </c>
    </row>
    <row r="609" ht="16.1" customHeight="1">
      <c r="P609" t="s" s="40">
        <v>4188</v>
      </c>
      <c r="Q609" s="146">
        <v>10</v>
      </c>
    </row>
    <row r="610" ht="16.1" customHeight="1">
      <c r="P610" t="s" s="40">
        <v>1917</v>
      </c>
      <c r="Q610" s="146">
        <v>31</v>
      </c>
    </row>
    <row r="611" ht="16.1" customHeight="1">
      <c r="P611" t="s" s="40">
        <v>3543</v>
      </c>
      <c r="Q611" s="146">
        <v>1</v>
      </c>
    </row>
    <row r="612" ht="16.1" customHeight="1">
      <c r="P612" t="s" s="40">
        <v>1986</v>
      </c>
      <c r="Q612" s="146">
        <v>1</v>
      </c>
    </row>
    <row r="613" ht="16.1" customHeight="1">
      <c r="P613" t="s" s="40">
        <v>1202</v>
      </c>
      <c r="Q613" s="146">
        <v>6</v>
      </c>
    </row>
    <row r="614" ht="16.1" customHeight="1">
      <c r="P614" t="s" s="40">
        <v>2549</v>
      </c>
      <c r="Q614" s="146">
        <v>1</v>
      </c>
    </row>
    <row r="615" ht="16.1" customHeight="1">
      <c r="P615" t="s" s="40">
        <v>4050</v>
      </c>
      <c r="Q615" s="146">
        <v>12</v>
      </c>
    </row>
    <row r="616" ht="16.1" customHeight="1">
      <c r="P616" t="s" s="40">
        <v>123</v>
      </c>
      <c r="Q616" s="146">
        <v>7</v>
      </c>
    </row>
    <row r="617" ht="16.1" customHeight="1">
      <c r="P617" t="s" s="40">
        <v>165</v>
      </c>
      <c r="Q617" s="146">
        <v>8</v>
      </c>
    </row>
    <row r="618" ht="16.1" customHeight="1">
      <c r="P618" t="s" s="40">
        <v>19</v>
      </c>
      <c r="Q618" s="146">
        <v>40</v>
      </c>
    </row>
    <row r="619" ht="16.1" customHeight="1">
      <c r="P619" t="s" s="40">
        <v>4465</v>
      </c>
      <c r="Q619" s="146">
        <v>8</v>
      </c>
    </row>
    <row r="620" ht="16.1" customHeight="1">
      <c r="P620" t="s" s="40">
        <v>2787</v>
      </c>
      <c r="Q620" s="146">
        <v>8</v>
      </c>
    </row>
    <row r="621" ht="16.1" customHeight="1">
      <c r="P621" t="s" s="40">
        <v>227</v>
      </c>
      <c r="Q621" s="146">
        <v>22</v>
      </c>
    </row>
    <row r="622" ht="16.1" customHeight="1">
      <c r="P622" t="s" s="40">
        <v>54</v>
      </c>
      <c r="Q622" s="146">
        <v>40</v>
      </c>
    </row>
    <row r="623" ht="16.1" customHeight="1">
      <c r="P623" t="s" s="40">
        <v>1695</v>
      </c>
      <c r="Q623" s="146">
        <v>14</v>
      </c>
    </row>
    <row r="624" ht="16.1" customHeight="1">
      <c r="P624" t="s" s="40">
        <v>4213</v>
      </c>
      <c r="Q624" s="146">
        <v>1</v>
      </c>
    </row>
    <row r="625" ht="16.1" customHeight="1">
      <c r="P625" t="s" s="40">
        <v>57</v>
      </c>
      <c r="Q625" s="146">
        <v>23</v>
      </c>
    </row>
    <row r="626" ht="16.1" customHeight="1">
      <c r="P626" t="s" s="40">
        <v>1639</v>
      </c>
      <c r="Q626" s="146">
        <v>1</v>
      </c>
    </row>
    <row r="627" ht="16.1" customHeight="1">
      <c r="P627" t="s" s="40">
        <v>369</v>
      </c>
      <c r="Q627" s="146">
        <v>1</v>
      </c>
    </row>
    <row r="628" ht="16.1" customHeight="1">
      <c r="P628" t="s" s="40">
        <v>4211</v>
      </c>
      <c r="Q628" s="146">
        <v>9</v>
      </c>
    </row>
    <row r="629" ht="16.1" customHeight="1">
      <c r="P629" t="s" s="40">
        <v>84</v>
      </c>
      <c r="Q629" s="146">
        <v>44</v>
      </c>
    </row>
    <row r="630" ht="16.1" customHeight="1">
      <c r="P630" t="s" s="40">
        <v>660</v>
      </c>
      <c r="Q630" s="146">
        <v>1</v>
      </c>
    </row>
    <row r="631" ht="16.1" customHeight="1">
      <c r="P631" t="s" s="40">
        <v>179</v>
      </c>
      <c r="Q631" s="146">
        <v>4</v>
      </c>
    </row>
    <row r="632" ht="16.1" customHeight="1">
      <c r="P632" t="s" s="40">
        <v>412</v>
      </c>
      <c r="Q632" s="146">
        <v>7</v>
      </c>
    </row>
    <row r="633" ht="16.1" customHeight="1">
      <c r="P633" t="s" s="40">
        <v>119</v>
      </c>
      <c r="Q633" s="146">
        <v>6</v>
      </c>
    </row>
    <row r="634" ht="16.1" customHeight="1">
      <c r="P634" t="s" s="40">
        <v>589</v>
      </c>
      <c r="Q634" s="146">
        <v>6</v>
      </c>
    </row>
    <row r="635" ht="16.1" customHeight="1">
      <c r="P635" t="s" s="40">
        <v>345</v>
      </c>
      <c r="Q635" s="146">
        <v>1</v>
      </c>
    </row>
    <row r="636" ht="16.1" customHeight="1">
      <c r="P636" t="s" s="40">
        <v>225</v>
      </c>
      <c r="Q636" s="146">
        <v>7</v>
      </c>
    </row>
    <row r="637" ht="16.1" customHeight="1">
      <c r="P637" t="s" s="40">
        <v>585</v>
      </c>
      <c r="Q637" s="146">
        <v>12</v>
      </c>
    </row>
    <row r="638" ht="16.1" customHeight="1">
      <c r="P638" t="s" s="40">
        <v>299</v>
      </c>
      <c r="Q638" s="146">
        <v>8</v>
      </c>
    </row>
    <row r="639" ht="16.1" customHeight="1">
      <c r="P639" t="s" s="40">
        <v>1069</v>
      </c>
      <c r="Q639" s="146">
        <v>10</v>
      </c>
    </row>
    <row r="640" ht="16.1" customHeight="1">
      <c r="P640" t="s" s="40">
        <v>882</v>
      </c>
      <c r="Q640" s="146">
        <v>1</v>
      </c>
    </row>
    <row r="641" ht="16.1" customHeight="1">
      <c r="P641" t="s" s="40">
        <v>1593</v>
      </c>
      <c r="Q641" s="146">
        <v>9</v>
      </c>
    </row>
    <row r="642" ht="16.1" customHeight="1">
      <c r="P642" t="s" s="40">
        <v>1961</v>
      </c>
      <c r="Q642" s="146">
        <v>2</v>
      </c>
    </row>
    <row r="643" ht="16.1" customHeight="1">
      <c r="P643" t="s" s="40">
        <v>39</v>
      </c>
      <c r="Q643" s="146">
        <v>12</v>
      </c>
    </row>
    <row r="644" ht="16.1" customHeight="1">
      <c r="P644" t="s" s="40">
        <v>1054</v>
      </c>
      <c r="Q644" s="146">
        <v>4</v>
      </c>
    </row>
    <row r="645" ht="16.1" customHeight="1">
      <c r="P645" t="s" s="40">
        <v>354</v>
      </c>
      <c r="Q645" s="146">
        <v>2</v>
      </c>
    </row>
    <row r="646" ht="16.1" customHeight="1">
      <c r="P646" t="s" s="40">
        <v>23</v>
      </c>
      <c r="Q646" s="146">
        <v>21</v>
      </c>
    </row>
    <row r="647" ht="16.1" customHeight="1">
      <c r="P647" t="s" s="40">
        <v>462</v>
      </c>
      <c r="Q647" s="146">
        <v>4</v>
      </c>
    </row>
    <row r="648" ht="16.1" customHeight="1">
      <c r="P648" t="s" s="40">
        <v>133</v>
      </c>
      <c r="Q648" s="146">
        <v>36</v>
      </c>
    </row>
    <row r="649" ht="16.1" customHeight="1">
      <c r="P649" t="s" s="40">
        <v>470</v>
      </c>
      <c r="Q649" s="146">
        <v>3</v>
      </c>
    </row>
    <row r="650" ht="16.1" customHeight="1">
      <c r="P650" t="s" s="40">
        <v>3886</v>
      </c>
      <c r="Q650" s="146">
        <v>1</v>
      </c>
    </row>
    <row r="651" ht="16.1" customHeight="1">
      <c r="P651" t="s" s="40">
        <v>1479</v>
      </c>
      <c r="Q651" s="146">
        <v>4</v>
      </c>
    </row>
    <row r="652" ht="16.1" customHeight="1">
      <c r="P652" t="s" s="40">
        <v>602</v>
      </c>
      <c r="Q652" s="146">
        <v>6</v>
      </c>
    </row>
    <row r="653" ht="16.1" customHeight="1">
      <c r="P653" t="s" s="40">
        <v>1257</v>
      </c>
      <c r="Q653" s="146">
        <v>8</v>
      </c>
    </row>
    <row r="654" ht="16.1" customHeight="1">
      <c r="P654" t="s" s="40">
        <v>35</v>
      </c>
      <c r="Q654" s="146">
        <v>29</v>
      </c>
    </row>
    <row r="655" ht="16.1" customHeight="1">
      <c r="P655" t="s" s="40">
        <v>89</v>
      </c>
      <c r="Q655" s="146">
        <v>12</v>
      </c>
    </row>
    <row r="656" ht="16.1" customHeight="1">
      <c r="P656" t="s" s="40">
        <v>52</v>
      </c>
      <c r="Q656" s="146">
        <v>40</v>
      </c>
    </row>
    <row r="657" ht="16.1" customHeight="1">
      <c r="P657" t="s" s="40">
        <v>359</v>
      </c>
      <c r="Q657" s="146">
        <v>56</v>
      </c>
    </row>
    <row r="658" ht="16.1" customHeight="1">
      <c r="P658" t="s" s="40">
        <v>77</v>
      </c>
      <c r="Q658" s="146">
        <v>44</v>
      </c>
    </row>
    <row r="659" ht="16.1" customHeight="1">
      <c r="P659" t="s" s="40">
        <v>258</v>
      </c>
      <c r="Q659" s="146">
        <v>4</v>
      </c>
    </row>
    <row r="660" ht="16.1" customHeight="1">
      <c r="P660" t="s" s="40">
        <v>95</v>
      </c>
      <c r="Q660" s="146">
        <v>18</v>
      </c>
    </row>
    <row r="661" ht="16.1" customHeight="1">
      <c r="P661" t="s" s="40">
        <v>171</v>
      </c>
      <c r="Q661" s="146">
        <v>6</v>
      </c>
    </row>
    <row r="662" ht="16.1" customHeight="1">
      <c r="P662" t="s" s="40">
        <v>11</v>
      </c>
      <c r="Q662" s="146">
        <v>9</v>
      </c>
    </row>
    <row r="663" ht="16.1" customHeight="1">
      <c r="P663" t="s" s="40">
        <v>31</v>
      </c>
      <c r="Q663" s="146">
        <v>10</v>
      </c>
    </row>
    <row r="664" ht="16.1" customHeight="1">
      <c r="P664" t="s" s="40">
        <v>81</v>
      </c>
      <c r="Q664" s="146">
        <v>6</v>
      </c>
    </row>
    <row r="665" ht="16.1" customHeight="1">
      <c r="P665" t="s" s="40">
        <v>722</v>
      </c>
      <c r="Q665" s="146">
        <v>10</v>
      </c>
    </row>
    <row r="666" ht="16.1" customHeight="1">
      <c r="P666" t="s" s="40">
        <v>4325</v>
      </c>
      <c r="Q666" s="146">
        <v>1</v>
      </c>
    </row>
    <row r="667" ht="16.1" customHeight="1">
      <c r="P667" t="s" s="40">
        <v>50</v>
      </c>
      <c r="Q667" s="146">
        <v>84</v>
      </c>
    </row>
    <row r="668" ht="16.1" customHeight="1">
      <c r="P668" t="s" s="40">
        <v>1896</v>
      </c>
      <c r="Q668" s="146">
        <v>4</v>
      </c>
    </row>
    <row r="669" ht="16.1" customHeight="1">
      <c r="P669" t="s" s="40">
        <v>4327</v>
      </c>
      <c r="Q669" s="146">
        <v>1</v>
      </c>
    </row>
    <row r="670" ht="16.1" customHeight="1">
      <c r="P670" t="s" s="40">
        <v>48</v>
      </c>
      <c r="Q670" s="146">
        <v>19</v>
      </c>
    </row>
    <row r="671" ht="16.1" customHeight="1">
      <c r="P671" t="s" s="40">
        <v>998</v>
      </c>
      <c r="Q671" s="146">
        <v>11</v>
      </c>
    </row>
    <row r="672" ht="16.1" customHeight="1">
      <c r="P672" t="s" s="40">
        <v>933</v>
      </c>
      <c r="Q672" s="146">
        <v>24</v>
      </c>
    </row>
    <row r="673" ht="16.1" customHeight="1">
      <c r="P673" t="s" s="40">
        <v>468</v>
      </c>
      <c r="Q673" s="146">
        <v>7</v>
      </c>
    </row>
    <row r="674" ht="16.1" customHeight="1">
      <c r="P674" t="s" s="40">
        <v>489</v>
      </c>
      <c r="Q674" s="146">
        <v>4</v>
      </c>
    </row>
    <row r="675" ht="16.1" customHeight="1">
      <c r="P675" t="s" s="40">
        <v>1633</v>
      </c>
      <c r="Q675" s="146">
        <v>4</v>
      </c>
    </row>
    <row r="676" ht="16.1" customHeight="1">
      <c r="P676" t="s" s="40">
        <v>491</v>
      </c>
      <c r="Q676" s="146">
        <v>8</v>
      </c>
    </row>
    <row r="677" ht="16.1" customHeight="1">
      <c r="P677" t="s" s="40">
        <v>493</v>
      </c>
      <c r="Q677" s="146">
        <v>4</v>
      </c>
    </row>
    <row r="678" ht="16.1" customHeight="1">
      <c r="P678" t="s" s="40">
        <v>3396</v>
      </c>
      <c r="Q678" s="146">
        <v>150</v>
      </c>
    </row>
    <row r="679" ht="16.1" customHeight="1">
      <c r="P679" t="s" s="40">
        <v>3398</v>
      </c>
      <c r="Q679" s="146">
        <v>100</v>
      </c>
    </row>
    <row r="680" ht="16.1" customHeight="1">
      <c r="P680" t="s" s="40">
        <v>143</v>
      </c>
      <c r="Q680" s="146">
        <v>1</v>
      </c>
    </row>
    <row r="681" ht="16.1" customHeight="1">
      <c r="P681" t="s" s="40">
        <v>59</v>
      </c>
      <c r="Q681" s="146">
        <v>6</v>
      </c>
    </row>
    <row r="682" ht="16.1" customHeight="1">
      <c r="P682" t="s" s="40">
        <v>73</v>
      </c>
      <c r="Q682" s="146">
        <v>56</v>
      </c>
    </row>
    <row r="683" ht="16.1" customHeight="1">
      <c r="P683" t="s" s="40">
        <v>4298</v>
      </c>
      <c r="Q683" s="146">
        <v>8</v>
      </c>
    </row>
    <row r="684" ht="16.1" customHeight="1">
      <c r="P684" t="s" s="40">
        <v>559</v>
      </c>
      <c r="Q684" s="146">
        <v>1000</v>
      </c>
    </row>
    <row r="685" ht="16.1" customHeight="1">
      <c r="P685" t="s" s="40">
        <v>15</v>
      </c>
      <c r="Q685" s="146">
        <v>90</v>
      </c>
    </row>
    <row r="686" ht="16.1" customHeight="1">
      <c r="P686" t="s" s="40">
        <v>1044</v>
      </c>
      <c r="Q686" s="146">
        <v>12</v>
      </c>
    </row>
    <row r="687" ht="16.1" customHeight="1">
      <c r="P687" t="s" s="40">
        <v>3467</v>
      </c>
      <c r="Q687" s="146">
        <v>4</v>
      </c>
    </row>
    <row r="688" ht="16.1" customHeight="1">
      <c r="P688" t="s" s="40">
        <v>4484</v>
      </c>
      <c r="Q688" s="146">
        <v>6</v>
      </c>
    </row>
    <row r="689" ht="16.1" customHeight="1">
      <c r="P689" t="s" s="40">
        <v>443</v>
      </c>
      <c r="Q689" s="146">
        <v>10</v>
      </c>
    </row>
    <row r="690" ht="16.1" customHeight="1">
      <c r="P690" t="s" s="40">
        <v>301</v>
      </c>
      <c r="Q690" s="146">
        <v>1</v>
      </c>
    </row>
    <row r="691" ht="16.1" customHeight="1">
      <c r="P691" t="s" s="40">
        <v>404</v>
      </c>
      <c r="Q691" s="146">
        <v>1</v>
      </c>
    </row>
    <row r="692" ht="16.1" customHeight="1">
      <c r="P692" t="s" s="40">
        <v>398</v>
      </c>
      <c r="Q692" s="146">
        <v>125</v>
      </c>
    </row>
    <row r="693" ht="16.1" customHeight="1">
      <c r="P693" t="s" s="40">
        <v>1707</v>
      </c>
      <c r="Q693" s="146">
        <v>4</v>
      </c>
    </row>
    <row r="694" ht="16.1" customHeight="1">
      <c r="P694" t="s" s="40">
        <v>2425</v>
      </c>
      <c r="Q694" s="146">
        <v>4</v>
      </c>
    </row>
    <row r="695" ht="16.1" customHeight="1">
      <c r="P695" t="s" s="40">
        <v>1132</v>
      </c>
      <c r="Q695" s="146">
        <v>2</v>
      </c>
    </row>
    <row r="696" ht="16.1" customHeight="1">
      <c r="P696" t="s" s="40">
        <v>1914</v>
      </c>
      <c r="Q696" s="146">
        <v>1</v>
      </c>
    </row>
    <row r="697" ht="16.1" customHeight="1">
      <c r="P697" t="s" s="40">
        <v>409</v>
      </c>
      <c r="Q697" s="146">
        <v>1</v>
      </c>
    </row>
    <row r="698" ht="16.1" customHeight="1">
      <c r="P698" t="s" s="40">
        <v>1048</v>
      </c>
      <c r="Q698" s="146">
        <v>12</v>
      </c>
    </row>
    <row r="699" ht="16.1" customHeight="1">
      <c r="P699" t="s" s="40">
        <v>2351</v>
      </c>
      <c r="Q699" s="146">
        <v>4</v>
      </c>
    </row>
    <row r="700" ht="16.1" customHeight="1">
      <c r="P700" t="s" s="40">
        <v>691</v>
      </c>
      <c r="Q700" s="146">
        <v>2</v>
      </c>
    </row>
    <row r="701" ht="16.1" customHeight="1">
      <c r="P701" t="s" s="40">
        <v>3610</v>
      </c>
      <c r="Q701" s="146">
        <v>1</v>
      </c>
    </row>
    <row r="702" ht="16.1" customHeight="1">
      <c r="P702" t="s" s="40">
        <v>254</v>
      </c>
      <c r="Q702" s="146">
        <v>6</v>
      </c>
    </row>
    <row r="703" ht="16.1" customHeight="1">
      <c r="P703" t="s" s="40">
        <v>63</v>
      </c>
      <c r="Q703" s="146">
        <v>22</v>
      </c>
    </row>
    <row r="704" ht="16.1" customHeight="1">
      <c r="P704" t="s" s="40">
        <v>47</v>
      </c>
      <c r="Q704" s="146">
        <v>5</v>
      </c>
    </row>
    <row r="705" ht="16.1" customHeight="1">
      <c r="P705" t="s" s="40">
        <v>4303</v>
      </c>
      <c r="Q705" s="146">
        <v>10</v>
      </c>
    </row>
    <row r="706" ht="16.1" customHeight="1">
      <c r="P706" t="s" s="40">
        <v>4304</v>
      </c>
      <c r="Q706" s="146">
        <v>10</v>
      </c>
    </row>
    <row r="707" ht="16.1" customHeight="1">
      <c r="P707" t="s" s="40">
        <v>2435</v>
      </c>
      <c r="Q707" s="146">
        <v>1</v>
      </c>
    </row>
    <row r="708" ht="16.1" customHeight="1">
      <c r="P708" t="s" s="40">
        <v>1671</v>
      </c>
      <c r="Q708" s="146">
        <v>1</v>
      </c>
    </row>
    <row r="709" ht="16.1" customHeight="1">
      <c r="P709" t="s" s="40">
        <v>110</v>
      </c>
      <c r="Q709" s="146">
        <v>4</v>
      </c>
    </row>
    <row r="710" ht="16.1" customHeight="1">
      <c r="P710" t="s" s="40">
        <v>861</v>
      </c>
      <c r="Q710" s="146">
        <v>2</v>
      </c>
    </row>
    <row r="711" ht="16.1" customHeight="1">
      <c r="P711" t="s" s="40">
        <v>4355</v>
      </c>
      <c r="Q711" s="146">
        <v>42</v>
      </c>
    </row>
    <row r="712" ht="16.1" customHeight="1">
      <c r="P712" t="s" s="42">
        <v>4357</v>
      </c>
      <c r="Q712" s="147">
        <v>42</v>
      </c>
    </row>
    <row r="713" ht="16.1" customHeight="1">
      <c r="P713" t="s" s="44">
        <v>620</v>
      </c>
      <c r="Q713" s="34">
        <v>2705</v>
      </c>
    </row>
    <row r="715" ht="15.55" customHeight="1">
      <c r="R715" t="s" s="2">
        <v>4507</v>
      </c>
      <c r="S715" s="2"/>
    </row>
    <row r="716" ht="16.1" customHeight="1">
      <c r="R716" t="s" s="37">
        <v>4</v>
      </c>
      <c r="S716" t="s" s="145">
        <v>619</v>
      </c>
    </row>
    <row r="717" ht="16.1" customHeight="1">
      <c r="R717" t="s" s="38">
        <v>2961</v>
      </c>
      <c r="S717" s="50">
        <v>22.99</v>
      </c>
    </row>
    <row r="718" ht="16.1" customHeight="1">
      <c r="R718" t="s" s="40">
        <v>1046</v>
      </c>
      <c r="S718" s="149">
        <v>0</v>
      </c>
    </row>
    <row r="719" ht="16.1" customHeight="1">
      <c r="R719" t="s" s="40">
        <v>1186</v>
      </c>
      <c r="S719" s="149">
        <v>0</v>
      </c>
    </row>
    <row r="720" ht="16.1" customHeight="1">
      <c r="R720" t="s" s="40">
        <v>109</v>
      </c>
      <c r="S720" s="149">
        <v>0</v>
      </c>
    </row>
    <row r="721" ht="16.1" customHeight="1">
      <c r="R721" t="s" s="40">
        <v>3910</v>
      </c>
      <c r="S721" s="150">
        <v>33.260868</v>
      </c>
    </row>
    <row r="722" ht="16.1" customHeight="1">
      <c r="R722" t="s" s="40">
        <v>4127</v>
      </c>
      <c r="S722" s="150">
        <v>1300</v>
      </c>
    </row>
    <row r="723" ht="16.1" customHeight="1">
      <c r="R723" t="s" s="40">
        <v>4180</v>
      </c>
      <c r="S723" s="150">
        <v>174.99</v>
      </c>
    </row>
    <row r="724" ht="16.1" customHeight="1">
      <c r="R724" t="s" s="40">
        <v>4283</v>
      </c>
      <c r="S724" s="150">
        <v>187.826088</v>
      </c>
    </row>
    <row r="725" ht="16.1" customHeight="1">
      <c r="R725" t="s" s="40">
        <v>1007</v>
      </c>
      <c r="S725" s="149">
        <v>0</v>
      </c>
    </row>
    <row r="726" ht="16.1" customHeight="1">
      <c r="R726" t="s" s="40">
        <v>4188</v>
      </c>
      <c r="S726" s="150">
        <v>2100</v>
      </c>
    </row>
    <row r="727" ht="16.1" customHeight="1">
      <c r="R727" t="s" s="40">
        <v>1917</v>
      </c>
      <c r="S727" s="150">
        <v>883.5</v>
      </c>
    </row>
    <row r="728" ht="16.1" customHeight="1">
      <c r="R728" t="s" s="40">
        <v>3543</v>
      </c>
      <c r="S728" s="149">
        <v>0</v>
      </c>
    </row>
    <row r="729" ht="16.1" customHeight="1">
      <c r="R729" t="s" s="40">
        <v>1986</v>
      </c>
      <c r="S729" s="150">
        <v>74.98999999999999</v>
      </c>
    </row>
    <row r="730" ht="16.1" customHeight="1">
      <c r="R730" t="s" s="40">
        <v>1202</v>
      </c>
      <c r="S730" s="150">
        <v>450</v>
      </c>
    </row>
    <row r="731" ht="16.1" customHeight="1">
      <c r="R731" t="s" s="40">
        <v>2549</v>
      </c>
      <c r="S731" s="149">
        <v>0</v>
      </c>
    </row>
    <row r="732" ht="16.1" customHeight="1">
      <c r="R732" t="s" s="40">
        <v>4050</v>
      </c>
      <c r="S732" s="150">
        <v>18</v>
      </c>
    </row>
    <row r="733" ht="16.1" customHeight="1">
      <c r="R733" t="s" s="40">
        <v>123</v>
      </c>
      <c r="S733" s="150">
        <v>1259.93</v>
      </c>
    </row>
    <row r="734" ht="16.1" customHeight="1">
      <c r="R734" t="s" s="40">
        <v>165</v>
      </c>
      <c r="S734" s="149">
        <v>0</v>
      </c>
    </row>
    <row r="735" ht="16.1" customHeight="1">
      <c r="R735" t="s" s="40">
        <v>19</v>
      </c>
      <c r="S735" s="150">
        <v>4473.38</v>
      </c>
    </row>
    <row r="736" ht="16.1" customHeight="1">
      <c r="R736" t="s" s="40">
        <v>4465</v>
      </c>
      <c r="S736" s="150">
        <v>400.02</v>
      </c>
    </row>
    <row r="737" ht="16.1" customHeight="1">
      <c r="R737" t="s" s="40">
        <v>2787</v>
      </c>
      <c r="S737" s="150">
        <v>120.6975</v>
      </c>
    </row>
    <row r="738" ht="16.1" customHeight="1">
      <c r="R738" t="s" s="40">
        <v>227</v>
      </c>
      <c r="S738" s="150">
        <v>329.89</v>
      </c>
    </row>
    <row r="739" ht="16.1" customHeight="1">
      <c r="R739" t="s" s="40">
        <v>54</v>
      </c>
      <c r="S739" s="150">
        <v>234.765</v>
      </c>
    </row>
    <row r="740" ht="16.1" customHeight="1">
      <c r="R740" t="s" s="40">
        <v>1695</v>
      </c>
      <c r="S740" s="150">
        <v>624.875</v>
      </c>
    </row>
    <row r="741" ht="16.1" customHeight="1">
      <c r="R741" t="s" s="40">
        <v>4213</v>
      </c>
      <c r="S741" s="150">
        <v>589.6</v>
      </c>
    </row>
    <row r="742" ht="16.1" customHeight="1">
      <c r="R742" t="s" s="40">
        <v>57</v>
      </c>
      <c r="S742" s="150">
        <v>13599.83</v>
      </c>
    </row>
    <row r="743" ht="16.1" customHeight="1">
      <c r="R743" t="s" s="40">
        <v>1639</v>
      </c>
      <c r="S743" s="149">
        <v>0</v>
      </c>
    </row>
    <row r="744" ht="16.1" customHeight="1">
      <c r="R744" t="s" s="40">
        <v>369</v>
      </c>
      <c r="S744" s="149">
        <v>0</v>
      </c>
    </row>
    <row r="745" ht="16.1" customHeight="1">
      <c r="R745" t="s" s="40">
        <v>4211</v>
      </c>
      <c r="S745" s="150">
        <v>5187.6</v>
      </c>
    </row>
    <row r="746" ht="16.1" customHeight="1">
      <c r="R746" t="s" s="40">
        <v>84</v>
      </c>
      <c r="S746" s="150">
        <v>345</v>
      </c>
    </row>
    <row r="747" ht="16.1" customHeight="1">
      <c r="R747" t="s" s="40">
        <v>660</v>
      </c>
      <c r="S747" s="150">
        <v>5.99</v>
      </c>
    </row>
    <row r="748" ht="16.1" customHeight="1">
      <c r="R748" t="s" s="40">
        <v>179</v>
      </c>
      <c r="S748" s="150">
        <v>199.96</v>
      </c>
    </row>
    <row r="749" ht="16.1" customHeight="1">
      <c r="R749" t="s" s="40">
        <v>412</v>
      </c>
      <c r="S749" s="150">
        <v>13.93</v>
      </c>
    </row>
    <row r="750" ht="16.1" customHeight="1">
      <c r="R750" t="s" s="40">
        <v>119</v>
      </c>
      <c r="S750" s="150">
        <v>11.94</v>
      </c>
    </row>
    <row r="751" ht="16.1" customHeight="1">
      <c r="R751" t="s" s="40">
        <v>589</v>
      </c>
      <c r="S751" s="150">
        <v>37.45</v>
      </c>
    </row>
    <row r="752" ht="16.1" customHeight="1">
      <c r="R752" t="s" s="40">
        <v>345</v>
      </c>
      <c r="S752" s="150">
        <v>219.99</v>
      </c>
    </row>
    <row r="753" ht="16.1" customHeight="1">
      <c r="R753" t="s" s="40">
        <v>225</v>
      </c>
      <c r="S753" s="150">
        <v>2999.94</v>
      </c>
    </row>
    <row r="754" ht="16.1" customHeight="1">
      <c r="R754" t="s" s="40">
        <v>585</v>
      </c>
      <c r="S754" s="150">
        <v>5999.88</v>
      </c>
    </row>
    <row r="755" ht="16.1" customHeight="1">
      <c r="R755" t="s" s="40">
        <v>299</v>
      </c>
      <c r="S755" s="150">
        <v>559.92</v>
      </c>
    </row>
    <row r="756" ht="16.1" customHeight="1">
      <c r="R756" t="s" s="40">
        <v>1069</v>
      </c>
      <c r="S756" s="150">
        <v>749.925</v>
      </c>
    </row>
    <row r="757" ht="16.1" customHeight="1">
      <c r="R757" t="s" s="40">
        <v>882</v>
      </c>
      <c r="S757" s="150">
        <v>74.98999999999999</v>
      </c>
    </row>
    <row r="758" ht="16.1" customHeight="1">
      <c r="R758" t="s" s="40">
        <v>1593</v>
      </c>
      <c r="S758" s="150">
        <v>99.98999999999999</v>
      </c>
    </row>
    <row r="759" ht="16.1" customHeight="1">
      <c r="R759" t="s" s="40">
        <v>1961</v>
      </c>
      <c r="S759" s="150">
        <v>219.98</v>
      </c>
    </row>
    <row r="760" ht="16.1" customHeight="1">
      <c r="R760" t="s" s="40">
        <v>39</v>
      </c>
      <c r="S760" s="150">
        <v>1154.895</v>
      </c>
    </row>
    <row r="761" ht="16.1" customHeight="1">
      <c r="R761" t="s" s="40">
        <v>1054</v>
      </c>
      <c r="S761" s="150">
        <v>599.96</v>
      </c>
    </row>
    <row r="762" ht="16.1" customHeight="1">
      <c r="R762" t="s" s="40">
        <v>354</v>
      </c>
      <c r="S762" s="150">
        <v>299.98</v>
      </c>
    </row>
    <row r="763" ht="16.1" customHeight="1">
      <c r="R763" t="s" s="40">
        <v>23</v>
      </c>
      <c r="S763" s="150">
        <v>1649.89</v>
      </c>
    </row>
    <row r="764" ht="16.1" customHeight="1">
      <c r="R764" t="s" s="40">
        <v>462</v>
      </c>
      <c r="S764" s="150">
        <v>599.97</v>
      </c>
    </row>
    <row r="765" ht="16.1" customHeight="1">
      <c r="R765" t="s" s="40">
        <v>133</v>
      </c>
      <c r="S765" s="150">
        <v>4449.8</v>
      </c>
    </row>
    <row r="766" ht="16.1" customHeight="1">
      <c r="R766" t="s" s="40">
        <v>470</v>
      </c>
      <c r="S766" s="150">
        <v>599.98</v>
      </c>
    </row>
    <row r="767" ht="16.1" customHeight="1">
      <c r="R767" t="s" s="40">
        <v>3886</v>
      </c>
      <c r="S767" s="150">
        <v>299.99</v>
      </c>
    </row>
    <row r="768" ht="16.1" customHeight="1">
      <c r="R768" t="s" s="40">
        <v>1479</v>
      </c>
      <c r="S768" s="150">
        <v>1199.96</v>
      </c>
    </row>
    <row r="769" ht="16.1" customHeight="1">
      <c r="R769" t="s" s="40">
        <v>602</v>
      </c>
      <c r="S769" s="150">
        <v>1674.95</v>
      </c>
    </row>
    <row r="770" ht="16.1" customHeight="1">
      <c r="R770" t="s" s="40">
        <v>1257</v>
      </c>
      <c r="S770" s="150">
        <v>2100</v>
      </c>
    </row>
    <row r="771" ht="16.1" customHeight="1">
      <c r="R771" t="s" s="40">
        <v>35</v>
      </c>
      <c r="S771" s="150">
        <v>1412.21</v>
      </c>
    </row>
    <row r="772" ht="16.1" customHeight="1">
      <c r="R772" t="s" s="40">
        <v>89</v>
      </c>
      <c r="S772" s="150">
        <v>614.8975</v>
      </c>
    </row>
    <row r="773" ht="16.1" customHeight="1">
      <c r="R773" t="s" s="40">
        <v>52</v>
      </c>
      <c r="S773" s="150">
        <v>19.99</v>
      </c>
    </row>
    <row r="774" ht="16.1" customHeight="1">
      <c r="R774" t="s" s="40">
        <v>359</v>
      </c>
      <c r="S774" s="150">
        <v>1327.0575</v>
      </c>
    </row>
    <row r="775" ht="16.1" customHeight="1">
      <c r="R775" t="s" s="40">
        <v>77</v>
      </c>
      <c r="S775" s="150">
        <v>754.6224999999999</v>
      </c>
    </row>
    <row r="776" ht="16.1" customHeight="1">
      <c r="R776" t="s" s="40">
        <v>258</v>
      </c>
      <c r="S776" s="149">
        <v>0</v>
      </c>
    </row>
    <row r="777" ht="16.1" customHeight="1">
      <c r="R777" t="s" s="40">
        <v>95</v>
      </c>
      <c r="S777" s="150">
        <v>6224.82</v>
      </c>
    </row>
    <row r="778" ht="16.1" customHeight="1">
      <c r="R778" t="s" s="40">
        <v>171</v>
      </c>
      <c r="S778" s="150">
        <v>3299.94</v>
      </c>
    </row>
    <row r="779" ht="16.1" customHeight="1">
      <c r="R779" t="s" s="40">
        <v>11</v>
      </c>
      <c r="S779" s="150">
        <v>3599.91</v>
      </c>
    </row>
    <row r="780" ht="16.1" customHeight="1">
      <c r="R780" t="s" s="40">
        <v>31</v>
      </c>
      <c r="S780" s="150">
        <v>5968.64</v>
      </c>
    </row>
    <row r="781" ht="16.1" customHeight="1">
      <c r="R781" t="s" s="40">
        <v>81</v>
      </c>
      <c r="S781" s="150">
        <v>5099.94</v>
      </c>
    </row>
    <row r="782" ht="16.1" customHeight="1">
      <c r="R782" t="s" s="40">
        <v>722</v>
      </c>
      <c r="S782" s="150">
        <v>6349.95</v>
      </c>
    </row>
    <row r="783" ht="16.1" customHeight="1">
      <c r="R783" t="s" s="40">
        <v>4325</v>
      </c>
      <c r="S783" s="150">
        <v>54.99</v>
      </c>
    </row>
    <row r="784" ht="16.1" customHeight="1">
      <c r="R784" t="s" s="40">
        <v>50</v>
      </c>
      <c r="S784" s="150">
        <v>689.77</v>
      </c>
    </row>
    <row r="785" ht="16.1" customHeight="1">
      <c r="R785" t="s" s="40">
        <v>1896</v>
      </c>
      <c r="S785" s="150">
        <v>259.96</v>
      </c>
    </row>
    <row r="786" ht="16.1" customHeight="1">
      <c r="R786" t="s" s="40">
        <v>4327</v>
      </c>
      <c r="S786" s="150">
        <v>84.98999999999999</v>
      </c>
    </row>
    <row r="787" ht="16.1" customHeight="1">
      <c r="R787" t="s" s="40">
        <v>48</v>
      </c>
      <c r="S787" s="150">
        <v>20799.84</v>
      </c>
    </row>
    <row r="788" ht="16.1" customHeight="1">
      <c r="R788" t="s" s="40">
        <v>998</v>
      </c>
      <c r="S788" s="150">
        <v>10499.94</v>
      </c>
    </row>
    <row r="789" ht="16.1" customHeight="1">
      <c r="R789" t="s" s="40">
        <v>933</v>
      </c>
      <c r="S789" s="150">
        <v>21600</v>
      </c>
    </row>
    <row r="790" ht="16.1" customHeight="1">
      <c r="R790" t="s" s="40">
        <v>468</v>
      </c>
      <c r="S790" s="150">
        <v>10049.985</v>
      </c>
    </row>
    <row r="791" ht="16.1" customHeight="1">
      <c r="R791" t="s" s="40">
        <v>489</v>
      </c>
      <c r="S791" s="150">
        <v>4799.97</v>
      </c>
    </row>
    <row r="792" ht="16.1" customHeight="1">
      <c r="R792" t="s" s="40">
        <v>1633</v>
      </c>
      <c r="S792" s="149">
        <v>0</v>
      </c>
    </row>
    <row r="793" ht="16.1" customHeight="1">
      <c r="R793" t="s" s="40">
        <v>491</v>
      </c>
      <c r="S793" s="149">
        <v>0</v>
      </c>
    </row>
    <row r="794" ht="16.1" customHeight="1">
      <c r="R794" t="s" s="40">
        <v>493</v>
      </c>
      <c r="S794" s="149">
        <v>0</v>
      </c>
    </row>
    <row r="795" ht="16.1" customHeight="1">
      <c r="R795" t="s" s="40">
        <v>3396</v>
      </c>
      <c r="S795" s="150">
        <v>600</v>
      </c>
    </row>
    <row r="796" ht="16.1" customHeight="1">
      <c r="R796" t="s" s="40">
        <v>3398</v>
      </c>
      <c r="S796" s="150">
        <v>400</v>
      </c>
    </row>
    <row r="797" ht="16.1" customHeight="1">
      <c r="R797" t="s" s="40">
        <v>143</v>
      </c>
      <c r="S797" s="150">
        <v>2499.99</v>
      </c>
    </row>
    <row r="798" ht="16.1" customHeight="1">
      <c r="R798" t="s" s="40">
        <v>59</v>
      </c>
      <c r="S798" s="150">
        <v>6299.9475</v>
      </c>
    </row>
    <row r="799" ht="16.1" customHeight="1">
      <c r="R799" t="s" s="40">
        <v>73</v>
      </c>
      <c r="S799" s="150">
        <v>20129.505</v>
      </c>
    </row>
    <row r="800" ht="16.1" customHeight="1">
      <c r="R800" t="s" s="40">
        <v>4298</v>
      </c>
      <c r="S800" s="149">
        <v>0</v>
      </c>
    </row>
    <row r="801" ht="16.1" customHeight="1">
      <c r="R801" t="s" s="40">
        <v>559</v>
      </c>
      <c r="S801" s="150">
        <v>250</v>
      </c>
    </row>
    <row r="802" ht="16.1" customHeight="1">
      <c r="R802" t="s" s="40">
        <v>15</v>
      </c>
      <c r="S802" s="150">
        <v>658.27</v>
      </c>
    </row>
    <row r="803" ht="16.1" customHeight="1">
      <c r="R803" t="s" s="40">
        <v>1044</v>
      </c>
      <c r="S803" s="149">
        <v>0</v>
      </c>
    </row>
    <row r="804" ht="16.1" customHeight="1">
      <c r="R804" t="s" s="40">
        <v>3467</v>
      </c>
      <c r="S804" s="149">
        <v>0</v>
      </c>
    </row>
    <row r="805" ht="16.1" customHeight="1">
      <c r="R805" t="s" s="40">
        <v>4484</v>
      </c>
      <c r="S805" s="150">
        <v>225</v>
      </c>
    </row>
    <row r="806" ht="16.1" customHeight="1">
      <c r="R806" t="s" s="40">
        <v>443</v>
      </c>
      <c r="S806" s="149">
        <v>0</v>
      </c>
    </row>
    <row r="807" ht="16.1" customHeight="1">
      <c r="R807" t="s" s="40">
        <v>301</v>
      </c>
      <c r="S807" s="149">
        <v>0</v>
      </c>
    </row>
    <row r="808" ht="16.1" customHeight="1">
      <c r="R808" t="s" s="40">
        <v>404</v>
      </c>
      <c r="S808" s="149">
        <v>0</v>
      </c>
    </row>
    <row r="809" ht="16.1" customHeight="1">
      <c r="R809" t="s" s="40">
        <v>398</v>
      </c>
      <c r="S809" s="149">
        <v>0</v>
      </c>
    </row>
    <row r="810" ht="16.1" customHeight="1">
      <c r="R810" t="s" s="40">
        <v>1707</v>
      </c>
      <c r="S810" s="149">
        <v>0</v>
      </c>
    </row>
    <row r="811" ht="16.1" customHeight="1">
      <c r="R811" t="s" s="40">
        <v>2425</v>
      </c>
      <c r="S811" s="150">
        <v>595.115946</v>
      </c>
    </row>
    <row r="812" ht="16.1" customHeight="1">
      <c r="R812" t="s" s="40">
        <v>1132</v>
      </c>
      <c r="S812" s="150">
        <v>160</v>
      </c>
    </row>
    <row r="813" ht="16.1" customHeight="1">
      <c r="R813" t="s" s="40">
        <v>1914</v>
      </c>
      <c r="S813" s="149">
        <v>0</v>
      </c>
    </row>
    <row r="814" ht="16.1" customHeight="1">
      <c r="R814" t="s" s="40">
        <v>409</v>
      </c>
      <c r="S814" s="149">
        <v>0</v>
      </c>
    </row>
    <row r="815" ht="16.1" customHeight="1">
      <c r="R815" t="s" s="40">
        <v>1048</v>
      </c>
      <c r="S815" s="149">
        <v>0</v>
      </c>
    </row>
    <row r="816" ht="16.1" customHeight="1">
      <c r="R816" t="s" s="40">
        <v>2351</v>
      </c>
      <c r="S816" s="150">
        <v>93.59999999999999</v>
      </c>
    </row>
    <row r="817" ht="16.1" customHeight="1">
      <c r="R817" t="s" s="40">
        <v>691</v>
      </c>
      <c r="S817" s="150">
        <v>590</v>
      </c>
    </row>
    <row r="818" ht="16.1" customHeight="1">
      <c r="R818" t="s" s="40">
        <v>3610</v>
      </c>
      <c r="S818" s="149">
        <v>0</v>
      </c>
    </row>
    <row r="819" ht="16.1" customHeight="1">
      <c r="R819" t="s" s="40">
        <v>254</v>
      </c>
      <c r="S819" s="149">
        <v>0</v>
      </c>
    </row>
    <row r="820" ht="16.1" customHeight="1">
      <c r="R820" t="s" s="40">
        <v>63</v>
      </c>
      <c r="S820" s="150">
        <v>1781</v>
      </c>
    </row>
    <row r="821" ht="16.1" customHeight="1">
      <c r="R821" t="s" s="40">
        <v>47</v>
      </c>
      <c r="S821" s="150">
        <v>825</v>
      </c>
    </row>
    <row r="822" ht="16.1" customHeight="1">
      <c r="R822" t="s" s="40">
        <v>4303</v>
      </c>
      <c r="S822" s="150">
        <v>159.9</v>
      </c>
    </row>
    <row r="823" ht="16.1" customHeight="1">
      <c r="R823" t="s" s="40">
        <v>4304</v>
      </c>
      <c r="S823" s="150">
        <v>159.9</v>
      </c>
    </row>
    <row r="824" ht="16.1" customHeight="1">
      <c r="R824" t="s" s="40">
        <v>2435</v>
      </c>
      <c r="S824" s="149">
        <v>0</v>
      </c>
    </row>
    <row r="825" ht="16.1" customHeight="1">
      <c r="R825" t="s" s="40">
        <v>1671</v>
      </c>
      <c r="S825" s="149">
        <v>0</v>
      </c>
    </row>
    <row r="826" ht="16.1" customHeight="1">
      <c r="R826" t="s" s="40">
        <v>110</v>
      </c>
      <c r="S826" s="149">
        <v>0</v>
      </c>
    </row>
    <row r="827" ht="16.1" customHeight="1">
      <c r="R827" t="s" s="40">
        <v>861</v>
      </c>
      <c r="S827" s="150">
        <v>329.59</v>
      </c>
    </row>
    <row r="828" ht="16.1" customHeight="1">
      <c r="R828" t="s" s="40">
        <v>4355</v>
      </c>
      <c r="S828" s="149">
        <v>0</v>
      </c>
    </row>
    <row r="829" ht="16.1" customHeight="1">
      <c r="R829" t="s" s="42">
        <v>4357</v>
      </c>
      <c r="S829" s="151">
        <v>0</v>
      </c>
    </row>
    <row r="830" ht="16.1" customHeight="1">
      <c r="R830" t="s" s="44">
        <v>620</v>
      </c>
      <c r="S830" s="50">
        <v>197502.645402</v>
      </c>
    </row>
  </sheetData>
  <mergeCells count="4">
    <mergeCell ref="A1:H1"/>
    <mergeCell ref="I446:O446"/>
    <mergeCell ref="P598:Q598"/>
    <mergeCell ref="R715:S715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19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50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33" customWidth="1"/>
    <col min="6" max="6" width="10.6484" style="333" customWidth="1"/>
    <col min="7" max="8" width="16.3516" style="333" customWidth="1"/>
    <col min="9" max="9" width="31.0547" style="334" customWidth="1"/>
    <col min="10" max="15" width="13.3516" style="334" customWidth="1"/>
    <col min="16" max="16" width="46.0078" style="335" customWidth="1"/>
    <col min="17" max="17" width="13.3516" style="335" customWidth="1"/>
    <col min="18" max="18" width="38.5312" style="336" customWidth="1"/>
    <col min="19" max="19" width="13.3516" style="336" customWidth="1"/>
    <col min="20" max="16384" width="16.3516" style="336" customWidth="1"/>
  </cols>
  <sheetData>
    <row r="1" ht="15.55" customHeight="1">
      <c r="A1" t="s" s="2">
        <v>4508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4509</v>
      </c>
      <c r="B3" t="s" s="5">
        <v>4510</v>
      </c>
      <c r="C3" s="6">
        <v>45169.993927638890</v>
      </c>
      <c r="D3" t="s" s="7">
        <v>35</v>
      </c>
      <c r="E3" t="s" s="7">
        <v>36</v>
      </c>
      <c r="F3" s="8">
        <v>1</v>
      </c>
      <c r="G3" s="9">
        <v>49.99</v>
      </c>
      <c r="H3" s="9">
        <v>49.99</v>
      </c>
    </row>
    <row r="4" ht="12.9" customHeight="1">
      <c r="A4" t="s" s="10">
        <v>4511</v>
      </c>
      <c r="B4" t="s" s="11">
        <v>4512</v>
      </c>
      <c r="C4" s="12">
        <v>45169.811840138886</v>
      </c>
      <c r="D4" t="s" s="13">
        <v>54</v>
      </c>
      <c r="E4" t="s" s="13">
        <v>93</v>
      </c>
      <c r="F4" s="14">
        <v>12</v>
      </c>
      <c r="G4" s="15">
        <v>9.99</v>
      </c>
      <c r="H4" s="15">
        <v>119.88</v>
      </c>
    </row>
    <row r="5" ht="12.9" customHeight="1">
      <c r="A5" t="s" s="10">
        <v>4513</v>
      </c>
      <c r="B5" t="s" s="11">
        <v>4443</v>
      </c>
      <c r="C5" s="12">
        <v>45169.674819363427</v>
      </c>
      <c r="D5" t="s" s="13">
        <v>73</v>
      </c>
      <c r="E5" t="s" s="13">
        <v>74</v>
      </c>
      <c r="F5" s="14">
        <v>1</v>
      </c>
      <c r="G5" s="15">
        <v>399.99</v>
      </c>
      <c r="H5" s="15">
        <v>399.99</v>
      </c>
    </row>
    <row r="6" ht="12.9" customHeight="1">
      <c r="A6" t="s" s="10">
        <v>4513</v>
      </c>
      <c r="B6" t="s" s="11">
        <v>4443</v>
      </c>
      <c r="C6" s="12">
        <v>45169.674819363427</v>
      </c>
      <c r="D6" t="s" s="13">
        <v>225</v>
      </c>
      <c r="E6" t="s" s="13">
        <v>226</v>
      </c>
      <c r="F6" s="14">
        <v>1</v>
      </c>
      <c r="G6" s="15">
        <v>499.99</v>
      </c>
      <c r="H6" s="15">
        <v>499.99</v>
      </c>
    </row>
    <row r="7" ht="12.9" customHeight="1">
      <c r="A7" t="s" s="10">
        <v>4513</v>
      </c>
      <c r="B7" t="s" s="11">
        <v>4443</v>
      </c>
      <c r="C7" s="12">
        <v>45169.674819363427</v>
      </c>
      <c r="D7" t="s" s="13">
        <v>165</v>
      </c>
      <c r="E7" t="s" s="13">
        <v>392</v>
      </c>
      <c r="F7" s="14">
        <v>1</v>
      </c>
      <c r="G7" s="15">
        <v>0</v>
      </c>
      <c r="H7" s="15">
        <v>0</v>
      </c>
    </row>
    <row r="8" ht="12.9" customHeight="1">
      <c r="A8" t="s" s="10">
        <v>4513</v>
      </c>
      <c r="B8" t="s" s="11">
        <v>4443</v>
      </c>
      <c r="C8" s="12">
        <v>45169.674819363427</v>
      </c>
      <c r="D8" t="s" s="13">
        <v>23</v>
      </c>
      <c r="E8" t="s" s="13">
        <v>24</v>
      </c>
      <c r="F8" s="14">
        <v>1</v>
      </c>
      <c r="G8" s="15">
        <v>149.99</v>
      </c>
      <c r="H8" s="15">
        <v>149.99</v>
      </c>
    </row>
    <row r="9" ht="12.9" customHeight="1">
      <c r="A9" t="s" s="10">
        <v>4513</v>
      </c>
      <c r="B9" t="s" s="11">
        <v>4443</v>
      </c>
      <c r="C9" s="12">
        <v>45169.674819363427</v>
      </c>
      <c r="D9" t="s" s="13">
        <v>54</v>
      </c>
      <c r="E9" t="s" s="13">
        <v>93</v>
      </c>
      <c r="F9" s="14">
        <v>1</v>
      </c>
      <c r="G9" s="15">
        <v>9.99</v>
      </c>
      <c r="H9" s="15">
        <v>9.99</v>
      </c>
    </row>
    <row r="10" ht="12.9" customHeight="1">
      <c r="A10" t="s" s="10">
        <v>4514</v>
      </c>
      <c r="B10" t="s" s="11">
        <v>2091</v>
      </c>
      <c r="C10" s="12">
        <v>45169.635739120371</v>
      </c>
      <c r="D10" t="s" s="13">
        <v>15</v>
      </c>
      <c r="E10" t="s" s="13">
        <v>16</v>
      </c>
      <c r="F10" s="14">
        <v>1</v>
      </c>
      <c r="G10" s="15">
        <v>8.99</v>
      </c>
      <c r="H10" s="15">
        <v>8.99</v>
      </c>
    </row>
    <row r="11" ht="12.9" customHeight="1">
      <c r="A11" t="s" s="10">
        <v>4515</v>
      </c>
      <c r="B11" t="s" s="11">
        <v>4163</v>
      </c>
      <c r="C11" s="12">
        <v>45169.629139548611</v>
      </c>
      <c r="D11" t="s" s="13">
        <v>73</v>
      </c>
      <c r="E11" t="s" s="13">
        <v>74</v>
      </c>
      <c r="F11" s="14">
        <v>1</v>
      </c>
      <c r="G11" s="15">
        <v>399.99</v>
      </c>
      <c r="H11" s="15">
        <v>399.99</v>
      </c>
    </row>
    <row r="12" ht="12.9" customHeight="1">
      <c r="A12" t="s" s="10">
        <v>4515</v>
      </c>
      <c r="B12" t="s" s="11">
        <v>4163</v>
      </c>
      <c r="C12" s="12">
        <v>45169.629139548611</v>
      </c>
      <c r="D12" t="s" s="13">
        <v>19</v>
      </c>
      <c r="E12" t="s" s="13">
        <v>20</v>
      </c>
      <c r="F12" s="14">
        <v>1</v>
      </c>
      <c r="G12" s="15">
        <v>119.99</v>
      </c>
      <c r="H12" s="15">
        <v>119.99</v>
      </c>
    </row>
    <row r="13" ht="12.9" customHeight="1">
      <c r="A13" t="s" s="10">
        <v>4515</v>
      </c>
      <c r="B13" t="s" s="11">
        <v>4163</v>
      </c>
      <c r="C13" s="12">
        <v>45169.629139548611</v>
      </c>
      <c r="D13" t="s" s="13">
        <v>15</v>
      </c>
      <c r="E13" t="s" s="13">
        <v>16</v>
      </c>
      <c r="F13" s="14">
        <v>1</v>
      </c>
      <c r="G13" s="15">
        <v>8.99</v>
      </c>
      <c r="H13" s="15">
        <v>8.99</v>
      </c>
    </row>
    <row r="14" ht="12.9" customHeight="1">
      <c r="A14" t="s" s="10">
        <v>4515</v>
      </c>
      <c r="B14" t="s" s="11">
        <v>4163</v>
      </c>
      <c r="C14" s="12">
        <v>45169.629139548611</v>
      </c>
      <c r="D14" t="s" s="13">
        <v>54</v>
      </c>
      <c r="E14" t="s" s="13">
        <v>93</v>
      </c>
      <c r="F14" s="14">
        <v>4</v>
      </c>
      <c r="G14" s="15">
        <v>9.99</v>
      </c>
      <c r="H14" s="15">
        <v>39.96</v>
      </c>
    </row>
    <row r="15" ht="12.9" customHeight="1">
      <c r="A15" t="s" s="10">
        <v>4516</v>
      </c>
      <c r="B15" t="s" s="11">
        <v>4517</v>
      </c>
      <c r="C15" s="12">
        <v>45169.594075405090</v>
      </c>
      <c r="D15" t="s" s="13">
        <v>54</v>
      </c>
      <c r="E15" t="s" s="13">
        <v>93</v>
      </c>
      <c r="F15" s="14">
        <v>4</v>
      </c>
      <c r="G15" s="15">
        <v>9.99</v>
      </c>
      <c r="H15" s="15">
        <v>39.96</v>
      </c>
    </row>
    <row r="16" ht="12.9" customHeight="1">
      <c r="A16" t="s" s="10">
        <v>4516</v>
      </c>
      <c r="B16" t="s" s="11">
        <v>4517</v>
      </c>
      <c r="C16" s="12">
        <v>45169.594075405090</v>
      </c>
      <c r="D16" t="s" s="13">
        <v>15</v>
      </c>
      <c r="E16" t="s" s="13">
        <v>16</v>
      </c>
      <c r="F16" s="14">
        <v>1</v>
      </c>
      <c r="G16" s="15">
        <v>8.99</v>
      </c>
      <c r="H16" s="15">
        <v>8.99</v>
      </c>
    </row>
    <row r="17" ht="12.9" customHeight="1">
      <c r="A17" t="s" s="10">
        <v>4518</v>
      </c>
      <c r="B17" t="s" s="11">
        <v>4519</v>
      </c>
      <c r="C17" s="12">
        <v>45169.191935972223</v>
      </c>
      <c r="D17" t="s" s="13">
        <v>95</v>
      </c>
      <c r="E17" t="s" s="13">
        <v>12</v>
      </c>
      <c r="F17" s="14">
        <v>1</v>
      </c>
      <c r="G17" s="15">
        <v>349.99</v>
      </c>
      <c r="H17" s="15">
        <v>349.99</v>
      </c>
    </row>
    <row r="18" ht="12.9" customHeight="1">
      <c r="A18" t="s" s="10">
        <v>4520</v>
      </c>
      <c r="B18" t="s" s="11">
        <v>681</v>
      </c>
      <c r="C18" s="12">
        <v>45169.065465729167</v>
      </c>
      <c r="D18" t="s" s="13">
        <v>59</v>
      </c>
      <c r="E18" t="s" s="13">
        <v>60</v>
      </c>
      <c r="F18" s="14">
        <v>1</v>
      </c>
      <c r="G18" s="15">
        <v>1199.99</v>
      </c>
      <c r="H18" s="15">
        <v>1199.99</v>
      </c>
    </row>
    <row r="19" ht="12.9" customHeight="1">
      <c r="A19" t="s" s="10">
        <v>4520</v>
      </c>
      <c r="B19" t="s" s="11">
        <v>681</v>
      </c>
      <c r="C19" s="12">
        <v>45169.065465729167</v>
      </c>
      <c r="D19" t="s" s="13">
        <v>48</v>
      </c>
      <c r="E19" t="s" s="13">
        <v>49</v>
      </c>
      <c r="F19" s="14">
        <v>4</v>
      </c>
      <c r="G19" s="15">
        <v>1299.99</v>
      </c>
      <c r="H19" s="15">
        <v>5199.96</v>
      </c>
    </row>
    <row r="20" ht="12.9" customHeight="1">
      <c r="A20" t="s" s="10">
        <v>4520</v>
      </c>
      <c r="B20" t="s" s="11">
        <v>681</v>
      </c>
      <c r="C20" s="12">
        <v>45169.065465729167</v>
      </c>
      <c r="D20" t="s" s="13">
        <v>50</v>
      </c>
      <c r="E20" t="s" s="13">
        <v>83</v>
      </c>
      <c r="F20" s="14">
        <v>4</v>
      </c>
      <c r="G20" s="15">
        <v>0</v>
      </c>
      <c r="H20" s="15">
        <v>0</v>
      </c>
    </row>
    <row r="21" ht="12.9" customHeight="1">
      <c r="A21" t="s" s="10">
        <v>4520</v>
      </c>
      <c r="B21" t="s" s="11">
        <v>681</v>
      </c>
      <c r="C21" s="12">
        <v>45169.065465729167</v>
      </c>
      <c r="D21" t="s" s="13">
        <v>52</v>
      </c>
      <c r="E21" t="s" s="13">
        <v>4287</v>
      </c>
      <c r="F21" s="14">
        <v>4</v>
      </c>
      <c r="G21" s="15">
        <v>0</v>
      </c>
      <c r="H21" s="15">
        <v>0</v>
      </c>
    </row>
    <row r="22" ht="12.9" customHeight="1">
      <c r="A22" t="s" s="10">
        <v>4520</v>
      </c>
      <c r="B22" t="s" s="11">
        <v>681</v>
      </c>
      <c r="C22" s="12">
        <v>45169.065465729167</v>
      </c>
      <c r="D22" t="s" s="13">
        <v>84</v>
      </c>
      <c r="E22" t="s" s="13">
        <v>4225</v>
      </c>
      <c r="F22" s="14">
        <v>4</v>
      </c>
      <c r="G22" s="15">
        <v>0</v>
      </c>
      <c r="H22" s="15">
        <v>0</v>
      </c>
    </row>
    <row r="23" ht="12.9" customHeight="1">
      <c r="A23" t="s" s="10">
        <v>4520</v>
      </c>
      <c r="B23" t="s" s="11">
        <v>681</v>
      </c>
      <c r="C23" s="12">
        <v>45169.065465729167</v>
      </c>
      <c r="D23" t="s" s="13">
        <v>23</v>
      </c>
      <c r="E23" t="s" s="13">
        <v>24</v>
      </c>
      <c r="F23" s="14">
        <v>4</v>
      </c>
      <c r="G23" s="15">
        <v>0</v>
      </c>
      <c r="H23" s="15">
        <v>0</v>
      </c>
    </row>
    <row r="24" ht="12.9" customHeight="1">
      <c r="A24" t="s" s="10">
        <v>4520</v>
      </c>
      <c r="B24" t="s" s="11">
        <v>681</v>
      </c>
      <c r="C24" s="12">
        <v>45169.065465729167</v>
      </c>
      <c r="D24" t="s" s="13">
        <v>123</v>
      </c>
      <c r="E24" t="s" s="13">
        <v>124</v>
      </c>
      <c r="F24" s="14">
        <v>1</v>
      </c>
      <c r="G24" s="15">
        <v>179.99</v>
      </c>
      <c r="H24" s="15">
        <v>179.99</v>
      </c>
    </row>
    <row r="25" ht="12.9" customHeight="1">
      <c r="A25" t="s" s="10">
        <v>4520</v>
      </c>
      <c r="B25" t="s" s="11">
        <v>681</v>
      </c>
      <c r="C25" s="12">
        <v>45169.065465729167</v>
      </c>
      <c r="D25" t="s" s="13">
        <v>146</v>
      </c>
      <c r="E25" t="s" s="13">
        <v>147</v>
      </c>
      <c r="F25" s="14">
        <v>4</v>
      </c>
      <c r="G25" s="15">
        <v>19.99</v>
      </c>
      <c r="H25" s="15">
        <v>79.95999999999999</v>
      </c>
    </row>
    <row r="26" ht="12.9" customHeight="1">
      <c r="A26" t="s" s="10">
        <v>4520</v>
      </c>
      <c r="B26" t="s" s="11">
        <v>681</v>
      </c>
      <c r="C26" s="12">
        <v>45169.065465729167</v>
      </c>
      <c r="D26" t="s" s="13">
        <v>462</v>
      </c>
      <c r="E26" t="s" s="13">
        <v>463</v>
      </c>
      <c r="F26" s="14">
        <v>2</v>
      </c>
      <c r="G26" s="15">
        <v>199.99</v>
      </c>
      <c r="H26" s="15">
        <v>399.98</v>
      </c>
    </row>
    <row r="27" ht="12.9" customHeight="1">
      <c r="A27" t="s" s="10">
        <v>4520</v>
      </c>
      <c r="B27" t="s" s="11">
        <v>681</v>
      </c>
      <c r="C27" s="12">
        <v>45169.065465729167</v>
      </c>
      <c r="D27" t="s" s="13">
        <v>682</v>
      </c>
      <c r="E27" t="s" s="13">
        <v>683</v>
      </c>
      <c r="F27" s="14">
        <v>2</v>
      </c>
      <c r="G27" s="15">
        <v>249.99</v>
      </c>
      <c r="H27" s="15">
        <v>499.98</v>
      </c>
    </row>
    <row r="28" ht="12.9" customHeight="1">
      <c r="A28" t="s" s="10">
        <v>4520</v>
      </c>
      <c r="B28" t="s" s="11">
        <v>681</v>
      </c>
      <c r="C28" s="12">
        <v>45169.065465729167</v>
      </c>
      <c r="D28" t="s" s="13">
        <v>73</v>
      </c>
      <c r="E28" t="s" s="13">
        <v>74</v>
      </c>
      <c r="F28" s="14">
        <v>1</v>
      </c>
      <c r="G28" s="15">
        <v>399.99</v>
      </c>
      <c r="H28" s="15">
        <v>399.99</v>
      </c>
    </row>
    <row r="29" ht="12.9" customHeight="1">
      <c r="A29" t="s" s="10">
        <v>4521</v>
      </c>
      <c r="B29" t="s" s="11">
        <v>161</v>
      </c>
      <c r="C29" s="12">
        <v>45169</v>
      </c>
      <c r="D29" t="s" s="13">
        <v>35</v>
      </c>
      <c r="E29" t="s" s="13">
        <v>36</v>
      </c>
      <c r="F29" s="14">
        <v>8</v>
      </c>
      <c r="G29" s="15">
        <v>37.4925</v>
      </c>
      <c r="H29" s="15">
        <v>299.94</v>
      </c>
    </row>
    <row r="30" ht="12.9" customHeight="1">
      <c r="A30" t="s" s="10">
        <v>4521</v>
      </c>
      <c r="B30" t="s" s="11">
        <v>161</v>
      </c>
      <c r="C30" s="12">
        <v>45169</v>
      </c>
      <c r="D30" t="s" s="13">
        <v>63</v>
      </c>
      <c r="E30" s="16"/>
      <c r="F30" s="14">
        <v>1</v>
      </c>
      <c r="G30" s="15">
        <v>25</v>
      </c>
      <c r="H30" s="15">
        <v>25</v>
      </c>
    </row>
    <row r="31" ht="12.9" customHeight="1">
      <c r="A31" t="s" s="10">
        <v>4522</v>
      </c>
      <c r="B31" t="s" s="11">
        <v>4523</v>
      </c>
      <c r="C31" s="12">
        <v>45168.810083599536</v>
      </c>
      <c r="D31" t="s" s="13">
        <v>1695</v>
      </c>
      <c r="E31" t="s" s="13">
        <v>140</v>
      </c>
      <c r="F31" s="14">
        <v>2</v>
      </c>
      <c r="G31" s="15">
        <v>49.99</v>
      </c>
      <c r="H31" s="15">
        <v>99.98</v>
      </c>
    </row>
    <row r="32" ht="12.9" customHeight="1">
      <c r="A32" t="s" s="10">
        <v>4522</v>
      </c>
      <c r="B32" t="s" s="11">
        <v>4523</v>
      </c>
      <c r="C32" s="12">
        <v>45168.810083599536</v>
      </c>
      <c r="D32" t="s" s="13">
        <v>15</v>
      </c>
      <c r="E32" t="s" s="13">
        <v>16</v>
      </c>
      <c r="F32" s="14">
        <v>2</v>
      </c>
      <c r="G32" s="15">
        <v>8.99</v>
      </c>
      <c r="H32" s="15">
        <v>17.98</v>
      </c>
    </row>
    <row r="33" ht="12.9" customHeight="1">
      <c r="A33" t="s" s="10">
        <v>4524</v>
      </c>
      <c r="B33" t="s" s="11">
        <v>4525</v>
      </c>
      <c r="C33" s="12">
        <v>45168.749270277774</v>
      </c>
      <c r="D33" t="s" s="13">
        <v>35</v>
      </c>
      <c r="E33" t="s" s="13">
        <v>36</v>
      </c>
      <c r="F33" s="14">
        <v>2</v>
      </c>
      <c r="G33" s="15">
        <v>49.99</v>
      </c>
      <c r="H33" s="15">
        <v>99.98</v>
      </c>
    </row>
    <row r="34" ht="12.9" customHeight="1">
      <c r="A34" t="s" s="10">
        <v>4526</v>
      </c>
      <c r="B34" t="s" s="11">
        <v>583</v>
      </c>
      <c r="C34" s="12">
        <v>45168.7318115625</v>
      </c>
      <c r="D34" t="s" s="13">
        <v>19</v>
      </c>
      <c r="E34" t="s" s="13">
        <v>20</v>
      </c>
      <c r="F34" s="14">
        <v>1</v>
      </c>
      <c r="G34" s="15">
        <v>119.99</v>
      </c>
      <c r="H34" s="15">
        <v>119.99</v>
      </c>
    </row>
    <row r="35" ht="12.9" customHeight="1">
      <c r="A35" t="s" s="10">
        <v>4526</v>
      </c>
      <c r="B35" t="s" s="11">
        <v>583</v>
      </c>
      <c r="C35" s="12">
        <v>45168.7318115625</v>
      </c>
      <c r="D35" t="s" s="13">
        <v>15</v>
      </c>
      <c r="E35" t="s" s="13">
        <v>16</v>
      </c>
      <c r="F35" s="14">
        <v>1</v>
      </c>
      <c r="G35" s="15">
        <v>8.99</v>
      </c>
      <c r="H35" s="15">
        <v>8.99</v>
      </c>
    </row>
    <row r="36" ht="12.9" customHeight="1">
      <c r="A36" t="s" s="10">
        <v>4526</v>
      </c>
      <c r="B36" t="s" s="11">
        <v>583</v>
      </c>
      <c r="C36" s="12">
        <v>45168.7318115625</v>
      </c>
      <c r="D36" t="s" s="13">
        <v>54</v>
      </c>
      <c r="E36" t="s" s="13">
        <v>93</v>
      </c>
      <c r="F36" s="14">
        <v>1</v>
      </c>
      <c r="G36" s="15">
        <v>9.99</v>
      </c>
      <c r="H36" s="15">
        <v>9.99</v>
      </c>
    </row>
    <row r="37" ht="12.9" customHeight="1">
      <c r="A37" t="s" s="10">
        <v>4526</v>
      </c>
      <c r="B37" t="s" s="11">
        <v>583</v>
      </c>
      <c r="C37" s="12">
        <v>45168.7318115625</v>
      </c>
      <c r="D37" t="s" s="13">
        <v>412</v>
      </c>
      <c r="E37" t="s" s="13">
        <v>413</v>
      </c>
      <c r="F37" s="14">
        <v>1</v>
      </c>
      <c r="G37" s="15">
        <v>1.99</v>
      </c>
      <c r="H37" s="15">
        <v>1.99</v>
      </c>
    </row>
    <row r="38" ht="12.9" customHeight="1">
      <c r="A38" t="s" s="10">
        <v>4527</v>
      </c>
      <c r="B38" t="s" s="11">
        <v>4495</v>
      </c>
      <c r="C38" s="12">
        <v>45168.712512893515</v>
      </c>
      <c r="D38" t="s" s="13">
        <v>35</v>
      </c>
      <c r="E38" t="s" s="13">
        <v>36</v>
      </c>
      <c r="F38" s="14">
        <v>1</v>
      </c>
      <c r="G38" s="15">
        <v>49.99</v>
      </c>
      <c r="H38" s="15">
        <v>49.99</v>
      </c>
    </row>
    <row r="39" ht="12.9" customHeight="1">
      <c r="A39" t="s" s="10">
        <v>4528</v>
      </c>
      <c r="B39" t="s" s="11">
        <v>4529</v>
      </c>
      <c r="C39" s="12">
        <v>45168.125346099536</v>
      </c>
      <c r="D39" t="s" s="13">
        <v>59</v>
      </c>
      <c r="E39" t="s" s="13">
        <v>60</v>
      </c>
      <c r="F39" s="14">
        <v>1</v>
      </c>
      <c r="G39" s="15">
        <v>1199.99</v>
      </c>
      <c r="H39" s="15">
        <v>1199.99</v>
      </c>
    </row>
    <row r="40" ht="12.9" customHeight="1">
      <c r="A40" t="s" s="10">
        <v>4530</v>
      </c>
      <c r="B40" t="s" s="11">
        <v>719</v>
      </c>
      <c r="C40" s="12">
        <v>45168.042395729164</v>
      </c>
      <c r="D40" t="s" s="13">
        <v>15</v>
      </c>
      <c r="E40" t="s" s="13">
        <v>16</v>
      </c>
      <c r="F40" s="14">
        <v>5</v>
      </c>
      <c r="G40" s="15">
        <v>8.99</v>
      </c>
      <c r="H40" s="15">
        <v>44.95</v>
      </c>
    </row>
    <row r="41" ht="12.9" customHeight="1">
      <c r="A41" t="s" s="10">
        <v>4531</v>
      </c>
      <c r="B41" t="s" s="11">
        <v>4532</v>
      </c>
      <c r="C41" s="12">
        <v>45167.942853553242</v>
      </c>
      <c r="D41" t="s" s="13">
        <v>54</v>
      </c>
      <c r="E41" t="s" s="13">
        <v>93</v>
      </c>
      <c r="F41" s="14">
        <v>1</v>
      </c>
      <c r="G41" s="15">
        <v>9.99</v>
      </c>
      <c r="H41" s="15">
        <v>9.99</v>
      </c>
    </row>
    <row r="42" ht="12.9" customHeight="1">
      <c r="A42" t="s" s="10">
        <v>4531</v>
      </c>
      <c r="B42" t="s" s="11">
        <v>4532</v>
      </c>
      <c r="C42" s="12">
        <v>45167.942853553242</v>
      </c>
      <c r="D42" t="s" s="13">
        <v>15</v>
      </c>
      <c r="E42" t="s" s="13">
        <v>16</v>
      </c>
      <c r="F42" s="14">
        <v>1</v>
      </c>
      <c r="G42" s="15">
        <v>8.99</v>
      </c>
      <c r="H42" s="15">
        <v>8.99</v>
      </c>
    </row>
    <row r="43" ht="12.9" customHeight="1">
      <c r="A43" t="s" s="10">
        <v>4533</v>
      </c>
      <c r="B43" t="s" s="11">
        <v>4251</v>
      </c>
      <c r="C43" s="12">
        <v>45167.906951412035</v>
      </c>
      <c r="D43" t="s" s="13">
        <v>59</v>
      </c>
      <c r="E43" t="s" s="13">
        <v>60</v>
      </c>
      <c r="F43" s="14">
        <v>1</v>
      </c>
      <c r="G43" s="15">
        <v>1199.99</v>
      </c>
      <c r="H43" s="15">
        <v>1199.99</v>
      </c>
    </row>
    <row r="44" ht="12.9" customHeight="1">
      <c r="A44" t="s" s="10">
        <v>4534</v>
      </c>
      <c r="B44" t="s" s="11">
        <v>4535</v>
      </c>
      <c r="C44" s="12">
        <v>45167.833675740738</v>
      </c>
      <c r="D44" t="s" s="13">
        <v>35</v>
      </c>
      <c r="E44" t="s" s="13">
        <v>36</v>
      </c>
      <c r="F44" s="14">
        <v>1</v>
      </c>
      <c r="G44" s="15">
        <v>49.99</v>
      </c>
      <c r="H44" s="15">
        <v>49.99</v>
      </c>
    </row>
    <row r="45" ht="12.9" customHeight="1">
      <c r="A45" t="s" s="10">
        <v>4536</v>
      </c>
      <c r="B45" t="s" s="11">
        <v>4537</v>
      </c>
      <c r="C45" s="12">
        <v>45167.821532280090</v>
      </c>
      <c r="D45" t="s" s="13">
        <v>73</v>
      </c>
      <c r="E45" t="s" s="13">
        <v>74</v>
      </c>
      <c r="F45" s="14">
        <v>1</v>
      </c>
      <c r="G45" s="15">
        <v>399.99</v>
      </c>
      <c r="H45" s="15">
        <v>399.99</v>
      </c>
    </row>
    <row r="46" ht="12.9" customHeight="1">
      <c r="A46" t="s" s="10">
        <v>4538</v>
      </c>
      <c r="B46" t="s" s="11">
        <v>4539</v>
      </c>
      <c r="C46" s="12">
        <v>45167.751605451391</v>
      </c>
      <c r="D46" t="s" s="13">
        <v>48</v>
      </c>
      <c r="E46" t="s" s="13">
        <v>49</v>
      </c>
      <c r="F46" s="14">
        <v>1</v>
      </c>
      <c r="G46" s="15">
        <v>1299.99</v>
      </c>
      <c r="H46" s="15">
        <v>1299.99</v>
      </c>
    </row>
    <row r="47" ht="12.9" customHeight="1">
      <c r="A47" t="s" s="10">
        <v>4538</v>
      </c>
      <c r="B47" t="s" s="11">
        <v>4539</v>
      </c>
      <c r="C47" s="12">
        <v>45167.751605451391</v>
      </c>
      <c r="D47" t="s" s="13">
        <v>50</v>
      </c>
      <c r="E47" t="s" s="13">
        <v>83</v>
      </c>
      <c r="F47" s="14">
        <v>1</v>
      </c>
      <c r="G47" s="15">
        <v>0</v>
      </c>
      <c r="H47" s="15">
        <v>0</v>
      </c>
    </row>
    <row r="48" ht="12.9" customHeight="1">
      <c r="A48" t="s" s="10">
        <v>4538</v>
      </c>
      <c r="B48" t="s" s="11">
        <v>4539</v>
      </c>
      <c r="C48" s="12">
        <v>45167.751605451391</v>
      </c>
      <c r="D48" t="s" s="13">
        <v>52</v>
      </c>
      <c r="E48" t="s" s="13">
        <v>4287</v>
      </c>
      <c r="F48" s="14">
        <v>1</v>
      </c>
      <c r="G48" s="15">
        <v>0</v>
      </c>
      <c r="H48" s="15">
        <v>0</v>
      </c>
    </row>
    <row r="49" ht="12.9" customHeight="1">
      <c r="A49" t="s" s="10">
        <v>4538</v>
      </c>
      <c r="B49" t="s" s="11">
        <v>4539</v>
      </c>
      <c r="C49" s="12">
        <v>45167.751605451391</v>
      </c>
      <c r="D49" t="s" s="13">
        <v>84</v>
      </c>
      <c r="E49" t="s" s="13">
        <v>4225</v>
      </c>
      <c r="F49" s="14">
        <v>1</v>
      </c>
      <c r="G49" s="15">
        <v>0</v>
      </c>
      <c r="H49" s="15">
        <v>0</v>
      </c>
    </row>
    <row r="50" ht="12.9" customHeight="1">
      <c r="A50" t="s" s="10">
        <v>4538</v>
      </c>
      <c r="B50" t="s" s="11">
        <v>4539</v>
      </c>
      <c r="C50" s="12">
        <v>45167.751605451391</v>
      </c>
      <c r="D50" t="s" s="13">
        <v>23</v>
      </c>
      <c r="E50" t="s" s="13">
        <v>24</v>
      </c>
      <c r="F50" s="14">
        <v>1</v>
      </c>
      <c r="G50" s="15">
        <v>0</v>
      </c>
      <c r="H50" s="15">
        <v>0</v>
      </c>
    </row>
    <row r="51" ht="12.9" customHeight="1">
      <c r="A51" t="s" s="10">
        <v>4538</v>
      </c>
      <c r="B51" t="s" s="11">
        <v>4539</v>
      </c>
      <c r="C51" s="12">
        <v>45167.751605451391</v>
      </c>
      <c r="D51" t="s" s="13">
        <v>1069</v>
      </c>
      <c r="E51" t="s" s="13">
        <v>1070</v>
      </c>
      <c r="F51" s="14">
        <v>1</v>
      </c>
      <c r="G51" s="15">
        <v>99.98999999999999</v>
      </c>
      <c r="H51" s="15">
        <v>99.98999999999999</v>
      </c>
    </row>
    <row r="52" ht="12.9" customHeight="1">
      <c r="A52" t="s" s="10">
        <v>4538</v>
      </c>
      <c r="B52" t="s" s="11">
        <v>4539</v>
      </c>
      <c r="C52" s="12">
        <v>45167.751605451391</v>
      </c>
      <c r="D52" t="s" s="13">
        <v>48</v>
      </c>
      <c r="E52" t="s" s="13">
        <v>49</v>
      </c>
      <c r="F52" s="14">
        <v>1</v>
      </c>
      <c r="G52" s="15">
        <v>1299.99</v>
      </c>
      <c r="H52" s="15">
        <v>1299.99</v>
      </c>
    </row>
    <row r="53" ht="12.9" customHeight="1">
      <c r="A53" t="s" s="10">
        <v>4538</v>
      </c>
      <c r="B53" t="s" s="11">
        <v>4539</v>
      </c>
      <c r="C53" s="12">
        <v>45167.751605451391</v>
      </c>
      <c r="D53" t="s" s="13">
        <v>50</v>
      </c>
      <c r="E53" t="s" s="13">
        <v>83</v>
      </c>
      <c r="F53" s="14">
        <v>1</v>
      </c>
      <c r="G53" s="15">
        <v>0</v>
      </c>
      <c r="H53" s="15">
        <v>0</v>
      </c>
    </row>
    <row r="54" ht="12.9" customHeight="1">
      <c r="A54" t="s" s="10">
        <v>4538</v>
      </c>
      <c r="B54" t="s" s="11">
        <v>4539</v>
      </c>
      <c r="C54" s="12">
        <v>45167.751605451391</v>
      </c>
      <c r="D54" t="s" s="13">
        <v>52</v>
      </c>
      <c r="E54" t="s" s="13">
        <v>4287</v>
      </c>
      <c r="F54" s="14">
        <v>1</v>
      </c>
      <c r="G54" s="15">
        <v>0</v>
      </c>
      <c r="H54" s="15">
        <v>0</v>
      </c>
    </row>
    <row r="55" ht="12.9" customHeight="1">
      <c r="A55" t="s" s="10">
        <v>4538</v>
      </c>
      <c r="B55" t="s" s="11">
        <v>4539</v>
      </c>
      <c r="C55" s="12">
        <v>45167.751605451391</v>
      </c>
      <c r="D55" t="s" s="13">
        <v>84</v>
      </c>
      <c r="E55" t="s" s="13">
        <v>4225</v>
      </c>
      <c r="F55" s="14">
        <v>1</v>
      </c>
      <c r="G55" s="15">
        <v>0</v>
      </c>
      <c r="H55" s="15">
        <v>0</v>
      </c>
    </row>
    <row r="56" ht="12.9" customHeight="1">
      <c r="A56" t="s" s="10">
        <v>4538</v>
      </c>
      <c r="B56" t="s" s="11">
        <v>4539</v>
      </c>
      <c r="C56" s="12">
        <v>45167.751605451391</v>
      </c>
      <c r="D56" t="s" s="13">
        <v>133</v>
      </c>
      <c r="E56" t="s" s="13">
        <v>134</v>
      </c>
      <c r="F56" s="14">
        <v>1</v>
      </c>
      <c r="G56" s="15">
        <v>50</v>
      </c>
      <c r="H56" s="15">
        <v>50</v>
      </c>
    </row>
    <row r="57" ht="12.9" customHeight="1">
      <c r="A57" t="s" s="10">
        <v>4538</v>
      </c>
      <c r="B57" t="s" s="11">
        <v>4539</v>
      </c>
      <c r="C57" s="12">
        <v>45167.751605451391</v>
      </c>
      <c r="D57" t="s" s="13">
        <v>487</v>
      </c>
      <c r="E57" t="s" s="13">
        <v>488</v>
      </c>
      <c r="F57" s="14">
        <v>1</v>
      </c>
      <c r="G57" s="15">
        <v>109.99</v>
      </c>
      <c r="H57" s="15">
        <v>109.99</v>
      </c>
    </row>
    <row r="58" ht="12.9" customHeight="1">
      <c r="A58" t="s" s="10">
        <v>4538</v>
      </c>
      <c r="B58" t="s" s="11">
        <v>4539</v>
      </c>
      <c r="C58" s="12">
        <v>45167.751605451391</v>
      </c>
      <c r="D58" t="s" s="13">
        <v>977</v>
      </c>
      <c r="E58" t="s" s="13">
        <v>978</v>
      </c>
      <c r="F58" s="14">
        <v>1</v>
      </c>
      <c r="G58" s="15">
        <v>59.99</v>
      </c>
      <c r="H58" s="15">
        <v>59.99</v>
      </c>
    </row>
    <row r="59" ht="12.9" customHeight="1">
      <c r="A59" t="s" s="10">
        <v>4540</v>
      </c>
      <c r="B59" t="s" s="11">
        <v>4541</v>
      </c>
      <c r="C59" s="12">
        <v>45167.723191319441</v>
      </c>
      <c r="D59" t="s" s="13">
        <v>73</v>
      </c>
      <c r="E59" t="s" s="13">
        <v>74</v>
      </c>
      <c r="F59" s="14">
        <v>1</v>
      </c>
      <c r="G59" s="15">
        <v>399.99</v>
      </c>
      <c r="H59" s="15">
        <v>399.99</v>
      </c>
    </row>
    <row r="60" ht="12.9" customHeight="1">
      <c r="A60" t="s" s="10">
        <v>4542</v>
      </c>
      <c r="B60" t="s" s="11">
        <v>1536</v>
      </c>
      <c r="C60" s="12">
        <v>45167.530166828707</v>
      </c>
      <c r="D60" t="s" s="13">
        <v>23</v>
      </c>
      <c r="E60" t="s" s="13">
        <v>24</v>
      </c>
      <c r="F60" s="14">
        <v>2</v>
      </c>
      <c r="G60" s="15">
        <v>149.99</v>
      </c>
      <c r="H60" s="15">
        <v>299.98</v>
      </c>
    </row>
    <row r="61" ht="12.9" customHeight="1">
      <c r="A61" t="s" s="10">
        <v>4542</v>
      </c>
      <c r="B61" t="s" s="11">
        <v>1536</v>
      </c>
      <c r="C61" s="12">
        <v>45167.530166828707</v>
      </c>
      <c r="D61" t="s" s="13">
        <v>84</v>
      </c>
      <c r="E61" t="s" s="13">
        <v>4225</v>
      </c>
      <c r="F61" s="14">
        <v>2</v>
      </c>
      <c r="G61" s="15">
        <v>15</v>
      </c>
      <c r="H61" s="15">
        <v>30</v>
      </c>
    </row>
    <row r="62" ht="12.9" customHeight="1">
      <c r="A62" t="s" s="10">
        <v>4542</v>
      </c>
      <c r="B62" t="s" s="11">
        <v>1536</v>
      </c>
      <c r="C62" s="12">
        <v>45167.530166828707</v>
      </c>
      <c r="D62" t="s" s="13">
        <v>1695</v>
      </c>
      <c r="E62" t="s" s="13">
        <v>140</v>
      </c>
      <c r="F62" s="14">
        <v>2</v>
      </c>
      <c r="G62" s="15">
        <v>49.99</v>
      </c>
      <c r="H62" s="15">
        <v>99.98</v>
      </c>
    </row>
    <row r="63" ht="12.9" customHeight="1">
      <c r="A63" t="s" s="10">
        <v>4542</v>
      </c>
      <c r="B63" t="s" s="11">
        <v>1536</v>
      </c>
      <c r="C63" s="12">
        <v>45167.530166828707</v>
      </c>
      <c r="D63" t="s" s="13">
        <v>15</v>
      </c>
      <c r="E63" t="s" s="13">
        <v>16</v>
      </c>
      <c r="F63" s="14">
        <v>2</v>
      </c>
      <c r="G63" s="15">
        <v>8.99</v>
      </c>
      <c r="H63" s="15">
        <v>17.98</v>
      </c>
    </row>
    <row r="64" ht="12.9" customHeight="1">
      <c r="A64" t="s" s="10">
        <v>4542</v>
      </c>
      <c r="B64" t="s" s="11">
        <v>1536</v>
      </c>
      <c r="C64" s="12">
        <v>45167.530166828707</v>
      </c>
      <c r="D64" t="s" s="13">
        <v>73</v>
      </c>
      <c r="E64" t="s" s="13">
        <v>74</v>
      </c>
      <c r="F64" s="14">
        <v>1</v>
      </c>
      <c r="G64" s="15">
        <v>399.99</v>
      </c>
      <c r="H64" s="15">
        <v>399.99</v>
      </c>
    </row>
    <row r="65" ht="12.9" customHeight="1">
      <c r="A65" t="s" s="10">
        <v>4543</v>
      </c>
      <c r="B65" t="s" s="11">
        <v>3590</v>
      </c>
      <c r="C65" s="12">
        <v>45167</v>
      </c>
      <c r="D65" t="s" s="13">
        <v>227</v>
      </c>
      <c r="E65" t="s" s="13">
        <v>228</v>
      </c>
      <c r="F65" s="14">
        <v>4</v>
      </c>
      <c r="G65" s="15">
        <v>22.4925</v>
      </c>
      <c r="H65" s="15">
        <v>89.97</v>
      </c>
    </row>
    <row r="66" ht="12.9" customHeight="1">
      <c r="A66" t="s" s="10">
        <v>4544</v>
      </c>
      <c r="B66" t="s" s="11">
        <v>4545</v>
      </c>
      <c r="C66" s="12">
        <v>45167</v>
      </c>
      <c r="D66" t="s" s="13">
        <v>487</v>
      </c>
      <c r="E66" t="s" s="13">
        <v>488</v>
      </c>
      <c r="F66" s="14">
        <v>6</v>
      </c>
      <c r="G66" s="15">
        <v>82.49250000000001</v>
      </c>
      <c r="H66" s="15">
        <v>494.955</v>
      </c>
    </row>
    <row r="67" ht="12.9" customHeight="1">
      <c r="A67" t="s" s="10">
        <v>4544</v>
      </c>
      <c r="B67" t="s" s="11">
        <v>4545</v>
      </c>
      <c r="C67" s="12">
        <v>45167</v>
      </c>
      <c r="D67" t="s" s="13">
        <v>602</v>
      </c>
      <c r="E67" t="s" s="13">
        <v>686</v>
      </c>
      <c r="F67" s="14">
        <v>4</v>
      </c>
      <c r="G67" s="15">
        <v>224.9925</v>
      </c>
      <c r="H67" s="15">
        <v>899.97</v>
      </c>
    </row>
    <row r="68" ht="12.9" customHeight="1">
      <c r="A68" t="s" s="10">
        <v>4544</v>
      </c>
      <c r="B68" t="s" s="11">
        <v>4545</v>
      </c>
      <c r="C68" s="12">
        <v>45167</v>
      </c>
      <c r="D68" t="s" s="13">
        <v>119</v>
      </c>
      <c r="E68" t="s" s="13">
        <v>120</v>
      </c>
      <c r="F68" s="14">
        <v>3</v>
      </c>
      <c r="G68" s="15">
        <v>0</v>
      </c>
      <c r="H68" s="15">
        <v>0</v>
      </c>
    </row>
    <row r="69" ht="12.9" customHeight="1">
      <c r="A69" t="s" s="10">
        <v>4544</v>
      </c>
      <c r="B69" t="s" s="11">
        <v>4545</v>
      </c>
      <c r="C69" s="12">
        <v>45167</v>
      </c>
      <c r="D69" t="s" s="13">
        <v>63</v>
      </c>
      <c r="E69" s="16"/>
      <c r="F69" s="14">
        <v>1</v>
      </c>
      <c r="G69" s="15">
        <v>190</v>
      </c>
      <c r="H69" s="15">
        <v>190</v>
      </c>
    </row>
    <row r="70" ht="12.9" customHeight="1">
      <c r="A70" t="s" s="10">
        <v>4546</v>
      </c>
      <c r="B70" t="s" s="11">
        <v>161</v>
      </c>
      <c r="C70" s="12">
        <v>45167</v>
      </c>
      <c r="D70" t="s" s="13">
        <v>207</v>
      </c>
      <c r="E70" t="s" s="13">
        <v>208</v>
      </c>
      <c r="F70" s="14">
        <v>6</v>
      </c>
      <c r="G70" s="15">
        <v>0</v>
      </c>
      <c r="H70" s="15">
        <v>0</v>
      </c>
    </row>
    <row r="71" ht="12.9" customHeight="1">
      <c r="A71" t="s" s="10">
        <v>4547</v>
      </c>
      <c r="B71" t="s" s="11">
        <v>3590</v>
      </c>
      <c r="C71" s="12">
        <v>45167</v>
      </c>
      <c r="D71" t="s" s="13">
        <v>48</v>
      </c>
      <c r="E71" t="s" s="13">
        <v>49</v>
      </c>
      <c r="F71" s="14">
        <v>4</v>
      </c>
      <c r="G71" s="15">
        <v>974.9924999999999</v>
      </c>
      <c r="H71" s="15">
        <v>3899.97</v>
      </c>
    </row>
    <row r="72" ht="12.9" customHeight="1">
      <c r="A72" t="s" s="10">
        <v>4547</v>
      </c>
      <c r="B72" t="s" s="11">
        <v>3590</v>
      </c>
      <c r="C72" s="12">
        <v>45167</v>
      </c>
      <c r="D72" t="s" s="13">
        <v>1593</v>
      </c>
      <c r="E72" t="s" s="13">
        <v>240</v>
      </c>
      <c r="F72" s="14">
        <v>4</v>
      </c>
      <c r="G72" s="15">
        <v>0</v>
      </c>
      <c r="H72" s="15">
        <v>0</v>
      </c>
    </row>
    <row r="73" ht="12.9" customHeight="1">
      <c r="A73" t="s" s="10">
        <v>4547</v>
      </c>
      <c r="B73" t="s" s="11">
        <v>3590</v>
      </c>
      <c r="C73" s="12">
        <v>45167</v>
      </c>
      <c r="D73" t="s" s="13">
        <v>50</v>
      </c>
      <c r="E73" t="s" s="13">
        <v>83</v>
      </c>
      <c r="F73" s="14">
        <v>4</v>
      </c>
      <c r="G73" s="15">
        <v>0</v>
      </c>
      <c r="H73" s="15">
        <v>0</v>
      </c>
    </row>
    <row r="74" ht="12.9" customHeight="1">
      <c r="A74" t="s" s="10">
        <v>4547</v>
      </c>
      <c r="B74" t="s" s="11">
        <v>3590</v>
      </c>
      <c r="C74" s="12">
        <v>45167</v>
      </c>
      <c r="D74" t="s" s="13">
        <v>52</v>
      </c>
      <c r="E74" t="s" s="13">
        <v>4287</v>
      </c>
      <c r="F74" s="14">
        <v>4</v>
      </c>
      <c r="G74" s="15">
        <v>0</v>
      </c>
      <c r="H74" s="15">
        <v>0</v>
      </c>
    </row>
    <row r="75" ht="12.9" customHeight="1">
      <c r="A75" t="s" s="10">
        <v>4547</v>
      </c>
      <c r="B75" t="s" s="11">
        <v>3590</v>
      </c>
      <c r="C75" s="12">
        <v>45167</v>
      </c>
      <c r="D75" t="s" s="13">
        <v>15</v>
      </c>
      <c r="E75" t="s" s="13">
        <v>16</v>
      </c>
      <c r="F75" s="14">
        <v>4</v>
      </c>
      <c r="G75" s="15">
        <v>0</v>
      </c>
      <c r="H75" s="15">
        <v>0</v>
      </c>
    </row>
    <row r="76" ht="12.9" customHeight="1">
      <c r="A76" t="s" s="10">
        <v>4547</v>
      </c>
      <c r="B76" t="s" s="11">
        <v>3590</v>
      </c>
      <c r="C76" s="12">
        <v>45167</v>
      </c>
      <c r="D76" t="s" s="13">
        <v>54</v>
      </c>
      <c r="E76" t="s" s="13">
        <v>93</v>
      </c>
      <c r="F76" s="14">
        <v>4</v>
      </c>
      <c r="G76" s="15">
        <v>0</v>
      </c>
      <c r="H76" s="15">
        <v>0</v>
      </c>
    </row>
    <row r="77" ht="12.9" customHeight="1">
      <c r="A77" t="s" s="10">
        <v>4547</v>
      </c>
      <c r="B77" t="s" s="11">
        <v>3590</v>
      </c>
      <c r="C77" s="12">
        <v>45167</v>
      </c>
      <c r="D77" t="s" s="13">
        <v>63</v>
      </c>
      <c r="E77" s="16"/>
      <c r="F77" s="14">
        <v>1</v>
      </c>
      <c r="G77" s="15">
        <v>65</v>
      </c>
      <c r="H77" s="15">
        <v>65</v>
      </c>
    </row>
    <row r="78" ht="12.9" customHeight="1">
      <c r="A78" t="s" s="10">
        <v>4548</v>
      </c>
      <c r="B78" t="s" s="11">
        <v>4549</v>
      </c>
      <c r="C78" s="12">
        <v>45166.993523194447</v>
      </c>
      <c r="D78" t="s" s="13">
        <v>23</v>
      </c>
      <c r="E78" t="s" s="13">
        <v>24</v>
      </c>
      <c r="F78" s="14">
        <v>1</v>
      </c>
      <c r="G78" s="15">
        <v>149.99</v>
      </c>
      <c r="H78" s="15">
        <v>149.99</v>
      </c>
    </row>
    <row r="79" ht="12.9" customHeight="1">
      <c r="A79" t="s" s="10">
        <v>4548</v>
      </c>
      <c r="B79" t="s" s="11">
        <v>4549</v>
      </c>
      <c r="C79" s="12">
        <v>45166.993523194447</v>
      </c>
      <c r="D79" t="s" s="13">
        <v>84</v>
      </c>
      <c r="E79" t="s" s="13">
        <v>4225</v>
      </c>
      <c r="F79" s="14">
        <v>1</v>
      </c>
      <c r="G79" s="15">
        <v>15</v>
      </c>
      <c r="H79" s="15">
        <v>15</v>
      </c>
    </row>
    <row r="80" ht="12.9" customHeight="1">
      <c r="A80" t="s" s="10">
        <v>4550</v>
      </c>
      <c r="B80" t="s" s="11">
        <v>4551</v>
      </c>
      <c r="C80" s="12">
        <v>45166.925871504631</v>
      </c>
      <c r="D80" t="s" s="13">
        <v>35</v>
      </c>
      <c r="E80" t="s" s="13">
        <v>36</v>
      </c>
      <c r="F80" s="14">
        <v>1</v>
      </c>
      <c r="G80" s="15">
        <v>49.99</v>
      </c>
      <c r="H80" s="15">
        <v>49.99</v>
      </c>
    </row>
    <row r="81" ht="12.9" customHeight="1">
      <c r="A81" t="s" s="10">
        <v>4552</v>
      </c>
      <c r="B81" t="s" s="11">
        <v>4553</v>
      </c>
      <c r="C81" s="12">
        <v>45166.870517916665</v>
      </c>
      <c r="D81" t="s" s="13">
        <v>31</v>
      </c>
      <c r="E81" t="s" s="13">
        <v>32</v>
      </c>
      <c r="F81" s="14">
        <v>1</v>
      </c>
      <c r="G81" s="15">
        <v>599.99</v>
      </c>
      <c r="H81" s="15">
        <v>599.99</v>
      </c>
    </row>
    <row r="82" ht="12.9" customHeight="1">
      <c r="A82" t="s" s="10">
        <v>4554</v>
      </c>
      <c r="B82" t="s" s="11">
        <v>4555</v>
      </c>
      <c r="C82" s="12">
        <v>45166.7570690625</v>
      </c>
      <c r="D82" t="s" s="13">
        <v>11</v>
      </c>
      <c r="E82" t="s" s="13">
        <v>12</v>
      </c>
      <c r="F82" s="14">
        <v>2</v>
      </c>
      <c r="G82" s="15">
        <v>399.99</v>
      </c>
      <c r="H82" s="15">
        <v>799.98</v>
      </c>
    </row>
    <row r="83" ht="12.9" customHeight="1">
      <c r="A83" t="s" s="10">
        <v>4556</v>
      </c>
      <c r="B83" t="s" s="11">
        <v>4557</v>
      </c>
      <c r="C83" s="12">
        <v>45166.750787604164</v>
      </c>
      <c r="D83" t="s" s="13">
        <v>73</v>
      </c>
      <c r="E83" t="s" s="13">
        <v>74</v>
      </c>
      <c r="F83" s="14">
        <v>1</v>
      </c>
      <c r="G83" s="15">
        <v>399.99</v>
      </c>
      <c r="H83" s="15">
        <v>399.99</v>
      </c>
    </row>
    <row r="84" ht="12.9" customHeight="1">
      <c r="A84" t="s" s="10">
        <v>4558</v>
      </c>
      <c r="B84" t="s" s="11">
        <v>4559</v>
      </c>
      <c r="C84" s="12">
        <v>45166.692016030094</v>
      </c>
      <c r="D84" t="s" s="13">
        <v>23</v>
      </c>
      <c r="E84" t="s" s="13">
        <v>24</v>
      </c>
      <c r="F84" s="14">
        <v>1</v>
      </c>
      <c r="G84" s="15">
        <v>149.99</v>
      </c>
      <c r="H84" s="15">
        <v>149.99</v>
      </c>
    </row>
    <row r="85" ht="12.9" customHeight="1">
      <c r="A85" t="s" s="10">
        <v>4558</v>
      </c>
      <c r="B85" t="s" s="11">
        <v>4559</v>
      </c>
      <c r="C85" s="12">
        <v>45166.692016030094</v>
      </c>
      <c r="D85" t="s" s="13">
        <v>487</v>
      </c>
      <c r="E85" t="s" s="13">
        <v>488</v>
      </c>
      <c r="F85" s="14">
        <v>2</v>
      </c>
      <c r="G85" s="15">
        <v>109.99</v>
      </c>
      <c r="H85" s="15">
        <v>219.98</v>
      </c>
    </row>
    <row r="86" ht="12.9" customHeight="1">
      <c r="A86" t="s" s="10">
        <v>4558</v>
      </c>
      <c r="B86" t="s" s="11">
        <v>4559</v>
      </c>
      <c r="C86" s="12">
        <v>45166.692016030094</v>
      </c>
      <c r="D86" t="s" s="13">
        <v>1695</v>
      </c>
      <c r="E86" t="s" s="13">
        <v>140</v>
      </c>
      <c r="F86" s="14">
        <v>2</v>
      </c>
      <c r="G86" s="15">
        <v>49.99</v>
      </c>
      <c r="H86" s="15">
        <v>99.98</v>
      </c>
    </row>
    <row r="87" ht="12.9" customHeight="1">
      <c r="A87" t="s" s="10">
        <v>4558</v>
      </c>
      <c r="B87" t="s" s="11">
        <v>4559</v>
      </c>
      <c r="C87" s="12">
        <v>45166.692016030094</v>
      </c>
      <c r="D87" t="s" s="13">
        <v>15</v>
      </c>
      <c r="E87" t="s" s="13">
        <v>16</v>
      </c>
      <c r="F87" s="14">
        <v>2</v>
      </c>
      <c r="G87" s="15">
        <v>8.99</v>
      </c>
      <c r="H87" s="15">
        <v>17.98</v>
      </c>
    </row>
    <row r="88" ht="12.9" customHeight="1">
      <c r="A88" t="s" s="10">
        <v>4558</v>
      </c>
      <c r="B88" t="s" s="11">
        <v>4559</v>
      </c>
      <c r="C88" s="12">
        <v>45166.692016030094</v>
      </c>
      <c r="D88" t="s" s="13">
        <v>1069</v>
      </c>
      <c r="E88" t="s" s="13">
        <v>1070</v>
      </c>
      <c r="F88" s="14">
        <v>2</v>
      </c>
      <c r="G88" s="15">
        <v>99.98999999999999</v>
      </c>
      <c r="H88" s="15">
        <v>199.98</v>
      </c>
    </row>
    <row r="89" ht="12.9" customHeight="1">
      <c r="A89" t="s" s="10">
        <v>4560</v>
      </c>
      <c r="B89" t="s" s="11">
        <v>1829</v>
      </c>
      <c r="C89" s="12">
        <v>45166.647634074077</v>
      </c>
      <c r="D89" t="s" s="13">
        <v>31</v>
      </c>
      <c r="E89" t="s" s="13">
        <v>32</v>
      </c>
      <c r="F89" s="14">
        <v>1</v>
      </c>
      <c r="G89" s="15">
        <v>599.99</v>
      </c>
      <c r="H89" s="15">
        <v>599.99</v>
      </c>
    </row>
    <row r="90" ht="12.9" customHeight="1">
      <c r="A90" t="s" s="10">
        <v>4561</v>
      </c>
      <c r="B90" t="s" s="11">
        <v>1570</v>
      </c>
      <c r="C90" s="12">
        <v>45166</v>
      </c>
      <c r="D90" t="s" s="13">
        <v>48</v>
      </c>
      <c r="E90" t="s" s="13">
        <v>49</v>
      </c>
      <c r="F90" s="14">
        <v>6</v>
      </c>
      <c r="G90" s="15">
        <v>974.9924999999999</v>
      </c>
      <c r="H90" s="15">
        <v>5849.955</v>
      </c>
    </row>
    <row r="91" ht="12.9" customHeight="1">
      <c r="A91" t="s" s="10">
        <v>4561</v>
      </c>
      <c r="B91" t="s" s="11">
        <v>1570</v>
      </c>
      <c r="C91" s="12">
        <v>45166</v>
      </c>
      <c r="D91" t="s" s="13">
        <v>23</v>
      </c>
      <c r="E91" t="s" s="13">
        <v>24</v>
      </c>
      <c r="F91" s="14">
        <v>6</v>
      </c>
      <c r="G91" s="15">
        <v>0</v>
      </c>
      <c r="H91" s="15">
        <v>0</v>
      </c>
    </row>
    <row r="92" ht="12.9" customHeight="1">
      <c r="A92" t="s" s="10">
        <v>4561</v>
      </c>
      <c r="B92" t="s" s="11">
        <v>1570</v>
      </c>
      <c r="C92" s="12">
        <v>45166</v>
      </c>
      <c r="D92" t="s" s="13">
        <v>84</v>
      </c>
      <c r="E92" t="s" s="13">
        <v>4225</v>
      </c>
      <c r="F92" s="14">
        <v>6</v>
      </c>
      <c r="G92" s="15">
        <v>0</v>
      </c>
      <c r="H92" s="15">
        <v>0</v>
      </c>
    </row>
    <row r="93" ht="12.9" customHeight="1">
      <c r="A93" t="s" s="10">
        <v>4561</v>
      </c>
      <c r="B93" t="s" s="11">
        <v>1570</v>
      </c>
      <c r="C93" s="12">
        <v>45166</v>
      </c>
      <c r="D93" t="s" s="13">
        <v>50</v>
      </c>
      <c r="E93" t="s" s="13">
        <v>83</v>
      </c>
      <c r="F93" s="14">
        <v>6</v>
      </c>
      <c r="G93" s="15">
        <v>0</v>
      </c>
      <c r="H93" s="15">
        <v>0</v>
      </c>
    </row>
    <row r="94" ht="12.9" customHeight="1">
      <c r="A94" t="s" s="10">
        <v>4561</v>
      </c>
      <c r="B94" t="s" s="11">
        <v>1570</v>
      </c>
      <c r="C94" s="12">
        <v>45166</v>
      </c>
      <c r="D94" t="s" s="13">
        <v>227</v>
      </c>
      <c r="E94" t="s" s="13">
        <v>228</v>
      </c>
      <c r="F94" s="14">
        <v>6</v>
      </c>
      <c r="G94" s="15">
        <v>22.4925</v>
      </c>
      <c r="H94" s="15">
        <v>134.955</v>
      </c>
    </row>
    <row r="95" ht="12.9" customHeight="1">
      <c r="A95" t="s" s="10">
        <v>4561</v>
      </c>
      <c r="B95" t="s" s="11">
        <v>1570</v>
      </c>
      <c r="C95" s="12">
        <v>45166</v>
      </c>
      <c r="D95" t="s" s="13">
        <v>487</v>
      </c>
      <c r="E95" t="s" s="13">
        <v>488</v>
      </c>
      <c r="F95" s="14">
        <v>6</v>
      </c>
      <c r="G95" s="15">
        <v>82.49250000000001</v>
      </c>
      <c r="H95" s="15">
        <v>494.955</v>
      </c>
    </row>
    <row r="96" ht="12.9" customHeight="1">
      <c r="A96" t="s" s="10">
        <v>4561</v>
      </c>
      <c r="B96" t="s" s="11">
        <v>1570</v>
      </c>
      <c r="C96" s="12">
        <v>45166</v>
      </c>
      <c r="D96" t="s" s="13">
        <v>31</v>
      </c>
      <c r="E96" t="s" s="13">
        <v>32</v>
      </c>
      <c r="F96" s="14">
        <v>1</v>
      </c>
      <c r="G96" s="15">
        <v>449.9925</v>
      </c>
      <c r="H96" s="15">
        <v>449.9925</v>
      </c>
    </row>
    <row r="97" ht="12.9" customHeight="1">
      <c r="A97" t="s" s="10">
        <v>4561</v>
      </c>
      <c r="B97" t="s" s="11">
        <v>1570</v>
      </c>
      <c r="C97" s="12">
        <v>45166</v>
      </c>
      <c r="D97" t="s" s="13">
        <v>19</v>
      </c>
      <c r="E97" t="s" s="13">
        <v>20</v>
      </c>
      <c r="F97" s="14">
        <v>12</v>
      </c>
      <c r="G97" s="15">
        <v>89.99250000000001</v>
      </c>
      <c r="H97" s="15">
        <v>1079.91</v>
      </c>
    </row>
    <row r="98" ht="12.9" customHeight="1">
      <c r="A98" t="s" s="10">
        <v>4561</v>
      </c>
      <c r="B98" t="s" s="11">
        <v>1570</v>
      </c>
      <c r="C98" s="12">
        <v>45166</v>
      </c>
      <c r="D98" t="s" s="13">
        <v>15</v>
      </c>
      <c r="E98" t="s" s="13">
        <v>16</v>
      </c>
      <c r="F98" s="14">
        <v>12</v>
      </c>
      <c r="G98" s="15">
        <v>0</v>
      </c>
      <c r="H98" s="15">
        <v>0</v>
      </c>
    </row>
    <row r="99" ht="12.9" customHeight="1">
      <c r="A99" t="s" s="10">
        <v>4561</v>
      </c>
      <c r="B99" t="s" s="11">
        <v>1570</v>
      </c>
      <c r="C99" s="12">
        <v>45166</v>
      </c>
      <c r="D99" t="s" s="13">
        <v>470</v>
      </c>
      <c r="E99" t="s" s="13">
        <v>517</v>
      </c>
      <c r="F99" s="14">
        <v>2</v>
      </c>
      <c r="G99" s="15">
        <v>187.4925</v>
      </c>
      <c r="H99" s="15">
        <v>374.985</v>
      </c>
    </row>
    <row r="100" ht="12.9" customHeight="1">
      <c r="A100" t="s" s="10">
        <v>4561</v>
      </c>
      <c r="B100" t="s" s="11">
        <v>1570</v>
      </c>
      <c r="C100" s="12">
        <v>45166</v>
      </c>
      <c r="D100" t="s" s="13">
        <v>89</v>
      </c>
      <c r="E100" t="s" s="13">
        <v>90</v>
      </c>
      <c r="F100" s="14">
        <v>6</v>
      </c>
      <c r="G100" s="15">
        <v>44.9925</v>
      </c>
      <c r="H100" s="15">
        <v>269.955</v>
      </c>
    </row>
    <row r="101" ht="12.9" customHeight="1">
      <c r="A101" t="s" s="10">
        <v>4561</v>
      </c>
      <c r="B101" t="s" s="11">
        <v>1570</v>
      </c>
      <c r="C101" s="12">
        <v>45166</v>
      </c>
      <c r="D101" t="s" s="13">
        <v>63</v>
      </c>
      <c r="E101" s="16"/>
      <c r="F101" s="14">
        <v>1</v>
      </c>
      <c r="G101" s="15">
        <v>180</v>
      </c>
      <c r="H101" s="15">
        <v>180</v>
      </c>
    </row>
    <row r="102" ht="12.9" customHeight="1">
      <c r="A102" t="s" s="10">
        <v>4561</v>
      </c>
      <c r="B102" t="s" s="11">
        <v>1570</v>
      </c>
      <c r="C102" s="12">
        <v>45166</v>
      </c>
      <c r="D102" t="s" s="13">
        <v>861</v>
      </c>
      <c r="E102" s="16"/>
      <c r="F102" s="14">
        <v>1</v>
      </c>
      <c r="G102" s="15">
        <v>757.29</v>
      </c>
      <c r="H102" s="15">
        <v>757.29</v>
      </c>
    </row>
    <row r="103" ht="12.9" customHeight="1">
      <c r="A103" t="s" s="10">
        <v>4562</v>
      </c>
      <c r="B103" t="s" s="11">
        <v>415</v>
      </c>
      <c r="C103" s="12">
        <v>45165.6599928588</v>
      </c>
      <c r="D103" t="s" s="13">
        <v>73</v>
      </c>
      <c r="E103" t="s" s="13">
        <v>74</v>
      </c>
      <c r="F103" s="14">
        <v>1</v>
      </c>
      <c r="G103" s="15">
        <v>399.99</v>
      </c>
      <c r="H103" s="15">
        <v>399.99</v>
      </c>
    </row>
    <row r="104" ht="12.9" customHeight="1">
      <c r="A104" t="s" s="10">
        <v>4563</v>
      </c>
      <c r="B104" t="s" s="11">
        <v>4564</v>
      </c>
      <c r="C104" s="12">
        <v>45165.333335659721</v>
      </c>
      <c r="D104" t="s" s="13">
        <v>95</v>
      </c>
      <c r="E104" t="s" s="13">
        <v>12</v>
      </c>
      <c r="F104" s="14">
        <v>2</v>
      </c>
      <c r="G104" s="15">
        <v>349.99</v>
      </c>
      <c r="H104" s="15">
        <v>699.98</v>
      </c>
    </row>
    <row r="105" ht="12.9" customHeight="1">
      <c r="A105" t="s" s="10">
        <v>4563</v>
      </c>
      <c r="B105" t="s" s="11">
        <v>4564</v>
      </c>
      <c r="C105" s="12">
        <v>45165.333335659721</v>
      </c>
      <c r="D105" t="s" s="13">
        <v>1695</v>
      </c>
      <c r="E105" t="s" s="13">
        <v>140</v>
      </c>
      <c r="F105" s="14">
        <v>1</v>
      </c>
      <c r="G105" s="15">
        <v>49.99</v>
      </c>
      <c r="H105" s="15">
        <v>49.99</v>
      </c>
    </row>
    <row r="106" ht="12.9" customHeight="1">
      <c r="A106" t="s" s="10">
        <v>4563</v>
      </c>
      <c r="B106" t="s" s="11">
        <v>4564</v>
      </c>
      <c r="C106" s="12">
        <v>45165.333335659721</v>
      </c>
      <c r="D106" t="s" s="13">
        <v>15</v>
      </c>
      <c r="E106" t="s" s="13">
        <v>16</v>
      </c>
      <c r="F106" s="14">
        <v>1</v>
      </c>
      <c r="G106" s="15">
        <v>8.99</v>
      </c>
      <c r="H106" s="15">
        <v>8.99</v>
      </c>
    </row>
    <row r="107" ht="12.9" customHeight="1">
      <c r="A107" t="s" s="10">
        <v>4565</v>
      </c>
      <c r="B107" t="s" s="11">
        <v>519</v>
      </c>
      <c r="C107" s="12">
        <v>45163.740330462962</v>
      </c>
      <c r="D107" t="s" s="13">
        <v>73</v>
      </c>
      <c r="E107" t="s" s="13">
        <v>74</v>
      </c>
      <c r="F107" s="14">
        <v>1</v>
      </c>
      <c r="G107" s="15">
        <v>399.99</v>
      </c>
      <c r="H107" s="15">
        <v>399.99</v>
      </c>
    </row>
    <row r="108" ht="12.9" customHeight="1">
      <c r="A108" t="s" s="10">
        <v>4565</v>
      </c>
      <c r="B108" t="s" s="11">
        <v>519</v>
      </c>
      <c r="C108" s="12">
        <v>45163.740330462962</v>
      </c>
      <c r="D108" t="s" s="13">
        <v>227</v>
      </c>
      <c r="E108" t="s" s="13">
        <v>228</v>
      </c>
      <c r="F108" s="14">
        <v>2</v>
      </c>
      <c r="G108" s="15">
        <v>29.99</v>
      </c>
      <c r="H108" s="15">
        <v>59.98</v>
      </c>
    </row>
    <row r="109" ht="12.9" customHeight="1">
      <c r="A109" t="s" s="10">
        <v>4566</v>
      </c>
      <c r="B109" t="s" s="11">
        <v>4567</v>
      </c>
      <c r="C109" s="12">
        <v>45163.223135335647</v>
      </c>
      <c r="D109" t="s" s="13">
        <v>602</v>
      </c>
      <c r="E109" t="s" s="13">
        <v>686</v>
      </c>
      <c r="F109" s="14">
        <v>1</v>
      </c>
      <c r="G109" s="15">
        <v>299.99</v>
      </c>
      <c r="H109" s="15">
        <v>299.99</v>
      </c>
    </row>
    <row r="110" ht="12.9" customHeight="1">
      <c r="A110" t="s" s="10">
        <v>4568</v>
      </c>
      <c r="B110" t="s" s="11">
        <v>4569</v>
      </c>
      <c r="C110" s="12">
        <v>45163.088210335649</v>
      </c>
      <c r="D110" t="s" s="13">
        <v>11</v>
      </c>
      <c r="E110" t="s" s="13">
        <v>12</v>
      </c>
      <c r="F110" s="14">
        <v>1</v>
      </c>
      <c r="G110" s="15">
        <v>374.99</v>
      </c>
      <c r="H110" s="15">
        <v>374.99</v>
      </c>
    </row>
    <row r="111" ht="12.9" customHeight="1">
      <c r="A111" t="s" s="10">
        <v>4570</v>
      </c>
      <c r="B111" t="s" s="11">
        <v>4462</v>
      </c>
      <c r="C111" s="12">
        <v>45163</v>
      </c>
      <c r="D111" t="s" s="13">
        <v>73</v>
      </c>
      <c r="E111" t="s" s="13">
        <v>74</v>
      </c>
      <c r="F111" s="14">
        <v>2</v>
      </c>
      <c r="G111" s="15">
        <v>399.99</v>
      </c>
      <c r="H111" s="15">
        <v>799.98</v>
      </c>
    </row>
    <row r="112" ht="12.9" customHeight="1">
      <c r="A112" t="s" s="10">
        <v>4571</v>
      </c>
      <c r="B112" t="s" s="11">
        <v>4273</v>
      </c>
      <c r="C112" s="12">
        <v>45162.822370509261</v>
      </c>
      <c r="D112" t="s" s="13">
        <v>73</v>
      </c>
      <c r="E112" t="s" s="13">
        <v>74</v>
      </c>
      <c r="F112" s="14">
        <v>1</v>
      </c>
      <c r="G112" s="15">
        <v>399.99</v>
      </c>
      <c r="H112" s="15">
        <v>399.99</v>
      </c>
    </row>
    <row r="113" ht="12.9" customHeight="1">
      <c r="A113" t="s" s="10">
        <v>4572</v>
      </c>
      <c r="B113" t="s" s="11">
        <v>4573</v>
      </c>
      <c r="C113" s="12">
        <v>45162.8067096875</v>
      </c>
      <c r="D113" t="s" s="13">
        <v>95</v>
      </c>
      <c r="E113" t="s" s="13">
        <v>12</v>
      </c>
      <c r="F113" s="14">
        <v>1</v>
      </c>
      <c r="G113" s="15">
        <v>349.99</v>
      </c>
      <c r="H113" s="15">
        <v>349.99</v>
      </c>
    </row>
    <row r="114" ht="12.9" customHeight="1">
      <c r="A114" t="s" s="10">
        <v>4574</v>
      </c>
      <c r="B114" t="s" s="11">
        <v>4575</v>
      </c>
      <c r="C114" s="12">
        <v>45162.683156550927</v>
      </c>
      <c r="D114" t="s" s="13">
        <v>133</v>
      </c>
      <c r="E114" t="s" s="13">
        <v>134</v>
      </c>
      <c r="F114" s="14">
        <v>1</v>
      </c>
      <c r="G114" s="15">
        <v>199.99</v>
      </c>
      <c r="H114" s="15">
        <v>199.99</v>
      </c>
    </row>
    <row r="115" ht="12.9" customHeight="1">
      <c r="A115" t="s" s="10">
        <v>4574</v>
      </c>
      <c r="B115" t="s" s="11">
        <v>4575</v>
      </c>
      <c r="C115" s="12">
        <v>45162.683156550927</v>
      </c>
      <c r="D115" t="s" s="13">
        <v>84</v>
      </c>
      <c r="E115" t="s" s="13">
        <v>4225</v>
      </c>
      <c r="F115" s="14">
        <v>1</v>
      </c>
      <c r="G115" s="15">
        <v>15</v>
      </c>
      <c r="H115" s="15">
        <v>15</v>
      </c>
    </row>
    <row r="116" ht="12.9" customHeight="1">
      <c r="A116" t="s" s="10">
        <v>4576</v>
      </c>
      <c r="B116" t="s" s="11">
        <v>4577</v>
      </c>
      <c r="C116" s="12">
        <v>45162.617449814818</v>
      </c>
      <c r="D116" t="s" s="13">
        <v>19</v>
      </c>
      <c r="E116" t="s" s="13">
        <v>20</v>
      </c>
      <c r="F116" s="14">
        <v>2</v>
      </c>
      <c r="G116" s="15">
        <v>119.99</v>
      </c>
      <c r="H116" s="15">
        <v>239.98</v>
      </c>
    </row>
    <row r="117" ht="12.9" customHeight="1">
      <c r="A117" t="s" s="10">
        <v>4576</v>
      </c>
      <c r="B117" t="s" s="11">
        <v>4577</v>
      </c>
      <c r="C117" s="12">
        <v>45162.617449814818</v>
      </c>
      <c r="D117" t="s" s="13">
        <v>15</v>
      </c>
      <c r="E117" t="s" s="13">
        <v>16</v>
      </c>
      <c r="F117" s="14">
        <v>2</v>
      </c>
      <c r="G117" s="15">
        <v>8.99</v>
      </c>
      <c r="H117" s="15">
        <v>17.98</v>
      </c>
    </row>
    <row r="118" ht="12.9" customHeight="1">
      <c r="A118" t="s" s="10">
        <v>4578</v>
      </c>
      <c r="B118" t="s" s="11">
        <v>4307</v>
      </c>
      <c r="C118" s="12">
        <v>45162.580979479164</v>
      </c>
      <c r="D118" t="s" s="13">
        <v>39</v>
      </c>
      <c r="E118" t="s" s="13">
        <v>40</v>
      </c>
      <c r="F118" s="14">
        <v>1</v>
      </c>
      <c r="G118" s="15">
        <v>109.99</v>
      </c>
      <c r="H118" s="15">
        <v>109.99</v>
      </c>
    </row>
    <row r="119" ht="12.9" customHeight="1">
      <c r="A119" t="s" s="10">
        <v>4578</v>
      </c>
      <c r="B119" t="s" s="11">
        <v>4307</v>
      </c>
      <c r="C119" s="12">
        <v>45162.580979479164</v>
      </c>
      <c r="D119" t="s" s="13">
        <v>84</v>
      </c>
      <c r="E119" t="s" s="13">
        <v>4225</v>
      </c>
      <c r="F119" s="14">
        <v>1</v>
      </c>
      <c r="G119" s="15">
        <v>15</v>
      </c>
      <c r="H119" s="15">
        <v>15</v>
      </c>
    </row>
    <row r="120" ht="12.9" customHeight="1">
      <c r="A120" t="s" s="10">
        <v>4579</v>
      </c>
      <c r="B120" t="s" s="11">
        <v>476</v>
      </c>
      <c r="C120" s="12">
        <v>45162</v>
      </c>
      <c r="D120" t="s" s="13">
        <v>585</v>
      </c>
      <c r="E120" t="s" s="13">
        <v>586</v>
      </c>
      <c r="F120" s="14">
        <v>14</v>
      </c>
      <c r="G120" s="15">
        <v>374.9925</v>
      </c>
      <c r="H120" s="15">
        <v>5249.895</v>
      </c>
    </row>
    <row r="121" ht="12.9" customHeight="1">
      <c r="A121" t="s" s="10">
        <v>4579</v>
      </c>
      <c r="B121" t="s" s="11">
        <v>476</v>
      </c>
      <c r="C121" s="12">
        <v>45162</v>
      </c>
      <c r="D121" t="s" s="13">
        <v>227</v>
      </c>
      <c r="E121" t="s" s="13">
        <v>228</v>
      </c>
      <c r="F121" s="14">
        <v>6</v>
      </c>
      <c r="G121" s="15">
        <v>0</v>
      </c>
      <c r="H121" s="15">
        <v>0</v>
      </c>
    </row>
    <row r="122" ht="12.9" customHeight="1">
      <c r="A122" t="s" s="10">
        <v>4579</v>
      </c>
      <c r="B122" t="s" s="11">
        <v>476</v>
      </c>
      <c r="C122" s="12">
        <v>45162</v>
      </c>
      <c r="D122" t="s" s="13">
        <v>165</v>
      </c>
      <c r="E122" t="s" s="13">
        <v>392</v>
      </c>
      <c r="F122" s="14">
        <v>8</v>
      </c>
      <c r="G122" s="15">
        <v>0</v>
      </c>
      <c r="H122" s="15">
        <v>0</v>
      </c>
    </row>
    <row r="123" ht="12.9" customHeight="1">
      <c r="A123" t="s" s="10">
        <v>4579</v>
      </c>
      <c r="B123" t="s" s="11">
        <v>476</v>
      </c>
      <c r="C123" s="12">
        <v>45162</v>
      </c>
      <c r="D123" t="s" s="13">
        <v>63</v>
      </c>
      <c r="E123" s="16"/>
      <c r="F123" s="14">
        <v>1</v>
      </c>
      <c r="G123" s="15">
        <v>210</v>
      </c>
      <c r="H123" s="15">
        <v>210</v>
      </c>
    </row>
    <row r="124" ht="12.9" customHeight="1">
      <c r="A124" t="s" s="10">
        <v>4580</v>
      </c>
      <c r="B124" t="s" s="11">
        <v>4581</v>
      </c>
      <c r="C124" s="12">
        <v>45161.974058784719</v>
      </c>
      <c r="D124" t="s" s="13">
        <v>171</v>
      </c>
      <c r="E124" t="s" s="13">
        <v>172</v>
      </c>
      <c r="F124" s="14">
        <v>2</v>
      </c>
      <c r="G124" s="15">
        <v>549.99</v>
      </c>
      <c r="H124" s="15">
        <v>1099.98</v>
      </c>
    </row>
    <row r="125" ht="12.9" customHeight="1">
      <c r="A125" t="s" s="10">
        <v>4582</v>
      </c>
      <c r="B125" t="s" s="11">
        <v>713</v>
      </c>
      <c r="C125" s="12">
        <v>45161.892671886577</v>
      </c>
      <c r="D125" t="s" s="13">
        <v>11</v>
      </c>
      <c r="E125" t="s" s="13">
        <v>12</v>
      </c>
      <c r="F125" s="14">
        <v>1</v>
      </c>
      <c r="G125" s="15">
        <v>399.99</v>
      </c>
      <c r="H125" s="15">
        <v>399.99</v>
      </c>
    </row>
    <row r="126" ht="12.9" customHeight="1">
      <c r="A126" t="s" s="10">
        <v>4583</v>
      </c>
      <c r="B126" t="s" s="11">
        <v>3852</v>
      </c>
      <c r="C126" s="12">
        <v>45161.835324652777</v>
      </c>
      <c r="D126" t="s" s="13">
        <v>73</v>
      </c>
      <c r="E126" t="s" s="13">
        <v>74</v>
      </c>
      <c r="F126" s="14">
        <v>5</v>
      </c>
      <c r="G126" s="15">
        <v>399.99</v>
      </c>
      <c r="H126" s="15">
        <v>1999.95</v>
      </c>
    </row>
    <row r="127" ht="12.9" customHeight="1">
      <c r="A127" t="s" s="10">
        <v>4584</v>
      </c>
      <c r="B127" t="s" s="11">
        <v>4585</v>
      </c>
      <c r="C127" s="12">
        <v>45161.654400011575</v>
      </c>
      <c r="D127" t="s" s="13">
        <v>48</v>
      </c>
      <c r="E127" t="s" s="13">
        <v>49</v>
      </c>
      <c r="F127" s="14">
        <v>2</v>
      </c>
      <c r="G127" s="15">
        <v>1299.99</v>
      </c>
      <c r="H127" s="15">
        <v>2599.98</v>
      </c>
    </row>
    <row r="128" ht="12.9" customHeight="1">
      <c r="A128" t="s" s="10">
        <v>4584</v>
      </c>
      <c r="B128" t="s" s="11">
        <v>4585</v>
      </c>
      <c r="C128" s="12">
        <v>45161.654400011575</v>
      </c>
      <c r="D128" t="s" s="13">
        <v>50</v>
      </c>
      <c r="E128" t="s" s="13">
        <v>83</v>
      </c>
      <c r="F128" s="14">
        <v>2</v>
      </c>
      <c r="G128" s="15">
        <v>0</v>
      </c>
      <c r="H128" s="15">
        <v>0</v>
      </c>
    </row>
    <row r="129" ht="12.9" customHeight="1">
      <c r="A129" t="s" s="10">
        <v>4584</v>
      </c>
      <c r="B129" t="s" s="11">
        <v>4585</v>
      </c>
      <c r="C129" s="12">
        <v>45161.654400011575</v>
      </c>
      <c r="D129" t="s" s="13">
        <v>52</v>
      </c>
      <c r="E129" t="s" s="13">
        <v>4287</v>
      </c>
      <c r="F129" s="14">
        <v>2</v>
      </c>
      <c r="G129" s="15">
        <v>0</v>
      </c>
      <c r="H129" s="15">
        <v>0</v>
      </c>
    </row>
    <row r="130" ht="12.9" customHeight="1">
      <c r="A130" t="s" s="10">
        <v>4584</v>
      </c>
      <c r="B130" t="s" s="11">
        <v>4585</v>
      </c>
      <c r="C130" s="12">
        <v>45161.654400011575</v>
      </c>
      <c r="D130" t="s" s="13">
        <v>84</v>
      </c>
      <c r="E130" t="s" s="13">
        <v>4225</v>
      </c>
      <c r="F130" s="14">
        <v>2</v>
      </c>
      <c r="G130" s="15">
        <v>0</v>
      </c>
      <c r="H130" s="15">
        <v>0</v>
      </c>
    </row>
    <row r="131" ht="12.9" customHeight="1">
      <c r="A131" t="s" s="10">
        <v>4584</v>
      </c>
      <c r="B131" t="s" s="11">
        <v>4585</v>
      </c>
      <c r="C131" s="12">
        <v>45161.654400011575</v>
      </c>
      <c r="D131" t="s" s="13">
        <v>602</v>
      </c>
      <c r="E131" t="s" s="13">
        <v>686</v>
      </c>
      <c r="F131" s="14">
        <v>2</v>
      </c>
      <c r="G131" s="15">
        <v>175</v>
      </c>
      <c r="H131" s="15">
        <v>350</v>
      </c>
    </row>
    <row r="132" ht="12.9" customHeight="1">
      <c r="A132" t="s" s="10">
        <v>4584</v>
      </c>
      <c r="B132" t="s" s="11">
        <v>4585</v>
      </c>
      <c r="C132" s="12">
        <v>45161.654400011575</v>
      </c>
      <c r="D132" t="s" s="13">
        <v>487</v>
      </c>
      <c r="E132" t="s" s="13">
        <v>488</v>
      </c>
      <c r="F132" s="14">
        <v>2</v>
      </c>
      <c r="G132" s="15">
        <v>109.99</v>
      </c>
      <c r="H132" s="15">
        <v>219.98</v>
      </c>
    </row>
    <row r="133" ht="12.9" customHeight="1">
      <c r="A133" t="s" s="10">
        <v>4584</v>
      </c>
      <c r="B133" t="s" s="11">
        <v>4585</v>
      </c>
      <c r="C133" s="12">
        <v>45161.654400011575</v>
      </c>
      <c r="D133" t="s" s="13">
        <v>19</v>
      </c>
      <c r="E133" t="s" s="13">
        <v>20</v>
      </c>
      <c r="F133" s="14">
        <v>2</v>
      </c>
      <c r="G133" s="15">
        <v>119.99</v>
      </c>
      <c r="H133" s="15">
        <v>239.98</v>
      </c>
    </row>
    <row r="134" ht="12.9" customHeight="1">
      <c r="A134" t="s" s="10">
        <v>4584</v>
      </c>
      <c r="B134" t="s" s="11">
        <v>4585</v>
      </c>
      <c r="C134" s="12">
        <v>45161.654400011575</v>
      </c>
      <c r="D134" t="s" s="13">
        <v>15</v>
      </c>
      <c r="E134" t="s" s="13">
        <v>16</v>
      </c>
      <c r="F134" s="14">
        <v>2</v>
      </c>
      <c r="G134" s="15">
        <v>8.99</v>
      </c>
      <c r="H134" s="15">
        <v>17.98</v>
      </c>
    </row>
    <row r="135" ht="12.9" customHeight="1">
      <c r="A135" t="s" s="10">
        <v>4584</v>
      </c>
      <c r="B135" t="s" s="11">
        <v>4585</v>
      </c>
      <c r="C135" s="12">
        <v>45161.654400011575</v>
      </c>
      <c r="D135" t="s" s="13">
        <v>73</v>
      </c>
      <c r="E135" t="s" s="13">
        <v>74</v>
      </c>
      <c r="F135" s="14">
        <v>1</v>
      </c>
      <c r="G135" s="15">
        <v>399.99</v>
      </c>
      <c r="H135" s="15">
        <v>399.99</v>
      </c>
    </row>
    <row r="136" ht="12.9" customHeight="1">
      <c r="A136" t="s" s="10">
        <v>4586</v>
      </c>
      <c r="B136" t="s" s="11">
        <v>4587</v>
      </c>
      <c r="C136" s="12">
        <v>45161.256009849538</v>
      </c>
      <c r="D136" t="s" s="13">
        <v>73</v>
      </c>
      <c r="E136" t="s" s="13">
        <v>74</v>
      </c>
      <c r="F136" s="14">
        <v>1</v>
      </c>
      <c r="G136" s="15">
        <v>399.99</v>
      </c>
      <c r="H136" s="15">
        <v>399.99</v>
      </c>
    </row>
    <row r="137" ht="12.9" customHeight="1">
      <c r="A137" t="s" s="10">
        <v>4588</v>
      </c>
      <c r="B137" t="s" s="11">
        <v>4589</v>
      </c>
      <c r="C137" s="12">
        <v>45161.197619247687</v>
      </c>
      <c r="D137" t="s" s="13">
        <v>1695</v>
      </c>
      <c r="E137" t="s" s="13">
        <v>140</v>
      </c>
      <c r="F137" s="14">
        <v>1</v>
      </c>
      <c r="G137" s="15">
        <v>49.99</v>
      </c>
      <c r="H137" s="15">
        <v>49.99</v>
      </c>
    </row>
    <row r="138" ht="12.9" customHeight="1">
      <c r="A138" t="s" s="10">
        <v>4588</v>
      </c>
      <c r="B138" t="s" s="11">
        <v>4589</v>
      </c>
      <c r="C138" s="12">
        <v>45161.197619247687</v>
      </c>
      <c r="D138" t="s" s="13">
        <v>15</v>
      </c>
      <c r="E138" t="s" s="13">
        <v>16</v>
      </c>
      <c r="F138" s="14">
        <v>1</v>
      </c>
      <c r="G138" s="15">
        <v>8.99</v>
      </c>
      <c r="H138" s="15">
        <v>8.99</v>
      </c>
    </row>
    <row r="139" ht="12.9" customHeight="1">
      <c r="A139" t="s" s="10">
        <v>4590</v>
      </c>
      <c r="B139" t="s" s="11">
        <v>4371</v>
      </c>
      <c r="C139" s="12">
        <v>45161.061047627314</v>
      </c>
      <c r="D139" t="s" s="13">
        <v>95</v>
      </c>
      <c r="E139" t="s" s="13">
        <v>12</v>
      </c>
      <c r="F139" s="14">
        <v>1</v>
      </c>
      <c r="G139" s="15">
        <v>337.49</v>
      </c>
      <c r="H139" s="15">
        <v>337.49</v>
      </c>
    </row>
    <row r="140" ht="12.9" customHeight="1">
      <c r="A140" t="s" s="10">
        <v>4590</v>
      </c>
      <c r="B140" t="s" s="11">
        <v>4371</v>
      </c>
      <c r="C140" s="12">
        <v>45161.061047627314</v>
      </c>
      <c r="D140" t="s" s="13">
        <v>35</v>
      </c>
      <c r="E140" t="s" s="13">
        <v>36</v>
      </c>
      <c r="F140" s="14">
        <v>1</v>
      </c>
      <c r="G140" s="15">
        <v>37.49</v>
      </c>
      <c r="H140" s="15">
        <v>37.49</v>
      </c>
    </row>
    <row r="141" ht="12.9" customHeight="1">
      <c r="A141" t="s" s="10">
        <v>4591</v>
      </c>
      <c r="B141" t="s" s="11">
        <v>985</v>
      </c>
      <c r="C141" s="12">
        <v>45161</v>
      </c>
      <c r="D141" t="s" s="13">
        <v>225</v>
      </c>
      <c r="E141" t="s" s="13">
        <v>226</v>
      </c>
      <c r="F141" s="14">
        <v>8</v>
      </c>
      <c r="G141" s="15">
        <v>499.99</v>
      </c>
      <c r="H141" s="15">
        <v>3999.92</v>
      </c>
    </row>
    <row r="142" ht="12.9" customHeight="1">
      <c r="A142" t="s" s="10">
        <v>4591</v>
      </c>
      <c r="B142" t="s" s="11">
        <v>985</v>
      </c>
      <c r="C142" s="12">
        <v>45161</v>
      </c>
      <c r="D142" t="s" s="13">
        <v>227</v>
      </c>
      <c r="E142" t="s" s="13">
        <v>228</v>
      </c>
      <c r="F142" s="14">
        <v>8</v>
      </c>
      <c r="G142" s="15">
        <v>0</v>
      </c>
      <c r="H142" s="15">
        <v>0</v>
      </c>
    </row>
    <row r="143" ht="12.9" customHeight="1">
      <c r="A143" t="s" s="10">
        <v>4591</v>
      </c>
      <c r="B143" t="s" s="11">
        <v>985</v>
      </c>
      <c r="C143" s="12">
        <v>45161</v>
      </c>
      <c r="D143" t="s" s="13">
        <v>602</v>
      </c>
      <c r="E143" t="s" s="13">
        <v>686</v>
      </c>
      <c r="F143" s="14">
        <v>8</v>
      </c>
      <c r="G143" s="15">
        <v>299.99</v>
      </c>
      <c r="H143" s="15">
        <v>2399.92</v>
      </c>
    </row>
    <row r="144" ht="12.9" customHeight="1">
      <c r="A144" t="s" s="10">
        <v>4591</v>
      </c>
      <c r="B144" t="s" s="11">
        <v>985</v>
      </c>
      <c r="C144" s="12">
        <v>45161</v>
      </c>
      <c r="D144" t="s" s="13">
        <v>1479</v>
      </c>
      <c r="E144" t="s" s="13">
        <v>1480</v>
      </c>
      <c r="F144" s="14">
        <v>8</v>
      </c>
      <c r="G144" s="15">
        <v>299.99</v>
      </c>
      <c r="H144" s="15">
        <v>2399.92</v>
      </c>
    </row>
    <row r="145" ht="12.9" customHeight="1">
      <c r="A145" t="s" s="10">
        <v>4591</v>
      </c>
      <c r="B145" t="s" s="11">
        <v>985</v>
      </c>
      <c r="C145" s="12">
        <v>45161</v>
      </c>
      <c r="D145" t="s" s="13">
        <v>73</v>
      </c>
      <c r="E145" t="s" s="13">
        <v>74</v>
      </c>
      <c r="F145" s="14">
        <v>1</v>
      </c>
      <c r="G145" s="15">
        <v>399.99</v>
      </c>
      <c r="H145" s="15">
        <v>399.99</v>
      </c>
    </row>
    <row r="146" ht="12.9" customHeight="1">
      <c r="A146" t="s" s="10">
        <v>4591</v>
      </c>
      <c r="B146" t="s" s="11">
        <v>985</v>
      </c>
      <c r="C146" s="12">
        <v>45161</v>
      </c>
      <c r="D146" t="s" s="13">
        <v>691</v>
      </c>
      <c r="E146" t="s" s="13">
        <v>692</v>
      </c>
      <c r="F146" s="14">
        <v>2</v>
      </c>
      <c r="G146" s="15">
        <v>295</v>
      </c>
      <c r="H146" s="15">
        <v>590</v>
      </c>
    </row>
    <row r="147" ht="12.9" customHeight="1">
      <c r="A147" t="s" s="10">
        <v>4591</v>
      </c>
      <c r="B147" t="s" s="11">
        <v>985</v>
      </c>
      <c r="C147" s="12">
        <v>45161</v>
      </c>
      <c r="D147" t="s" s="13">
        <v>15</v>
      </c>
      <c r="E147" t="s" s="13">
        <v>16</v>
      </c>
      <c r="F147" s="14">
        <v>4</v>
      </c>
      <c r="G147" s="15">
        <v>0</v>
      </c>
      <c r="H147" s="15">
        <v>0</v>
      </c>
    </row>
    <row r="148" ht="12.9" customHeight="1">
      <c r="A148" t="s" s="10">
        <v>4591</v>
      </c>
      <c r="B148" t="s" s="11">
        <v>985</v>
      </c>
      <c r="C148" s="12">
        <v>45161</v>
      </c>
      <c r="D148" t="s" s="13">
        <v>54</v>
      </c>
      <c r="E148" t="s" s="13">
        <v>93</v>
      </c>
      <c r="F148" s="14">
        <v>8</v>
      </c>
      <c r="G148" s="15">
        <v>0</v>
      </c>
      <c r="H148" s="15">
        <v>0</v>
      </c>
    </row>
    <row r="149" ht="12.9" customHeight="1">
      <c r="A149" t="s" s="10">
        <v>4592</v>
      </c>
      <c r="B149" t="s" s="11">
        <v>4593</v>
      </c>
      <c r="C149" s="12">
        <v>45161</v>
      </c>
      <c r="D149" t="s" s="13">
        <v>468</v>
      </c>
      <c r="E149" t="s" s="13">
        <v>469</v>
      </c>
      <c r="F149" s="14">
        <v>1</v>
      </c>
      <c r="G149" s="15">
        <v>2499.99</v>
      </c>
      <c r="H149" s="15">
        <v>2499.99</v>
      </c>
    </row>
    <row r="150" ht="12.9" customHeight="1">
      <c r="A150" t="s" s="10">
        <v>4592</v>
      </c>
      <c r="B150" t="s" s="11">
        <v>4593</v>
      </c>
      <c r="C150" s="12">
        <v>45161</v>
      </c>
      <c r="D150" t="s" s="13">
        <v>602</v>
      </c>
      <c r="E150" t="s" s="13">
        <v>686</v>
      </c>
      <c r="F150" s="14">
        <v>4</v>
      </c>
      <c r="G150" s="15">
        <v>175</v>
      </c>
      <c r="H150" s="15">
        <v>700</v>
      </c>
    </row>
    <row r="151" ht="12.9" customHeight="1">
      <c r="A151" t="s" s="10">
        <v>4592</v>
      </c>
      <c r="B151" t="s" s="11">
        <v>4593</v>
      </c>
      <c r="C151" s="12">
        <v>45161</v>
      </c>
      <c r="D151" t="s" s="13">
        <v>1695</v>
      </c>
      <c r="E151" t="s" s="13">
        <v>140</v>
      </c>
      <c r="F151" s="14">
        <v>2</v>
      </c>
      <c r="G151" s="15">
        <v>49.99</v>
      </c>
      <c r="H151" s="15">
        <v>99.98</v>
      </c>
    </row>
    <row r="152" ht="12.9" customHeight="1">
      <c r="A152" t="s" s="10">
        <v>4592</v>
      </c>
      <c r="B152" t="s" s="11">
        <v>4593</v>
      </c>
      <c r="C152" s="12">
        <v>45161</v>
      </c>
      <c r="D152" t="s" s="13">
        <v>227</v>
      </c>
      <c r="E152" t="s" s="13">
        <v>228</v>
      </c>
      <c r="F152" s="14">
        <v>2</v>
      </c>
      <c r="G152" s="15">
        <v>29.99</v>
      </c>
      <c r="H152" s="15">
        <v>59.98</v>
      </c>
    </row>
    <row r="153" ht="12.9" customHeight="1">
      <c r="A153" t="s" s="10">
        <v>4592</v>
      </c>
      <c r="B153" t="s" s="11">
        <v>4593</v>
      </c>
      <c r="C153" s="12">
        <v>45161</v>
      </c>
      <c r="D153" t="s" s="13">
        <v>50</v>
      </c>
      <c r="E153" t="s" s="13">
        <v>83</v>
      </c>
      <c r="F153" s="14">
        <v>1</v>
      </c>
      <c r="G153" s="15">
        <v>0</v>
      </c>
      <c r="H153" s="15">
        <v>0</v>
      </c>
    </row>
    <row r="154" ht="12.9" customHeight="1">
      <c r="A154" t="s" s="10">
        <v>4592</v>
      </c>
      <c r="B154" t="s" s="11">
        <v>4593</v>
      </c>
      <c r="C154" s="12">
        <v>45161</v>
      </c>
      <c r="D154" t="s" s="13">
        <v>1186</v>
      </c>
      <c r="E154" t="s" s="13">
        <v>1186</v>
      </c>
      <c r="F154" s="14">
        <v>2</v>
      </c>
      <c r="G154" s="15">
        <v>0</v>
      </c>
      <c r="H154" s="15">
        <v>0</v>
      </c>
    </row>
    <row r="155" ht="12.9" customHeight="1">
      <c r="A155" t="s" s="10">
        <v>4592</v>
      </c>
      <c r="B155" t="s" s="11">
        <v>4593</v>
      </c>
      <c r="C155" s="12">
        <v>45161</v>
      </c>
      <c r="D155" t="s" s="13">
        <v>84</v>
      </c>
      <c r="E155" t="s" s="13">
        <v>4225</v>
      </c>
      <c r="F155" s="14">
        <v>4</v>
      </c>
      <c r="G155" s="15">
        <v>0</v>
      </c>
      <c r="H155" s="15">
        <v>0</v>
      </c>
    </row>
    <row r="156" ht="12.9" customHeight="1">
      <c r="A156" t="s" s="10">
        <v>4592</v>
      </c>
      <c r="B156" t="s" s="11">
        <v>4593</v>
      </c>
      <c r="C156" s="12">
        <v>45161</v>
      </c>
      <c r="D156" t="s" s="13">
        <v>63</v>
      </c>
      <c r="E156" s="16"/>
      <c r="F156" s="14">
        <v>1</v>
      </c>
      <c r="G156" s="15">
        <v>180</v>
      </c>
      <c r="H156" s="15">
        <v>180</v>
      </c>
    </row>
    <row r="157" ht="12.9" customHeight="1">
      <c r="A157" t="s" s="10">
        <v>4594</v>
      </c>
      <c r="B157" t="s" s="11">
        <v>4593</v>
      </c>
      <c r="C157" s="12">
        <v>45161</v>
      </c>
      <c r="D157" t="s" s="13">
        <v>468</v>
      </c>
      <c r="E157" t="s" s="13">
        <v>469</v>
      </c>
      <c r="F157" s="14">
        <v>1</v>
      </c>
      <c r="G157" s="15">
        <v>2499.99</v>
      </c>
      <c r="H157" s="15">
        <v>2499.99</v>
      </c>
    </row>
    <row r="158" ht="12.9" customHeight="1">
      <c r="A158" t="s" s="10">
        <v>4594</v>
      </c>
      <c r="B158" t="s" s="11">
        <v>4593</v>
      </c>
      <c r="C158" s="12">
        <v>45161</v>
      </c>
      <c r="D158" t="s" s="13">
        <v>602</v>
      </c>
      <c r="E158" t="s" s="13">
        <v>686</v>
      </c>
      <c r="F158" s="14">
        <v>4</v>
      </c>
      <c r="G158" s="15">
        <v>175</v>
      </c>
      <c r="H158" s="15">
        <v>700</v>
      </c>
    </row>
    <row r="159" ht="12.9" customHeight="1">
      <c r="A159" t="s" s="10">
        <v>4594</v>
      </c>
      <c r="B159" t="s" s="11">
        <v>4593</v>
      </c>
      <c r="C159" s="12">
        <v>45161</v>
      </c>
      <c r="D159" t="s" s="13">
        <v>227</v>
      </c>
      <c r="E159" t="s" s="13">
        <v>228</v>
      </c>
      <c r="F159" s="14">
        <v>2</v>
      </c>
      <c r="G159" s="15">
        <v>29.99</v>
      </c>
      <c r="H159" s="15">
        <v>59.98</v>
      </c>
    </row>
    <row r="160" ht="12.9" customHeight="1">
      <c r="A160" t="s" s="10">
        <v>4594</v>
      </c>
      <c r="B160" t="s" s="11">
        <v>4593</v>
      </c>
      <c r="C160" s="12">
        <v>45161</v>
      </c>
      <c r="D160" t="s" s="13">
        <v>50</v>
      </c>
      <c r="E160" t="s" s="13">
        <v>83</v>
      </c>
      <c r="F160" s="14">
        <v>1</v>
      </c>
      <c r="G160" s="15">
        <v>0</v>
      </c>
      <c r="H160" s="15">
        <v>0</v>
      </c>
    </row>
    <row r="161" ht="12.9" customHeight="1">
      <c r="A161" t="s" s="10">
        <v>4594</v>
      </c>
      <c r="B161" t="s" s="11">
        <v>4593</v>
      </c>
      <c r="C161" s="12">
        <v>45161</v>
      </c>
      <c r="D161" t="s" s="13">
        <v>1186</v>
      </c>
      <c r="E161" t="s" s="13">
        <v>1186</v>
      </c>
      <c r="F161" s="14">
        <v>2</v>
      </c>
      <c r="G161" s="15">
        <v>0</v>
      </c>
      <c r="H161" s="15">
        <v>0</v>
      </c>
    </row>
    <row r="162" ht="12.9" customHeight="1">
      <c r="A162" t="s" s="10">
        <v>4594</v>
      </c>
      <c r="B162" t="s" s="11">
        <v>4593</v>
      </c>
      <c r="C162" s="12">
        <v>45161</v>
      </c>
      <c r="D162" t="s" s="13">
        <v>84</v>
      </c>
      <c r="E162" t="s" s="13">
        <v>4225</v>
      </c>
      <c r="F162" s="14">
        <v>4</v>
      </c>
      <c r="G162" s="15">
        <v>0</v>
      </c>
      <c r="H162" s="15">
        <v>0</v>
      </c>
    </row>
    <row r="163" ht="12.9" customHeight="1">
      <c r="A163" t="s" s="10">
        <v>4594</v>
      </c>
      <c r="B163" t="s" s="11">
        <v>4593</v>
      </c>
      <c r="C163" s="12">
        <v>45161</v>
      </c>
      <c r="D163" t="s" s="13">
        <v>3847</v>
      </c>
      <c r="E163" t="s" s="13">
        <v>3848</v>
      </c>
      <c r="F163" s="14">
        <v>8</v>
      </c>
      <c r="G163" s="15">
        <v>0</v>
      </c>
      <c r="H163" s="15">
        <v>0</v>
      </c>
    </row>
    <row r="164" ht="12.9" customHeight="1">
      <c r="A164" t="s" s="10">
        <v>4594</v>
      </c>
      <c r="B164" t="s" s="11">
        <v>4593</v>
      </c>
      <c r="C164" s="12">
        <v>45161</v>
      </c>
      <c r="D164" t="s" s="13">
        <v>63</v>
      </c>
      <c r="E164" s="16"/>
      <c r="F164" s="14">
        <v>1</v>
      </c>
      <c r="G164" s="15">
        <v>75</v>
      </c>
      <c r="H164" s="15">
        <v>75</v>
      </c>
    </row>
    <row r="165" ht="12.9" customHeight="1">
      <c r="A165" t="s" s="10">
        <v>4595</v>
      </c>
      <c r="B165" t="s" s="11">
        <v>4596</v>
      </c>
      <c r="C165" s="12">
        <v>45160.874827581021</v>
      </c>
      <c r="D165" t="s" s="13">
        <v>31</v>
      </c>
      <c r="E165" t="s" s="13">
        <v>32</v>
      </c>
      <c r="F165" s="14">
        <v>1</v>
      </c>
      <c r="G165" s="15">
        <v>599.99</v>
      </c>
      <c r="H165" s="15">
        <v>599.99</v>
      </c>
    </row>
    <row r="166" ht="12.9" customHeight="1">
      <c r="A166" t="s" s="10">
        <v>4597</v>
      </c>
      <c r="B166" t="s" s="11">
        <v>4598</v>
      </c>
      <c r="C166" s="12">
        <v>45160.812640277778</v>
      </c>
      <c r="D166" t="s" s="13">
        <v>19</v>
      </c>
      <c r="E166" t="s" s="13">
        <v>20</v>
      </c>
      <c r="F166" s="14">
        <v>14</v>
      </c>
      <c r="G166" s="15">
        <v>119.99</v>
      </c>
      <c r="H166" s="15">
        <v>1679.86</v>
      </c>
    </row>
    <row r="167" ht="12.9" customHeight="1">
      <c r="A167" t="s" s="10">
        <v>4597</v>
      </c>
      <c r="B167" t="s" s="11">
        <v>4598</v>
      </c>
      <c r="C167" s="12">
        <v>45160.812640277778</v>
      </c>
      <c r="D167" t="s" s="13">
        <v>15</v>
      </c>
      <c r="E167" t="s" s="13">
        <v>16</v>
      </c>
      <c r="F167" s="14">
        <v>14</v>
      </c>
      <c r="G167" s="15">
        <v>8.49</v>
      </c>
      <c r="H167" s="15">
        <v>118.86</v>
      </c>
    </row>
    <row r="168" ht="12.9" customHeight="1">
      <c r="A168" t="s" s="10">
        <v>4599</v>
      </c>
      <c r="B168" t="s" s="11">
        <v>1006</v>
      </c>
      <c r="C168" s="12">
        <v>45160.810328020831</v>
      </c>
      <c r="D168" t="s" s="13">
        <v>52</v>
      </c>
      <c r="E168" t="s" s="13">
        <v>4287</v>
      </c>
      <c r="F168" s="14">
        <v>2</v>
      </c>
      <c r="G168" s="15">
        <v>19.99</v>
      </c>
      <c r="H168" s="15">
        <v>39.98</v>
      </c>
    </row>
    <row r="169" ht="12.9" customHeight="1">
      <c r="A169" t="s" s="10">
        <v>4600</v>
      </c>
      <c r="B169" t="s" s="11">
        <v>4601</v>
      </c>
      <c r="C169" s="12">
        <v>45160.780516469909</v>
      </c>
      <c r="D169" t="s" s="13">
        <v>11</v>
      </c>
      <c r="E169" t="s" s="13">
        <v>12</v>
      </c>
      <c r="F169" s="14">
        <v>2</v>
      </c>
      <c r="G169" s="15">
        <v>387.49</v>
      </c>
      <c r="H169" s="15">
        <v>774.98</v>
      </c>
    </row>
    <row r="170" ht="12.9" customHeight="1">
      <c r="A170" t="s" s="10">
        <v>4602</v>
      </c>
      <c r="B170" t="s" s="11">
        <v>4603</v>
      </c>
      <c r="C170" s="12">
        <v>45160.674516307874</v>
      </c>
      <c r="D170" t="s" s="13">
        <v>77</v>
      </c>
      <c r="E170" t="s" s="13">
        <v>4224</v>
      </c>
      <c r="F170" s="14">
        <v>12</v>
      </c>
      <c r="G170" s="15">
        <v>19.99</v>
      </c>
      <c r="H170" s="15">
        <v>239.88</v>
      </c>
    </row>
    <row r="171" ht="12.9" customHeight="1">
      <c r="A171" t="s" s="10">
        <v>4602</v>
      </c>
      <c r="B171" t="s" s="11">
        <v>4603</v>
      </c>
      <c r="C171" s="12">
        <v>45160.674516307874</v>
      </c>
      <c r="D171" t="s" s="13">
        <v>1069</v>
      </c>
      <c r="E171" t="s" s="13">
        <v>1070</v>
      </c>
      <c r="F171" s="14">
        <v>2</v>
      </c>
      <c r="G171" s="15">
        <v>99.98999999999999</v>
      </c>
      <c r="H171" s="15">
        <v>199.98</v>
      </c>
    </row>
    <row r="172" ht="12.9" customHeight="1">
      <c r="A172" t="s" s="10">
        <v>4602</v>
      </c>
      <c r="B172" t="s" s="11">
        <v>4603</v>
      </c>
      <c r="C172" s="12">
        <v>45160.674516307874</v>
      </c>
      <c r="D172" t="s" s="13">
        <v>84</v>
      </c>
      <c r="E172" t="s" s="13">
        <v>4225</v>
      </c>
      <c r="F172" s="14">
        <v>2</v>
      </c>
      <c r="G172" s="15">
        <v>15</v>
      </c>
      <c r="H172" s="15">
        <v>30</v>
      </c>
    </row>
    <row r="173" ht="12.9" customHeight="1">
      <c r="A173" t="s" s="10">
        <v>4604</v>
      </c>
      <c r="B173" t="s" s="11">
        <v>3981</v>
      </c>
      <c r="C173" s="12">
        <v>45160.120731388888</v>
      </c>
      <c r="D173" t="s" s="13">
        <v>19</v>
      </c>
      <c r="E173" t="s" s="13">
        <v>20</v>
      </c>
      <c r="F173" s="14">
        <v>6</v>
      </c>
      <c r="G173" s="15">
        <v>119.99</v>
      </c>
      <c r="H173" s="15">
        <v>719.9400000000001</v>
      </c>
    </row>
    <row r="174" ht="12.9" customHeight="1">
      <c r="A174" t="s" s="10">
        <v>4604</v>
      </c>
      <c r="B174" t="s" s="11">
        <v>3981</v>
      </c>
      <c r="C174" s="12">
        <v>45160.120731388888</v>
      </c>
      <c r="D174" t="s" s="13">
        <v>15</v>
      </c>
      <c r="E174" t="s" s="13">
        <v>16</v>
      </c>
      <c r="F174" s="14">
        <v>6</v>
      </c>
      <c r="G174" s="15">
        <v>8.99</v>
      </c>
      <c r="H174" s="15">
        <v>53.94</v>
      </c>
    </row>
    <row r="175" ht="12.9" customHeight="1">
      <c r="A175" t="s" s="10">
        <v>4605</v>
      </c>
      <c r="B175" t="s" s="11">
        <v>1761</v>
      </c>
      <c r="C175" s="12">
        <v>45160.070050798611</v>
      </c>
      <c r="D175" t="s" s="13">
        <v>2787</v>
      </c>
      <c r="E175" t="s" s="13">
        <v>2788</v>
      </c>
      <c r="F175" s="14">
        <v>1</v>
      </c>
      <c r="G175" s="15">
        <v>22.99</v>
      </c>
      <c r="H175" s="15">
        <v>22.99</v>
      </c>
    </row>
    <row r="176" ht="12.9" customHeight="1">
      <c r="A176" t="s" s="10">
        <v>4605</v>
      </c>
      <c r="B176" t="s" s="11">
        <v>1761</v>
      </c>
      <c r="C176" s="12">
        <v>45160.070050798611</v>
      </c>
      <c r="D176" t="s" s="13">
        <v>50</v>
      </c>
      <c r="E176" t="s" s="13">
        <v>83</v>
      </c>
      <c r="F176" s="14">
        <v>1</v>
      </c>
      <c r="G176" s="15">
        <v>29.99</v>
      </c>
      <c r="H176" s="15">
        <v>29.99</v>
      </c>
    </row>
    <row r="177" ht="12.9" customHeight="1">
      <c r="A177" t="s" s="10">
        <v>4605</v>
      </c>
      <c r="B177" t="s" s="11">
        <v>1761</v>
      </c>
      <c r="C177" s="12">
        <v>45160.070050798611</v>
      </c>
      <c r="D177" t="s" s="13">
        <v>412</v>
      </c>
      <c r="E177" t="s" s="13">
        <v>413</v>
      </c>
      <c r="F177" s="14">
        <v>1</v>
      </c>
      <c r="G177" s="15">
        <v>1.99</v>
      </c>
      <c r="H177" s="15">
        <v>1.99</v>
      </c>
    </row>
    <row r="178" ht="12.9" customHeight="1">
      <c r="A178" t="s" s="10">
        <v>4606</v>
      </c>
      <c r="B178" t="s" s="11">
        <v>4607</v>
      </c>
      <c r="C178" s="12">
        <v>45160.046527754632</v>
      </c>
      <c r="D178" t="s" s="13">
        <v>73</v>
      </c>
      <c r="E178" t="s" s="13">
        <v>74</v>
      </c>
      <c r="F178" s="14">
        <v>1</v>
      </c>
      <c r="G178" s="15">
        <v>399.99</v>
      </c>
      <c r="H178" s="15">
        <v>399.99</v>
      </c>
    </row>
    <row r="179" ht="12.9" customHeight="1">
      <c r="A179" t="s" s="10">
        <v>4608</v>
      </c>
      <c r="B179" t="s" s="11">
        <v>4609</v>
      </c>
      <c r="C179" s="12">
        <v>45160</v>
      </c>
      <c r="D179" t="s" s="13">
        <v>81</v>
      </c>
      <c r="E179" t="s" s="13">
        <v>82</v>
      </c>
      <c r="F179" s="14">
        <v>2</v>
      </c>
      <c r="G179" s="15">
        <v>637.4924999999999</v>
      </c>
      <c r="H179" s="15">
        <v>1274.985</v>
      </c>
    </row>
    <row r="180" ht="12.9" customHeight="1">
      <c r="A180" t="s" s="10">
        <v>4608</v>
      </c>
      <c r="B180" t="s" s="11">
        <v>4609</v>
      </c>
      <c r="C180" s="12">
        <v>45160</v>
      </c>
      <c r="D180" t="s" s="13">
        <v>23</v>
      </c>
      <c r="E180" t="s" s="13">
        <v>24</v>
      </c>
      <c r="F180" s="14">
        <v>2</v>
      </c>
      <c r="G180" s="15">
        <v>0</v>
      </c>
      <c r="H180" s="15">
        <v>0</v>
      </c>
    </row>
    <row r="181" ht="12.9" customHeight="1">
      <c r="A181" t="s" s="10">
        <v>4608</v>
      </c>
      <c r="B181" t="s" s="11">
        <v>4609</v>
      </c>
      <c r="C181" s="12">
        <v>45160</v>
      </c>
      <c r="D181" t="s" s="13">
        <v>50</v>
      </c>
      <c r="E181" t="s" s="13">
        <v>83</v>
      </c>
      <c r="F181" s="14">
        <v>2</v>
      </c>
      <c r="G181" s="15">
        <v>0</v>
      </c>
      <c r="H181" s="15">
        <v>0</v>
      </c>
    </row>
    <row r="182" ht="12.9" customHeight="1">
      <c r="A182" t="s" s="10">
        <v>4608</v>
      </c>
      <c r="B182" t="s" s="11">
        <v>4609</v>
      </c>
      <c r="C182" s="12">
        <v>45160</v>
      </c>
      <c r="D182" t="s" s="13">
        <v>84</v>
      </c>
      <c r="E182" t="s" s="13">
        <v>4225</v>
      </c>
      <c r="F182" s="14">
        <v>2</v>
      </c>
      <c r="G182" s="15">
        <v>0</v>
      </c>
      <c r="H182" s="15">
        <v>0</v>
      </c>
    </row>
    <row r="183" ht="12.9" customHeight="1">
      <c r="A183" t="s" s="10">
        <v>4608</v>
      </c>
      <c r="B183" t="s" s="11">
        <v>4609</v>
      </c>
      <c r="C183" s="12">
        <v>45160</v>
      </c>
      <c r="D183" t="s" s="13">
        <v>73</v>
      </c>
      <c r="E183" t="s" s="13">
        <v>74</v>
      </c>
      <c r="F183" s="14">
        <v>1</v>
      </c>
      <c r="G183" s="15">
        <v>299.9925</v>
      </c>
      <c r="H183" s="15">
        <v>299.9925</v>
      </c>
    </row>
    <row r="184" ht="12.9" customHeight="1">
      <c r="A184" t="s" s="10">
        <v>4608</v>
      </c>
      <c r="B184" t="s" s="11">
        <v>4609</v>
      </c>
      <c r="C184" s="12">
        <v>45160</v>
      </c>
      <c r="D184" t="s" s="13">
        <v>2509</v>
      </c>
      <c r="E184" t="s" s="13">
        <v>2814</v>
      </c>
      <c r="F184" s="14">
        <v>1</v>
      </c>
      <c r="G184" s="15">
        <v>47.2491</v>
      </c>
      <c r="H184" s="15">
        <v>47.2491</v>
      </c>
    </row>
    <row r="185" ht="12.9" customHeight="1">
      <c r="A185" t="s" s="10">
        <v>4608</v>
      </c>
      <c r="B185" t="s" s="11">
        <v>4609</v>
      </c>
      <c r="C185" s="12">
        <v>45160</v>
      </c>
      <c r="D185" t="s" s="13">
        <v>47</v>
      </c>
      <c r="E185" s="16"/>
      <c r="F185" s="14">
        <v>1</v>
      </c>
      <c r="G185" s="15">
        <v>35</v>
      </c>
      <c r="H185" s="15">
        <v>35</v>
      </c>
    </row>
    <row r="186" ht="12.9" customHeight="1">
      <c r="A186" t="s" s="10">
        <v>4610</v>
      </c>
      <c r="B186" t="s" s="11">
        <v>2931</v>
      </c>
      <c r="C186" s="12">
        <v>45160</v>
      </c>
      <c r="D186" t="s" s="13">
        <v>4304</v>
      </c>
      <c r="E186" t="s" s="13">
        <v>4611</v>
      </c>
      <c r="F186" s="14">
        <v>40</v>
      </c>
      <c r="G186" s="15">
        <v>15.99</v>
      </c>
      <c r="H186" s="15">
        <v>639.6</v>
      </c>
    </row>
    <row r="187" ht="12.9" customHeight="1">
      <c r="A187" t="s" s="10">
        <v>4610</v>
      </c>
      <c r="B187" t="s" s="11">
        <v>2931</v>
      </c>
      <c r="C187" s="12">
        <v>45160</v>
      </c>
      <c r="D187" t="s" s="13">
        <v>4612</v>
      </c>
      <c r="E187" t="s" s="13">
        <v>3404</v>
      </c>
      <c r="F187" s="14">
        <v>20</v>
      </c>
      <c r="G187" s="15">
        <v>15.99</v>
      </c>
      <c r="H187" s="15">
        <v>319.8</v>
      </c>
    </row>
    <row r="188" ht="12.9" customHeight="1">
      <c r="A188" t="s" s="10">
        <v>4610</v>
      </c>
      <c r="B188" t="s" s="11">
        <v>2931</v>
      </c>
      <c r="C188" s="12">
        <v>45160</v>
      </c>
      <c r="D188" t="s" s="13">
        <v>63</v>
      </c>
      <c r="E188" s="16"/>
      <c r="F188" s="14">
        <v>1</v>
      </c>
      <c r="G188" s="15">
        <v>120</v>
      </c>
      <c r="H188" s="15">
        <v>120</v>
      </c>
    </row>
    <row r="189" ht="12.9" customHeight="1">
      <c r="A189" t="s" s="10">
        <v>4613</v>
      </c>
      <c r="B189" t="s" s="11">
        <v>4111</v>
      </c>
      <c r="C189" s="12">
        <v>45159.705464236111</v>
      </c>
      <c r="D189" t="s" s="13">
        <v>35</v>
      </c>
      <c r="E189" t="s" s="13">
        <v>36</v>
      </c>
      <c r="F189" s="14">
        <v>1</v>
      </c>
      <c r="G189" s="15">
        <v>49.99</v>
      </c>
      <c r="H189" s="15">
        <v>49.99</v>
      </c>
    </row>
    <row r="190" ht="12.9" customHeight="1">
      <c r="A190" t="s" s="10">
        <v>4614</v>
      </c>
      <c r="B190" t="s" s="11">
        <v>4615</v>
      </c>
      <c r="C190" s="12">
        <v>45159.649003159720</v>
      </c>
      <c r="D190" t="s" s="13">
        <v>95</v>
      </c>
      <c r="E190" t="s" s="13">
        <v>12</v>
      </c>
      <c r="F190" s="14">
        <v>1</v>
      </c>
      <c r="G190" s="15">
        <v>349.99</v>
      </c>
      <c r="H190" s="15">
        <v>349.99</v>
      </c>
    </row>
    <row r="191" ht="12.9" customHeight="1">
      <c r="A191" t="s" s="10">
        <v>4616</v>
      </c>
      <c r="B191" t="s" s="11">
        <v>4261</v>
      </c>
      <c r="C191" s="12">
        <v>45159.531992962962</v>
      </c>
      <c r="D191" t="s" s="13">
        <v>54</v>
      </c>
      <c r="E191" t="s" s="13">
        <v>93</v>
      </c>
      <c r="F191" s="14">
        <v>2</v>
      </c>
      <c r="G191" s="15">
        <v>9.99</v>
      </c>
      <c r="H191" s="15">
        <v>19.98</v>
      </c>
    </row>
    <row r="192" ht="12.9" customHeight="1">
      <c r="A192" t="s" s="10">
        <v>4617</v>
      </c>
      <c r="B192" t="s" s="11">
        <v>1586</v>
      </c>
      <c r="C192" s="12">
        <v>45159</v>
      </c>
      <c r="D192" t="s" s="13">
        <v>179</v>
      </c>
      <c r="E192" t="s" s="13">
        <v>180</v>
      </c>
      <c r="F192" s="14">
        <v>16</v>
      </c>
      <c r="G192" s="15">
        <v>37.4925</v>
      </c>
      <c r="H192" s="15">
        <v>599.88</v>
      </c>
    </row>
    <row r="193" ht="12.9" customHeight="1">
      <c r="A193" t="s" s="10">
        <v>4617</v>
      </c>
      <c r="B193" t="s" s="11">
        <v>1586</v>
      </c>
      <c r="C193" s="12">
        <v>45159</v>
      </c>
      <c r="D193" t="s" s="13">
        <v>63</v>
      </c>
      <c r="E193" s="16"/>
      <c r="F193" s="14">
        <v>1</v>
      </c>
      <c r="G193" s="15">
        <v>78.68000000000001</v>
      </c>
      <c r="H193" s="15">
        <v>78.68000000000001</v>
      </c>
    </row>
    <row r="194" ht="12.9" customHeight="1">
      <c r="A194" t="s" s="10">
        <v>4618</v>
      </c>
      <c r="B194" t="s" s="11">
        <v>2438</v>
      </c>
      <c r="C194" s="12">
        <v>45158.946636087960</v>
      </c>
      <c r="D194" t="s" s="13">
        <v>35</v>
      </c>
      <c r="E194" t="s" s="13">
        <v>36</v>
      </c>
      <c r="F194" s="14">
        <v>2</v>
      </c>
      <c r="G194" s="15">
        <v>49.99</v>
      </c>
      <c r="H194" s="15">
        <v>99.98</v>
      </c>
    </row>
    <row r="195" ht="12.9" customHeight="1">
      <c r="A195" t="s" s="10">
        <v>4618</v>
      </c>
      <c r="B195" t="s" s="11">
        <v>2438</v>
      </c>
      <c r="C195" s="12">
        <v>45158.946636087960</v>
      </c>
      <c r="D195" t="s" s="13">
        <v>77</v>
      </c>
      <c r="E195" t="s" s="13">
        <v>4224</v>
      </c>
      <c r="F195" s="14">
        <v>1</v>
      </c>
      <c r="G195" s="15">
        <v>19.99</v>
      </c>
      <c r="H195" s="15">
        <v>19.99</v>
      </c>
    </row>
    <row r="196" ht="12.9" customHeight="1">
      <c r="A196" t="s" s="10">
        <v>4618</v>
      </c>
      <c r="B196" t="s" s="11">
        <v>2438</v>
      </c>
      <c r="C196" s="12">
        <v>45158.946636087960</v>
      </c>
      <c r="D196" t="s" s="13">
        <v>359</v>
      </c>
      <c r="E196" t="s" s="13">
        <v>4199</v>
      </c>
      <c r="F196" s="14">
        <v>1</v>
      </c>
      <c r="G196" s="15">
        <v>29.99</v>
      </c>
      <c r="H196" s="15">
        <v>29.99</v>
      </c>
    </row>
    <row r="197" ht="12.9" customHeight="1">
      <c r="A197" t="s" s="10">
        <v>4618</v>
      </c>
      <c r="B197" t="s" s="11">
        <v>2438</v>
      </c>
      <c r="C197" s="12">
        <v>45158.946636087960</v>
      </c>
      <c r="D197" t="s" s="13">
        <v>54</v>
      </c>
      <c r="E197" t="s" s="13">
        <v>93</v>
      </c>
      <c r="F197" s="14">
        <v>1</v>
      </c>
      <c r="G197" s="15">
        <v>9.99</v>
      </c>
      <c r="H197" s="15">
        <v>9.99</v>
      </c>
    </row>
    <row r="198" ht="12.9" customHeight="1">
      <c r="A198" t="s" s="10">
        <v>4618</v>
      </c>
      <c r="B198" t="s" s="11">
        <v>2438</v>
      </c>
      <c r="C198" s="12">
        <v>45158.946636087960</v>
      </c>
      <c r="D198" t="s" s="13">
        <v>119</v>
      </c>
      <c r="E198" t="s" s="13">
        <v>120</v>
      </c>
      <c r="F198" s="14">
        <v>1</v>
      </c>
      <c r="G198" s="15">
        <v>1.99</v>
      </c>
      <c r="H198" s="15">
        <v>1.99</v>
      </c>
    </row>
    <row r="199" ht="12.9" customHeight="1">
      <c r="A199" t="s" s="10">
        <v>4619</v>
      </c>
      <c r="B199" t="s" s="11">
        <v>4620</v>
      </c>
      <c r="C199" s="12">
        <v>45157.960408125</v>
      </c>
      <c r="D199" t="s" s="13">
        <v>143</v>
      </c>
      <c r="E199" t="s" s="13">
        <v>144</v>
      </c>
      <c r="F199" s="14">
        <v>1</v>
      </c>
      <c r="G199" s="15">
        <v>3199.99</v>
      </c>
      <c r="H199" s="15">
        <v>3199.99</v>
      </c>
    </row>
    <row r="200" ht="12.9" customHeight="1">
      <c r="A200" t="s" s="10">
        <v>4621</v>
      </c>
      <c r="B200" t="s" s="11">
        <v>4622</v>
      </c>
      <c r="C200" s="12">
        <v>45157.722191990739</v>
      </c>
      <c r="D200" t="s" s="13">
        <v>1695</v>
      </c>
      <c r="E200" t="s" s="13">
        <v>140</v>
      </c>
      <c r="F200" s="14">
        <v>10</v>
      </c>
      <c r="G200" s="15">
        <v>49.99</v>
      </c>
      <c r="H200" s="15">
        <v>499.9</v>
      </c>
    </row>
    <row r="201" ht="12.9" customHeight="1">
      <c r="A201" t="s" s="10">
        <v>4621</v>
      </c>
      <c r="B201" t="s" s="11">
        <v>4622</v>
      </c>
      <c r="C201" s="12">
        <v>45157.722191990739</v>
      </c>
      <c r="D201" t="s" s="13">
        <v>15</v>
      </c>
      <c r="E201" t="s" s="13">
        <v>16</v>
      </c>
      <c r="F201" s="14">
        <v>10</v>
      </c>
      <c r="G201" s="15">
        <v>8.49</v>
      </c>
      <c r="H201" s="15">
        <v>84.90000000000001</v>
      </c>
    </row>
    <row r="202" ht="12.9" customHeight="1">
      <c r="A202" t="s" s="10">
        <v>4623</v>
      </c>
      <c r="B202" t="s" s="11">
        <v>4624</v>
      </c>
      <c r="C202" s="12">
        <v>45157.227235150465</v>
      </c>
      <c r="D202" t="s" s="13">
        <v>1695</v>
      </c>
      <c r="E202" t="s" s="13">
        <v>140</v>
      </c>
      <c r="F202" s="14">
        <v>1</v>
      </c>
      <c r="G202" s="15">
        <v>49.99</v>
      </c>
      <c r="H202" s="15">
        <v>49.99</v>
      </c>
    </row>
    <row r="203" ht="12.9" customHeight="1">
      <c r="A203" t="s" s="10">
        <v>4623</v>
      </c>
      <c r="B203" t="s" s="11">
        <v>4624</v>
      </c>
      <c r="C203" s="12">
        <v>45157.227235150465</v>
      </c>
      <c r="D203" t="s" s="13">
        <v>15</v>
      </c>
      <c r="E203" t="s" s="13">
        <v>16</v>
      </c>
      <c r="F203" s="14">
        <v>1</v>
      </c>
      <c r="G203" s="15">
        <v>8.99</v>
      </c>
      <c r="H203" s="15">
        <v>8.99</v>
      </c>
    </row>
    <row r="204" ht="12.9" customHeight="1">
      <c r="A204" t="s" s="10">
        <v>4625</v>
      </c>
      <c r="B204" t="s" s="11">
        <v>4535</v>
      </c>
      <c r="C204" s="12">
        <v>45157.156869918981</v>
      </c>
      <c r="D204" t="s" s="13">
        <v>31</v>
      </c>
      <c r="E204" t="s" s="13">
        <v>32</v>
      </c>
      <c r="F204" s="14">
        <v>1</v>
      </c>
      <c r="G204" s="15">
        <v>599.99</v>
      </c>
      <c r="H204" s="15">
        <v>599.99</v>
      </c>
    </row>
    <row r="205" ht="12.9" customHeight="1">
      <c r="A205" t="s" s="10">
        <v>4626</v>
      </c>
      <c r="B205" t="s" s="11">
        <v>4627</v>
      </c>
      <c r="C205" s="12">
        <v>45156.854511192127</v>
      </c>
      <c r="D205" t="s" s="13">
        <v>73</v>
      </c>
      <c r="E205" t="s" s="13">
        <v>74</v>
      </c>
      <c r="F205" s="14">
        <v>1</v>
      </c>
      <c r="G205" s="15">
        <v>399.99</v>
      </c>
      <c r="H205" s="15">
        <v>399.99</v>
      </c>
    </row>
    <row r="206" ht="12.9" customHeight="1">
      <c r="A206" t="s" s="10">
        <v>4628</v>
      </c>
      <c r="B206" t="s" s="11">
        <v>4629</v>
      </c>
      <c r="C206" s="12">
        <v>45156.842000868055</v>
      </c>
      <c r="D206" t="s" s="13">
        <v>95</v>
      </c>
      <c r="E206" t="s" s="13">
        <v>12</v>
      </c>
      <c r="F206" s="14">
        <v>1</v>
      </c>
      <c r="G206" s="15">
        <v>349.99</v>
      </c>
      <c r="H206" s="15">
        <v>349.99</v>
      </c>
    </row>
    <row r="207" ht="12.9" customHeight="1">
      <c r="A207" t="s" s="10">
        <v>4628</v>
      </c>
      <c r="B207" t="s" s="11">
        <v>4629</v>
      </c>
      <c r="C207" s="12">
        <v>45156.842000868055</v>
      </c>
      <c r="D207" t="s" s="13">
        <v>35</v>
      </c>
      <c r="E207" t="s" s="13">
        <v>36</v>
      </c>
      <c r="F207" s="14">
        <v>1</v>
      </c>
      <c r="G207" s="15">
        <v>49.99</v>
      </c>
      <c r="H207" s="15">
        <v>49.99</v>
      </c>
    </row>
    <row r="208" ht="12.9" customHeight="1">
      <c r="A208" t="s" s="10">
        <v>4630</v>
      </c>
      <c r="B208" t="s" s="11">
        <v>4631</v>
      </c>
      <c r="C208" s="12">
        <v>45156.099749942128</v>
      </c>
      <c r="D208" t="s" s="13">
        <v>31</v>
      </c>
      <c r="E208" t="s" s="13">
        <v>32</v>
      </c>
      <c r="F208" s="14">
        <v>1</v>
      </c>
      <c r="G208" s="15">
        <v>599.99</v>
      </c>
      <c r="H208" s="15">
        <v>599.99</v>
      </c>
    </row>
    <row r="209" ht="12.9" customHeight="1">
      <c r="A209" t="s" s="10">
        <v>4632</v>
      </c>
      <c r="B209" t="s" s="11">
        <v>3803</v>
      </c>
      <c r="C209" s="12">
        <v>45156.046052916667</v>
      </c>
      <c r="D209" t="s" s="13">
        <v>95</v>
      </c>
      <c r="E209" t="s" s="13">
        <v>12</v>
      </c>
      <c r="F209" s="14">
        <v>1</v>
      </c>
      <c r="G209" s="15">
        <v>349.99</v>
      </c>
      <c r="H209" s="15">
        <v>349.99</v>
      </c>
    </row>
    <row r="210" ht="12.9" customHeight="1">
      <c r="A210" t="s" s="10">
        <v>4633</v>
      </c>
      <c r="B210" t="s" s="11">
        <v>210</v>
      </c>
      <c r="C210" s="12">
        <v>45156</v>
      </c>
      <c r="D210" t="s" s="13">
        <v>73</v>
      </c>
      <c r="E210" t="s" s="13">
        <v>74</v>
      </c>
      <c r="F210" s="14">
        <v>1</v>
      </c>
      <c r="G210" s="15">
        <v>330</v>
      </c>
      <c r="H210" s="15">
        <v>330</v>
      </c>
    </row>
    <row r="211" ht="12.9" customHeight="1">
      <c r="A211" t="s" s="10">
        <v>4634</v>
      </c>
      <c r="B211" t="s" s="11">
        <v>476</v>
      </c>
      <c r="C211" s="12">
        <v>45156</v>
      </c>
      <c r="D211" t="s" s="13">
        <v>998</v>
      </c>
      <c r="E211" t="s" s="13">
        <v>999</v>
      </c>
      <c r="F211" s="14">
        <v>33</v>
      </c>
      <c r="G211" s="15">
        <v>900</v>
      </c>
      <c r="H211" s="15">
        <v>29700</v>
      </c>
    </row>
    <row r="212" ht="12.9" customHeight="1">
      <c r="A212" t="s" s="10">
        <v>4634</v>
      </c>
      <c r="B212" t="s" s="11">
        <v>476</v>
      </c>
      <c r="C212" s="12">
        <v>45156</v>
      </c>
      <c r="D212" t="s" s="13">
        <v>50</v>
      </c>
      <c r="E212" t="s" s="13">
        <v>83</v>
      </c>
      <c r="F212" s="14">
        <v>33</v>
      </c>
      <c r="G212" s="15">
        <v>0</v>
      </c>
      <c r="H212" s="15">
        <v>0</v>
      </c>
    </row>
    <row r="213" ht="12.9" customHeight="1">
      <c r="A213" t="s" s="10">
        <v>4634</v>
      </c>
      <c r="B213" t="s" s="11">
        <v>476</v>
      </c>
      <c r="C213" s="12">
        <v>45156</v>
      </c>
      <c r="D213" t="s" s="13">
        <v>63</v>
      </c>
      <c r="E213" s="16"/>
      <c r="F213" s="14">
        <v>1</v>
      </c>
      <c r="G213" s="15">
        <v>500</v>
      </c>
      <c r="H213" s="15">
        <v>500</v>
      </c>
    </row>
    <row r="214" ht="12.9" customHeight="1">
      <c r="A214" t="s" s="10">
        <v>4635</v>
      </c>
      <c r="B214" t="s" s="11">
        <v>4636</v>
      </c>
      <c r="C214" s="12">
        <v>45155.778380659722</v>
      </c>
      <c r="D214" t="s" s="13">
        <v>35</v>
      </c>
      <c r="E214" t="s" s="13">
        <v>36</v>
      </c>
      <c r="F214" s="14">
        <v>5</v>
      </c>
      <c r="G214" s="15">
        <v>49.99</v>
      </c>
      <c r="H214" s="15">
        <v>249.95</v>
      </c>
    </row>
    <row r="215" ht="12.9" customHeight="1">
      <c r="A215" t="s" s="10">
        <v>4637</v>
      </c>
      <c r="B215" t="s" s="11">
        <v>4638</v>
      </c>
      <c r="C215" s="12">
        <v>45155.719523854168</v>
      </c>
      <c r="D215" t="s" s="13">
        <v>1729</v>
      </c>
      <c r="E215" t="s" s="13">
        <v>4639</v>
      </c>
      <c r="F215" s="14">
        <v>1</v>
      </c>
      <c r="G215" s="15">
        <v>14.99</v>
      </c>
      <c r="H215" s="15">
        <v>14.99</v>
      </c>
    </row>
    <row r="216" ht="12.9" customHeight="1">
      <c r="A216" t="s" s="10">
        <v>4640</v>
      </c>
      <c r="B216" t="s" s="11">
        <v>4641</v>
      </c>
      <c r="C216" s="12">
        <v>45155.702512291668</v>
      </c>
      <c r="D216" t="s" s="13">
        <v>11</v>
      </c>
      <c r="E216" t="s" s="13">
        <v>12</v>
      </c>
      <c r="F216" s="14">
        <v>1</v>
      </c>
      <c r="G216" s="15">
        <v>399.99</v>
      </c>
      <c r="H216" s="15">
        <v>399.99</v>
      </c>
    </row>
    <row r="217" ht="12.9" customHeight="1">
      <c r="A217" t="s" s="10">
        <v>4642</v>
      </c>
      <c r="B217" t="s" s="11">
        <v>4643</v>
      </c>
      <c r="C217" s="12">
        <v>45155.627039351850</v>
      </c>
      <c r="D217" t="s" s="13">
        <v>11</v>
      </c>
      <c r="E217" t="s" s="13">
        <v>12</v>
      </c>
      <c r="F217" s="14">
        <v>1</v>
      </c>
      <c r="G217" s="15">
        <v>399.99</v>
      </c>
      <c r="H217" s="15">
        <v>399.99</v>
      </c>
    </row>
    <row r="218" ht="12.9" customHeight="1">
      <c r="A218" t="s" s="10">
        <v>4644</v>
      </c>
      <c r="B218" t="s" s="11">
        <v>4645</v>
      </c>
      <c r="C218" s="12">
        <v>45155.607801342594</v>
      </c>
      <c r="D218" t="s" s="13">
        <v>1695</v>
      </c>
      <c r="E218" t="s" s="13">
        <v>140</v>
      </c>
      <c r="F218" s="14">
        <v>2</v>
      </c>
      <c r="G218" s="15">
        <v>49.99</v>
      </c>
      <c r="H218" s="15">
        <v>99.98</v>
      </c>
    </row>
    <row r="219" ht="12.9" customHeight="1">
      <c r="A219" t="s" s="10">
        <v>4644</v>
      </c>
      <c r="B219" t="s" s="11">
        <v>4645</v>
      </c>
      <c r="C219" s="12">
        <v>45155.607801342594</v>
      </c>
      <c r="D219" t="s" s="13">
        <v>15</v>
      </c>
      <c r="E219" t="s" s="13">
        <v>16</v>
      </c>
      <c r="F219" s="14">
        <v>2</v>
      </c>
      <c r="G219" s="15">
        <v>8.99</v>
      </c>
      <c r="H219" s="15">
        <v>17.98</v>
      </c>
    </row>
    <row r="220" ht="12.9" customHeight="1">
      <c r="A220" t="s" s="10">
        <v>4646</v>
      </c>
      <c r="B220" t="s" s="11">
        <v>735</v>
      </c>
      <c r="C220" s="12">
        <v>45155.250209930557</v>
      </c>
      <c r="D220" t="s" s="13">
        <v>19</v>
      </c>
      <c r="E220" t="s" s="13">
        <v>20</v>
      </c>
      <c r="F220" s="14">
        <v>2</v>
      </c>
      <c r="G220" s="15">
        <v>119.99</v>
      </c>
      <c r="H220" s="15">
        <v>239.98</v>
      </c>
    </row>
    <row r="221" ht="12.9" customHeight="1">
      <c r="A221" t="s" s="10">
        <v>4646</v>
      </c>
      <c r="B221" t="s" s="11">
        <v>735</v>
      </c>
      <c r="C221" s="12">
        <v>45155.250209930557</v>
      </c>
      <c r="D221" t="s" s="13">
        <v>15</v>
      </c>
      <c r="E221" t="s" s="13">
        <v>16</v>
      </c>
      <c r="F221" s="14">
        <v>2</v>
      </c>
      <c r="G221" s="15">
        <v>8.99</v>
      </c>
      <c r="H221" s="15">
        <v>17.98</v>
      </c>
    </row>
    <row r="222" ht="12.9" customHeight="1">
      <c r="A222" t="s" s="10">
        <v>4647</v>
      </c>
      <c r="B222" t="s" s="11">
        <v>4648</v>
      </c>
      <c r="C222" s="12">
        <v>45155.132639837961</v>
      </c>
      <c r="D222" t="s" s="13">
        <v>171</v>
      </c>
      <c r="E222" t="s" s="13">
        <v>172</v>
      </c>
      <c r="F222" s="14">
        <v>1</v>
      </c>
      <c r="G222" s="15">
        <v>549.99</v>
      </c>
      <c r="H222" s="15">
        <v>549.99</v>
      </c>
    </row>
    <row r="223" ht="12.9" customHeight="1">
      <c r="A223" t="s" s="10">
        <v>4647</v>
      </c>
      <c r="B223" t="s" s="11">
        <v>4648</v>
      </c>
      <c r="C223" s="12">
        <v>45155.132639837961</v>
      </c>
      <c r="D223" t="s" s="13">
        <v>35</v>
      </c>
      <c r="E223" t="s" s="13">
        <v>36</v>
      </c>
      <c r="F223" s="14">
        <v>1</v>
      </c>
      <c r="G223" s="15">
        <v>49.99</v>
      </c>
      <c r="H223" s="15">
        <v>49.99</v>
      </c>
    </row>
    <row r="224" ht="12.9" customHeight="1">
      <c r="A224" t="s" s="10">
        <v>4647</v>
      </c>
      <c r="B224" t="s" s="11">
        <v>4648</v>
      </c>
      <c r="C224" s="12">
        <v>45155.132639837961</v>
      </c>
      <c r="D224" t="s" s="13">
        <v>54</v>
      </c>
      <c r="E224" t="s" s="13">
        <v>93</v>
      </c>
      <c r="F224" s="14">
        <v>1</v>
      </c>
      <c r="G224" s="15">
        <v>9.99</v>
      </c>
      <c r="H224" s="15">
        <v>9.99</v>
      </c>
    </row>
    <row r="225" ht="12.9" customHeight="1">
      <c r="A225" t="s" s="10">
        <v>4649</v>
      </c>
      <c r="B225" t="s" s="11">
        <v>896</v>
      </c>
      <c r="C225" s="12">
        <v>45155</v>
      </c>
      <c r="D225" t="s" s="13">
        <v>585</v>
      </c>
      <c r="E225" t="s" s="13">
        <v>586</v>
      </c>
      <c r="F225" s="14">
        <v>10</v>
      </c>
      <c r="G225" s="15">
        <v>375</v>
      </c>
      <c r="H225" s="15">
        <v>3750</v>
      </c>
    </row>
    <row r="226" ht="12.9" customHeight="1">
      <c r="A226" t="s" s="10">
        <v>4649</v>
      </c>
      <c r="B226" t="s" s="11">
        <v>896</v>
      </c>
      <c r="C226" s="12">
        <v>45155</v>
      </c>
      <c r="D226" t="s" s="13">
        <v>165</v>
      </c>
      <c r="E226" t="s" s="13">
        <v>392</v>
      </c>
      <c r="F226" s="14">
        <v>10</v>
      </c>
      <c r="G226" s="15">
        <v>0</v>
      </c>
      <c r="H226" s="15">
        <v>0</v>
      </c>
    </row>
    <row r="227" ht="12.9" customHeight="1">
      <c r="A227" t="s" s="10">
        <v>4649</v>
      </c>
      <c r="B227" t="s" s="11">
        <v>896</v>
      </c>
      <c r="C227" s="12">
        <v>45155</v>
      </c>
      <c r="D227" t="s" s="13">
        <v>63</v>
      </c>
      <c r="E227" s="16"/>
      <c r="F227" s="14">
        <v>1</v>
      </c>
      <c r="G227" s="15">
        <v>175</v>
      </c>
      <c r="H227" s="15">
        <v>175</v>
      </c>
    </row>
    <row r="228" ht="12.9" customHeight="1">
      <c r="A228" t="s" s="10">
        <v>4650</v>
      </c>
      <c r="B228" t="s" s="11">
        <v>4651</v>
      </c>
      <c r="C228" s="12">
        <v>45155</v>
      </c>
      <c r="D228" t="s" s="13">
        <v>143</v>
      </c>
      <c r="E228" t="s" s="13">
        <v>144</v>
      </c>
      <c r="F228" s="14">
        <v>1</v>
      </c>
      <c r="G228" s="15">
        <v>3199.99</v>
      </c>
      <c r="H228" s="15">
        <v>3199.99</v>
      </c>
    </row>
    <row r="229" ht="12.9" customHeight="1">
      <c r="A229" t="s" s="10">
        <v>4650</v>
      </c>
      <c r="B229" t="s" s="11">
        <v>4651</v>
      </c>
      <c r="C229" s="12">
        <v>45155</v>
      </c>
      <c r="D229" t="s" s="13">
        <v>59</v>
      </c>
      <c r="E229" t="s" s="13">
        <v>60</v>
      </c>
      <c r="F229" s="14">
        <v>1</v>
      </c>
      <c r="G229" s="15">
        <v>1199.99</v>
      </c>
      <c r="H229" s="15">
        <v>1199.99</v>
      </c>
    </row>
    <row r="230" ht="12.9" customHeight="1">
      <c r="A230" t="s" s="10">
        <v>4650</v>
      </c>
      <c r="B230" t="s" s="11">
        <v>4651</v>
      </c>
      <c r="C230" s="12">
        <v>45155</v>
      </c>
      <c r="D230" t="s" s="13">
        <v>63</v>
      </c>
      <c r="E230" s="16"/>
      <c r="F230" s="14">
        <v>1</v>
      </c>
      <c r="G230" s="15">
        <v>140</v>
      </c>
      <c r="H230" s="15">
        <v>140</v>
      </c>
    </row>
    <row r="231" ht="12.9" customHeight="1">
      <c r="A231" t="s" s="10">
        <v>4652</v>
      </c>
      <c r="B231" t="s" s="11">
        <v>42</v>
      </c>
      <c r="C231" s="12">
        <v>45155</v>
      </c>
      <c r="D231" t="s" s="13">
        <v>2359</v>
      </c>
      <c r="E231" t="s" s="13">
        <v>4653</v>
      </c>
      <c r="F231" s="14">
        <v>2</v>
      </c>
      <c r="G231" s="15">
        <v>0</v>
      </c>
      <c r="H231" s="15">
        <v>0</v>
      </c>
    </row>
    <row r="232" ht="12.9" customHeight="1">
      <c r="A232" t="s" s="10">
        <v>4652</v>
      </c>
      <c r="B232" t="s" s="11">
        <v>42</v>
      </c>
      <c r="C232" s="12">
        <v>45155</v>
      </c>
      <c r="D232" t="s" s="13">
        <v>4654</v>
      </c>
      <c r="E232" t="s" s="13">
        <v>4655</v>
      </c>
      <c r="F232" s="14">
        <v>2</v>
      </c>
      <c r="G232" s="15">
        <v>0</v>
      </c>
      <c r="H232" s="15">
        <v>0</v>
      </c>
    </row>
    <row r="233" ht="12.9" customHeight="1">
      <c r="A233" t="s" s="10">
        <v>4652</v>
      </c>
      <c r="B233" t="s" s="11">
        <v>42</v>
      </c>
      <c r="C233" s="12">
        <v>45155</v>
      </c>
      <c r="D233" t="s" s="13">
        <v>57</v>
      </c>
      <c r="E233" t="s" s="13">
        <v>58</v>
      </c>
      <c r="F233" s="14">
        <v>2</v>
      </c>
      <c r="G233" s="15">
        <v>0</v>
      </c>
      <c r="H233" s="15">
        <v>0</v>
      </c>
    </row>
    <row r="234" ht="12.9" customHeight="1">
      <c r="A234" t="s" s="10">
        <v>4656</v>
      </c>
      <c r="B234" t="s" s="11">
        <v>4638</v>
      </c>
      <c r="C234" s="12">
        <v>45154.745478692130</v>
      </c>
      <c r="D234" t="s" s="13">
        <v>1731</v>
      </c>
      <c r="E234" t="s" s="13">
        <v>4657</v>
      </c>
      <c r="F234" s="14">
        <v>1</v>
      </c>
      <c r="G234" s="15">
        <v>24.99</v>
      </c>
      <c r="H234" s="15">
        <v>24.99</v>
      </c>
    </row>
    <row r="235" ht="12.9" customHeight="1">
      <c r="A235" t="s" s="10">
        <v>4656</v>
      </c>
      <c r="B235" t="s" s="11">
        <v>4638</v>
      </c>
      <c r="C235" s="12">
        <v>45154.745478692130</v>
      </c>
      <c r="D235" t="s" s="13">
        <v>39</v>
      </c>
      <c r="E235" t="s" s="13">
        <v>40</v>
      </c>
      <c r="F235" s="14">
        <v>1</v>
      </c>
      <c r="G235" s="15">
        <v>109.99</v>
      </c>
      <c r="H235" s="15">
        <v>109.99</v>
      </c>
    </row>
    <row r="236" ht="12.9" customHeight="1">
      <c r="A236" t="s" s="10">
        <v>4656</v>
      </c>
      <c r="B236" t="s" s="11">
        <v>4638</v>
      </c>
      <c r="C236" s="12">
        <v>45154.745478692130</v>
      </c>
      <c r="D236" t="s" s="13">
        <v>54</v>
      </c>
      <c r="E236" t="s" s="13">
        <v>93</v>
      </c>
      <c r="F236" s="14">
        <v>1</v>
      </c>
      <c r="G236" s="15">
        <v>9.99</v>
      </c>
      <c r="H236" s="15">
        <v>9.99</v>
      </c>
    </row>
    <row r="237" ht="12.9" customHeight="1">
      <c r="A237" t="s" s="10">
        <v>4658</v>
      </c>
      <c r="B237" t="s" s="11">
        <v>4659</v>
      </c>
      <c r="C237" s="12">
        <v>45154.6504625463</v>
      </c>
      <c r="D237" t="s" s="13">
        <v>11</v>
      </c>
      <c r="E237" t="s" s="13">
        <v>12</v>
      </c>
      <c r="F237" s="14">
        <v>1</v>
      </c>
      <c r="G237" s="15">
        <v>399.99</v>
      </c>
      <c r="H237" s="15">
        <v>399.99</v>
      </c>
    </row>
    <row r="238" ht="12.9" customHeight="1">
      <c r="A238" t="s" s="10">
        <v>4660</v>
      </c>
      <c r="B238" t="s" s="11">
        <v>4661</v>
      </c>
      <c r="C238" s="12">
        <v>45154.592866967592</v>
      </c>
      <c r="D238" t="s" s="13">
        <v>95</v>
      </c>
      <c r="E238" t="s" s="13">
        <v>12</v>
      </c>
      <c r="F238" s="14">
        <v>1</v>
      </c>
      <c r="G238" s="15">
        <v>349.99</v>
      </c>
      <c r="H238" s="15">
        <v>349.99</v>
      </c>
    </row>
    <row r="239" ht="12.9" customHeight="1">
      <c r="A239" t="s" s="10">
        <v>4662</v>
      </c>
      <c r="B239" t="s" s="11">
        <v>4663</v>
      </c>
      <c r="C239" s="12">
        <v>45154.5120837963</v>
      </c>
      <c r="D239" t="s" s="13">
        <v>73</v>
      </c>
      <c r="E239" t="s" s="13">
        <v>74</v>
      </c>
      <c r="F239" s="14">
        <v>1</v>
      </c>
      <c r="G239" s="15">
        <v>399.99</v>
      </c>
      <c r="H239" s="15">
        <v>399.99</v>
      </c>
    </row>
    <row r="240" ht="12.9" customHeight="1">
      <c r="A240" t="s" s="10">
        <v>4662</v>
      </c>
      <c r="B240" t="s" s="11">
        <v>4663</v>
      </c>
      <c r="C240" s="12">
        <v>45154.5120837963</v>
      </c>
      <c r="D240" t="s" s="13">
        <v>23</v>
      </c>
      <c r="E240" t="s" s="13">
        <v>24</v>
      </c>
      <c r="F240" s="14">
        <v>1</v>
      </c>
      <c r="G240" s="15">
        <v>149.99</v>
      </c>
      <c r="H240" s="15">
        <v>149.99</v>
      </c>
    </row>
    <row r="241" ht="12.9" customHeight="1">
      <c r="A241" t="s" s="10">
        <v>4662</v>
      </c>
      <c r="B241" t="s" s="11">
        <v>4663</v>
      </c>
      <c r="C241" s="12">
        <v>45154.5120837963</v>
      </c>
      <c r="D241" t="s" s="13">
        <v>19</v>
      </c>
      <c r="E241" t="s" s="13">
        <v>20</v>
      </c>
      <c r="F241" s="14">
        <v>1</v>
      </c>
      <c r="G241" s="15">
        <v>119.99</v>
      </c>
      <c r="H241" s="15">
        <v>119.99</v>
      </c>
    </row>
    <row r="242" ht="12.9" customHeight="1">
      <c r="A242" t="s" s="10">
        <v>4662</v>
      </c>
      <c r="B242" t="s" s="11">
        <v>4663</v>
      </c>
      <c r="C242" s="12">
        <v>45154.5120837963</v>
      </c>
      <c r="D242" t="s" s="13">
        <v>15</v>
      </c>
      <c r="E242" t="s" s="13">
        <v>16</v>
      </c>
      <c r="F242" s="14">
        <v>1</v>
      </c>
      <c r="G242" s="15">
        <v>8.99</v>
      </c>
      <c r="H242" s="15">
        <v>8.99</v>
      </c>
    </row>
    <row r="243" ht="12.9" customHeight="1">
      <c r="A243" t="s" s="10">
        <v>4662</v>
      </c>
      <c r="B243" t="s" s="11">
        <v>4663</v>
      </c>
      <c r="C243" s="12">
        <v>45154.5120837963</v>
      </c>
      <c r="D243" t="s" s="13">
        <v>1695</v>
      </c>
      <c r="E243" t="s" s="13">
        <v>140</v>
      </c>
      <c r="F243" s="14">
        <v>1</v>
      </c>
      <c r="G243" s="15">
        <v>49.99</v>
      </c>
      <c r="H243" s="15">
        <v>49.99</v>
      </c>
    </row>
    <row r="244" ht="12.9" customHeight="1">
      <c r="A244" t="s" s="10">
        <v>4662</v>
      </c>
      <c r="B244" t="s" s="11">
        <v>4663</v>
      </c>
      <c r="C244" s="12">
        <v>45154.5120837963</v>
      </c>
      <c r="D244" t="s" s="13">
        <v>15</v>
      </c>
      <c r="E244" t="s" s="13">
        <v>16</v>
      </c>
      <c r="F244" s="14">
        <v>1</v>
      </c>
      <c r="G244" s="15">
        <v>8.99</v>
      </c>
      <c r="H244" s="15">
        <v>8.99</v>
      </c>
    </row>
    <row r="245" ht="12.9" customHeight="1">
      <c r="A245" t="s" s="10">
        <v>4662</v>
      </c>
      <c r="B245" t="s" s="11">
        <v>4663</v>
      </c>
      <c r="C245" s="12">
        <v>45154.5120837963</v>
      </c>
      <c r="D245" t="s" s="13">
        <v>50</v>
      </c>
      <c r="E245" t="s" s="13">
        <v>83</v>
      </c>
      <c r="F245" s="14">
        <v>2</v>
      </c>
      <c r="G245" s="15">
        <v>29.99</v>
      </c>
      <c r="H245" s="15">
        <v>59.98</v>
      </c>
    </row>
    <row r="246" ht="12.9" customHeight="1">
      <c r="A246" t="s" s="10">
        <v>4662</v>
      </c>
      <c r="B246" t="s" s="11">
        <v>4663</v>
      </c>
      <c r="C246" s="12">
        <v>45154.5120837963</v>
      </c>
      <c r="D246" t="s" s="13">
        <v>133</v>
      </c>
      <c r="E246" t="s" s="13">
        <v>134</v>
      </c>
      <c r="F246" s="14">
        <v>1</v>
      </c>
      <c r="G246" s="15">
        <v>199.99</v>
      </c>
      <c r="H246" s="15">
        <v>199.99</v>
      </c>
    </row>
    <row r="247" ht="12.9" customHeight="1">
      <c r="A247" t="s" s="10">
        <v>4664</v>
      </c>
      <c r="B247" t="s" s="11">
        <v>4665</v>
      </c>
      <c r="C247" s="12">
        <v>45154.269740428237</v>
      </c>
      <c r="D247" t="s" s="13">
        <v>19</v>
      </c>
      <c r="E247" t="s" s="13">
        <v>20</v>
      </c>
      <c r="F247" s="14">
        <v>2</v>
      </c>
      <c r="G247" s="15">
        <v>119.99</v>
      </c>
      <c r="H247" s="15">
        <v>239.98</v>
      </c>
    </row>
    <row r="248" ht="12.9" customHeight="1">
      <c r="A248" t="s" s="10">
        <v>4664</v>
      </c>
      <c r="B248" t="s" s="11">
        <v>4665</v>
      </c>
      <c r="C248" s="12">
        <v>45154.269740428237</v>
      </c>
      <c r="D248" t="s" s="13">
        <v>1695</v>
      </c>
      <c r="E248" t="s" s="13">
        <v>140</v>
      </c>
      <c r="F248" s="14">
        <v>1</v>
      </c>
      <c r="G248" s="15">
        <v>49.99</v>
      </c>
      <c r="H248" s="15">
        <v>49.99</v>
      </c>
    </row>
    <row r="249" ht="12.9" customHeight="1">
      <c r="A249" t="s" s="10">
        <v>4664</v>
      </c>
      <c r="B249" t="s" s="11">
        <v>4665</v>
      </c>
      <c r="C249" s="12">
        <v>45154.269740428237</v>
      </c>
      <c r="D249" t="s" s="13">
        <v>15</v>
      </c>
      <c r="E249" t="s" s="13">
        <v>16</v>
      </c>
      <c r="F249" s="14">
        <v>1</v>
      </c>
      <c r="G249" s="15">
        <v>8.99</v>
      </c>
      <c r="H249" s="15">
        <v>8.99</v>
      </c>
    </row>
    <row r="250" ht="12.9" customHeight="1">
      <c r="A250" t="s" s="10">
        <v>4664</v>
      </c>
      <c r="B250" t="s" s="11">
        <v>4665</v>
      </c>
      <c r="C250" s="12">
        <v>45154.269740428237</v>
      </c>
      <c r="D250" t="s" s="13">
        <v>15</v>
      </c>
      <c r="E250" t="s" s="13">
        <v>16</v>
      </c>
      <c r="F250" s="14">
        <v>1</v>
      </c>
      <c r="G250" s="15">
        <v>8.99</v>
      </c>
      <c r="H250" s="15">
        <v>8.99</v>
      </c>
    </row>
    <row r="251" ht="12.9" customHeight="1">
      <c r="A251" t="s" s="10">
        <v>4666</v>
      </c>
      <c r="B251" t="s" s="11">
        <v>4667</v>
      </c>
      <c r="C251" s="12">
        <v>45154.208362349535</v>
      </c>
      <c r="D251" t="s" s="13">
        <v>23</v>
      </c>
      <c r="E251" t="s" s="13">
        <v>24</v>
      </c>
      <c r="F251" s="14">
        <v>2</v>
      </c>
      <c r="G251" s="15">
        <v>149.99</v>
      </c>
      <c r="H251" s="15">
        <v>299.98</v>
      </c>
    </row>
    <row r="252" ht="12.9" customHeight="1">
      <c r="A252" t="s" s="10">
        <v>4666</v>
      </c>
      <c r="B252" t="s" s="11">
        <v>4667</v>
      </c>
      <c r="C252" s="12">
        <v>45154.208362349535</v>
      </c>
      <c r="D252" t="s" s="13">
        <v>146</v>
      </c>
      <c r="E252" t="s" s="13">
        <v>147</v>
      </c>
      <c r="F252" s="14">
        <v>1</v>
      </c>
      <c r="G252" s="15">
        <v>19.99</v>
      </c>
      <c r="H252" s="15">
        <v>19.99</v>
      </c>
    </row>
    <row r="253" ht="12.9" customHeight="1">
      <c r="A253" t="s" s="10">
        <v>4668</v>
      </c>
      <c r="B253" t="s" s="11">
        <v>4669</v>
      </c>
      <c r="C253" s="12">
        <v>45154.1513675</v>
      </c>
      <c r="D253" t="s" s="13">
        <v>95</v>
      </c>
      <c r="E253" t="s" s="13">
        <v>12</v>
      </c>
      <c r="F253" s="14">
        <v>1</v>
      </c>
      <c r="G253" s="15">
        <v>349.99</v>
      </c>
      <c r="H253" s="15">
        <v>349.99</v>
      </c>
    </row>
    <row r="254" ht="12.9" customHeight="1">
      <c r="A254" t="s" s="10">
        <v>4670</v>
      </c>
      <c r="B254" t="s" s="11">
        <v>4671</v>
      </c>
      <c r="C254" s="12">
        <v>45154.131739618053</v>
      </c>
      <c r="D254" t="s" s="13">
        <v>19</v>
      </c>
      <c r="E254" t="s" s="13">
        <v>20</v>
      </c>
      <c r="F254" s="14">
        <v>4</v>
      </c>
      <c r="G254" s="15">
        <v>119.99</v>
      </c>
      <c r="H254" s="15">
        <v>479.96</v>
      </c>
    </row>
    <row r="255" ht="12.9" customHeight="1">
      <c r="A255" t="s" s="10">
        <v>4670</v>
      </c>
      <c r="B255" t="s" s="11">
        <v>4671</v>
      </c>
      <c r="C255" s="12">
        <v>45154.131739618053</v>
      </c>
      <c r="D255" t="s" s="13">
        <v>15</v>
      </c>
      <c r="E255" t="s" s="13">
        <v>16</v>
      </c>
      <c r="F255" s="14">
        <v>4</v>
      </c>
      <c r="G255" s="15">
        <v>8.99</v>
      </c>
      <c r="H255" s="15">
        <v>35.96</v>
      </c>
    </row>
    <row r="256" ht="12.9" customHeight="1">
      <c r="A256" t="s" s="10">
        <v>4672</v>
      </c>
      <c r="B256" t="s" s="11">
        <v>4673</v>
      </c>
      <c r="C256" s="12">
        <v>45154</v>
      </c>
      <c r="D256" t="s" s="13">
        <v>4180</v>
      </c>
      <c r="E256" t="s" s="13">
        <v>4181</v>
      </c>
      <c r="F256" s="14">
        <v>2</v>
      </c>
      <c r="G256" s="15">
        <v>199.99</v>
      </c>
      <c r="H256" s="15">
        <v>399.98</v>
      </c>
    </row>
    <row r="257" ht="12.9" customHeight="1">
      <c r="A257" t="s" s="10">
        <v>4672</v>
      </c>
      <c r="B257" t="s" s="11">
        <v>4673</v>
      </c>
      <c r="C257" s="12">
        <v>45154</v>
      </c>
      <c r="D257" t="s" s="13">
        <v>2961</v>
      </c>
      <c r="E257" t="s" s="13">
        <v>2962</v>
      </c>
      <c r="F257" s="14">
        <v>2</v>
      </c>
      <c r="G257" s="15">
        <v>0</v>
      </c>
      <c r="H257" s="15">
        <v>0</v>
      </c>
    </row>
    <row r="258" ht="12.9" customHeight="1">
      <c r="A258" t="s" s="10">
        <v>4672</v>
      </c>
      <c r="B258" t="s" s="11">
        <v>4673</v>
      </c>
      <c r="C258" s="12">
        <v>45154</v>
      </c>
      <c r="D258" t="s" s="13">
        <v>63</v>
      </c>
      <c r="E258" s="16"/>
      <c r="F258" s="14">
        <v>1</v>
      </c>
      <c r="G258" s="15">
        <v>75</v>
      </c>
      <c r="H258" s="15">
        <v>75</v>
      </c>
    </row>
    <row r="259" ht="12.9" customHeight="1">
      <c r="A259" t="s" s="10">
        <v>4674</v>
      </c>
      <c r="B259" t="s" s="11">
        <v>476</v>
      </c>
      <c r="C259" s="12">
        <v>45154</v>
      </c>
      <c r="D259" t="s" s="13">
        <v>1155</v>
      </c>
      <c r="E259" t="s" s="13">
        <v>1156</v>
      </c>
      <c r="F259" s="14">
        <v>2</v>
      </c>
      <c r="G259" s="15">
        <v>1625</v>
      </c>
      <c r="H259" s="15">
        <v>3250</v>
      </c>
    </row>
    <row r="260" ht="12.9" customHeight="1">
      <c r="A260" t="s" s="10">
        <v>4674</v>
      </c>
      <c r="B260" t="s" s="11">
        <v>476</v>
      </c>
      <c r="C260" s="12">
        <v>45154</v>
      </c>
      <c r="D260" t="s" s="13">
        <v>50</v>
      </c>
      <c r="E260" t="s" s="13">
        <v>83</v>
      </c>
      <c r="F260" s="14">
        <v>2</v>
      </c>
      <c r="G260" s="15">
        <v>0</v>
      </c>
      <c r="H260" s="15">
        <v>0</v>
      </c>
    </row>
    <row r="261" ht="12.9" customHeight="1">
      <c r="A261" t="s" s="10">
        <v>4674</v>
      </c>
      <c r="B261" t="s" s="11">
        <v>476</v>
      </c>
      <c r="C261" s="12">
        <v>45154</v>
      </c>
      <c r="D261" t="s" s="13">
        <v>63</v>
      </c>
      <c r="E261" s="16"/>
      <c r="F261" s="14">
        <v>1</v>
      </c>
      <c r="G261" s="15">
        <v>100</v>
      </c>
      <c r="H261" s="15">
        <v>100</v>
      </c>
    </row>
    <row r="262" ht="12.9" customHeight="1">
      <c r="A262" t="s" s="10">
        <v>4675</v>
      </c>
      <c r="B262" t="s" s="11">
        <v>2931</v>
      </c>
      <c r="C262" s="12">
        <v>45154</v>
      </c>
      <c r="D262" t="s" s="13">
        <v>4304</v>
      </c>
      <c r="E262" t="s" s="13">
        <v>4676</v>
      </c>
      <c r="F262" s="14">
        <v>20</v>
      </c>
      <c r="G262" s="15">
        <v>15.99</v>
      </c>
      <c r="H262" s="15">
        <v>319.8</v>
      </c>
    </row>
    <row r="263" ht="12.9" customHeight="1">
      <c r="A263" t="s" s="10">
        <v>4675</v>
      </c>
      <c r="B263" t="s" s="11">
        <v>2931</v>
      </c>
      <c r="C263" s="12">
        <v>45154</v>
      </c>
      <c r="D263" t="s" s="13">
        <v>63</v>
      </c>
      <c r="E263" s="16"/>
      <c r="F263" s="14">
        <v>1</v>
      </c>
      <c r="G263" s="15">
        <v>60</v>
      </c>
      <c r="H263" s="15">
        <v>60</v>
      </c>
    </row>
    <row r="264" ht="12.9" customHeight="1">
      <c r="A264" t="s" s="10">
        <v>4677</v>
      </c>
      <c r="B264" t="s" s="11">
        <v>1757</v>
      </c>
      <c r="C264" s="12">
        <v>45153.825574675924</v>
      </c>
      <c r="D264" t="s" s="13">
        <v>15</v>
      </c>
      <c r="E264" t="s" s="13">
        <v>16</v>
      </c>
      <c r="F264" s="14">
        <v>2</v>
      </c>
      <c r="G264" s="15">
        <v>8.99</v>
      </c>
      <c r="H264" s="15">
        <v>17.98</v>
      </c>
    </row>
    <row r="265" ht="12.9" customHeight="1">
      <c r="A265" t="s" s="10">
        <v>4678</v>
      </c>
      <c r="B265" t="s" s="11">
        <v>4679</v>
      </c>
      <c r="C265" s="12">
        <v>45153.793492268516</v>
      </c>
      <c r="D265" t="s" s="13">
        <v>48</v>
      </c>
      <c r="E265" t="s" s="13">
        <v>49</v>
      </c>
      <c r="F265" s="14">
        <v>1</v>
      </c>
      <c r="G265" s="15">
        <v>1299.99</v>
      </c>
      <c r="H265" s="15">
        <v>1299.99</v>
      </c>
    </row>
    <row r="266" ht="12.9" customHeight="1">
      <c r="A266" t="s" s="10">
        <v>4678</v>
      </c>
      <c r="B266" t="s" s="11">
        <v>4679</v>
      </c>
      <c r="C266" s="12">
        <v>45153.793492268516</v>
      </c>
      <c r="D266" t="s" s="13">
        <v>50</v>
      </c>
      <c r="E266" t="s" s="13">
        <v>83</v>
      </c>
      <c r="F266" s="14">
        <v>1</v>
      </c>
      <c r="G266" s="15">
        <v>0</v>
      </c>
      <c r="H266" s="15">
        <v>0</v>
      </c>
    </row>
    <row r="267" ht="12.9" customHeight="1">
      <c r="A267" t="s" s="10">
        <v>4678</v>
      </c>
      <c r="B267" t="s" s="11">
        <v>4679</v>
      </c>
      <c r="C267" s="12">
        <v>45153.793492268516</v>
      </c>
      <c r="D267" t="s" s="13">
        <v>52</v>
      </c>
      <c r="E267" t="s" s="13">
        <v>4287</v>
      </c>
      <c r="F267" s="14">
        <v>1</v>
      </c>
      <c r="G267" s="15">
        <v>0</v>
      </c>
      <c r="H267" s="15">
        <v>0</v>
      </c>
    </row>
    <row r="268" ht="12.9" customHeight="1">
      <c r="A268" t="s" s="10">
        <v>4678</v>
      </c>
      <c r="B268" t="s" s="11">
        <v>4679</v>
      </c>
      <c r="C268" s="12">
        <v>45153.793492268516</v>
      </c>
      <c r="D268" t="s" s="13">
        <v>84</v>
      </c>
      <c r="E268" t="s" s="13">
        <v>4225</v>
      </c>
      <c r="F268" s="14">
        <v>1</v>
      </c>
      <c r="G268" s="15">
        <v>0</v>
      </c>
      <c r="H268" s="15">
        <v>0</v>
      </c>
    </row>
    <row r="269" ht="12.9" customHeight="1">
      <c r="A269" t="s" s="10">
        <v>4678</v>
      </c>
      <c r="B269" t="s" s="11">
        <v>4679</v>
      </c>
      <c r="C269" s="12">
        <v>45153.793492268516</v>
      </c>
      <c r="D269" t="s" s="13">
        <v>23</v>
      </c>
      <c r="E269" t="s" s="13">
        <v>24</v>
      </c>
      <c r="F269" s="14">
        <v>1</v>
      </c>
      <c r="G269" s="15">
        <v>0</v>
      </c>
      <c r="H269" s="15">
        <v>0</v>
      </c>
    </row>
    <row r="270" ht="12.9" customHeight="1">
      <c r="A270" t="s" s="10">
        <v>4678</v>
      </c>
      <c r="B270" t="s" s="11">
        <v>4679</v>
      </c>
      <c r="C270" s="12">
        <v>45153.793492268516</v>
      </c>
      <c r="D270" t="s" s="13">
        <v>487</v>
      </c>
      <c r="E270" t="s" s="13">
        <v>488</v>
      </c>
      <c r="F270" s="14">
        <v>1</v>
      </c>
      <c r="G270" s="15">
        <v>109.99</v>
      </c>
      <c r="H270" s="15">
        <v>109.99</v>
      </c>
    </row>
    <row r="271" ht="12.9" customHeight="1">
      <c r="A271" t="s" s="10">
        <v>4680</v>
      </c>
      <c r="B271" t="s" s="11">
        <v>4679</v>
      </c>
      <c r="C271" s="12">
        <v>45153.793492268516</v>
      </c>
      <c r="D271" t="s" s="13">
        <v>48</v>
      </c>
      <c r="E271" t="s" s="13">
        <v>49</v>
      </c>
      <c r="F271" s="14">
        <v>1</v>
      </c>
      <c r="G271" s="15">
        <v>0</v>
      </c>
      <c r="H271" s="15">
        <v>0</v>
      </c>
    </row>
    <row r="272" ht="12.9" customHeight="1">
      <c r="A272" t="s" s="10">
        <v>4680</v>
      </c>
      <c r="B272" t="s" s="11">
        <v>4679</v>
      </c>
      <c r="C272" s="12">
        <v>45153.793492268516</v>
      </c>
      <c r="D272" t="s" s="13">
        <v>50</v>
      </c>
      <c r="E272" t="s" s="13">
        <v>83</v>
      </c>
      <c r="F272" s="14">
        <v>1</v>
      </c>
      <c r="G272" s="15">
        <v>0</v>
      </c>
      <c r="H272" s="15">
        <v>0</v>
      </c>
    </row>
    <row r="273" ht="12.9" customHeight="1">
      <c r="A273" t="s" s="10">
        <v>4680</v>
      </c>
      <c r="B273" t="s" s="11">
        <v>4679</v>
      </c>
      <c r="C273" s="12">
        <v>45153.793492268516</v>
      </c>
      <c r="D273" t="s" s="13">
        <v>52</v>
      </c>
      <c r="E273" t="s" s="13">
        <v>4287</v>
      </c>
      <c r="F273" s="14">
        <v>1</v>
      </c>
      <c r="G273" s="15">
        <v>0</v>
      </c>
      <c r="H273" s="15">
        <v>0</v>
      </c>
    </row>
    <row r="274" ht="12.9" customHeight="1">
      <c r="A274" t="s" s="10">
        <v>4680</v>
      </c>
      <c r="B274" t="s" s="11">
        <v>4679</v>
      </c>
      <c r="C274" s="12">
        <v>45153.793492268516</v>
      </c>
      <c r="D274" t="s" s="13">
        <v>84</v>
      </c>
      <c r="E274" t="s" s="13">
        <v>4225</v>
      </c>
      <c r="F274" s="14">
        <v>1</v>
      </c>
      <c r="G274" s="15">
        <v>0</v>
      </c>
      <c r="H274" s="15">
        <v>0</v>
      </c>
    </row>
    <row r="275" ht="12.9" customHeight="1">
      <c r="A275" t="s" s="10">
        <v>4680</v>
      </c>
      <c r="B275" t="s" s="11">
        <v>4679</v>
      </c>
      <c r="C275" s="12">
        <v>45153.793492268516</v>
      </c>
      <c r="D275" t="s" s="13">
        <v>23</v>
      </c>
      <c r="E275" t="s" s="13">
        <v>24</v>
      </c>
      <c r="F275" s="14">
        <v>1</v>
      </c>
      <c r="G275" s="15">
        <v>0</v>
      </c>
      <c r="H275" s="15">
        <v>0</v>
      </c>
    </row>
    <row r="276" ht="12.9" customHeight="1">
      <c r="A276" t="s" s="10">
        <v>4680</v>
      </c>
      <c r="B276" t="s" s="11">
        <v>4679</v>
      </c>
      <c r="C276" s="12">
        <v>45153.793492268516</v>
      </c>
      <c r="D276" t="s" s="13">
        <v>487</v>
      </c>
      <c r="E276" t="s" s="13">
        <v>488</v>
      </c>
      <c r="F276" s="14">
        <v>1</v>
      </c>
      <c r="G276" s="15">
        <v>0</v>
      </c>
      <c r="H276" s="15">
        <v>0</v>
      </c>
    </row>
    <row r="277" ht="12.9" customHeight="1">
      <c r="A277" t="s" s="10">
        <v>4681</v>
      </c>
      <c r="B277" t="s" s="11">
        <v>3701</v>
      </c>
      <c r="C277" s="12">
        <v>45153.701708634260</v>
      </c>
      <c r="D277" t="s" s="13">
        <v>73</v>
      </c>
      <c r="E277" t="s" s="13">
        <v>74</v>
      </c>
      <c r="F277" s="14">
        <v>1</v>
      </c>
      <c r="G277" s="15">
        <v>399.99</v>
      </c>
      <c r="H277" s="15">
        <v>399.99</v>
      </c>
    </row>
    <row r="278" ht="12.9" customHeight="1">
      <c r="A278" t="s" s="10">
        <v>4682</v>
      </c>
      <c r="B278" t="s" s="11">
        <v>3683</v>
      </c>
      <c r="C278" s="12">
        <v>45153.016077673608</v>
      </c>
      <c r="D278" t="s" s="13">
        <v>73</v>
      </c>
      <c r="E278" t="s" s="13">
        <v>74</v>
      </c>
      <c r="F278" s="14">
        <v>1</v>
      </c>
      <c r="G278" s="15">
        <v>399.99</v>
      </c>
      <c r="H278" s="15">
        <v>399.99</v>
      </c>
    </row>
    <row r="279" ht="12.9" customHeight="1">
      <c r="A279" t="s" s="10">
        <v>4683</v>
      </c>
      <c r="B279" t="s" s="11">
        <v>3137</v>
      </c>
      <c r="C279" s="12">
        <v>45153</v>
      </c>
      <c r="D279" t="s" s="13">
        <v>1717</v>
      </c>
      <c r="E279" t="s" s="13">
        <v>1718</v>
      </c>
      <c r="F279" s="14">
        <v>2</v>
      </c>
      <c r="G279" s="15">
        <v>99.98999999999999</v>
      </c>
      <c r="H279" s="15">
        <v>199.98</v>
      </c>
    </row>
    <row r="280" ht="12.9" customHeight="1">
      <c r="A280" t="s" s="10">
        <v>4684</v>
      </c>
      <c r="B280" t="s" s="11">
        <v>69</v>
      </c>
      <c r="C280" s="12">
        <v>45153</v>
      </c>
      <c r="D280" t="s" s="13">
        <v>1046</v>
      </c>
      <c r="E280" t="s" s="13">
        <v>1047</v>
      </c>
      <c r="F280" s="14">
        <v>25</v>
      </c>
      <c r="G280" s="15">
        <v>0</v>
      </c>
      <c r="H280" s="15">
        <v>0</v>
      </c>
    </row>
    <row r="281" ht="12.9" customHeight="1">
      <c r="A281" t="s" s="10">
        <v>4684</v>
      </c>
      <c r="B281" t="s" s="11">
        <v>69</v>
      </c>
      <c r="C281" s="12">
        <v>45153</v>
      </c>
      <c r="D281" t="s" s="13">
        <v>1048</v>
      </c>
      <c r="E281" t="s" s="13">
        <v>1048</v>
      </c>
      <c r="F281" s="14">
        <v>25</v>
      </c>
      <c r="G281" s="15">
        <v>0</v>
      </c>
      <c r="H281" s="15">
        <v>0</v>
      </c>
    </row>
    <row r="282" ht="12.9" customHeight="1">
      <c r="A282" t="s" s="10">
        <v>4684</v>
      </c>
      <c r="B282" t="s" s="11">
        <v>69</v>
      </c>
      <c r="C282" s="12">
        <v>45153</v>
      </c>
      <c r="D282" t="s" s="13">
        <v>1044</v>
      </c>
      <c r="E282" t="s" s="13">
        <v>1044</v>
      </c>
      <c r="F282" s="14">
        <v>25</v>
      </c>
      <c r="G282" s="15">
        <v>0</v>
      </c>
      <c r="H282" s="15">
        <v>0</v>
      </c>
    </row>
    <row r="283" ht="12.9" customHeight="1">
      <c r="A283" t="s" s="10">
        <v>4684</v>
      </c>
      <c r="B283" t="s" s="11">
        <v>69</v>
      </c>
      <c r="C283" s="12">
        <v>45153</v>
      </c>
      <c r="D283" t="s" s="13">
        <v>4685</v>
      </c>
      <c r="E283" t="s" s="13">
        <v>4686</v>
      </c>
      <c r="F283" s="14">
        <v>25</v>
      </c>
      <c r="G283" s="15">
        <v>0</v>
      </c>
      <c r="H283" s="15">
        <v>0</v>
      </c>
    </row>
    <row r="284" ht="12.9" customHeight="1">
      <c r="A284" t="s" s="10">
        <v>4684</v>
      </c>
      <c r="B284" t="s" s="11">
        <v>69</v>
      </c>
      <c r="C284" s="12">
        <v>45153</v>
      </c>
      <c r="D284" t="s" s="13">
        <v>2947</v>
      </c>
      <c r="E284" t="s" s="13">
        <v>2948</v>
      </c>
      <c r="F284" s="14">
        <v>25</v>
      </c>
      <c r="G284" s="15">
        <v>0</v>
      </c>
      <c r="H284" s="15">
        <v>0</v>
      </c>
    </row>
    <row r="285" ht="12.9" customHeight="1">
      <c r="A285" t="s" s="10">
        <v>4687</v>
      </c>
      <c r="B285" t="s" s="11">
        <v>951</v>
      </c>
      <c r="C285" s="12">
        <v>45152.847823935183</v>
      </c>
      <c r="D285" t="s" s="13">
        <v>2787</v>
      </c>
      <c r="E285" t="s" s="13">
        <v>2788</v>
      </c>
      <c r="F285" s="14">
        <v>2</v>
      </c>
      <c r="G285" s="15">
        <v>22.99</v>
      </c>
      <c r="H285" s="15">
        <v>45.98</v>
      </c>
    </row>
    <row r="286" ht="12.9" customHeight="1">
      <c r="A286" t="s" s="10">
        <v>4687</v>
      </c>
      <c r="B286" t="s" s="11">
        <v>951</v>
      </c>
      <c r="C286" s="12">
        <v>45152.847823935183</v>
      </c>
      <c r="D286" t="s" s="13">
        <v>1695</v>
      </c>
      <c r="E286" t="s" s="13">
        <v>140</v>
      </c>
      <c r="F286" s="14">
        <v>2</v>
      </c>
      <c r="G286" s="15">
        <v>49.99</v>
      </c>
      <c r="H286" s="15">
        <v>99.98</v>
      </c>
    </row>
    <row r="287" ht="12.9" customHeight="1">
      <c r="A287" t="s" s="10">
        <v>4687</v>
      </c>
      <c r="B287" t="s" s="11">
        <v>951</v>
      </c>
      <c r="C287" s="12">
        <v>45152.847823935183</v>
      </c>
      <c r="D287" t="s" s="13">
        <v>15</v>
      </c>
      <c r="E287" t="s" s="13">
        <v>16</v>
      </c>
      <c r="F287" s="14">
        <v>2</v>
      </c>
      <c r="G287" s="15">
        <v>8.99</v>
      </c>
      <c r="H287" s="15">
        <v>17.98</v>
      </c>
    </row>
    <row r="288" ht="12.9" customHeight="1">
      <c r="A288" t="s" s="10">
        <v>4687</v>
      </c>
      <c r="B288" t="s" s="11">
        <v>951</v>
      </c>
      <c r="C288" s="12">
        <v>45152.847823935183</v>
      </c>
      <c r="D288" t="s" s="13">
        <v>1729</v>
      </c>
      <c r="E288" t="s" s="13">
        <v>4639</v>
      </c>
      <c r="F288" s="14">
        <v>1</v>
      </c>
      <c r="G288" s="15">
        <v>14.99</v>
      </c>
      <c r="H288" s="15">
        <v>14.99</v>
      </c>
    </row>
    <row r="289" ht="12.9" customHeight="1">
      <c r="A289" t="s" s="10">
        <v>4687</v>
      </c>
      <c r="B289" t="s" s="11">
        <v>951</v>
      </c>
      <c r="C289" s="12">
        <v>45152.847823935183</v>
      </c>
      <c r="D289" t="s" s="13">
        <v>412</v>
      </c>
      <c r="E289" t="s" s="13">
        <v>413</v>
      </c>
      <c r="F289" s="14">
        <v>5</v>
      </c>
      <c r="G289" s="15">
        <v>1.99</v>
      </c>
      <c r="H289" s="15">
        <v>9.949999999999999</v>
      </c>
    </row>
    <row r="290" ht="12.9" customHeight="1">
      <c r="A290" t="s" s="10">
        <v>4687</v>
      </c>
      <c r="B290" t="s" s="11">
        <v>951</v>
      </c>
      <c r="C290" s="12">
        <v>45152.847823935183</v>
      </c>
      <c r="D290" t="s" s="13">
        <v>54</v>
      </c>
      <c r="E290" t="s" s="13">
        <v>93</v>
      </c>
      <c r="F290" s="14">
        <v>2</v>
      </c>
      <c r="G290" s="15">
        <v>9.99</v>
      </c>
      <c r="H290" s="15">
        <v>19.98</v>
      </c>
    </row>
    <row r="291" ht="12.9" customHeight="1">
      <c r="A291" t="s" s="10">
        <v>4687</v>
      </c>
      <c r="B291" t="s" s="11">
        <v>951</v>
      </c>
      <c r="C291" s="12">
        <v>45152.847823935183</v>
      </c>
      <c r="D291" t="s" s="13">
        <v>15</v>
      </c>
      <c r="E291" t="s" s="13">
        <v>16</v>
      </c>
      <c r="F291" s="14">
        <v>2</v>
      </c>
      <c r="G291" s="15">
        <v>8.99</v>
      </c>
      <c r="H291" s="15">
        <v>17.98</v>
      </c>
    </row>
    <row r="292" ht="12.9" customHeight="1">
      <c r="A292" t="s" s="10">
        <v>4687</v>
      </c>
      <c r="B292" t="s" s="11">
        <v>951</v>
      </c>
      <c r="C292" s="12">
        <v>45152.847823935183</v>
      </c>
      <c r="D292" t="s" s="13">
        <v>882</v>
      </c>
      <c r="E292" t="s" s="13">
        <v>883</v>
      </c>
      <c r="F292" s="14">
        <v>2</v>
      </c>
      <c r="G292" s="15">
        <v>74.98999999999999</v>
      </c>
      <c r="H292" s="15">
        <v>149.98</v>
      </c>
    </row>
    <row r="293" ht="12.9" customHeight="1">
      <c r="A293" t="s" s="10">
        <v>4687</v>
      </c>
      <c r="B293" t="s" s="11">
        <v>951</v>
      </c>
      <c r="C293" s="12">
        <v>45152.847823935183</v>
      </c>
      <c r="D293" t="s" s="13">
        <v>23</v>
      </c>
      <c r="E293" t="s" s="13">
        <v>24</v>
      </c>
      <c r="F293" s="14">
        <v>1</v>
      </c>
      <c r="G293" s="15">
        <v>149.99</v>
      </c>
      <c r="H293" s="15">
        <v>149.99</v>
      </c>
    </row>
    <row r="294" ht="12.9" customHeight="1">
      <c r="A294" t="s" s="10">
        <v>4688</v>
      </c>
      <c r="B294" t="s" s="11">
        <v>4689</v>
      </c>
      <c r="C294" s="12">
        <v>45152.789167372684</v>
      </c>
      <c r="D294" t="s" s="13">
        <v>345</v>
      </c>
      <c r="E294" t="s" s="13">
        <v>346</v>
      </c>
      <c r="F294" s="14">
        <v>1</v>
      </c>
      <c r="G294" s="15">
        <v>219.99</v>
      </c>
      <c r="H294" s="15">
        <v>219.99</v>
      </c>
    </row>
    <row r="295" ht="12.9" customHeight="1">
      <c r="A295" t="s" s="10">
        <v>4690</v>
      </c>
      <c r="B295" t="s" s="11">
        <v>4691</v>
      </c>
      <c r="C295" s="12">
        <v>45152.737361689811</v>
      </c>
      <c r="D295" t="s" s="13">
        <v>133</v>
      </c>
      <c r="E295" t="s" s="13">
        <v>134</v>
      </c>
      <c r="F295" s="14">
        <v>4</v>
      </c>
      <c r="G295" s="15">
        <v>199.99</v>
      </c>
      <c r="H295" s="15">
        <v>799.96</v>
      </c>
    </row>
    <row r="296" ht="12.9" customHeight="1">
      <c r="A296" t="s" s="10">
        <v>4690</v>
      </c>
      <c r="B296" t="s" s="11">
        <v>4691</v>
      </c>
      <c r="C296" s="12">
        <v>45152.737361689811</v>
      </c>
      <c r="D296" t="s" s="13">
        <v>11</v>
      </c>
      <c r="E296" t="s" s="13">
        <v>12</v>
      </c>
      <c r="F296" s="14">
        <v>1</v>
      </c>
      <c r="G296" s="15">
        <v>399.99</v>
      </c>
      <c r="H296" s="15">
        <v>399.99</v>
      </c>
    </row>
    <row r="297" ht="12.9" customHeight="1">
      <c r="A297" t="s" s="10">
        <v>4692</v>
      </c>
      <c r="B297" t="s" s="11">
        <v>4693</v>
      </c>
      <c r="C297" s="12">
        <v>45152.682945162036</v>
      </c>
      <c r="D297" t="s" s="13">
        <v>54</v>
      </c>
      <c r="E297" t="s" s="13">
        <v>93</v>
      </c>
      <c r="F297" s="14">
        <v>2</v>
      </c>
      <c r="G297" s="15">
        <v>9.99</v>
      </c>
      <c r="H297" s="15">
        <v>19.98</v>
      </c>
    </row>
    <row r="298" ht="12.9" customHeight="1">
      <c r="A298" t="s" s="10">
        <v>4692</v>
      </c>
      <c r="B298" t="s" s="11">
        <v>4693</v>
      </c>
      <c r="C298" s="12">
        <v>45152.682945162036</v>
      </c>
      <c r="D298" t="s" s="13">
        <v>15</v>
      </c>
      <c r="E298" t="s" s="13">
        <v>16</v>
      </c>
      <c r="F298" s="14">
        <v>1</v>
      </c>
      <c r="G298" s="15">
        <v>8.99</v>
      </c>
      <c r="H298" s="15">
        <v>8.99</v>
      </c>
    </row>
    <row r="299" ht="12.9" customHeight="1">
      <c r="A299" t="s" s="10">
        <v>4694</v>
      </c>
      <c r="B299" t="s" s="11">
        <v>4695</v>
      </c>
      <c r="C299" s="12">
        <v>45152.507505960646</v>
      </c>
      <c r="D299" t="s" s="13">
        <v>73</v>
      </c>
      <c r="E299" t="s" s="13">
        <v>74</v>
      </c>
      <c r="F299" s="14">
        <v>1</v>
      </c>
      <c r="G299" s="15">
        <v>399.99</v>
      </c>
      <c r="H299" s="15">
        <v>399.99</v>
      </c>
    </row>
    <row r="300" ht="12.9" customHeight="1">
      <c r="A300" t="s" s="10">
        <v>4696</v>
      </c>
      <c r="B300" t="s" s="11">
        <v>4697</v>
      </c>
      <c r="C300" s="12">
        <v>45152.073280231481</v>
      </c>
      <c r="D300" t="s" s="13">
        <v>95</v>
      </c>
      <c r="E300" t="s" s="13">
        <v>12</v>
      </c>
      <c r="F300" s="14">
        <v>1</v>
      </c>
      <c r="G300" s="15">
        <v>349.99</v>
      </c>
      <c r="H300" s="15">
        <v>349.99</v>
      </c>
    </row>
    <row r="301" ht="12.9" customHeight="1">
      <c r="A301" t="s" s="10">
        <v>4698</v>
      </c>
      <c r="B301" t="s" s="11">
        <v>4699</v>
      </c>
      <c r="C301" s="12">
        <v>45152.025849525460</v>
      </c>
      <c r="D301" t="s" s="13">
        <v>1695</v>
      </c>
      <c r="E301" t="s" s="13">
        <v>140</v>
      </c>
      <c r="F301" s="14">
        <v>1</v>
      </c>
      <c r="G301" s="15">
        <v>49.99</v>
      </c>
      <c r="H301" s="15">
        <v>49.99</v>
      </c>
    </row>
    <row r="302" ht="12.9" customHeight="1">
      <c r="A302" t="s" s="10">
        <v>4698</v>
      </c>
      <c r="B302" t="s" s="11">
        <v>4699</v>
      </c>
      <c r="C302" s="12">
        <v>45152.025849525460</v>
      </c>
      <c r="D302" t="s" s="13">
        <v>15</v>
      </c>
      <c r="E302" t="s" s="13">
        <v>16</v>
      </c>
      <c r="F302" s="14">
        <v>1</v>
      </c>
      <c r="G302" s="15">
        <v>8.99</v>
      </c>
      <c r="H302" s="15">
        <v>8.99</v>
      </c>
    </row>
    <row r="303" ht="12.9" customHeight="1">
      <c r="A303" t="s" s="10">
        <v>4700</v>
      </c>
      <c r="B303" t="s" s="11">
        <v>4701</v>
      </c>
      <c r="C303" s="12">
        <v>45152</v>
      </c>
      <c r="D303" t="s" s="13">
        <v>225</v>
      </c>
      <c r="E303" t="s" s="13">
        <v>226</v>
      </c>
      <c r="F303" s="14">
        <v>1</v>
      </c>
      <c r="G303" s="15">
        <v>499.99</v>
      </c>
      <c r="H303" s="15">
        <v>499.99</v>
      </c>
    </row>
    <row r="304" ht="12.9" customHeight="1">
      <c r="A304" t="s" s="10">
        <v>4700</v>
      </c>
      <c r="B304" t="s" s="11">
        <v>4701</v>
      </c>
      <c r="C304" s="12">
        <v>45152</v>
      </c>
      <c r="D304" t="s" s="13">
        <v>23</v>
      </c>
      <c r="E304" t="s" s="13">
        <v>24</v>
      </c>
      <c r="F304" s="14">
        <v>1</v>
      </c>
      <c r="G304" s="15">
        <v>149.99</v>
      </c>
      <c r="H304" s="15">
        <v>149.99</v>
      </c>
    </row>
    <row r="305" ht="12.9" customHeight="1">
      <c r="A305" t="s" s="10">
        <v>4700</v>
      </c>
      <c r="B305" t="s" s="11">
        <v>4701</v>
      </c>
      <c r="C305" s="12">
        <v>45152</v>
      </c>
      <c r="D305" t="s" s="13">
        <v>84</v>
      </c>
      <c r="E305" t="s" s="13">
        <v>4225</v>
      </c>
      <c r="F305" s="14">
        <v>1</v>
      </c>
      <c r="G305" s="15">
        <v>0</v>
      </c>
      <c r="H305" s="15">
        <v>0</v>
      </c>
    </row>
    <row r="306" ht="12.9" customHeight="1">
      <c r="A306" t="s" s="10">
        <v>4700</v>
      </c>
      <c r="B306" t="s" s="11">
        <v>4701</v>
      </c>
      <c r="C306" s="12">
        <v>45152</v>
      </c>
      <c r="D306" t="s" s="13">
        <v>587</v>
      </c>
      <c r="E306" t="s" s="13">
        <v>588</v>
      </c>
      <c r="F306" s="14">
        <v>1</v>
      </c>
      <c r="G306" s="15">
        <v>0</v>
      </c>
      <c r="H306" s="15">
        <v>0</v>
      </c>
    </row>
    <row r="307" ht="12.9" customHeight="1">
      <c r="A307" t="s" s="10">
        <v>4700</v>
      </c>
      <c r="B307" t="s" s="11">
        <v>4701</v>
      </c>
      <c r="C307" s="12">
        <v>45152</v>
      </c>
      <c r="D307" t="s" s="13">
        <v>861</v>
      </c>
      <c r="E307" s="16"/>
      <c r="F307" s="14">
        <v>1</v>
      </c>
      <c r="G307" s="15">
        <v>56.87</v>
      </c>
      <c r="H307" s="15">
        <v>56.87</v>
      </c>
    </row>
    <row r="308" ht="12.9" customHeight="1">
      <c r="A308" t="s" s="10">
        <v>4702</v>
      </c>
      <c r="B308" t="s" s="11">
        <v>42</v>
      </c>
      <c r="C308" s="12">
        <v>45152</v>
      </c>
      <c r="D308" t="s" s="13">
        <v>48</v>
      </c>
      <c r="E308" t="s" s="13">
        <v>4703</v>
      </c>
      <c r="F308" s="14">
        <v>13</v>
      </c>
      <c r="G308" s="15">
        <v>900</v>
      </c>
      <c r="H308" s="15">
        <v>11700</v>
      </c>
    </row>
    <row r="309" ht="12.9" customHeight="1">
      <c r="A309" t="s" s="10">
        <v>4702</v>
      </c>
      <c r="B309" t="s" s="11">
        <v>42</v>
      </c>
      <c r="C309" s="12">
        <v>45152</v>
      </c>
      <c r="D309" t="s" s="13">
        <v>607</v>
      </c>
      <c r="E309" t="s" s="13">
        <v>608</v>
      </c>
      <c r="F309" s="14">
        <v>26</v>
      </c>
      <c r="G309" s="15">
        <v>22.4925</v>
      </c>
      <c r="H309" s="15">
        <v>584.8049999999999</v>
      </c>
    </row>
    <row r="310" ht="12.9" customHeight="1">
      <c r="A310" t="s" s="10">
        <v>4702</v>
      </c>
      <c r="B310" t="s" s="11">
        <v>42</v>
      </c>
      <c r="C310" s="12">
        <v>45152</v>
      </c>
      <c r="D310" t="s" s="13">
        <v>52</v>
      </c>
      <c r="E310" t="s" s="13">
        <v>4287</v>
      </c>
      <c r="F310" s="14">
        <v>13</v>
      </c>
      <c r="G310" s="15">
        <v>0</v>
      </c>
      <c r="H310" s="15">
        <v>0</v>
      </c>
    </row>
    <row r="311" ht="12.9" customHeight="1">
      <c r="A311" t="s" s="10">
        <v>4702</v>
      </c>
      <c r="B311" t="s" s="11">
        <v>42</v>
      </c>
      <c r="C311" s="12">
        <v>45152</v>
      </c>
      <c r="D311" t="s" s="13">
        <v>50</v>
      </c>
      <c r="E311" t="s" s="13">
        <v>83</v>
      </c>
      <c r="F311" s="14">
        <v>13</v>
      </c>
      <c r="G311" s="15">
        <v>0</v>
      </c>
      <c r="H311" s="15">
        <v>0</v>
      </c>
    </row>
    <row r="312" ht="12.9" customHeight="1">
      <c r="A312" t="s" s="10">
        <v>4704</v>
      </c>
      <c r="B312" t="s" s="11">
        <v>896</v>
      </c>
      <c r="C312" s="12">
        <v>45152</v>
      </c>
      <c r="D312" t="s" s="13">
        <v>4705</v>
      </c>
      <c r="E312" t="s" s="13">
        <v>4705</v>
      </c>
      <c r="F312" s="14">
        <v>3</v>
      </c>
      <c r="G312" s="15">
        <v>0</v>
      </c>
      <c r="H312" s="15">
        <v>0</v>
      </c>
    </row>
    <row r="313" ht="12.9" customHeight="1">
      <c r="A313" t="s" s="10">
        <v>4704</v>
      </c>
      <c r="B313" t="s" s="11">
        <v>896</v>
      </c>
      <c r="C313" s="12">
        <v>45152</v>
      </c>
      <c r="D313" t="s" s="13">
        <v>1048</v>
      </c>
      <c r="E313" t="s" s="13">
        <v>1048</v>
      </c>
      <c r="F313" s="14">
        <v>24</v>
      </c>
      <c r="G313" s="15">
        <v>0</v>
      </c>
      <c r="H313" s="15">
        <v>0</v>
      </c>
    </row>
    <row r="314" ht="12.9" customHeight="1">
      <c r="A314" t="s" s="10">
        <v>4704</v>
      </c>
      <c r="B314" t="s" s="11">
        <v>896</v>
      </c>
      <c r="C314" s="12">
        <v>45152</v>
      </c>
      <c r="D314" t="s" s="13">
        <v>1046</v>
      </c>
      <c r="E314" t="s" s="13">
        <v>1047</v>
      </c>
      <c r="F314" s="14">
        <v>24</v>
      </c>
      <c r="G314" s="15">
        <v>0</v>
      </c>
      <c r="H314" s="15">
        <v>0</v>
      </c>
    </row>
    <row r="315" ht="12.9" customHeight="1">
      <c r="A315" t="s" s="10">
        <v>4704</v>
      </c>
      <c r="B315" t="s" s="11">
        <v>896</v>
      </c>
      <c r="C315" s="12">
        <v>45152</v>
      </c>
      <c r="D315" t="s" s="13">
        <v>1044</v>
      </c>
      <c r="E315" t="s" s="13">
        <v>1044</v>
      </c>
      <c r="F315" s="14">
        <v>24</v>
      </c>
      <c r="G315" s="15">
        <v>0</v>
      </c>
      <c r="H315" s="15">
        <v>0</v>
      </c>
    </row>
    <row r="316" ht="12.9" customHeight="1">
      <c r="A316" t="s" s="10">
        <v>4706</v>
      </c>
      <c r="B316" t="s" s="11">
        <v>911</v>
      </c>
      <c r="C316" s="12">
        <v>45152</v>
      </c>
      <c r="D316" t="s" s="13">
        <v>15</v>
      </c>
      <c r="E316" t="s" s="13">
        <v>16</v>
      </c>
      <c r="F316" s="14">
        <v>5</v>
      </c>
      <c r="G316" s="15">
        <v>0</v>
      </c>
      <c r="H316" s="15">
        <v>0</v>
      </c>
    </row>
    <row r="317" ht="12.9" customHeight="1">
      <c r="A317" t="s" s="10">
        <v>4707</v>
      </c>
      <c r="B317" t="s" s="11">
        <v>911</v>
      </c>
      <c r="C317" s="12">
        <v>45152</v>
      </c>
      <c r="D317" t="s" s="13">
        <v>225</v>
      </c>
      <c r="E317" t="s" s="13">
        <v>226</v>
      </c>
      <c r="F317" s="14">
        <v>8</v>
      </c>
      <c r="G317" s="15">
        <v>499.99</v>
      </c>
      <c r="H317" s="15">
        <v>3999.92</v>
      </c>
    </row>
    <row r="318" ht="12.9" customHeight="1">
      <c r="A318" t="s" s="10">
        <v>4707</v>
      </c>
      <c r="B318" t="s" s="11">
        <v>911</v>
      </c>
      <c r="C318" s="12">
        <v>45152</v>
      </c>
      <c r="D318" t="s" s="13">
        <v>227</v>
      </c>
      <c r="E318" t="s" s="13">
        <v>228</v>
      </c>
      <c r="F318" s="14">
        <v>8</v>
      </c>
      <c r="G318" s="15">
        <v>0</v>
      </c>
      <c r="H318" s="15">
        <v>0</v>
      </c>
    </row>
    <row r="319" ht="12.9" customHeight="1">
      <c r="A319" t="s" s="10">
        <v>4708</v>
      </c>
      <c r="B319" t="s" s="11">
        <v>1426</v>
      </c>
      <c r="C319" s="12">
        <v>45152</v>
      </c>
      <c r="D319" t="s" s="13">
        <v>15</v>
      </c>
      <c r="E319" t="s" s="13">
        <v>16</v>
      </c>
      <c r="F319" s="14">
        <v>6</v>
      </c>
      <c r="G319" s="15">
        <v>0</v>
      </c>
      <c r="H319" s="15">
        <v>0</v>
      </c>
    </row>
    <row r="320" ht="12.9" customHeight="1">
      <c r="A320" t="s" s="10">
        <v>4709</v>
      </c>
      <c r="B320" t="s" s="11">
        <v>4710</v>
      </c>
      <c r="C320" s="12">
        <v>45152</v>
      </c>
      <c r="D320" t="s" s="13">
        <v>1466</v>
      </c>
      <c r="E320" t="s" s="13">
        <v>1467</v>
      </c>
      <c r="F320" s="14">
        <v>1</v>
      </c>
      <c r="G320" s="15">
        <v>429.99</v>
      </c>
      <c r="H320" s="15">
        <v>429.99</v>
      </c>
    </row>
    <row r="321" ht="12.9" customHeight="1">
      <c r="A321" t="s" s="10">
        <v>4711</v>
      </c>
      <c r="B321" t="s" s="11">
        <v>555</v>
      </c>
      <c r="C321" s="12">
        <v>45152</v>
      </c>
      <c r="D321" t="s" s="13">
        <v>143</v>
      </c>
      <c r="E321" t="s" s="13">
        <v>144</v>
      </c>
      <c r="F321" s="14">
        <v>4</v>
      </c>
      <c r="G321" s="15">
        <v>2499.99</v>
      </c>
      <c r="H321" s="15">
        <v>9999.959999999999</v>
      </c>
    </row>
    <row r="322" ht="12.9" customHeight="1">
      <c r="A322" t="s" s="10">
        <v>4711</v>
      </c>
      <c r="B322" t="s" s="11">
        <v>555</v>
      </c>
      <c r="C322" s="12">
        <v>45152</v>
      </c>
      <c r="D322" t="s" s="13">
        <v>63</v>
      </c>
      <c r="E322" s="16"/>
      <c r="F322" s="14">
        <v>1</v>
      </c>
      <c r="G322" s="15">
        <v>280</v>
      </c>
      <c r="H322" s="15">
        <v>280</v>
      </c>
    </row>
    <row r="323" ht="12.9" customHeight="1">
      <c r="A323" t="s" s="10">
        <v>4712</v>
      </c>
      <c r="B323" t="s" s="11">
        <v>555</v>
      </c>
      <c r="C323" s="12">
        <v>45152</v>
      </c>
      <c r="D323" t="s" s="13">
        <v>1030</v>
      </c>
      <c r="E323" t="s" s="13">
        <v>1031</v>
      </c>
      <c r="F323" s="14">
        <v>1</v>
      </c>
      <c r="G323" s="15">
        <v>0</v>
      </c>
      <c r="H323" s="15">
        <v>0</v>
      </c>
    </row>
    <row r="324" ht="12.9" customHeight="1">
      <c r="A324" t="s" s="10">
        <v>4713</v>
      </c>
      <c r="B324" t="s" s="11">
        <v>4714</v>
      </c>
      <c r="C324" s="12">
        <v>45151.751876226852</v>
      </c>
      <c r="D324" t="s" s="13">
        <v>11</v>
      </c>
      <c r="E324" t="s" s="13">
        <v>12</v>
      </c>
      <c r="F324" s="14">
        <v>2</v>
      </c>
      <c r="G324" s="15">
        <v>399.99</v>
      </c>
      <c r="H324" s="15">
        <v>799.98</v>
      </c>
    </row>
    <row r="325" ht="12.9" customHeight="1">
      <c r="A325" t="s" s="10">
        <v>4715</v>
      </c>
      <c r="B325" t="s" s="11">
        <v>4402</v>
      </c>
      <c r="C325" s="12">
        <v>45151.033715486112</v>
      </c>
      <c r="D325" t="s" s="13">
        <v>54</v>
      </c>
      <c r="E325" t="s" s="13">
        <v>93</v>
      </c>
      <c r="F325" s="14">
        <v>3</v>
      </c>
      <c r="G325" s="15">
        <v>9.99</v>
      </c>
      <c r="H325" s="15">
        <v>29.97</v>
      </c>
    </row>
    <row r="326" ht="12.9" customHeight="1">
      <c r="A326" t="s" s="10">
        <v>4716</v>
      </c>
      <c r="B326" t="s" s="11">
        <v>4717</v>
      </c>
      <c r="C326" s="12">
        <v>45151.006725185187</v>
      </c>
      <c r="D326" t="s" s="13">
        <v>95</v>
      </c>
      <c r="E326" t="s" s="13">
        <v>12</v>
      </c>
      <c r="F326" s="14">
        <v>1</v>
      </c>
      <c r="G326" s="15">
        <v>349.99</v>
      </c>
      <c r="H326" s="15">
        <v>349.99</v>
      </c>
    </row>
    <row r="327" ht="12.9" customHeight="1">
      <c r="A327" t="s" s="10">
        <v>4718</v>
      </c>
      <c r="B327" t="s" s="11">
        <v>4719</v>
      </c>
      <c r="C327" s="12">
        <v>45150.877524016207</v>
      </c>
      <c r="D327" t="s" s="13">
        <v>35</v>
      </c>
      <c r="E327" t="s" s="13">
        <v>36</v>
      </c>
      <c r="F327" s="14">
        <v>1</v>
      </c>
      <c r="G327" s="15">
        <v>49.99</v>
      </c>
      <c r="H327" s="15">
        <v>49.99</v>
      </c>
    </row>
    <row r="328" ht="12.9" customHeight="1">
      <c r="A328" t="s" s="10">
        <v>4720</v>
      </c>
      <c r="B328" t="s" s="11">
        <v>3902</v>
      </c>
      <c r="C328" s="12">
        <v>45150.736540995371</v>
      </c>
      <c r="D328" t="s" s="13">
        <v>31</v>
      </c>
      <c r="E328" t="s" s="13">
        <v>32</v>
      </c>
      <c r="F328" s="14">
        <v>1</v>
      </c>
      <c r="G328" s="15">
        <v>599.99</v>
      </c>
      <c r="H328" s="15">
        <v>599.99</v>
      </c>
    </row>
    <row r="329" ht="12.9" customHeight="1">
      <c r="A329" t="s" s="10">
        <v>4721</v>
      </c>
      <c r="B329" t="s" s="11">
        <v>4722</v>
      </c>
      <c r="C329" s="12">
        <v>45150.694524722225</v>
      </c>
      <c r="D329" t="s" s="13">
        <v>31</v>
      </c>
      <c r="E329" t="s" s="13">
        <v>32</v>
      </c>
      <c r="F329" s="14">
        <v>1</v>
      </c>
      <c r="G329" s="15">
        <v>599.99</v>
      </c>
      <c r="H329" s="15">
        <v>599.99</v>
      </c>
    </row>
    <row r="330" ht="12.9" customHeight="1">
      <c r="A330" t="s" s="10">
        <v>4723</v>
      </c>
      <c r="B330" t="s" s="11">
        <v>4724</v>
      </c>
      <c r="C330" s="12">
        <v>45150.439400324074</v>
      </c>
      <c r="D330" t="s" s="13">
        <v>11</v>
      </c>
      <c r="E330" t="s" s="13">
        <v>12</v>
      </c>
      <c r="F330" s="14">
        <v>1</v>
      </c>
      <c r="G330" s="15">
        <v>399.99</v>
      </c>
      <c r="H330" s="15">
        <v>399.99</v>
      </c>
    </row>
    <row r="331" ht="12.9" customHeight="1">
      <c r="A331" t="s" s="10">
        <v>4725</v>
      </c>
      <c r="B331" t="s" s="11">
        <v>4673</v>
      </c>
      <c r="C331" s="12">
        <v>45150.327881724537</v>
      </c>
      <c r="D331" t="s" s="13">
        <v>77</v>
      </c>
      <c r="E331" t="s" s="13">
        <v>4224</v>
      </c>
      <c r="F331" s="14">
        <v>2</v>
      </c>
      <c r="G331" s="15">
        <v>19.99</v>
      </c>
      <c r="H331" s="15">
        <v>39.98</v>
      </c>
    </row>
    <row r="332" ht="12.9" customHeight="1">
      <c r="A332" t="s" s="10">
        <v>4726</v>
      </c>
      <c r="B332" t="s" s="11">
        <v>473</v>
      </c>
      <c r="C332" s="12">
        <v>45149</v>
      </c>
      <c r="D332" t="s" s="13">
        <v>359</v>
      </c>
      <c r="E332" t="s" s="13">
        <v>4199</v>
      </c>
      <c r="F332" s="14">
        <v>5</v>
      </c>
      <c r="G332" s="15">
        <v>22.4925</v>
      </c>
      <c r="H332" s="15">
        <v>112.4625</v>
      </c>
    </row>
    <row r="333" ht="12.9" customHeight="1">
      <c r="A333" t="s" s="10">
        <v>4726</v>
      </c>
      <c r="B333" t="s" s="11">
        <v>473</v>
      </c>
      <c r="C333" s="12">
        <v>45149</v>
      </c>
      <c r="D333" t="s" s="13">
        <v>1705</v>
      </c>
      <c r="E333" t="s" s="13">
        <v>1706</v>
      </c>
      <c r="F333" s="14">
        <v>5</v>
      </c>
      <c r="G333" s="15">
        <v>18.7425</v>
      </c>
      <c r="H333" s="15">
        <v>93.71250000000001</v>
      </c>
    </row>
    <row r="334" ht="12.9" customHeight="1">
      <c r="A334" t="s" s="10">
        <v>4726</v>
      </c>
      <c r="B334" t="s" s="11">
        <v>473</v>
      </c>
      <c r="C334" s="12">
        <v>45149</v>
      </c>
      <c r="D334" t="s" s="13">
        <v>63</v>
      </c>
      <c r="E334" s="16"/>
      <c r="F334" s="14">
        <v>1</v>
      </c>
      <c r="G334" s="15">
        <v>15</v>
      </c>
      <c r="H334" s="15">
        <v>15</v>
      </c>
    </row>
    <row r="335" ht="12.9" customHeight="1">
      <c r="A335" t="s" s="10">
        <v>4727</v>
      </c>
      <c r="B335" t="s" s="11">
        <v>4728</v>
      </c>
      <c r="C335" s="12">
        <v>45148.996978761577</v>
      </c>
      <c r="D335" t="s" s="13">
        <v>171</v>
      </c>
      <c r="E335" t="s" s="13">
        <v>172</v>
      </c>
      <c r="F335" s="14">
        <v>2</v>
      </c>
      <c r="G335" s="15">
        <v>549.99</v>
      </c>
      <c r="H335" s="15">
        <v>1099.98</v>
      </c>
    </row>
    <row r="336" ht="12.9" customHeight="1">
      <c r="A336" t="s" s="10">
        <v>4729</v>
      </c>
      <c r="B336" t="s" s="11">
        <v>4730</v>
      </c>
      <c r="C336" s="12">
        <v>45148.709202326390</v>
      </c>
      <c r="D336" t="s" s="13">
        <v>2787</v>
      </c>
      <c r="E336" t="s" s="13">
        <v>2788</v>
      </c>
      <c r="F336" s="14">
        <v>2</v>
      </c>
      <c r="G336" s="15">
        <v>22.99</v>
      </c>
      <c r="H336" s="15">
        <v>45.98</v>
      </c>
    </row>
    <row r="337" ht="12.9" customHeight="1">
      <c r="A337" t="s" s="10">
        <v>4731</v>
      </c>
      <c r="B337" t="s" s="11">
        <v>4732</v>
      </c>
      <c r="C337" s="12">
        <v>45148.093278252316</v>
      </c>
      <c r="D337" t="s" s="13">
        <v>31</v>
      </c>
      <c r="E337" t="s" s="13">
        <v>32</v>
      </c>
      <c r="F337" s="14">
        <v>1</v>
      </c>
      <c r="G337" s="15">
        <v>599.99</v>
      </c>
      <c r="H337" s="15">
        <v>599.99</v>
      </c>
    </row>
    <row r="338" ht="12.9" customHeight="1">
      <c r="A338" t="s" s="10">
        <v>4733</v>
      </c>
      <c r="B338" t="s" s="11">
        <v>69</v>
      </c>
      <c r="C338" s="12">
        <v>45148</v>
      </c>
      <c r="D338" t="s" s="13">
        <v>106</v>
      </c>
      <c r="E338" t="s" s="13">
        <v>502</v>
      </c>
      <c r="F338" s="14">
        <v>55</v>
      </c>
      <c r="G338" s="15">
        <v>48.7425</v>
      </c>
      <c r="H338" s="15">
        <v>2680.8375</v>
      </c>
    </row>
    <row r="339" ht="12.9" customHeight="1">
      <c r="A339" t="s" s="10">
        <v>4733</v>
      </c>
      <c r="B339" t="s" s="11">
        <v>69</v>
      </c>
      <c r="C339" s="12">
        <v>45148</v>
      </c>
      <c r="D339" t="s" s="13">
        <v>982</v>
      </c>
      <c r="E339" t="s" s="13">
        <v>2101</v>
      </c>
      <c r="F339" s="14">
        <v>7</v>
      </c>
      <c r="G339" s="15">
        <v>187.4925</v>
      </c>
      <c r="H339" s="15">
        <v>1312.4475</v>
      </c>
    </row>
    <row r="340" ht="12.9" customHeight="1">
      <c r="A340" t="s" s="10">
        <v>4733</v>
      </c>
      <c r="B340" t="s" s="11">
        <v>69</v>
      </c>
      <c r="C340" s="12">
        <v>45148</v>
      </c>
      <c r="D340" t="s" s="13">
        <v>500</v>
      </c>
      <c r="E340" t="s" s="13">
        <v>501</v>
      </c>
      <c r="F340" s="14">
        <v>24</v>
      </c>
      <c r="G340" s="15">
        <v>63.7425</v>
      </c>
      <c r="H340" s="15">
        <v>1529.82</v>
      </c>
    </row>
    <row r="341" ht="12.9" customHeight="1">
      <c r="A341" t="s" s="10">
        <v>4733</v>
      </c>
      <c r="B341" t="s" s="11">
        <v>69</v>
      </c>
      <c r="C341" s="12">
        <v>45148</v>
      </c>
      <c r="D341" t="s" s="13">
        <v>354</v>
      </c>
      <c r="E341" t="s" s="13">
        <v>355</v>
      </c>
      <c r="F341" s="14">
        <v>7</v>
      </c>
      <c r="G341" s="15">
        <v>112.4925</v>
      </c>
      <c r="H341" s="15">
        <v>787.4475</v>
      </c>
    </row>
    <row r="342" ht="12.9" customHeight="1">
      <c r="A342" t="s" s="10">
        <v>4733</v>
      </c>
      <c r="B342" t="s" s="11">
        <v>69</v>
      </c>
      <c r="C342" s="12">
        <v>45148</v>
      </c>
      <c r="D342" t="s" s="13">
        <v>1875</v>
      </c>
      <c r="E342" t="s" s="13">
        <v>2272</v>
      </c>
      <c r="F342" s="14">
        <v>4</v>
      </c>
      <c r="G342" s="15">
        <v>187.4925</v>
      </c>
      <c r="H342" s="15">
        <v>749.97</v>
      </c>
    </row>
    <row r="343" ht="12.9" customHeight="1">
      <c r="A343" t="s" s="10">
        <v>4733</v>
      </c>
      <c r="B343" t="s" s="11">
        <v>69</v>
      </c>
      <c r="C343" s="12">
        <v>45148</v>
      </c>
      <c r="D343" t="s" s="13">
        <v>1479</v>
      </c>
      <c r="E343" t="s" s="13">
        <v>1480</v>
      </c>
      <c r="F343" s="14">
        <v>1</v>
      </c>
      <c r="G343" s="15">
        <v>224.9925</v>
      </c>
      <c r="H343" s="15">
        <v>224.9925</v>
      </c>
    </row>
    <row r="344" ht="12.9" customHeight="1">
      <c r="A344" t="s" s="10">
        <v>4733</v>
      </c>
      <c r="B344" t="s" s="11">
        <v>69</v>
      </c>
      <c r="C344" s="12">
        <v>45148</v>
      </c>
      <c r="D344" t="s" s="13">
        <v>102</v>
      </c>
      <c r="E344" t="s" s="13">
        <v>4734</v>
      </c>
      <c r="F344" s="14">
        <v>4</v>
      </c>
      <c r="G344" s="15">
        <v>281.2425</v>
      </c>
      <c r="H344" s="15">
        <v>1124.97</v>
      </c>
    </row>
    <row r="345" ht="12.9" customHeight="1">
      <c r="A345" t="s" s="10">
        <v>4733</v>
      </c>
      <c r="B345" t="s" s="11">
        <v>69</v>
      </c>
      <c r="C345" s="12">
        <v>45148</v>
      </c>
      <c r="D345" t="s" s="13">
        <v>47</v>
      </c>
      <c r="E345" s="16"/>
      <c r="F345" s="14">
        <v>1</v>
      </c>
      <c r="G345" s="15">
        <v>150</v>
      </c>
      <c r="H345" s="15">
        <v>150</v>
      </c>
    </row>
    <row r="346" ht="12.9" customHeight="1">
      <c r="A346" t="s" s="10">
        <v>4735</v>
      </c>
      <c r="B346" t="s" s="11">
        <v>476</v>
      </c>
      <c r="C346" s="12">
        <v>45148</v>
      </c>
      <c r="D346" t="s" s="13">
        <v>1394</v>
      </c>
      <c r="E346" t="s" s="13">
        <v>1395</v>
      </c>
      <c r="F346" s="14">
        <v>1</v>
      </c>
      <c r="G346" s="15">
        <v>0</v>
      </c>
      <c r="H346" s="15">
        <v>0</v>
      </c>
    </row>
    <row r="347" ht="12.9" customHeight="1">
      <c r="A347" t="s" s="10">
        <v>4736</v>
      </c>
      <c r="B347" t="s" s="11">
        <v>391</v>
      </c>
      <c r="C347" s="12">
        <v>45148</v>
      </c>
      <c r="D347" t="s" s="13">
        <v>254</v>
      </c>
      <c r="E347" t="s" s="13">
        <v>4737</v>
      </c>
      <c r="F347" s="14">
        <v>1</v>
      </c>
      <c r="G347" s="15">
        <v>0</v>
      </c>
      <c r="H347" s="15">
        <v>0</v>
      </c>
    </row>
    <row r="348" ht="12.9" customHeight="1">
      <c r="A348" t="s" s="10">
        <v>4738</v>
      </c>
      <c r="B348" t="s" s="11">
        <v>4739</v>
      </c>
      <c r="C348" s="12">
        <v>45148</v>
      </c>
      <c r="D348" t="s" s="13">
        <v>254</v>
      </c>
      <c r="E348" t="s" s="13">
        <v>4740</v>
      </c>
      <c r="F348" s="14">
        <v>1</v>
      </c>
      <c r="G348" s="15">
        <v>0</v>
      </c>
      <c r="H348" s="15">
        <v>0</v>
      </c>
    </row>
    <row r="349" ht="12.9" customHeight="1">
      <c r="A349" t="s" s="10">
        <v>4741</v>
      </c>
      <c r="B349" t="s" s="11">
        <v>4742</v>
      </c>
      <c r="C349" s="12">
        <v>45147.920173298611</v>
      </c>
      <c r="D349" t="s" s="13">
        <v>95</v>
      </c>
      <c r="E349" t="s" s="13">
        <v>12</v>
      </c>
      <c r="F349" s="14">
        <v>1</v>
      </c>
      <c r="G349" s="15">
        <v>349.99</v>
      </c>
      <c r="H349" s="15">
        <v>349.99</v>
      </c>
    </row>
    <row r="350" ht="12.9" customHeight="1">
      <c r="A350" t="s" s="10">
        <v>4743</v>
      </c>
      <c r="B350" t="s" s="11">
        <v>4744</v>
      </c>
      <c r="C350" s="12">
        <v>45147</v>
      </c>
      <c r="D350" t="s" s="13">
        <v>81</v>
      </c>
      <c r="E350" t="s" s="13">
        <v>82</v>
      </c>
      <c r="F350" s="14">
        <v>4</v>
      </c>
      <c r="G350" s="15">
        <v>849.99</v>
      </c>
      <c r="H350" s="15">
        <v>3399.96</v>
      </c>
    </row>
    <row r="351" ht="12.9" customHeight="1">
      <c r="A351" t="s" s="10">
        <v>4743</v>
      </c>
      <c r="B351" t="s" s="11">
        <v>4744</v>
      </c>
      <c r="C351" s="12">
        <v>45147</v>
      </c>
      <c r="D351" t="s" s="13">
        <v>213</v>
      </c>
      <c r="E351" t="s" s="13">
        <v>4745</v>
      </c>
      <c r="F351" s="14">
        <v>4</v>
      </c>
      <c r="G351" s="15">
        <v>399.99</v>
      </c>
      <c r="H351" s="15">
        <v>1599.96</v>
      </c>
    </row>
    <row r="352" ht="12.9" customHeight="1">
      <c r="A352" t="s" s="10">
        <v>4743</v>
      </c>
      <c r="B352" t="s" s="11">
        <v>4744</v>
      </c>
      <c r="C352" s="12">
        <v>45147</v>
      </c>
      <c r="D352" t="s" s="13">
        <v>84</v>
      </c>
      <c r="E352" t="s" s="13">
        <v>4225</v>
      </c>
      <c r="F352" s="14">
        <v>4</v>
      </c>
      <c r="G352" s="15">
        <v>0</v>
      </c>
      <c r="H352" s="15">
        <v>0</v>
      </c>
    </row>
    <row r="353" ht="12.9" customHeight="1">
      <c r="A353" t="s" s="10">
        <v>4743</v>
      </c>
      <c r="B353" t="s" s="11">
        <v>4744</v>
      </c>
      <c r="C353" s="12">
        <v>45147</v>
      </c>
      <c r="D353" t="s" s="13">
        <v>412</v>
      </c>
      <c r="E353" t="s" s="13">
        <v>413</v>
      </c>
      <c r="F353" s="14">
        <v>8</v>
      </c>
      <c r="G353" s="15">
        <v>0</v>
      </c>
      <c r="H353" s="15">
        <v>0</v>
      </c>
    </row>
    <row r="354" ht="12.9" customHeight="1">
      <c r="A354" t="s" s="10">
        <v>4743</v>
      </c>
      <c r="B354" t="s" s="11">
        <v>4744</v>
      </c>
      <c r="C354" s="12">
        <v>45147</v>
      </c>
      <c r="D354" t="s" s="13">
        <v>50</v>
      </c>
      <c r="E354" t="s" s="13">
        <v>83</v>
      </c>
      <c r="F354" s="14">
        <v>4</v>
      </c>
      <c r="G354" s="15">
        <v>0</v>
      </c>
      <c r="H354" s="15">
        <v>0</v>
      </c>
    </row>
    <row r="355" ht="12.9" customHeight="1">
      <c r="A355" t="s" s="10">
        <v>4743</v>
      </c>
      <c r="B355" t="s" s="11">
        <v>4744</v>
      </c>
      <c r="C355" s="12">
        <v>45147</v>
      </c>
      <c r="D355" t="s" s="13">
        <v>227</v>
      </c>
      <c r="E355" t="s" s="13">
        <v>228</v>
      </c>
      <c r="F355" s="14">
        <v>8</v>
      </c>
      <c r="G355" s="15">
        <v>29.99</v>
      </c>
      <c r="H355" s="15">
        <v>239.92</v>
      </c>
    </row>
    <row r="356" ht="12.9" customHeight="1">
      <c r="A356" t="s" s="10">
        <v>4743</v>
      </c>
      <c r="B356" t="s" s="11">
        <v>4744</v>
      </c>
      <c r="C356" s="12">
        <v>45147</v>
      </c>
      <c r="D356" t="s" s="13">
        <v>47</v>
      </c>
      <c r="E356" s="16"/>
      <c r="F356" s="14">
        <v>1</v>
      </c>
      <c r="G356" s="15">
        <v>181.53</v>
      </c>
      <c r="H356" s="15">
        <v>181.53</v>
      </c>
    </row>
    <row r="357" ht="12.9" customHeight="1">
      <c r="A357" t="s" s="10">
        <v>4746</v>
      </c>
      <c r="B357" t="s" s="11">
        <v>2940</v>
      </c>
      <c r="C357" s="12">
        <v>45147</v>
      </c>
      <c r="D357" t="s" s="13">
        <v>11</v>
      </c>
      <c r="E357" t="s" s="13">
        <v>12</v>
      </c>
      <c r="F357" s="14">
        <v>1</v>
      </c>
      <c r="G357" s="15">
        <v>359.991</v>
      </c>
      <c r="H357" s="15">
        <v>359.991</v>
      </c>
    </row>
    <row r="358" ht="12.9" customHeight="1">
      <c r="A358" t="s" s="10">
        <v>4746</v>
      </c>
      <c r="B358" t="s" s="11">
        <v>2940</v>
      </c>
      <c r="C358" s="12">
        <v>45147</v>
      </c>
      <c r="D358" t="s" s="13">
        <v>63</v>
      </c>
      <c r="E358" s="16"/>
      <c r="F358" s="14">
        <v>1</v>
      </c>
      <c r="G358" s="15">
        <v>51.55</v>
      </c>
      <c r="H358" s="15">
        <v>51.55</v>
      </c>
    </row>
    <row r="359" ht="12.9" customHeight="1">
      <c r="A359" t="s" s="10">
        <v>4747</v>
      </c>
      <c r="B359" t="s" s="11">
        <v>4748</v>
      </c>
      <c r="C359" s="12">
        <v>45146.5736258912</v>
      </c>
      <c r="D359" t="s" s="13">
        <v>470</v>
      </c>
      <c r="E359" t="s" s="13">
        <v>517</v>
      </c>
      <c r="F359" s="14">
        <v>1</v>
      </c>
      <c r="G359" s="15">
        <v>249.99</v>
      </c>
      <c r="H359" s="15">
        <v>249.99</v>
      </c>
    </row>
    <row r="360" ht="12.9" customHeight="1">
      <c r="A360" t="s" s="10">
        <v>4747</v>
      </c>
      <c r="B360" t="s" s="11">
        <v>4748</v>
      </c>
      <c r="C360" s="12">
        <v>45146.5736258912</v>
      </c>
      <c r="D360" t="s" s="13">
        <v>602</v>
      </c>
      <c r="E360" t="s" s="13">
        <v>686</v>
      </c>
      <c r="F360" s="14">
        <v>1</v>
      </c>
      <c r="G360" s="15">
        <v>299.99</v>
      </c>
      <c r="H360" s="15">
        <v>299.99</v>
      </c>
    </row>
    <row r="361" ht="12.9" customHeight="1">
      <c r="A361" t="s" s="10">
        <v>4749</v>
      </c>
      <c r="B361" t="s" s="11">
        <v>4750</v>
      </c>
      <c r="C361" s="12">
        <v>45146.273106412038</v>
      </c>
      <c r="D361" t="s" s="13">
        <v>54</v>
      </c>
      <c r="E361" t="s" s="13">
        <v>93</v>
      </c>
      <c r="F361" s="14">
        <v>1</v>
      </c>
      <c r="G361" s="15">
        <v>9.99</v>
      </c>
      <c r="H361" s="15">
        <v>9.99</v>
      </c>
    </row>
    <row r="362" ht="12.9" customHeight="1">
      <c r="A362" t="s" s="10">
        <v>4749</v>
      </c>
      <c r="B362" t="s" s="11">
        <v>4750</v>
      </c>
      <c r="C362" s="12">
        <v>45146.273106412038</v>
      </c>
      <c r="D362" t="s" s="13">
        <v>1695</v>
      </c>
      <c r="E362" t="s" s="13">
        <v>140</v>
      </c>
      <c r="F362" s="14">
        <v>1</v>
      </c>
      <c r="G362" s="15">
        <v>49.99</v>
      </c>
      <c r="H362" s="15">
        <v>49.99</v>
      </c>
    </row>
    <row r="363" ht="12.9" customHeight="1">
      <c r="A363" t="s" s="10">
        <v>4749</v>
      </c>
      <c r="B363" t="s" s="11">
        <v>4750</v>
      </c>
      <c r="C363" s="12">
        <v>45146.273106412038</v>
      </c>
      <c r="D363" t="s" s="13">
        <v>15</v>
      </c>
      <c r="E363" t="s" s="13">
        <v>16</v>
      </c>
      <c r="F363" s="14">
        <v>1</v>
      </c>
      <c r="G363" s="15">
        <v>8.99</v>
      </c>
      <c r="H363" s="15">
        <v>8.99</v>
      </c>
    </row>
    <row r="364" ht="12.9" customHeight="1">
      <c r="A364" t="s" s="10">
        <v>4751</v>
      </c>
      <c r="B364" t="s" s="11">
        <v>4752</v>
      </c>
      <c r="C364" s="12">
        <v>45146.166017719908</v>
      </c>
      <c r="D364" t="s" s="13">
        <v>15</v>
      </c>
      <c r="E364" t="s" s="13">
        <v>16</v>
      </c>
      <c r="F364" s="14">
        <v>1</v>
      </c>
      <c r="G364" s="15">
        <v>8.99</v>
      </c>
      <c r="H364" s="15">
        <v>8.99</v>
      </c>
    </row>
    <row r="365" ht="12.9" customHeight="1">
      <c r="A365" t="s" s="10">
        <v>4751</v>
      </c>
      <c r="B365" t="s" s="11">
        <v>4752</v>
      </c>
      <c r="C365" s="12">
        <v>45146.166017719908</v>
      </c>
      <c r="D365" t="s" s="13">
        <v>73</v>
      </c>
      <c r="E365" t="s" s="13">
        <v>74</v>
      </c>
      <c r="F365" s="14">
        <v>1</v>
      </c>
      <c r="G365" s="15">
        <v>399.99</v>
      </c>
      <c r="H365" s="15">
        <v>399.99</v>
      </c>
    </row>
    <row r="366" ht="12.9" customHeight="1">
      <c r="A366" t="s" s="10">
        <v>4753</v>
      </c>
      <c r="B366" t="s" s="11">
        <v>4754</v>
      </c>
      <c r="C366" s="12">
        <v>45146.024998240740</v>
      </c>
      <c r="D366" t="s" s="13">
        <v>19</v>
      </c>
      <c r="E366" t="s" s="13">
        <v>20</v>
      </c>
      <c r="F366" s="14">
        <v>2</v>
      </c>
      <c r="G366" s="15">
        <v>119.99</v>
      </c>
      <c r="H366" s="15">
        <v>239.98</v>
      </c>
    </row>
    <row r="367" ht="12.9" customHeight="1">
      <c r="A367" t="s" s="10">
        <v>4753</v>
      </c>
      <c r="B367" t="s" s="11">
        <v>4754</v>
      </c>
      <c r="C367" s="12">
        <v>45146.024998240740</v>
      </c>
      <c r="D367" t="s" s="13">
        <v>15</v>
      </c>
      <c r="E367" t="s" s="13">
        <v>16</v>
      </c>
      <c r="F367" s="14">
        <v>2</v>
      </c>
      <c r="G367" s="15">
        <v>8.99</v>
      </c>
      <c r="H367" s="15">
        <v>17.98</v>
      </c>
    </row>
    <row r="368" ht="12.9" customHeight="1">
      <c r="A368" t="s" s="10">
        <v>4755</v>
      </c>
      <c r="B368" t="s" s="11">
        <v>721</v>
      </c>
      <c r="C368" s="12">
        <v>45146</v>
      </c>
      <c r="D368" t="s" s="13">
        <v>2347</v>
      </c>
      <c r="E368" t="s" s="13">
        <v>2348</v>
      </c>
      <c r="F368" s="14">
        <v>1</v>
      </c>
      <c r="G368" s="15">
        <v>300</v>
      </c>
      <c r="H368" s="15">
        <v>300</v>
      </c>
    </row>
    <row r="369" ht="12.9" customHeight="1">
      <c r="A369" t="s" s="10">
        <v>4755</v>
      </c>
      <c r="B369" t="s" s="11">
        <v>721</v>
      </c>
      <c r="C369" s="12">
        <v>45146</v>
      </c>
      <c r="D369" t="s" s="13">
        <v>63</v>
      </c>
      <c r="E369" s="16"/>
      <c r="F369" s="14">
        <v>1</v>
      </c>
      <c r="G369" s="15">
        <v>40</v>
      </c>
      <c r="H369" s="15">
        <v>40</v>
      </c>
    </row>
    <row r="370" ht="12.9" customHeight="1">
      <c r="A370" t="s" s="10">
        <v>4756</v>
      </c>
      <c r="B370" t="s" s="11">
        <v>353</v>
      </c>
      <c r="C370" s="12">
        <v>45146</v>
      </c>
      <c r="D370" t="s" s="13">
        <v>722</v>
      </c>
      <c r="E370" t="s" s="13">
        <v>82</v>
      </c>
      <c r="F370" s="14">
        <v>6</v>
      </c>
      <c r="G370" s="15">
        <v>782.991</v>
      </c>
      <c r="H370" s="15">
        <v>4697.946</v>
      </c>
    </row>
    <row r="371" ht="12.9" customHeight="1">
      <c r="A371" t="s" s="10">
        <v>4756</v>
      </c>
      <c r="B371" t="s" s="11">
        <v>353</v>
      </c>
      <c r="C371" s="12">
        <v>45146</v>
      </c>
      <c r="D371" t="s" s="13">
        <v>23</v>
      </c>
      <c r="E371" t="s" s="13">
        <v>828</v>
      </c>
      <c r="F371" s="14">
        <v>6</v>
      </c>
      <c r="G371" s="15">
        <v>0</v>
      </c>
      <c r="H371" s="15">
        <v>0</v>
      </c>
    </row>
    <row r="372" ht="12.9" customHeight="1">
      <c r="A372" t="s" s="10">
        <v>4756</v>
      </c>
      <c r="B372" t="s" s="11">
        <v>353</v>
      </c>
      <c r="C372" s="12">
        <v>45146</v>
      </c>
      <c r="D372" t="s" s="13">
        <v>602</v>
      </c>
      <c r="E372" t="s" s="13">
        <v>828</v>
      </c>
      <c r="F372" s="14">
        <v>2</v>
      </c>
      <c r="G372" s="15">
        <v>269.991</v>
      </c>
      <c r="H372" s="15">
        <v>539.982</v>
      </c>
    </row>
    <row r="373" ht="12.9" customHeight="1">
      <c r="A373" t="s" s="10">
        <v>4756</v>
      </c>
      <c r="B373" t="s" s="11">
        <v>353</v>
      </c>
      <c r="C373" s="12">
        <v>45146</v>
      </c>
      <c r="D373" t="s" s="13">
        <v>84</v>
      </c>
      <c r="E373" t="s" s="13">
        <v>4225</v>
      </c>
      <c r="F373" s="14">
        <v>6</v>
      </c>
      <c r="G373" s="15">
        <v>0</v>
      </c>
      <c r="H373" s="15">
        <v>0</v>
      </c>
    </row>
    <row r="374" ht="12.9" customHeight="1">
      <c r="A374" t="s" s="10">
        <v>4756</v>
      </c>
      <c r="B374" t="s" s="11">
        <v>353</v>
      </c>
      <c r="C374" s="12">
        <v>45146</v>
      </c>
      <c r="D374" t="s" s="13">
        <v>207</v>
      </c>
      <c r="E374" t="s" s="13">
        <v>208</v>
      </c>
      <c r="F374" s="14">
        <v>4</v>
      </c>
      <c r="G374" s="15">
        <v>0</v>
      </c>
      <c r="H374" s="15">
        <v>0</v>
      </c>
    </row>
    <row r="375" ht="12.9" customHeight="1">
      <c r="A375" t="s" s="10">
        <v>4756</v>
      </c>
      <c r="B375" t="s" s="11">
        <v>353</v>
      </c>
      <c r="C375" s="12">
        <v>45146</v>
      </c>
      <c r="D375" t="s" s="13">
        <v>50</v>
      </c>
      <c r="E375" t="s" s="13">
        <v>83</v>
      </c>
      <c r="F375" s="14">
        <v>6</v>
      </c>
      <c r="G375" s="15">
        <v>0</v>
      </c>
      <c r="H375" s="15">
        <v>0</v>
      </c>
    </row>
    <row r="376" ht="12.9" customHeight="1">
      <c r="A376" t="s" s="10">
        <v>4756</v>
      </c>
      <c r="B376" t="s" s="11">
        <v>353</v>
      </c>
      <c r="C376" s="12">
        <v>45146</v>
      </c>
      <c r="D376" t="s" s="13">
        <v>19</v>
      </c>
      <c r="E376" t="s" s="13">
        <v>20</v>
      </c>
      <c r="F376" s="14">
        <v>8</v>
      </c>
      <c r="G376" s="15">
        <v>107.991</v>
      </c>
      <c r="H376" s="15">
        <v>863.928</v>
      </c>
    </row>
    <row r="377" ht="12.9" customHeight="1">
      <c r="A377" t="s" s="10">
        <v>4756</v>
      </c>
      <c r="B377" t="s" s="11">
        <v>353</v>
      </c>
      <c r="C377" s="12">
        <v>45146</v>
      </c>
      <c r="D377" t="s" s="13">
        <v>15</v>
      </c>
      <c r="E377" t="s" s="13">
        <v>4757</v>
      </c>
      <c r="F377" s="14">
        <v>8</v>
      </c>
      <c r="G377" s="15">
        <v>0</v>
      </c>
      <c r="H377" s="15">
        <v>0</v>
      </c>
    </row>
    <row r="378" ht="12.9" customHeight="1">
      <c r="A378" t="s" s="10">
        <v>4756</v>
      </c>
      <c r="B378" t="s" s="11">
        <v>353</v>
      </c>
      <c r="C378" s="12">
        <v>45146</v>
      </c>
      <c r="D378" t="s" s="13">
        <v>47</v>
      </c>
      <c r="E378" s="16"/>
      <c r="F378" s="14">
        <v>1</v>
      </c>
      <c r="G378" s="15">
        <v>188.23</v>
      </c>
      <c r="H378" s="15">
        <v>188.23</v>
      </c>
    </row>
    <row r="379" ht="12.9" customHeight="1">
      <c r="A379" t="s" s="10">
        <v>4758</v>
      </c>
      <c r="B379" t="s" s="11">
        <v>332</v>
      </c>
      <c r="C379" s="12">
        <v>45145.871473425927</v>
      </c>
      <c r="D379" t="s" s="13">
        <v>48</v>
      </c>
      <c r="E379" t="s" s="13">
        <v>49</v>
      </c>
      <c r="F379" s="14">
        <v>2</v>
      </c>
      <c r="G379" s="15">
        <v>1299.99</v>
      </c>
      <c r="H379" s="15">
        <v>2599.98</v>
      </c>
    </row>
    <row r="380" ht="12.9" customHeight="1">
      <c r="A380" t="s" s="10">
        <v>4758</v>
      </c>
      <c r="B380" t="s" s="11">
        <v>332</v>
      </c>
      <c r="C380" s="12">
        <v>45145.871473425927</v>
      </c>
      <c r="D380" t="s" s="13">
        <v>50</v>
      </c>
      <c r="E380" t="s" s="13">
        <v>83</v>
      </c>
      <c r="F380" s="14">
        <v>2</v>
      </c>
      <c r="G380" s="15">
        <v>0</v>
      </c>
      <c r="H380" s="15">
        <v>0</v>
      </c>
    </row>
    <row r="381" ht="12.9" customHeight="1">
      <c r="A381" t="s" s="10">
        <v>4758</v>
      </c>
      <c r="B381" t="s" s="11">
        <v>332</v>
      </c>
      <c r="C381" s="12">
        <v>45145.871473425927</v>
      </c>
      <c r="D381" t="s" s="13">
        <v>52</v>
      </c>
      <c r="E381" t="s" s="13">
        <v>4287</v>
      </c>
      <c r="F381" s="14">
        <v>2</v>
      </c>
      <c r="G381" s="15">
        <v>0</v>
      </c>
      <c r="H381" s="15">
        <v>0</v>
      </c>
    </row>
    <row r="382" ht="12.9" customHeight="1">
      <c r="A382" t="s" s="10">
        <v>4758</v>
      </c>
      <c r="B382" t="s" s="11">
        <v>332</v>
      </c>
      <c r="C382" s="12">
        <v>45145.871473425927</v>
      </c>
      <c r="D382" t="s" s="13">
        <v>84</v>
      </c>
      <c r="E382" t="s" s="13">
        <v>4225</v>
      </c>
      <c r="F382" s="14">
        <v>2</v>
      </c>
      <c r="G382" s="15">
        <v>0</v>
      </c>
      <c r="H382" s="15">
        <v>0</v>
      </c>
    </row>
    <row r="383" ht="12.9" customHeight="1">
      <c r="A383" t="s" s="10">
        <v>4758</v>
      </c>
      <c r="B383" t="s" s="11">
        <v>332</v>
      </c>
      <c r="C383" s="12">
        <v>45145.871473425927</v>
      </c>
      <c r="D383" t="s" s="13">
        <v>23</v>
      </c>
      <c r="E383" t="s" s="13">
        <v>24</v>
      </c>
      <c r="F383" s="14">
        <v>2</v>
      </c>
      <c r="G383" s="15">
        <v>0</v>
      </c>
      <c r="H383" s="15">
        <v>0</v>
      </c>
    </row>
    <row r="384" ht="12.9" customHeight="1">
      <c r="A384" t="s" s="10">
        <v>4758</v>
      </c>
      <c r="B384" t="s" s="11">
        <v>332</v>
      </c>
      <c r="C384" s="12">
        <v>45145.871473425927</v>
      </c>
      <c r="D384" t="s" s="13">
        <v>19</v>
      </c>
      <c r="E384" t="s" s="13">
        <v>20</v>
      </c>
      <c r="F384" s="14">
        <v>4</v>
      </c>
      <c r="G384" s="15">
        <v>119.99</v>
      </c>
      <c r="H384" s="15">
        <v>479.96</v>
      </c>
    </row>
    <row r="385" ht="12.9" customHeight="1">
      <c r="A385" t="s" s="10">
        <v>4758</v>
      </c>
      <c r="B385" t="s" s="11">
        <v>332</v>
      </c>
      <c r="C385" s="12">
        <v>45145.871473425927</v>
      </c>
      <c r="D385" t="s" s="13">
        <v>15</v>
      </c>
      <c r="E385" t="s" s="13">
        <v>16</v>
      </c>
      <c r="F385" s="14">
        <v>4</v>
      </c>
      <c r="G385" s="15">
        <v>8.99</v>
      </c>
      <c r="H385" s="15">
        <v>35.96</v>
      </c>
    </row>
    <row r="386" ht="12.9" customHeight="1">
      <c r="A386" t="s" s="10">
        <v>4759</v>
      </c>
      <c r="B386" t="s" s="11">
        <v>4754</v>
      </c>
      <c r="C386" s="12">
        <v>45145.793377488430</v>
      </c>
      <c r="D386" t="s" s="13">
        <v>89</v>
      </c>
      <c r="E386" t="s" s="13">
        <v>90</v>
      </c>
      <c r="F386" s="14">
        <v>4</v>
      </c>
      <c r="G386" s="15">
        <v>59.99</v>
      </c>
      <c r="H386" s="15">
        <v>239.96</v>
      </c>
    </row>
    <row r="387" ht="12.9" customHeight="1">
      <c r="A387" t="s" s="10">
        <v>4759</v>
      </c>
      <c r="B387" t="s" s="11">
        <v>4754</v>
      </c>
      <c r="C387" s="12">
        <v>45145.793377488430</v>
      </c>
      <c r="D387" t="s" s="13">
        <v>1695</v>
      </c>
      <c r="E387" t="s" s="13">
        <v>140</v>
      </c>
      <c r="F387" s="14">
        <v>2</v>
      </c>
      <c r="G387" s="15">
        <v>49.99</v>
      </c>
      <c r="H387" s="15">
        <v>99.98</v>
      </c>
    </row>
    <row r="388" ht="12.9" customHeight="1">
      <c r="A388" t="s" s="10">
        <v>4759</v>
      </c>
      <c r="B388" t="s" s="11">
        <v>4754</v>
      </c>
      <c r="C388" s="12">
        <v>45145.793377488430</v>
      </c>
      <c r="D388" t="s" s="13">
        <v>15</v>
      </c>
      <c r="E388" t="s" s="13">
        <v>16</v>
      </c>
      <c r="F388" s="14">
        <v>2</v>
      </c>
      <c r="G388" s="15">
        <v>8.99</v>
      </c>
      <c r="H388" s="15">
        <v>17.98</v>
      </c>
    </row>
    <row r="389" ht="12.9" customHeight="1">
      <c r="A389" t="s" s="10">
        <v>4760</v>
      </c>
      <c r="B389" t="s" s="11">
        <v>4761</v>
      </c>
      <c r="C389" s="12">
        <v>45145.777806956015</v>
      </c>
      <c r="D389" t="s" s="13">
        <v>73</v>
      </c>
      <c r="E389" t="s" s="13">
        <v>74</v>
      </c>
      <c r="F389" s="14">
        <v>1</v>
      </c>
      <c r="G389" s="15">
        <v>399.99</v>
      </c>
      <c r="H389" s="15">
        <v>399.99</v>
      </c>
    </row>
    <row r="390" ht="12.9" customHeight="1">
      <c r="A390" t="s" s="10">
        <v>4762</v>
      </c>
      <c r="B390" t="s" s="11">
        <v>4763</v>
      </c>
      <c r="C390" s="12">
        <v>45145.732512048613</v>
      </c>
      <c r="D390" t="s" s="13">
        <v>11</v>
      </c>
      <c r="E390" t="s" s="13">
        <v>12</v>
      </c>
      <c r="F390" s="14">
        <v>1</v>
      </c>
      <c r="G390" s="15">
        <v>399.99</v>
      </c>
      <c r="H390" s="15">
        <v>399.99</v>
      </c>
    </row>
    <row r="391" ht="12.9" customHeight="1">
      <c r="A391" t="s" s="10">
        <v>4764</v>
      </c>
      <c r="B391" t="s" s="11">
        <v>80</v>
      </c>
      <c r="C391" s="12">
        <v>45145.624587349535</v>
      </c>
      <c r="D391" t="s" s="13">
        <v>54</v>
      </c>
      <c r="E391" t="s" s="13">
        <v>93</v>
      </c>
      <c r="F391" s="14">
        <v>1</v>
      </c>
      <c r="G391" s="15">
        <v>9.99</v>
      </c>
      <c r="H391" s="15">
        <v>9.99</v>
      </c>
    </row>
    <row r="392" ht="12.9" customHeight="1">
      <c r="A392" t="s" s="10">
        <v>4765</v>
      </c>
      <c r="B392" t="s" s="11">
        <v>4766</v>
      </c>
      <c r="C392" s="12">
        <v>45145.616798159725</v>
      </c>
      <c r="D392" t="s" s="13">
        <v>31</v>
      </c>
      <c r="E392" t="s" s="13">
        <v>32</v>
      </c>
      <c r="F392" s="14">
        <v>1</v>
      </c>
      <c r="G392" s="15">
        <v>599.99</v>
      </c>
      <c r="H392" s="15">
        <v>599.99</v>
      </c>
    </row>
    <row r="393" ht="12.9" customHeight="1">
      <c r="A393" t="s" s="10">
        <v>4767</v>
      </c>
      <c r="B393" t="s" s="11">
        <v>3437</v>
      </c>
      <c r="C393" s="12">
        <v>45145</v>
      </c>
      <c r="D393" t="s" s="13">
        <v>77</v>
      </c>
      <c r="E393" t="s" s="13">
        <v>4224</v>
      </c>
      <c r="F393" s="14">
        <v>6</v>
      </c>
      <c r="G393" s="15">
        <v>14.9925</v>
      </c>
      <c r="H393" s="15">
        <v>89.955</v>
      </c>
    </row>
    <row r="394" ht="12.9" customHeight="1">
      <c r="A394" t="s" s="10">
        <v>4767</v>
      </c>
      <c r="B394" t="s" s="11">
        <v>3437</v>
      </c>
      <c r="C394" s="12">
        <v>45145</v>
      </c>
      <c r="D394" t="s" s="13">
        <v>63</v>
      </c>
      <c r="E394" s="16"/>
      <c r="F394" s="14">
        <v>1</v>
      </c>
      <c r="G394" s="15">
        <v>20</v>
      </c>
      <c r="H394" s="15">
        <v>20</v>
      </c>
    </row>
    <row r="395" ht="12.9" customHeight="1">
      <c r="A395" t="s" s="10">
        <v>4768</v>
      </c>
      <c r="B395" t="s" s="11">
        <v>3455</v>
      </c>
      <c r="C395" s="12">
        <v>45145</v>
      </c>
      <c r="D395" t="s" s="13">
        <v>89</v>
      </c>
      <c r="E395" t="s" s="13">
        <v>90</v>
      </c>
      <c r="F395" s="14">
        <v>8</v>
      </c>
      <c r="G395" s="15">
        <v>44.9925</v>
      </c>
      <c r="H395" s="15">
        <v>359.94</v>
      </c>
    </row>
    <row r="396" ht="12.9" customHeight="1">
      <c r="A396" t="s" s="10">
        <v>4768</v>
      </c>
      <c r="B396" t="s" s="11">
        <v>3455</v>
      </c>
      <c r="C396" s="12">
        <v>45145</v>
      </c>
      <c r="D396" t="s" s="13">
        <v>63</v>
      </c>
      <c r="E396" s="16"/>
      <c r="F396" s="14">
        <v>1</v>
      </c>
      <c r="G396" s="15">
        <v>25</v>
      </c>
      <c r="H396" s="15">
        <v>25</v>
      </c>
    </row>
    <row r="397" ht="12.9" customHeight="1">
      <c r="A397" t="s" s="10">
        <v>4769</v>
      </c>
      <c r="B397" t="s" s="11">
        <v>161</v>
      </c>
      <c r="C397" s="12">
        <v>45145</v>
      </c>
      <c r="D397" t="s" s="13">
        <v>559</v>
      </c>
      <c r="E397" t="s" s="13">
        <v>560</v>
      </c>
      <c r="F397" s="14">
        <v>100</v>
      </c>
      <c r="G397" s="15">
        <v>0</v>
      </c>
      <c r="H397" s="15">
        <v>0</v>
      </c>
    </row>
    <row r="398" ht="12.9" customHeight="1">
      <c r="A398" t="s" s="10">
        <v>4770</v>
      </c>
      <c r="B398" t="s" s="11">
        <v>161</v>
      </c>
      <c r="C398" s="12">
        <v>45145</v>
      </c>
      <c r="D398" t="s" s="13">
        <v>54</v>
      </c>
      <c r="E398" t="s" s="13">
        <v>93</v>
      </c>
      <c r="F398" s="14">
        <v>6</v>
      </c>
      <c r="G398" s="15">
        <v>0</v>
      </c>
      <c r="H398" s="15">
        <v>0</v>
      </c>
    </row>
    <row r="399" ht="12.9" customHeight="1">
      <c r="A399" t="s" s="10">
        <v>4771</v>
      </c>
      <c r="B399" t="s" s="11">
        <v>4559</v>
      </c>
      <c r="C399" s="12">
        <v>45144.988447002317</v>
      </c>
      <c r="D399" t="s" s="13">
        <v>1695</v>
      </c>
      <c r="E399" t="s" s="13">
        <v>140</v>
      </c>
      <c r="F399" s="14">
        <v>2</v>
      </c>
      <c r="G399" s="15">
        <v>49.99</v>
      </c>
      <c r="H399" s="15">
        <v>99.98</v>
      </c>
    </row>
    <row r="400" ht="12.9" customHeight="1">
      <c r="A400" t="s" s="10">
        <v>4771</v>
      </c>
      <c r="B400" t="s" s="11">
        <v>4559</v>
      </c>
      <c r="C400" s="12">
        <v>45144.988447002317</v>
      </c>
      <c r="D400" t="s" s="13">
        <v>15</v>
      </c>
      <c r="E400" t="s" s="13">
        <v>16</v>
      </c>
      <c r="F400" s="14">
        <v>2</v>
      </c>
      <c r="G400" s="15">
        <v>8.99</v>
      </c>
      <c r="H400" s="15">
        <v>17.98</v>
      </c>
    </row>
    <row r="401" ht="12.9" customHeight="1">
      <c r="A401" t="s" s="10">
        <v>4772</v>
      </c>
      <c r="B401" t="s" s="11">
        <v>4452</v>
      </c>
      <c r="C401" s="12">
        <v>45143.910919791670</v>
      </c>
      <c r="D401" t="s" s="13">
        <v>171</v>
      </c>
      <c r="E401" t="s" s="13">
        <v>172</v>
      </c>
      <c r="F401" s="14">
        <v>2</v>
      </c>
      <c r="G401" s="15">
        <v>549.99</v>
      </c>
      <c r="H401" s="15">
        <v>1099.98</v>
      </c>
    </row>
    <row r="402" ht="12.9" customHeight="1">
      <c r="A402" t="s" s="10">
        <v>4773</v>
      </c>
      <c r="B402" t="s" s="11">
        <v>4320</v>
      </c>
      <c r="C402" s="12">
        <v>45143.771023888890</v>
      </c>
      <c r="D402" t="s" s="13">
        <v>179</v>
      </c>
      <c r="E402" t="s" s="13">
        <v>180</v>
      </c>
      <c r="F402" s="14">
        <v>1</v>
      </c>
      <c r="G402" s="15">
        <v>49.99</v>
      </c>
      <c r="H402" s="15">
        <v>49.99</v>
      </c>
    </row>
    <row r="403" ht="12.9" customHeight="1">
      <c r="A403" t="s" s="10">
        <v>4774</v>
      </c>
      <c r="B403" t="s" s="11">
        <v>4775</v>
      </c>
      <c r="C403" s="12">
        <v>45143.719822453706</v>
      </c>
      <c r="D403" t="s" s="13">
        <v>1731</v>
      </c>
      <c r="E403" t="s" s="13">
        <v>4657</v>
      </c>
      <c r="F403" s="14">
        <v>2</v>
      </c>
      <c r="G403" s="15">
        <v>24.99</v>
      </c>
      <c r="H403" s="15">
        <v>49.98</v>
      </c>
    </row>
    <row r="404" ht="12.9" customHeight="1">
      <c r="A404" t="s" s="10">
        <v>4776</v>
      </c>
      <c r="B404" t="s" s="11">
        <v>4665</v>
      </c>
      <c r="C404" s="12">
        <v>45143.193719444447</v>
      </c>
      <c r="D404" t="s" s="13">
        <v>23</v>
      </c>
      <c r="E404" t="s" s="13">
        <v>24</v>
      </c>
      <c r="F404" s="14">
        <v>2</v>
      </c>
      <c r="G404" s="15">
        <v>149.99</v>
      </c>
      <c r="H404" s="15">
        <v>299.98</v>
      </c>
    </row>
    <row r="405" ht="12.9" customHeight="1">
      <c r="A405" t="s" s="10">
        <v>4776</v>
      </c>
      <c r="B405" t="s" s="11">
        <v>4665</v>
      </c>
      <c r="C405" s="12">
        <v>45143.193719444447</v>
      </c>
      <c r="D405" t="s" s="13">
        <v>1695</v>
      </c>
      <c r="E405" t="s" s="13">
        <v>140</v>
      </c>
      <c r="F405" s="14">
        <v>1</v>
      </c>
      <c r="G405" s="15">
        <v>49.99</v>
      </c>
      <c r="H405" s="15">
        <v>49.99</v>
      </c>
    </row>
    <row r="406" ht="12.9" customHeight="1">
      <c r="A406" t="s" s="10">
        <v>4776</v>
      </c>
      <c r="B406" t="s" s="11">
        <v>4665</v>
      </c>
      <c r="C406" s="12">
        <v>45143.193719444447</v>
      </c>
      <c r="D406" t="s" s="13">
        <v>15</v>
      </c>
      <c r="E406" t="s" s="13">
        <v>16</v>
      </c>
      <c r="F406" s="14">
        <v>1</v>
      </c>
      <c r="G406" s="15">
        <v>8.99</v>
      </c>
      <c r="H406" s="15">
        <v>8.99</v>
      </c>
    </row>
    <row r="407" ht="12.9" customHeight="1">
      <c r="A407" t="s" s="10">
        <v>4776</v>
      </c>
      <c r="B407" t="s" s="11">
        <v>4665</v>
      </c>
      <c r="C407" s="12">
        <v>45143.193719444447</v>
      </c>
      <c r="D407" t="s" s="13">
        <v>89</v>
      </c>
      <c r="E407" t="s" s="13">
        <v>90</v>
      </c>
      <c r="F407" s="14">
        <v>2</v>
      </c>
      <c r="G407" s="15">
        <v>59.99</v>
      </c>
      <c r="H407" s="15">
        <v>119.98</v>
      </c>
    </row>
    <row r="408" ht="12.9" customHeight="1">
      <c r="A408" t="s" s="10">
        <v>4776</v>
      </c>
      <c r="B408" t="s" s="11">
        <v>4665</v>
      </c>
      <c r="C408" s="12">
        <v>45143.193719444447</v>
      </c>
      <c r="D408" t="s" s="13">
        <v>54</v>
      </c>
      <c r="E408" t="s" s="13">
        <v>93</v>
      </c>
      <c r="F408" s="14">
        <v>1</v>
      </c>
      <c r="G408" s="15">
        <v>9.99</v>
      </c>
      <c r="H408" s="15">
        <v>9.99</v>
      </c>
    </row>
    <row r="409" ht="12.9" customHeight="1">
      <c r="A409" t="s" s="10">
        <v>4776</v>
      </c>
      <c r="B409" t="s" s="11">
        <v>4665</v>
      </c>
      <c r="C409" s="12">
        <v>45143.193719444447</v>
      </c>
      <c r="D409" t="s" s="13">
        <v>19</v>
      </c>
      <c r="E409" t="s" s="13">
        <v>20</v>
      </c>
      <c r="F409" s="14">
        <v>1</v>
      </c>
      <c r="G409" s="15">
        <v>119.99</v>
      </c>
      <c r="H409" s="15">
        <v>119.99</v>
      </c>
    </row>
    <row r="410" ht="12.9" customHeight="1">
      <c r="A410" t="s" s="10">
        <v>4776</v>
      </c>
      <c r="B410" t="s" s="11">
        <v>4665</v>
      </c>
      <c r="C410" s="12">
        <v>45143.193719444447</v>
      </c>
      <c r="D410" t="s" s="13">
        <v>15</v>
      </c>
      <c r="E410" t="s" s="13">
        <v>16</v>
      </c>
      <c r="F410" s="14">
        <v>1</v>
      </c>
      <c r="G410" s="15">
        <v>8.99</v>
      </c>
      <c r="H410" s="15">
        <v>8.99</v>
      </c>
    </row>
    <row r="411" ht="12.9" customHeight="1">
      <c r="A411" t="s" s="10">
        <v>4777</v>
      </c>
      <c r="B411" t="s" s="11">
        <v>4645</v>
      </c>
      <c r="C411" s="12">
        <v>45142.760262824071</v>
      </c>
      <c r="D411" t="s" s="13">
        <v>1695</v>
      </c>
      <c r="E411" t="s" s="13">
        <v>140</v>
      </c>
      <c r="F411" s="14">
        <v>2</v>
      </c>
      <c r="G411" s="15">
        <v>49.99</v>
      </c>
      <c r="H411" s="15">
        <v>99.98</v>
      </c>
    </row>
    <row r="412" ht="12.9" customHeight="1">
      <c r="A412" t="s" s="10">
        <v>4777</v>
      </c>
      <c r="B412" t="s" s="11">
        <v>4645</v>
      </c>
      <c r="C412" s="12">
        <v>45142.760262824071</v>
      </c>
      <c r="D412" t="s" s="13">
        <v>15</v>
      </c>
      <c r="E412" t="s" s="13">
        <v>16</v>
      </c>
      <c r="F412" s="14">
        <v>2</v>
      </c>
      <c r="G412" s="15">
        <v>8.99</v>
      </c>
      <c r="H412" s="15">
        <v>17.98</v>
      </c>
    </row>
    <row r="413" ht="12.9" customHeight="1">
      <c r="A413" t="s" s="10">
        <v>4777</v>
      </c>
      <c r="B413" t="s" s="11">
        <v>4645</v>
      </c>
      <c r="C413" s="12">
        <v>45142.760262824071</v>
      </c>
      <c r="D413" t="s" s="13">
        <v>1479</v>
      </c>
      <c r="E413" t="s" s="13">
        <v>1480</v>
      </c>
      <c r="F413" s="14">
        <v>1</v>
      </c>
      <c r="G413" s="15">
        <v>299.99</v>
      </c>
      <c r="H413" s="15">
        <v>299.99</v>
      </c>
    </row>
    <row r="414" ht="12.9" customHeight="1">
      <c r="A414" t="s" s="10">
        <v>4778</v>
      </c>
      <c r="B414" t="s" s="11">
        <v>4779</v>
      </c>
      <c r="C414" s="12">
        <v>45142.175821863428</v>
      </c>
      <c r="D414" t="s" s="13">
        <v>171</v>
      </c>
      <c r="E414" t="s" s="13">
        <v>172</v>
      </c>
      <c r="F414" s="14">
        <v>2</v>
      </c>
      <c r="G414" s="15">
        <v>549.99</v>
      </c>
      <c r="H414" s="15">
        <v>1099.98</v>
      </c>
    </row>
    <row r="415" ht="12.9" customHeight="1">
      <c r="A415" t="s" s="10">
        <v>4780</v>
      </c>
      <c r="B415" t="s" s="11">
        <v>4781</v>
      </c>
      <c r="C415" s="12">
        <v>45142</v>
      </c>
      <c r="D415" t="s" s="13">
        <v>468</v>
      </c>
      <c r="E415" t="s" s="13">
        <v>469</v>
      </c>
      <c r="F415" s="14">
        <v>1</v>
      </c>
      <c r="G415" s="15">
        <v>2499.99</v>
      </c>
      <c r="H415" s="15">
        <v>2499.99</v>
      </c>
    </row>
    <row r="416" ht="12.9" customHeight="1">
      <c r="A416" t="s" s="10">
        <v>4780</v>
      </c>
      <c r="B416" t="s" s="11">
        <v>4781</v>
      </c>
      <c r="C416" s="12">
        <v>45142</v>
      </c>
      <c r="D416" t="s" s="13">
        <v>23</v>
      </c>
      <c r="E416" t="s" s="13">
        <v>24</v>
      </c>
      <c r="F416" s="14">
        <v>4</v>
      </c>
      <c r="G416" s="15">
        <v>0</v>
      </c>
      <c r="H416" s="15">
        <v>0</v>
      </c>
    </row>
    <row r="417" ht="12.9" customHeight="1">
      <c r="A417" t="s" s="10">
        <v>4780</v>
      </c>
      <c r="B417" t="s" s="11">
        <v>4781</v>
      </c>
      <c r="C417" s="12">
        <v>45142</v>
      </c>
      <c r="D417" t="s" s="13">
        <v>50</v>
      </c>
      <c r="E417" t="s" s="13">
        <v>83</v>
      </c>
      <c r="F417" s="14">
        <v>1</v>
      </c>
      <c r="G417" s="15">
        <v>0</v>
      </c>
      <c r="H417" s="15">
        <v>0</v>
      </c>
    </row>
    <row r="418" ht="12.9" customHeight="1">
      <c r="A418" t="s" s="10">
        <v>4780</v>
      </c>
      <c r="B418" t="s" s="11">
        <v>4781</v>
      </c>
      <c r="C418" s="12">
        <v>45142</v>
      </c>
      <c r="D418" t="s" s="13">
        <v>54</v>
      </c>
      <c r="E418" t="s" s="13">
        <v>93</v>
      </c>
      <c r="F418" s="14">
        <v>4</v>
      </c>
      <c r="G418" s="15">
        <v>0</v>
      </c>
      <c r="H418" s="15">
        <v>0</v>
      </c>
    </row>
    <row r="419" ht="12.9" customHeight="1">
      <c r="A419" t="s" s="10">
        <v>4780</v>
      </c>
      <c r="B419" t="s" s="11">
        <v>4781</v>
      </c>
      <c r="C419" s="12">
        <v>45142</v>
      </c>
      <c r="D419" t="s" s="13">
        <v>15</v>
      </c>
      <c r="E419" t="s" s="13">
        <v>16</v>
      </c>
      <c r="F419" s="14">
        <v>6</v>
      </c>
      <c r="G419" s="15">
        <v>0</v>
      </c>
      <c r="H419" s="15">
        <v>0</v>
      </c>
    </row>
    <row r="420" ht="12.9" customHeight="1">
      <c r="A420" t="s" s="10">
        <v>4780</v>
      </c>
      <c r="B420" t="s" s="11">
        <v>4781</v>
      </c>
      <c r="C420" s="12">
        <v>45142</v>
      </c>
      <c r="D420" t="s" s="13">
        <v>1695</v>
      </c>
      <c r="E420" t="s" s="13">
        <v>140</v>
      </c>
      <c r="F420" s="14">
        <v>2</v>
      </c>
      <c r="G420" s="15">
        <v>49.99</v>
      </c>
      <c r="H420" s="15">
        <v>99.98</v>
      </c>
    </row>
    <row r="421" ht="12.9" customHeight="1">
      <c r="A421" t="s" s="10">
        <v>4780</v>
      </c>
      <c r="B421" t="s" s="11">
        <v>4781</v>
      </c>
      <c r="C421" s="12">
        <v>45142</v>
      </c>
      <c r="D421" t="s" s="13">
        <v>861</v>
      </c>
      <c r="E421" s="16"/>
      <c r="F421" s="14">
        <v>1</v>
      </c>
      <c r="G421" s="15">
        <v>227.5</v>
      </c>
      <c r="H421" s="15">
        <v>227.5</v>
      </c>
    </row>
    <row r="422" ht="12.9" customHeight="1">
      <c r="A422" t="s" s="10">
        <v>4782</v>
      </c>
      <c r="B422" t="s" s="11">
        <v>4783</v>
      </c>
      <c r="C422" s="12">
        <v>45142</v>
      </c>
      <c r="D422" t="s" s="13">
        <v>254</v>
      </c>
      <c r="E422" t="s" s="13">
        <v>4784</v>
      </c>
      <c r="F422" s="14">
        <v>1</v>
      </c>
      <c r="G422" s="15">
        <v>0</v>
      </c>
      <c r="H422" s="15">
        <v>0</v>
      </c>
    </row>
    <row r="423" ht="12.9" customHeight="1">
      <c r="A423" t="s" s="10">
        <v>4785</v>
      </c>
      <c r="B423" t="s" s="11">
        <v>4786</v>
      </c>
      <c r="C423" s="12">
        <v>45141.891256759256</v>
      </c>
      <c r="D423" t="s" s="13">
        <v>11</v>
      </c>
      <c r="E423" t="s" s="13">
        <v>12</v>
      </c>
      <c r="F423" s="14">
        <v>1</v>
      </c>
      <c r="G423" s="15">
        <v>399.99</v>
      </c>
      <c r="H423" s="15">
        <v>399.99</v>
      </c>
    </row>
    <row r="424" ht="12.9" customHeight="1">
      <c r="A424" t="s" s="10">
        <v>4787</v>
      </c>
      <c r="B424" t="s" s="11">
        <v>4450</v>
      </c>
      <c r="C424" s="12">
        <v>45141.825618043978</v>
      </c>
      <c r="D424" t="s" s="13">
        <v>73</v>
      </c>
      <c r="E424" t="s" s="13">
        <v>74</v>
      </c>
      <c r="F424" s="14">
        <v>1</v>
      </c>
      <c r="G424" s="15">
        <v>399.99</v>
      </c>
      <c r="H424" s="15">
        <v>399.99</v>
      </c>
    </row>
    <row r="425" ht="12.9" customHeight="1">
      <c r="A425" t="s" s="10">
        <v>4787</v>
      </c>
      <c r="B425" t="s" s="11">
        <v>4450</v>
      </c>
      <c r="C425" s="12">
        <v>45141.825618043978</v>
      </c>
      <c r="D425" t="s" s="13">
        <v>81</v>
      </c>
      <c r="E425" t="s" s="13">
        <v>82</v>
      </c>
      <c r="F425" s="14">
        <v>4</v>
      </c>
      <c r="G425" s="15">
        <v>849.99</v>
      </c>
      <c r="H425" s="15">
        <v>3399.96</v>
      </c>
    </row>
    <row r="426" ht="12.9" customHeight="1">
      <c r="A426" t="s" s="10">
        <v>4787</v>
      </c>
      <c r="B426" t="s" s="11">
        <v>4450</v>
      </c>
      <c r="C426" s="12">
        <v>45141.825618043978</v>
      </c>
      <c r="D426" t="s" s="13">
        <v>23</v>
      </c>
      <c r="E426" t="s" s="13">
        <v>24</v>
      </c>
      <c r="F426" s="14">
        <v>4</v>
      </c>
      <c r="G426" s="15">
        <v>0</v>
      </c>
      <c r="H426" s="15">
        <v>0</v>
      </c>
    </row>
    <row r="427" ht="12.9" customHeight="1">
      <c r="A427" t="s" s="10">
        <v>4787</v>
      </c>
      <c r="B427" t="s" s="11">
        <v>4450</v>
      </c>
      <c r="C427" s="12">
        <v>45141.825618043978</v>
      </c>
      <c r="D427" t="s" s="13">
        <v>227</v>
      </c>
      <c r="E427" t="s" s="13">
        <v>228</v>
      </c>
      <c r="F427" s="14">
        <v>8</v>
      </c>
      <c r="G427" s="15">
        <v>29.99</v>
      </c>
      <c r="H427" s="15">
        <v>239.92</v>
      </c>
    </row>
    <row r="428" ht="12.9" customHeight="1">
      <c r="A428" t="s" s="10">
        <v>4787</v>
      </c>
      <c r="B428" t="s" s="11">
        <v>4450</v>
      </c>
      <c r="C428" s="12">
        <v>45141.825618043978</v>
      </c>
      <c r="D428" t="s" s="13">
        <v>660</v>
      </c>
      <c r="E428" t="s" s="13">
        <v>661</v>
      </c>
      <c r="F428" s="14">
        <v>4</v>
      </c>
      <c r="G428" s="15">
        <v>5.99</v>
      </c>
      <c r="H428" s="15">
        <v>23.96</v>
      </c>
    </row>
    <row r="429" ht="12.9" customHeight="1">
      <c r="A429" t="s" s="10">
        <v>4787</v>
      </c>
      <c r="B429" t="s" s="11">
        <v>4450</v>
      </c>
      <c r="C429" s="12">
        <v>45141.825618043978</v>
      </c>
      <c r="D429" t="s" s="13">
        <v>50</v>
      </c>
      <c r="E429" t="s" s="13">
        <v>83</v>
      </c>
      <c r="F429" s="14">
        <v>4</v>
      </c>
      <c r="G429" s="15">
        <v>0</v>
      </c>
      <c r="H429" s="15">
        <v>0</v>
      </c>
    </row>
    <row r="430" ht="12.9" customHeight="1">
      <c r="A430" t="s" s="10">
        <v>4787</v>
      </c>
      <c r="B430" t="s" s="11">
        <v>4450</v>
      </c>
      <c r="C430" s="12">
        <v>45141.825618043978</v>
      </c>
      <c r="D430" t="s" s="13">
        <v>84</v>
      </c>
      <c r="E430" t="s" s="13">
        <v>4225</v>
      </c>
      <c r="F430" s="14">
        <v>4</v>
      </c>
      <c r="G430" s="15">
        <v>0</v>
      </c>
      <c r="H430" s="15">
        <v>0</v>
      </c>
    </row>
    <row r="431" ht="12.9" customHeight="1">
      <c r="A431" t="s" s="10">
        <v>4788</v>
      </c>
      <c r="B431" t="s" s="11">
        <v>4789</v>
      </c>
      <c r="C431" s="12">
        <v>45141</v>
      </c>
      <c r="D431" t="s" s="13">
        <v>772</v>
      </c>
      <c r="E431" t="s" s="13">
        <v>773</v>
      </c>
      <c r="F431" s="14">
        <v>1</v>
      </c>
      <c r="G431" s="15">
        <v>0</v>
      </c>
      <c r="H431" s="15">
        <v>0</v>
      </c>
    </row>
    <row r="432" ht="12.9" customHeight="1">
      <c r="A432" t="s" s="10">
        <v>4788</v>
      </c>
      <c r="B432" t="s" s="11">
        <v>4789</v>
      </c>
      <c r="C432" s="12">
        <v>45141</v>
      </c>
      <c r="D432" t="s" s="13">
        <v>258</v>
      </c>
      <c r="E432" t="s" s="13">
        <v>3592</v>
      </c>
      <c r="F432" s="14">
        <v>2</v>
      </c>
      <c r="G432" s="15">
        <v>0</v>
      </c>
      <c r="H432" s="15">
        <v>0</v>
      </c>
    </row>
    <row r="433" ht="12.9" customHeight="1">
      <c r="A433" t="s" s="10">
        <v>4790</v>
      </c>
      <c r="B433" t="s" s="11">
        <v>4791</v>
      </c>
      <c r="C433" s="12">
        <v>45140.886594166666</v>
      </c>
      <c r="D433" t="s" s="13">
        <v>31</v>
      </c>
      <c r="E433" t="s" s="13">
        <v>32</v>
      </c>
      <c r="F433" s="14">
        <v>1</v>
      </c>
      <c r="G433" s="15">
        <v>599.99</v>
      </c>
      <c r="H433" s="15">
        <v>599.99</v>
      </c>
    </row>
    <row r="434" ht="12.9" customHeight="1">
      <c r="A434" t="s" s="10">
        <v>4792</v>
      </c>
      <c r="B434" t="s" s="11">
        <v>4793</v>
      </c>
      <c r="C434" s="12">
        <v>45140.807315023150</v>
      </c>
      <c r="D434" t="s" s="13">
        <v>95</v>
      </c>
      <c r="E434" t="s" s="13">
        <v>12</v>
      </c>
      <c r="F434" s="14">
        <v>1</v>
      </c>
      <c r="G434" s="15">
        <v>349.99</v>
      </c>
      <c r="H434" s="15">
        <v>349.99</v>
      </c>
    </row>
    <row r="435" ht="12.9" customHeight="1">
      <c r="A435" t="s" s="10">
        <v>4794</v>
      </c>
      <c r="B435" t="s" s="11">
        <v>4501</v>
      </c>
      <c r="C435" s="12">
        <v>45140.7736509838</v>
      </c>
      <c r="D435" t="s" s="13">
        <v>1695</v>
      </c>
      <c r="E435" t="s" s="13">
        <v>140</v>
      </c>
      <c r="F435" s="14">
        <v>1</v>
      </c>
      <c r="G435" s="15">
        <v>49.99</v>
      </c>
      <c r="H435" s="15">
        <v>49.99</v>
      </c>
    </row>
    <row r="436" ht="12.9" customHeight="1">
      <c r="A436" t="s" s="10">
        <v>4794</v>
      </c>
      <c r="B436" t="s" s="11">
        <v>4501</v>
      </c>
      <c r="C436" s="12">
        <v>45140.7736509838</v>
      </c>
      <c r="D436" t="s" s="13">
        <v>15</v>
      </c>
      <c r="E436" t="s" s="13">
        <v>4757</v>
      </c>
      <c r="F436" s="14">
        <v>1</v>
      </c>
      <c r="G436" s="15">
        <v>8.99</v>
      </c>
      <c r="H436" s="15">
        <v>8.99</v>
      </c>
    </row>
    <row r="437" ht="12.9" customHeight="1">
      <c r="A437" t="s" s="10">
        <v>4795</v>
      </c>
      <c r="B437" t="s" s="11">
        <v>4796</v>
      </c>
      <c r="C437" s="12">
        <v>45140.137203217593</v>
      </c>
      <c r="D437" t="s" s="13">
        <v>95</v>
      </c>
      <c r="E437" t="s" s="13">
        <v>12</v>
      </c>
      <c r="F437" s="14">
        <v>1</v>
      </c>
      <c r="G437" s="15">
        <v>349.99</v>
      </c>
      <c r="H437" s="15">
        <v>349.99</v>
      </c>
    </row>
    <row r="438" ht="12.9" customHeight="1">
      <c r="A438" t="s" s="10">
        <v>4797</v>
      </c>
      <c r="B438" t="s" s="11">
        <v>2671</v>
      </c>
      <c r="C438" s="12">
        <v>45140</v>
      </c>
      <c r="D438" t="s" s="13">
        <v>73</v>
      </c>
      <c r="E438" t="s" s="13">
        <v>74</v>
      </c>
      <c r="F438" s="14">
        <v>5</v>
      </c>
      <c r="G438" s="15">
        <v>299.9925</v>
      </c>
      <c r="H438" s="15">
        <v>1499.9625</v>
      </c>
    </row>
    <row r="439" ht="12.9" customHeight="1">
      <c r="A439" t="s" s="10">
        <v>4797</v>
      </c>
      <c r="B439" t="s" s="11">
        <v>2671</v>
      </c>
      <c r="C439" s="12">
        <v>45140</v>
      </c>
      <c r="D439" t="s" s="13">
        <v>59</v>
      </c>
      <c r="E439" t="s" s="13">
        <v>60</v>
      </c>
      <c r="F439" s="14">
        <v>1</v>
      </c>
      <c r="G439" s="15">
        <v>899.9924999999999</v>
      </c>
      <c r="H439" s="15">
        <v>899.9924999999999</v>
      </c>
    </row>
    <row r="440" ht="12.9" customHeight="1">
      <c r="A440" t="s" s="10">
        <v>4797</v>
      </c>
      <c r="B440" t="s" s="11">
        <v>2671</v>
      </c>
      <c r="C440" s="12">
        <v>45140</v>
      </c>
      <c r="D440" t="s" s="13">
        <v>31</v>
      </c>
      <c r="E440" t="s" s="13">
        <v>32</v>
      </c>
      <c r="F440" s="14">
        <v>10</v>
      </c>
      <c r="G440" s="15">
        <v>449.9925</v>
      </c>
      <c r="H440" s="15">
        <v>4499.925</v>
      </c>
    </row>
    <row r="441" ht="12.9" customHeight="1">
      <c r="A441" t="s" s="10">
        <v>4797</v>
      </c>
      <c r="B441" t="s" s="11">
        <v>2671</v>
      </c>
      <c r="C441" s="12">
        <v>45140</v>
      </c>
      <c r="D441" t="s" s="13">
        <v>722</v>
      </c>
      <c r="E441" t="s" s="13">
        <v>82</v>
      </c>
      <c r="F441" s="14">
        <v>10</v>
      </c>
      <c r="G441" s="15">
        <v>652.4924999999999</v>
      </c>
      <c r="H441" s="15">
        <v>6524.925</v>
      </c>
    </row>
    <row r="442" ht="12.9" customHeight="1">
      <c r="A442" t="s" s="10">
        <v>4797</v>
      </c>
      <c r="B442" t="s" s="11">
        <v>2671</v>
      </c>
      <c r="C442" s="12">
        <v>45140</v>
      </c>
      <c r="D442" t="s" s="13">
        <v>48</v>
      </c>
      <c r="E442" t="s" s="13">
        <v>49</v>
      </c>
      <c r="F442" s="14">
        <v>10</v>
      </c>
      <c r="G442" s="15">
        <v>974.9924999999999</v>
      </c>
      <c r="H442" s="15">
        <v>9749.924999999999</v>
      </c>
    </row>
    <row r="443" ht="12.9" customHeight="1">
      <c r="A443" t="s" s="10">
        <v>4797</v>
      </c>
      <c r="B443" t="s" s="11">
        <v>2671</v>
      </c>
      <c r="C443" s="12">
        <v>45140</v>
      </c>
      <c r="D443" t="s" s="13">
        <v>54</v>
      </c>
      <c r="E443" t="s" s="13">
        <v>93</v>
      </c>
      <c r="F443" s="14">
        <v>20</v>
      </c>
      <c r="G443" s="15">
        <v>0</v>
      </c>
      <c r="H443" s="15">
        <v>0</v>
      </c>
    </row>
    <row r="444" ht="12.9" customHeight="1">
      <c r="A444" t="s" s="10">
        <v>4797</v>
      </c>
      <c r="B444" t="s" s="11">
        <v>2671</v>
      </c>
      <c r="C444" s="12">
        <v>45140</v>
      </c>
      <c r="D444" t="s" s="13">
        <v>15</v>
      </c>
      <c r="E444" t="s" s="13">
        <v>4757</v>
      </c>
      <c r="F444" s="14">
        <v>20</v>
      </c>
      <c r="G444" s="15">
        <v>0</v>
      </c>
      <c r="H444" s="15">
        <v>0</v>
      </c>
    </row>
    <row r="445" ht="12.9" customHeight="1">
      <c r="A445" t="s" s="10">
        <v>4797</v>
      </c>
      <c r="B445" t="s" s="11">
        <v>2671</v>
      </c>
      <c r="C445" s="12">
        <v>45140</v>
      </c>
      <c r="D445" t="s" s="13">
        <v>23</v>
      </c>
      <c r="E445" t="s" s="13">
        <v>56</v>
      </c>
      <c r="F445" s="14">
        <v>20</v>
      </c>
      <c r="G445" s="15">
        <v>0</v>
      </c>
      <c r="H445" s="15">
        <v>0</v>
      </c>
    </row>
    <row r="446" ht="12.9" customHeight="1">
      <c r="A446" t="s" s="10">
        <v>4797</v>
      </c>
      <c r="B446" t="s" s="11">
        <v>2671</v>
      </c>
      <c r="C446" s="12">
        <v>45140</v>
      </c>
      <c r="D446" t="s" s="13">
        <v>23</v>
      </c>
      <c r="E446" t="s" s="13">
        <v>24</v>
      </c>
      <c r="F446" s="14">
        <v>10</v>
      </c>
      <c r="G446" s="15">
        <v>112.4925</v>
      </c>
      <c r="H446" s="15">
        <v>1124.925</v>
      </c>
    </row>
    <row r="447" ht="12.9" customHeight="1">
      <c r="A447" t="s" s="10">
        <v>4797</v>
      </c>
      <c r="B447" t="s" s="11">
        <v>2671</v>
      </c>
      <c r="C447" s="12">
        <v>45140</v>
      </c>
      <c r="D447" t="s" s="13">
        <v>602</v>
      </c>
      <c r="E447" t="s" s="13">
        <v>686</v>
      </c>
      <c r="F447" s="14">
        <v>10</v>
      </c>
      <c r="G447" s="15">
        <v>224.9925</v>
      </c>
      <c r="H447" s="15">
        <v>2249.925</v>
      </c>
    </row>
    <row r="448" ht="12.9" customHeight="1">
      <c r="A448" t="s" s="10">
        <v>4797</v>
      </c>
      <c r="B448" t="s" s="11">
        <v>2671</v>
      </c>
      <c r="C448" s="12">
        <v>45140</v>
      </c>
      <c r="D448" t="s" s="13">
        <v>50</v>
      </c>
      <c r="E448" t="s" s="13">
        <v>83</v>
      </c>
      <c r="F448" s="14">
        <v>20</v>
      </c>
      <c r="G448" s="15">
        <v>0</v>
      </c>
      <c r="H448" s="15">
        <v>0</v>
      </c>
    </row>
    <row r="449" ht="12.9" customHeight="1">
      <c r="A449" t="s" s="10">
        <v>4797</v>
      </c>
      <c r="B449" t="s" s="11">
        <v>2671</v>
      </c>
      <c r="C449" s="12">
        <v>45140</v>
      </c>
      <c r="D449" t="s" s="13">
        <v>63</v>
      </c>
      <c r="E449" s="16"/>
      <c r="F449" s="14">
        <v>1</v>
      </c>
      <c r="G449" s="15">
        <v>3152.11</v>
      </c>
      <c r="H449" s="15">
        <v>3152.11</v>
      </c>
    </row>
    <row r="450" ht="12.9" customHeight="1">
      <c r="A450" t="s" s="10">
        <v>4798</v>
      </c>
      <c r="B450" t="s" s="11">
        <v>3094</v>
      </c>
      <c r="C450" s="12">
        <v>45140</v>
      </c>
      <c r="D450" t="s" s="13">
        <v>1202</v>
      </c>
      <c r="E450" t="s" s="13">
        <v>1203</v>
      </c>
      <c r="F450" s="14">
        <v>20</v>
      </c>
      <c r="G450" s="15">
        <v>80</v>
      </c>
      <c r="H450" s="15">
        <v>1600</v>
      </c>
    </row>
    <row r="451" ht="12.9" customHeight="1">
      <c r="A451" t="s" s="10">
        <v>4798</v>
      </c>
      <c r="B451" t="s" s="11">
        <v>3094</v>
      </c>
      <c r="C451" s="12">
        <v>45140</v>
      </c>
      <c r="D451" t="s" s="13">
        <v>63</v>
      </c>
      <c r="E451" s="16"/>
      <c r="F451" s="14">
        <v>1</v>
      </c>
      <c r="G451" s="15">
        <v>30</v>
      </c>
      <c r="H451" s="15">
        <v>30</v>
      </c>
    </row>
    <row r="452" ht="12.9" customHeight="1">
      <c r="A452" t="s" s="10">
        <v>4799</v>
      </c>
      <c r="B452" t="s" s="11">
        <v>1110</v>
      </c>
      <c r="C452" s="12">
        <v>45140</v>
      </c>
      <c r="D452" t="s" s="13">
        <v>4053</v>
      </c>
      <c r="E452" t="s" s="13">
        <v>4054</v>
      </c>
      <c r="F452" s="14">
        <v>5</v>
      </c>
      <c r="G452" s="15">
        <v>974.9924999999999</v>
      </c>
      <c r="H452" s="15">
        <v>4874.9625</v>
      </c>
    </row>
    <row r="453" ht="12.9" customHeight="1">
      <c r="A453" t="s" s="10">
        <v>4799</v>
      </c>
      <c r="B453" t="s" s="11">
        <v>1110</v>
      </c>
      <c r="C453" s="12">
        <v>45140</v>
      </c>
      <c r="D453" t="s" s="13">
        <v>4800</v>
      </c>
      <c r="E453" t="s" s="13">
        <v>4801</v>
      </c>
      <c r="F453" s="14">
        <v>5</v>
      </c>
      <c r="G453" s="15">
        <v>599.9924999999999</v>
      </c>
      <c r="H453" s="15">
        <v>2999.9625</v>
      </c>
    </row>
    <row r="454" ht="12.9" customHeight="1">
      <c r="A454" t="s" s="10">
        <v>4799</v>
      </c>
      <c r="B454" t="s" s="11">
        <v>1110</v>
      </c>
      <c r="C454" s="12">
        <v>45140</v>
      </c>
      <c r="D454" t="s" s="13">
        <v>50</v>
      </c>
      <c r="E454" t="s" s="13">
        <v>83</v>
      </c>
      <c r="F454" s="14">
        <v>5</v>
      </c>
      <c r="G454" s="15">
        <v>0</v>
      </c>
      <c r="H454" s="15">
        <v>0</v>
      </c>
    </row>
    <row r="455" ht="12.9" customHeight="1">
      <c r="A455" t="s" s="10">
        <v>4799</v>
      </c>
      <c r="B455" t="s" s="11">
        <v>1110</v>
      </c>
      <c r="C455" s="12">
        <v>45140</v>
      </c>
      <c r="D455" t="s" s="13">
        <v>63</v>
      </c>
      <c r="E455" s="16"/>
      <c r="F455" s="14">
        <v>1</v>
      </c>
      <c r="G455" s="15">
        <v>80</v>
      </c>
      <c r="H455" s="15">
        <v>80</v>
      </c>
    </row>
    <row r="456" ht="12.9" customHeight="1">
      <c r="A456" t="s" s="10">
        <v>4802</v>
      </c>
      <c r="B456" t="s" s="11">
        <v>1586</v>
      </c>
      <c r="C456" s="12">
        <v>45140</v>
      </c>
      <c r="D456" t="s" s="13">
        <v>468</v>
      </c>
      <c r="E456" t="s" s="13">
        <v>469</v>
      </c>
      <c r="F456" s="14">
        <v>4</v>
      </c>
      <c r="G456" s="15">
        <v>1874.9925</v>
      </c>
      <c r="H456" s="15">
        <v>7499.97</v>
      </c>
    </row>
    <row r="457" ht="12.9" customHeight="1">
      <c r="A457" t="s" s="10">
        <v>4802</v>
      </c>
      <c r="B457" t="s" s="11">
        <v>1586</v>
      </c>
      <c r="C457" s="12">
        <v>45140</v>
      </c>
      <c r="D457" t="s" s="13">
        <v>50</v>
      </c>
      <c r="E457" t="s" s="13">
        <v>83</v>
      </c>
      <c r="F457" s="14">
        <v>4</v>
      </c>
      <c r="G457" s="15">
        <v>0</v>
      </c>
      <c r="H457" s="15">
        <v>0</v>
      </c>
    </row>
    <row r="458" ht="12.9" customHeight="1">
      <c r="A458" t="s" s="10">
        <v>4802</v>
      </c>
      <c r="B458" t="s" s="11">
        <v>1586</v>
      </c>
      <c r="C458" s="12">
        <v>45140</v>
      </c>
      <c r="D458" t="s" s="13">
        <v>23</v>
      </c>
      <c r="E458" t="s" s="13">
        <v>828</v>
      </c>
      <c r="F458" s="14">
        <v>16</v>
      </c>
      <c r="G458" s="15">
        <v>0</v>
      </c>
      <c r="H458" s="15">
        <v>0</v>
      </c>
    </row>
    <row r="459" ht="12.9" customHeight="1">
      <c r="A459" t="s" s="10">
        <v>4802</v>
      </c>
      <c r="B459" t="s" s="11">
        <v>1586</v>
      </c>
      <c r="C459" s="12">
        <v>45140</v>
      </c>
      <c r="D459" t="s" s="13">
        <v>54</v>
      </c>
      <c r="E459" t="s" s="13">
        <v>93</v>
      </c>
      <c r="F459" s="14">
        <v>16</v>
      </c>
      <c r="G459" s="15">
        <v>0</v>
      </c>
      <c r="H459" s="15">
        <v>0</v>
      </c>
    </row>
    <row r="460" ht="12.9" customHeight="1">
      <c r="A460" t="s" s="10">
        <v>4802</v>
      </c>
      <c r="B460" t="s" s="11">
        <v>1586</v>
      </c>
      <c r="C460" s="12">
        <v>45140</v>
      </c>
      <c r="D460" t="s" s="13">
        <v>559</v>
      </c>
      <c r="E460" t="s" s="13">
        <v>560</v>
      </c>
      <c r="F460" s="14">
        <v>80</v>
      </c>
      <c r="G460" s="15">
        <v>0</v>
      </c>
      <c r="H460" s="15">
        <v>0</v>
      </c>
    </row>
    <row r="461" ht="12.9" customHeight="1">
      <c r="A461" t="s" s="10">
        <v>4802</v>
      </c>
      <c r="B461" t="s" s="11">
        <v>1586</v>
      </c>
      <c r="C461" s="12">
        <v>45140</v>
      </c>
      <c r="D461" t="s" s="13">
        <v>59</v>
      </c>
      <c r="E461" t="s" s="13">
        <v>60</v>
      </c>
      <c r="F461" s="14">
        <v>1</v>
      </c>
      <c r="G461" s="15">
        <v>899.9924999999999</v>
      </c>
      <c r="H461" s="15">
        <v>899.9924999999999</v>
      </c>
    </row>
    <row r="462" ht="12.9" customHeight="1">
      <c r="A462" t="s" s="10">
        <v>4802</v>
      </c>
      <c r="B462" t="s" s="11">
        <v>1586</v>
      </c>
      <c r="C462" s="12">
        <v>45140</v>
      </c>
      <c r="D462" t="s" s="13">
        <v>47</v>
      </c>
      <c r="E462" s="16"/>
      <c r="F462" s="14">
        <v>1</v>
      </c>
      <c r="G462" s="15">
        <v>380</v>
      </c>
      <c r="H462" s="15">
        <v>380</v>
      </c>
    </row>
    <row r="463" ht="12.9" customHeight="1">
      <c r="A463" t="s" s="10">
        <v>4803</v>
      </c>
      <c r="B463" t="s" s="11">
        <v>4804</v>
      </c>
      <c r="C463" s="12">
        <v>45139.615020300924</v>
      </c>
      <c r="D463" t="s" s="13">
        <v>19</v>
      </c>
      <c r="E463" t="s" s="13">
        <v>20</v>
      </c>
      <c r="F463" s="14">
        <v>1</v>
      </c>
      <c r="G463" s="15">
        <v>119.99</v>
      </c>
      <c r="H463" s="15">
        <v>119.99</v>
      </c>
    </row>
    <row r="464" ht="12.9" customHeight="1">
      <c r="A464" t="s" s="10">
        <v>4803</v>
      </c>
      <c r="B464" t="s" s="11">
        <v>4804</v>
      </c>
      <c r="C464" s="12">
        <v>45139.615020300924</v>
      </c>
      <c r="D464" t="s" s="13">
        <v>15</v>
      </c>
      <c r="E464" t="s" s="13">
        <v>4757</v>
      </c>
      <c r="F464" s="14">
        <v>1</v>
      </c>
      <c r="G464" s="15">
        <v>8.99</v>
      </c>
      <c r="H464" s="15">
        <v>8.99</v>
      </c>
    </row>
    <row r="465" ht="12.9" customHeight="1">
      <c r="A465" t="s" s="10">
        <v>4803</v>
      </c>
      <c r="B465" t="s" s="11">
        <v>4804</v>
      </c>
      <c r="C465" s="12">
        <v>45139.615020300924</v>
      </c>
      <c r="D465" t="s" s="13">
        <v>35</v>
      </c>
      <c r="E465" t="s" s="13">
        <v>36</v>
      </c>
      <c r="F465" s="14">
        <v>2</v>
      </c>
      <c r="G465" s="15">
        <v>49.99</v>
      </c>
      <c r="H465" s="15">
        <v>99.98</v>
      </c>
    </row>
    <row r="466" ht="12.9" customHeight="1">
      <c r="A466" t="s" s="10">
        <v>4803</v>
      </c>
      <c r="B466" t="s" s="11">
        <v>4804</v>
      </c>
      <c r="C466" s="12">
        <v>45139.615020300924</v>
      </c>
      <c r="D466" t="s" s="13">
        <v>15</v>
      </c>
      <c r="E466" t="s" s="13">
        <v>4757</v>
      </c>
      <c r="F466" s="14">
        <v>1</v>
      </c>
      <c r="G466" s="15">
        <v>8.99</v>
      </c>
      <c r="H466" s="15">
        <v>8.99</v>
      </c>
    </row>
    <row r="467" ht="12.9" customHeight="1">
      <c r="A467" t="s" s="10">
        <v>4803</v>
      </c>
      <c r="B467" t="s" s="11">
        <v>4804</v>
      </c>
      <c r="C467" s="12">
        <v>45139.615020300924</v>
      </c>
      <c r="D467" t="s" s="13">
        <v>54</v>
      </c>
      <c r="E467" t="s" s="13">
        <v>93</v>
      </c>
      <c r="F467" s="14">
        <v>1</v>
      </c>
      <c r="G467" s="15">
        <v>9.99</v>
      </c>
      <c r="H467" s="15">
        <v>9.99</v>
      </c>
    </row>
    <row r="468" ht="12.9" customHeight="1">
      <c r="A468" t="s" s="10">
        <v>4805</v>
      </c>
      <c r="B468" t="s" s="11">
        <v>516</v>
      </c>
      <c r="C468" s="12">
        <v>45139.003341504627</v>
      </c>
      <c r="D468" t="s" s="13">
        <v>602</v>
      </c>
      <c r="E468" t="s" s="13">
        <v>828</v>
      </c>
      <c r="F468" s="14">
        <v>2</v>
      </c>
      <c r="G468" s="15">
        <v>299.99</v>
      </c>
      <c r="H468" s="15">
        <v>599.98</v>
      </c>
    </row>
    <row r="469" ht="12.9" customHeight="1">
      <c r="A469" t="s" s="10">
        <v>4805</v>
      </c>
      <c r="B469" t="s" s="11">
        <v>516</v>
      </c>
      <c r="C469" s="12">
        <v>45139.003341504627</v>
      </c>
      <c r="D469" t="s" s="13">
        <v>73</v>
      </c>
      <c r="E469" t="s" s="13">
        <v>74</v>
      </c>
      <c r="F469" s="14">
        <v>1</v>
      </c>
      <c r="G469" s="15">
        <v>399.99</v>
      </c>
      <c r="H469" s="15">
        <v>399.99</v>
      </c>
    </row>
    <row r="470" ht="12.9" customHeight="1">
      <c r="A470" t="s" s="10">
        <v>4806</v>
      </c>
      <c r="B470" t="s" s="11">
        <v>516</v>
      </c>
      <c r="C470" s="12">
        <v>45139.003341504627</v>
      </c>
      <c r="D470" t="s" s="13">
        <v>73</v>
      </c>
      <c r="E470" t="s" s="13">
        <v>74</v>
      </c>
      <c r="F470" s="14">
        <v>1</v>
      </c>
      <c r="G470" s="15">
        <v>0</v>
      </c>
      <c r="H470" s="15">
        <v>0</v>
      </c>
    </row>
    <row r="471" ht="12.9" customHeight="1">
      <c r="A471" t="s" s="10">
        <v>4807</v>
      </c>
      <c r="B471" t="s" s="11">
        <v>42</v>
      </c>
      <c r="C471" s="12">
        <v>45139</v>
      </c>
      <c r="D471" t="s" s="13">
        <v>4808</v>
      </c>
      <c r="E471" t="s" s="13">
        <v>4809</v>
      </c>
      <c r="F471" s="14">
        <v>100</v>
      </c>
      <c r="G471" s="15">
        <v>33.7425</v>
      </c>
      <c r="H471" s="15">
        <v>3374.25</v>
      </c>
    </row>
    <row r="472" ht="12.9" customHeight="1">
      <c r="A472" t="s" s="10">
        <v>4807</v>
      </c>
      <c r="B472" t="s" s="11">
        <v>42</v>
      </c>
      <c r="C472" s="12">
        <v>45139</v>
      </c>
      <c r="D472" t="s" s="13">
        <v>315</v>
      </c>
      <c r="E472" t="s" s="13">
        <v>316</v>
      </c>
      <c r="F472" s="14">
        <v>300</v>
      </c>
      <c r="G472" s="15">
        <v>0.375</v>
      </c>
      <c r="H472" s="15">
        <v>112.5</v>
      </c>
    </row>
    <row r="473" ht="12.9" customHeight="1">
      <c r="A473" t="s" s="10">
        <v>4807</v>
      </c>
      <c r="B473" t="s" s="11">
        <v>42</v>
      </c>
      <c r="C473" s="12">
        <v>45139</v>
      </c>
      <c r="D473" t="s" s="13">
        <v>47</v>
      </c>
      <c r="E473" s="16"/>
      <c r="F473" s="14">
        <v>1</v>
      </c>
      <c r="G473" s="15">
        <v>40</v>
      </c>
      <c r="H473" s="15">
        <v>40</v>
      </c>
    </row>
    <row r="474" ht="12.9" customHeight="1">
      <c r="A474" t="s" s="10">
        <v>4810</v>
      </c>
      <c r="B474" t="s" s="11">
        <v>721</v>
      </c>
      <c r="C474" s="12">
        <v>45139</v>
      </c>
      <c r="D474" t="s" s="13">
        <v>4283</v>
      </c>
      <c r="E474" t="s" s="13">
        <v>4284</v>
      </c>
      <c r="F474" s="14">
        <v>48</v>
      </c>
      <c r="G474" s="15">
        <v>38.57142825</v>
      </c>
      <c r="H474" s="15">
        <v>1851.428556</v>
      </c>
    </row>
    <row r="475" ht="12.9" customHeight="1">
      <c r="A475" t="s" s="10">
        <v>4810</v>
      </c>
      <c r="B475" t="s" s="11">
        <v>721</v>
      </c>
      <c r="C475" s="12">
        <v>45139</v>
      </c>
      <c r="D475" t="s" s="13">
        <v>4811</v>
      </c>
      <c r="E475" t="s" s="13">
        <v>4811</v>
      </c>
      <c r="F475" s="14">
        <v>120</v>
      </c>
      <c r="G475" s="15">
        <v>3.64285725</v>
      </c>
      <c r="H475" s="15">
        <v>437.14287</v>
      </c>
    </row>
    <row r="476" ht="12.9" customHeight="1">
      <c r="A476" t="s" s="10">
        <v>4810</v>
      </c>
      <c r="B476" t="s" s="11">
        <v>721</v>
      </c>
      <c r="C476" s="12">
        <v>45139</v>
      </c>
      <c r="D476" t="s" s="13">
        <v>762</v>
      </c>
      <c r="E476" t="s" s="13">
        <v>763</v>
      </c>
      <c r="F476" s="14">
        <v>2</v>
      </c>
      <c r="G476" s="15">
        <v>0</v>
      </c>
      <c r="H476" s="15">
        <v>0</v>
      </c>
    </row>
    <row r="477" ht="12.9" customHeight="1">
      <c r="A477" t="s" s="10">
        <v>4810</v>
      </c>
      <c r="B477" t="s" s="11">
        <v>721</v>
      </c>
      <c r="C477" s="12">
        <v>45139</v>
      </c>
      <c r="D477" t="s" s="13">
        <v>47</v>
      </c>
      <c r="E477" s="16"/>
      <c r="F477" s="14">
        <v>1</v>
      </c>
      <c r="G477" s="15">
        <v>172.82</v>
      </c>
      <c r="H477" s="15">
        <v>172.82</v>
      </c>
    </row>
    <row r="478" ht="12.9" customHeight="1">
      <c r="A478" t="s" s="10">
        <v>4812</v>
      </c>
      <c r="B478" t="s" s="11">
        <v>4813</v>
      </c>
      <c r="C478" s="12">
        <v>45139</v>
      </c>
      <c r="D478" t="s" s="13">
        <v>404</v>
      </c>
      <c r="E478" t="s" s="13">
        <v>405</v>
      </c>
      <c r="F478" s="14">
        <v>1</v>
      </c>
      <c r="G478" s="15">
        <v>0</v>
      </c>
      <c r="H478" s="15">
        <v>0</v>
      </c>
    </row>
    <row r="479" ht="12.9" customHeight="1">
      <c r="A479" t="s" s="10">
        <v>4812</v>
      </c>
      <c r="B479" t="s" s="11">
        <v>4813</v>
      </c>
      <c r="C479" s="12">
        <v>45139</v>
      </c>
      <c r="D479" t="s" s="13">
        <v>369</v>
      </c>
      <c r="E479" t="s" s="13">
        <v>370</v>
      </c>
      <c r="F479" s="14">
        <v>1</v>
      </c>
      <c r="G479" s="15">
        <v>0</v>
      </c>
      <c r="H479" s="15">
        <v>0</v>
      </c>
    </row>
    <row r="480" ht="12.9" customHeight="1">
      <c r="A480" t="s" s="10">
        <v>4814</v>
      </c>
      <c r="B480" t="s" s="11">
        <v>4815</v>
      </c>
      <c r="C480" s="12">
        <v>45139</v>
      </c>
      <c r="D480" t="s" s="13">
        <v>143</v>
      </c>
      <c r="E480" t="s" s="13">
        <v>144</v>
      </c>
      <c r="F480" s="14">
        <v>1</v>
      </c>
      <c r="G480" s="15">
        <v>3199.99</v>
      </c>
      <c r="H480" s="15">
        <v>3199.99</v>
      </c>
    </row>
    <row r="481" ht="12.9" customHeight="1">
      <c r="A481" t="s" s="10">
        <v>4814</v>
      </c>
      <c r="B481" t="s" s="11">
        <v>4815</v>
      </c>
      <c r="C481" s="12">
        <v>45139</v>
      </c>
      <c r="D481" t="s" s="13">
        <v>63</v>
      </c>
      <c r="E481" s="16"/>
      <c r="F481" s="14">
        <v>1</v>
      </c>
      <c r="G481" s="15">
        <v>105</v>
      </c>
      <c r="H481" s="15">
        <v>105</v>
      </c>
    </row>
    <row r="482" ht="12.9" customHeight="1">
      <c r="A482" t="s" s="10">
        <v>4816</v>
      </c>
      <c r="B482" t="s" s="11">
        <v>4817</v>
      </c>
      <c r="C482" s="12">
        <v>45139</v>
      </c>
      <c r="D482" t="s" s="13">
        <v>462</v>
      </c>
      <c r="E482" t="s" s="13">
        <v>828</v>
      </c>
      <c r="F482" s="14">
        <v>8</v>
      </c>
      <c r="G482" s="15">
        <v>149.9925</v>
      </c>
      <c r="H482" s="15">
        <v>1199.94</v>
      </c>
    </row>
    <row r="483" ht="12.9" customHeight="1">
      <c r="A483" t="s" s="10">
        <v>4816</v>
      </c>
      <c r="B483" t="s" s="11">
        <v>4817</v>
      </c>
      <c r="C483" s="12">
        <v>45139</v>
      </c>
      <c r="D483" t="s" s="13">
        <v>63</v>
      </c>
      <c r="E483" s="16"/>
      <c r="F483" s="14">
        <v>1</v>
      </c>
      <c r="G483" s="15">
        <v>93.73</v>
      </c>
      <c r="H483" s="15">
        <v>93.73</v>
      </c>
    </row>
    <row r="484" ht="12.9" customHeight="1">
      <c r="A484" t="s" s="10">
        <v>4818</v>
      </c>
      <c r="B484" t="s" s="11">
        <v>3609</v>
      </c>
      <c r="C484" s="12">
        <v>45139</v>
      </c>
      <c r="D484" t="s" s="13">
        <v>1069</v>
      </c>
      <c r="E484" t="s" s="13">
        <v>828</v>
      </c>
      <c r="F484" s="14">
        <v>8</v>
      </c>
      <c r="G484" s="15">
        <v>99.98999999999999</v>
      </c>
      <c r="H484" s="15">
        <v>799.92</v>
      </c>
    </row>
    <row r="486" ht="15.55" customHeight="1">
      <c r="I486" t="s" s="2">
        <v>4819</v>
      </c>
      <c r="J486" s="2"/>
      <c r="K486" s="2"/>
      <c r="L486" s="2"/>
      <c r="M486" s="2"/>
      <c r="N486" s="2"/>
      <c r="O486" s="2"/>
    </row>
    <row r="488" ht="16.1" customHeight="1">
      <c r="I488" t="s" s="20">
        <v>2</v>
      </c>
      <c r="J488" t="s" s="21">
        <v>1</v>
      </c>
      <c r="K488" t="s" s="21">
        <v>616</v>
      </c>
      <c r="L488" t="s" s="22">
        <v>4</v>
      </c>
      <c r="M488" t="s" s="23">
        <v>617</v>
      </c>
      <c r="N488" t="s" s="3">
        <v>618</v>
      </c>
      <c r="O488" t="s" s="3">
        <v>619</v>
      </c>
    </row>
    <row r="489" ht="16.1" customHeight="1">
      <c r="I489" t="s" s="121">
        <v>210</v>
      </c>
      <c r="J489" s="122"/>
      <c r="K489" s="122"/>
      <c r="L489" s="123"/>
      <c r="M489" s="124">
        <v>1</v>
      </c>
      <c r="N489" s="141">
        <v>330</v>
      </c>
      <c r="O489" s="141">
        <v>330</v>
      </c>
    </row>
    <row r="490" ht="16.1" customHeight="1">
      <c r="I490" t="s" s="126">
        <v>4763</v>
      </c>
      <c r="J490" s="127"/>
      <c r="K490" s="127"/>
      <c r="L490" s="128"/>
      <c r="M490" s="129">
        <v>1</v>
      </c>
      <c r="N490" s="142">
        <v>399.99</v>
      </c>
      <c r="O490" s="142">
        <v>399.99</v>
      </c>
    </row>
    <row r="491" ht="16.1" customHeight="1">
      <c r="I491" t="s" s="126">
        <v>4693</v>
      </c>
      <c r="J491" s="127"/>
      <c r="K491" s="127"/>
      <c r="L491" s="128"/>
      <c r="M491" s="129">
        <v>3</v>
      </c>
      <c r="N491" s="142">
        <v>18.98</v>
      </c>
      <c r="O491" s="142">
        <v>28.97</v>
      </c>
    </row>
    <row r="492" ht="16.1" customHeight="1">
      <c r="I492" t="s" s="126">
        <v>1110</v>
      </c>
      <c r="J492" s="127"/>
      <c r="K492" s="127"/>
      <c r="L492" s="128"/>
      <c r="M492" s="129">
        <v>16</v>
      </c>
      <c r="N492" s="142">
        <v>1654.985</v>
      </c>
      <c r="O492" s="142">
        <v>7954.925</v>
      </c>
    </row>
    <row r="493" ht="16.1" customHeight="1">
      <c r="I493" t="s" s="126">
        <v>161</v>
      </c>
      <c r="J493" s="127"/>
      <c r="K493" s="127"/>
      <c r="L493" s="128"/>
      <c r="M493" s="129">
        <v>121</v>
      </c>
      <c r="N493" s="142">
        <v>62.4925</v>
      </c>
      <c r="O493" s="142">
        <v>324.94</v>
      </c>
    </row>
    <row r="494" ht="16.1" customHeight="1">
      <c r="I494" t="s" s="126">
        <v>4661</v>
      </c>
      <c r="J494" s="127"/>
      <c r="K494" s="127"/>
      <c r="L494" s="128"/>
      <c r="M494" s="129">
        <v>1</v>
      </c>
      <c r="N494" s="142">
        <v>349.99</v>
      </c>
      <c r="O494" s="142">
        <v>349.99</v>
      </c>
    </row>
    <row r="495" ht="16.1" customHeight="1">
      <c r="I495" t="s" s="126">
        <v>4569</v>
      </c>
      <c r="J495" s="127"/>
      <c r="K495" s="127"/>
      <c r="L495" s="128"/>
      <c r="M495" s="129">
        <v>1</v>
      </c>
      <c r="N495" s="142">
        <v>374.99</v>
      </c>
      <c r="O495" s="142">
        <v>374.99</v>
      </c>
    </row>
    <row r="496" ht="16.1" customHeight="1">
      <c r="I496" t="s" s="126">
        <v>4643</v>
      </c>
      <c r="J496" s="127"/>
      <c r="K496" s="127"/>
      <c r="L496" s="128"/>
      <c r="M496" s="129">
        <v>1</v>
      </c>
      <c r="N496" s="142">
        <v>399.99</v>
      </c>
      <c r="O496" s="142">
        <v>399.99</v>
      </c>
    </row>
    <row r="497" ht="16.1" customHeight="1">
      <c r="I497" t="s" s="126">
        <v>4645</v>
      </c>
      <c r="J497" s="127"/>
      <c r="K497" s="127"/>
      <c r="L497" s="128"/>
      <c r="M497" s="129">
        <v>9</v>
      </c>
      <c r="N497" s="142">
        <v>417.95</v>
      </c>
      <c r="O497" s="142">
        <v>535.91</v>
      </c>
    </row>
    <row r="498" ht="16.1" customHeight="1">
      <c r="I498" t="s" s="126">
        <v>4673</v>
      </c>
      <c r="J498" s="127"/>
      <c r="K498" s="127"/>
      <c r="L498" s="128"/>
      <c r="M498" s="129">
        <v>7</v>
      </c>
      <c r="N498" s="142">
        <v>294.98</v>
      </c>
      <c r="O498" s="142">
        <v>514.96</v>
      </c>
    </row>
    <row r="499" ht="16.1" customHeight="1">
      <c r="I499" t="s" s="126">
        <v>3981</v>
      </c>
      <c r="J499" s="127"/>
      <c r="K499" s="127"/>
      <c r="L499" s="128"/>
      <c r="M499" s="129">
        <v>12</v>
      </c>
      <c r="N499" s="142">
        <v>128.98</v>
      </c>
      <c r="O499" s="142">
        <v>773.88</v>
      </c>
    </row>
    <row r="500" ht="16.1" customHeight="1">
      <c r="I500" t="s" s="126">
        <v>4748</v>
      </c>
      <c r="J500" s="127"/>
      <c r="K500" s="127"/>
      <c r="L500" s="128"/>
      <c r="M500" s="129">
        <v>2</v>
      </c>
      <c r="N500" s="142">
        <v>549.98</v>
      </c>
      <c r="O500" s="142">
        <v>549.98</v>
      </c>
    </row>
    <row r="501" ht="16.1" customHeight="1">
      <c r="I501" t="s" s="126">
        <v>4679</v>
      </c>
      <c r="J501" s="127"/>
      <c r="K501" s="127"/>
      <c r="L501" s="128"/>
      <c r="M501" s="129">
        <v>12</v>
      </c>
      <c r="N501" s="142">
        <v>1409.98</v>
      </c>
      <c r="O501" s="142">
        <v>1409.98</v>
      </c>
    </row>
    <row r="502" ht="16.1" customHeight="1">
      <c r="I502" t="s" s="126">
        <v>4691</v>
      </c>
      <c r="J502" s="127"/>
      <c r="K502" s="127"/>
      <c r="L502" s="128"/>
      <c r="M502" s="129">
        <v>5</v>
      </c>
      <c r="N502" s="142">
        <v>599.98</v>
      </c>
      <c r="O502" s="142">
        <v>1199.95</v>
      </c>
    </row>
    <row r="503" ht="16.1" customHeight="1">
      <c r="I503" t="s" s="126">
        <v>4501</v>
      </c>
      <c r="J503" s="127"/>
      <c r="K503" s="127"/>
      <c r="L503" s="128"/>
      <c r="M503" s="129">
        <v>2</v>
      </c>
      <c r="N503" s="142">
        <v>58.98</v>
      </c>
      <c r="O503" s="142">
        <v>58.98</v>
      </c>
    </row>
    <row r="504" ht="16.1" customHeight="1">
      <c r="I504" t="s" s="126">
        <v>4615</v>
      </c>
      <c r="J504" s="127"/>
      <c r="K504" s="127"/>
      <c r="L504" s="128"/>
      <c r="M504" s="129">
        <v>1</v>
      </c>
      <c r="N504" s="142">
        <v>349.99</v>
      </c>
      <c r="O504" s="142">
        <v>349.99</v>
      </c>
    </row>
    <row r="505" ht="16.1" customHeight="1">
      <c r="I505" t="s" s="126">
        <v>516</v>
      </c>
      <c r="J505" s="127"/>
      <c r="K505" s="127"/>
      <c r="L505" s="128"/>
      <c r="M505" s="129">
        <v>4</v>
      </c>
      <c r="N505" s="142">
        <v>699.98</v>
      </c>
      <c r="O505" s="142">
        <v>999.97</v>
      </c>
    </row>
    <row r="506" ht="16.1" customHeight="1">
      <c r="I506" t="s" s="126">
        <v>1536</v>
      </c>
      <c r="J506" s="127"/>
      <c r="K506" s="127"/>
      <c r="L506" s="128"/>
      <c r="M506" s="129">
        <v>9</v>
      </c>
      <c r="N506" s="142">
        <v>623.96</v>
      </c>
      <c r="O506" s="142">
        <v>847.9299999999999</v>
      </c>
    </row>
    <row r="507" ht="16.1" customHeight="1">
      <c r="I507" t="s" s="126">
        <v>4789</v>
      </c>
      <c r="J507" s="127"/>
      <c r="K507" s="127"/>
      <c r="L507" s="128"/>
      <c r="M507" s="129">
        <v>3</v>
      </c>
      <c r="N507" s="142">
        <v>0</v>
      </c>
      <c r="O507" s="142">
        <v>0</v>
      </c>
    </row>
    <row r="508" ht="16.1" customHeight="1">
      <c r="I508" t="s" s="126">
        <v>4665</v>
      </c>
      <c r="J508" s="127"/>
      <c r="K508" s="127"/>
      <c r="L508" s="128"/>
      <c r="M508" s="129">
        <v>14</v>
      </c>
      <c r="N508" s="142">
        <v>595.89</v>
      </c>
      <c r="O508" s="142">
        <v>925.86</v>
      </c>
    </row>
    <row r="509" ht="16.1" customHeight="1">
      <c r="I509" t="s" s="126">
        <v>4402</v>
      </c>
      <c r="J509" s="127"/>
      <c r="K509" s="127"/>
      <c r="L509" s="128"/>
      <c r="M509" s="129">
        <v>3</v>
      </c>
      <c r="N509" s="142">
        <v>9.99</v>
      </c>
      <c r="O509" s="142">
        <v>29.97</v>
      </c>
    </row>
    <row r="510" ht="16.1" customHeight="1">
      <c r="I510" t="s" s="126">
        <v>4781</v>
      </c>
      <c r="J510" s="127"/>
      <c r="K510" s="127"/>
      <c r="L510" s="128"/>
      <c r="M510" s="129">
        <v>19</v>
      </c>
      <c r="N510" s="142">
        <v>2777.48</v>
      </c>
      <c r="O510" s="142">
        <v>2827.47</v>
      </c>
    </row>
    <row r="511" ht="16.1" customHeight="1">
      <c r="I511" t="s" s="126">
        <v>4607</v>
      </c>
      <c r="J511" s="127"/>
      <c r="K511" s="127"/>
      <c r="L511" s="128"/>
      <c r="M511" s="129">
        <v>1</v>
      </c>
      <c r="N511" s="142">
        <v>399.99</v>
      </c>
      <c r="O511" s="142">
        <v>399.99</v>
      </c>
    </row>
    <row r="512" ht="16.1" customHeight="1">
      <c r="I512" t="s" s="126">
        <v>4722</v>
      </c>
      <c r="J512" s="127"/>
      <c r="K512" s="127"/>
      <c r="L512" s="128"/>
      <c r="M512" s="129">
        <v>1</v>
      </c>
      <c r="N512" s="142">
        <v>599.99</v>
      </c>
      <c r="O512" s="142">
        <v>599.99</v>
      </c>
    </row>
    <row r="513" ht="16.1" customHeight="1">
      <c r="I513" t="s" s="126">
        <v>2091</v>
      </c>
      <c r="J513" s="127"/>
      <c r="K513" s="127"/>
      <c r="L513" s="128"/>
      <c r="M513" s="129">
        <v>1</v>
      </c>
      <c r="N513" s="142">
        <v>8.99</v>
      </c>
      <c r="O513" s="142">
        <v>8.99</v>
      </c>
    </row>
    <row r="514" ht="16.1" customHeight="1">
      <c r="I514" t="s" s="126">
        <v>4793</v>
      </c>
      <c r="J514" s="127"/>
      <c r="K514" s="127"/>
      <c r="L514" s="128"/>
      <c r="M514" s="129">
        <v>1</v>
      </c>
      <c r="N514" s="142">
        <v>349.99</v>
      </c>
      <c r="O514" s="142">
        <v>349.99</v>
      </c>
    </row>
    <row r="515" ht="16.1" customHeight="1">
      <c r="I515" t="s" s="126">
        <v>4443</v>
      </c>
      <c r="J515" s="127"/>
      <c r="K515" s="127"/>
      <c r="L515" s="128"/>
      <c r="M515" s="129">
        <v>5</v>
      </c>
      <c r="N515" s="142">
        <v>1059.96</v>
      </c>
      <c r="O515" s="142">
        <v>1059.96</v>
      </c>
    </row>
    <row r="516" ht="16.1" customHeight="1">
      <c r="I516" t="s" s="126">
        <v>4659</v>
      </c>
      <c r="J516" s="127"/>
      <c r="K516" s="127"/>
      <c r="L516" s="128"/>
      <c r="M516" s="129">
        <v>1</v>
      </c>
      <c r="N516" s="142">
        <v>399.99</v>
      </c>
      <c r="O516" s="142">
        <v>399.99</v>
      </c>
    </row>
    <row r="517" ht="16.1" customHeight="1">
      <c r="I517" t="s" s="126">
        <v>4775</v>
      </c>
      <c r="J517" s="127"/>
      <c r="K517" s="127"/>
      <c r="L517" s="128"/>
      <c r="M517" s="129">
        <v>2</v>
      </c>
      <c r="N517" s="142">
        <v>24.99</v>
      </c>
      <c r="O517" s="142">
        <v>49.98</v>
      </c>
    </row>
    <row r="518" ht="16.1" customHeight="1">
      <c r="I518" t="s" s="126">
        <v>3609</v>
      </c>
      <c r="J518" s="127"/>
      <c r="K518" s="127"/>
      <c r="L518" s="128"/>
      <c r="M518" s="129">
        <v>8</v>
      </c>
      <c r="N518" s="142">
        <v>99.98999999999999</v>
      </c>
      <c r="O518" s="142">
        <v>799.92</v>
      </c>
    </row>
    <row r="519" ht="16.1" customHeight="1">
      <c r="I519" t="s" s="126">
        <v>3683</v>
      </c>
      <c r="J519" s="127"/>
      <c r="K519" s="127"/>
      <c r="L519" s="128"/>
      <c r="M519" s="129">
        <v>1</v>
      </c>
      <c r="N519" s="142">
        <v>399.99</v>
      </c>
      <c r="O519" s="142">
        <v>399.99</v>
      </c>
    </row>
    <row r="520" ht="16.1" customHeight="1">
      <c r="I520" t="s" s="126">
        <v>4598</v>
      </c>
      <c r="J520" s="127"/>
      <c r="K520" s="127"/>
      <c r="L520" s="128"/>
      <c r="M520" s="129">
        <v>28</v>
      </c>
      <c r="N520" s="142">
        <v>128.48</v>
      </c>
      <c r="O520" s="142">
        <v>1798.72</v>
      </c>
    </row>
    <row r="521" ht="16.1" customHeight="1">
      <c r="I521" t="s" s="126">
        <v>4539</v>
      </c>
      <c r="J521" s="127"/>
      <c r="K521" s="127"/>
      <c r="L521" s="128"/>
      <c r="M521" s="129">
        <v>13</v>
      </c>
      <c r="N521" s="142">
        <v>2919.95</v>
      </c>
      <c r="O521" s="142">
        <v>2919.95</v>
      </c>
    </row>
    <row r="522" ht="16.1" customHeight="1">
      <c r="I522" t="s" s="126">
        <v>4273</v>
      </c>
      <c r="J522" s="127"/>
      <c r="K522" s="127"/>
      <c r="L522" s="128"/>
      <c r="M522" s="129">
        <v>1</v>
      </c>
      <c r="N522" s="142">
        <v>399.99</v>
      </c>
      <c r="O522" s="142">
        <v>399.99</v>
      </c>
    </row>
    <row r="523" ht="16.1" customHeight="1">
      <c r="I523" t="s" s="126">
        <v>4804</v>
      </c>
      <c r="J523" s="127"/>
      <c r="K523" s="127"/>
      <c r="L523" s="128"/>
      <c r="M523" s="129">
        <v>6</v>
      </c>
      <c r="N523" s="142">
        <v>197.95</v>
      </c>
      <c r="O523" s="142">
        <v>247.94</v>
      </c>
    </row>
    <row r="524" ht="16.1" customHeight="1">
      <c r="I524" t="s" s="126">
        <v>4641</v>
      </c>
      <c r="J524" s="127"/>
      <c r="K524" s="127"/>
      <c r="L524" s="128"/>
      <c r="M524" s="129">
        <v>1</v>
      </c>
      <c r="N524" s="142">
        <v>399.99</v>
      </c>
      <c r="O524" s="142">
        <v>399.99</v>
      </c>
    </row>
    <row r="525" ht="16.1" customHeight="1">
      <c r="I525" t="s" s="126">
        <v>1570</v>
      </c>
      <c r="J525" s="127"/>
      <c r="K525" s="127"/>
      <c r="L525" s="128"/>
      <c r="M525" s="129">
        <v>71</v>
      </c>
      <c r="N525" s="142">
        <v>2789.7375</v>
      </c>
      <c r="O525" s="142">
        <v>9591.997499999999</v>
      </c>
    </row>
    <row r="526" ht="16.1" customHeight="1">
      <c r="I526" t="s" s="126">
        <v>4529</v>
      </c>
      <c r="J526" s="127"/>
      <c r="K526" s="127"/>
      <c r="L526" s="128"/>
      <c r="M526" s="129">
        <v>1</v>
      </c>
      <c r="N526" s="142">
        <v>1199.99</v>
      </c>
      <c r="O526" s="142">
        <v>1199.99</v>
      </c>
    </row>
    <row r="527" ht="16.1" customHeight="1">
      <c r="I527" t="s" s="126">
        <v>4724</v>
      </c>
      <c r="J527" s="127"/>
      <c r="K527" s="127"/>
      <c r="L527" s="128"/>
      <c r="M527" s="129">
        <v>1</v>
      </c>
      <c r="N527" s="142">
        <v>399.99</v>
      </c>
      <c r="O527" s="142">
        <v>399.99</v>
      </c>
    </row>
    <row r="528" ht="16.1" customHeight="1">
      <c r="I528" t="s" s="126">
        <v>4761</v>
      </c>
      <c r="J528" s="127"/>
      <c r="K528" s="127"/>
      <c r="L528" s="128"/>
      <c r="M528" s="129">
        <v>1</v>
      </c>
      <c r="N528" s="142">
        <v>399.99</v>
      </c>
      <c r="O528" s="142">
        <v>399.99</v>
      </c>
    </row>
    <row r="529" ht="16.1" customHeight="1">
      <c r="I529" t="s" s="126">
        <v>391</v>
      </c>
      <c r="J529" s="127"/>
      <c r="K529" s="127"/>
      <c r="L529" s="128"/>
      <c r="M529" s="129">
        <v>1</v>
      </c>
      <c r="N529" s="142">
        <v>0</v>
      </c>
      <c r="O529" s="142">
        <v>0</v>
      </c>
    </row>
    <row r="530" ht="16.1" customHeight="1">
      <c r="I530" t="s" s="126">
        <v>911</v>
      </c>
      <c r="J530" s="127"/>
      <c r="K530" s="127"/>
      <c r="L530" s="128"/>
      <c r="M530" s="129">
        <v>21</v>
      </c>
      <c r="N530" s="142">
        <v>499.99</v>
      </c>
      <c r="O530" s="142">
        <v>3999.92</v>
      </c>
    </row>
    <row r="531" ht="16.1" customHeight="1">
      <c r="I531" t="s" s="126">
        <v>2940</v>
      </c>
      <c r="J531" s="127"/>
      <c r="K531" s="127"/>
      <c r="L531" s="128"/>
      <c r="M531" s="129">
        <v>2</v>
      </c>
      <c r="N531" s="142">
        <v>411.541</v>
      </c>
      <c r="O531" s="142">
        <v>411.541</v>
      </c>
    </row>
    <row r="532" ht="16.1" customHeight="1">
      <c r="I532" t="s" s="126">
        <v>4813</v>
      </c>
      <c r="J532" s="127"/>
      <c r="K532" s="127"/>
      <c r="L532" s="128"/>
      <c r="M532" s="129">
        <v>2</v>
      </c>
      <c r="N532" s="142">
        <v>0</v>
      </c>
      <c r="O532" s="142">
        <v>0</v>
      </c>
    </row>
    <row r="533" ht="16.1" customHeight="1">
      <c r="I533" t="s" s="126">
        <v>4791</v>
      </c>
      <c r="J533" s="127"/>
      <c r="K533" s="127"/>
      <c r="L533" s="128"/>
      <c r="M533" s="129">
        <v>1</v>
      </c>
      <c r="N533" s="142">
        <v>599.99</v>
      </c>
      <c r="O533" s="142">
        <v>599.99</v>
      </c>
    </row>
    <row r="534" ht="16.1" customHeight="1">
      <c r="I534" t="s" s="126">
        <v>4525</v>
      </c>
      <c r="J534" s="127"/>
      <c r="K534" s="127"/>
      <c r="L534" s="128"/>
      <c r="M534" s="129">
        <v>2</v>
      </c>
      <c r="N534" s="142">
        <v>49.99</v>
      </c>
      <c r="O534" s="142">
        <v>99.98</v>
      </c>
    </row>
    <row r="535" ht="16.1" customHeight="1">
      <c r="I535" t="s" s="126">
        <v>415</v>
      </c>
      <c r="J535" s="127"/>
      <c r="K535" s="127"/>
      <c r="L535" s="128"/>
      <c r="M535" s="129">
        <v>1</v>
      </c>
      <c r="N535" s="142">
        <v>399.99</v>
      </c>
      <c r="O535" s="142">
        <v>399.99</v>
      </c>
    </row>
    <row r="536" ht="16.1" customHeight="1">
      <c r="I536" t="s" s="126">
        <v>4495</v>
      </c>
      <c r="J536" s="127"/>
      <c r="K536" s="127"/>
      <c r="L536" s="128"/>
      <c r="M536" s="129">
        <v>1</v>
      </c>
      <c r="N536" s="142">
        <v>49.99</v>
      </c>
      <c r="O536" s="142">
        <v>49.99</v>
      </c>
    </row>
    <row r="537" ht="16.1" customHeight="1">
      <c r="I537" t="s" s="126">
        <v>4638</v>
      </c>
      <c r="J537" s="127"/>
      <c r="K537" s="127"/>
      <c r="L537" s="128"/>
      <c r="M537" s="129">
        <v>4</v>
      </c>
      <c r="N537" s="142">
        <v>159.96</v>
      </c>
      <c r="O537" s="142">
        <v>159.96</v>
      </c>
    </row>
    <row r="538" ht="16.1" customHeight="1">
      <c r="I538" t="s" s="126">
        <v>555</v>
      </c>
      <c r="J538" s="127"/>
      <c r="K538" s="127"/>
      <c r="L538" s="128"/>
      <c r="M538" s="129">
        <v>6</v>
      </c>
      <c r="N538" s="142">
        <v>2779.99</v>
      </c>
      <c r="O538" s="142">
        <v>10279.96</v>
      </c>
    </row>
    <row r="539" ht="16.1" customHeight="1">
      <c r="I539" t="s" s="126">
        <v>69</v>
      </c>
      <c r="J539" s="127"/>
      <c r="K539" s="127"/>
      <c r="L539" s="128"/>
      <c r="M539" s="129">
        <v>228</v>
      </c>
      <c r="N539" s="142">
        <v>1256.1975</v>
      </c>
      <c r="O539" s="142">
        <v>8560.485000000001</v>
      </c>
    </row>
    <row r="540" ht="16.1" customHeight="1">
      <c r="I540" t="s" s="126">
        <v>3902</v>
      </c>
      <c r="J540" s="127"/>
      <c r="K540" s="127"/>
      <c r="L540" s="128"/>
      <c r="M540" s="129">
        <v>1</v>
      </c>
      <c r="N540" s="142">
        <v>599.99</v>
      </c>
      <c r="O540" s="142">
        <v>599.99</v>
      </c>
    </row>
    <row r="541" ht="16.1" customHeight="1">
      <c r="I541" t="s" s="126">
        <v>1426</v>
      </c>
      <c r="J541" s="127"/>
      <c r="K541" s="127"/>
      <c r="L541" s="128"/>
      <c r="M541" s="129">
        <v>6</v>
      </c>
      <c r="N541" s="142">
        <v>0</v>
      </c>
      <c r="O541" s="142">
        <v>0</v>
      </c>
    </row>
    <row r="542" ht="16.1" customHeight="1">
      <c r="I542" t="s" s="126">
        <v>4450</v>
      </c>
      <c r="J542" s="127"/>
      <c r="K542" s="127"/>
      <c r="L542" s="128"/>
      <c r="M542" s="129">
        <v>29</v>
      </c>
      <c r="N542" s="142">
        <v>1285.96</v>
      </c>
      <c r="O542" s="142">
        <v>4063.83</v>
      </c>
    </row>
    <row r="543" ht="16.1" customHeight="1">
      <c r="I543" t="s" s="126">
        <v>80</v>
      </c>
      <c r="J543" s="127"/>
      <c r="K543" s="127"/>
      <c r="L543" s="128"/>
      <c r="M543" s="129">
        <v>1</v>
      </c>
      <c r="N543" s="142">
        <v>9.99</v>
      </c>
      <c r="O543" s="142">
        <v>9.99</v>
      </c>
    </row>
    <row r="544" ht="16.1" customHeight="1">
      <c r="I544" t="s" s="126">
        <v>332</v>
      </c>
      <c r="J544" s="127"/>
      <c r="K544" s="127"/>
      <c r="L544" s="128"/>
      <c r="M544" s="129">
        <v>18</v>
      </c>
      <c r="N544" s="142">
        <v>1428.97</v>
      </c>
      <c r="O544" s="142">
        <v>3115.9</v>
      </c>
    </row>
    <row r="545" ht="16.1" customHeight="1">
      <c r="I545" t="s" s="126">
        <v>4689</v>
      </c>
      <c r="J545" s="127"/>
      <c r="K545" s="127"/>
      <c r="L545" s="128"/>
      <c r="M545" s="129">
        <v>1</v>
      </c>
      <c r="N545" s="142">
        <v>219.99</v>
      </c>
      <c r="O545" s="142">
        <v>219.99</v>
      </c>
    </row>
    <row r="546" ht="16.1" customHeight="1">
      <c r="I546" t="s" s="126">
        <v>4577</v>
      </c>
      <c r="J546" s="127"/>
      <c r="K546" s="127"/>
      <c r="L546" s="128"/>
      <c r="M546" s="129">
        <v>4</v>
      </c>
      <c r="N546" s="142">
        <v>128.98</v>
      </c>
      <c r="O546" s="142">
        <v>257.96</v>
      </c>
    </row>
    <row r="547" ht="16.1" customHeight="1">
      <c r="I547" t="s" s="126">
        <v>4667</v>
      </c>
      <c r="J547" s="127"/>
      <c r="K547" s="127"/>
      <c r="L547" s="128"/>
      <c r="M547" s="129">
        <v>3</v>
      </c>
      <c r="N547" s="142">
        <v>169.98</v>
      </c>
      <c r="O547" s="142">
        <v>319.97</v>
      </c>
    </row>
    <row r="548" ht="16.1" customHeight="1">
      <c r="I548" t="s" s="126">
        <v>4555</v>
      </c>
      <c r="J548" s="127"/>
      <c r="K548" s="127"/>
      <c r="L548" s="128"/>
      <c r="M548" s="129">
        <v>2</v>
      </c>
      <c r="N548" s="142">
        <v>399.99</v>
      </c>
      <c r="O548" s="142">
        <v>799.98</v>
      </c>
    </row>
    <row r="549" ht="16.1" customHeight="1">
      <c r="I549" t="s" s="126">
        <v>4701</v>
      </c>
      <c r="J549" s="127"/>
      <c r="K549" s="127"/>
      <c r="L549" s="128"/>
      <c r="M549" s="129">
        <v>5</v>
      </c>
      <c r="N549" s="142">
        <v>706.85</v>
      </c>
      <c r="O549" s="142">
        <v>706.85</v>
      </c>
    </row>
    <row r="550" ht="16.1" customHeight="1">
      <c r="I550" t="s" s="126">
        <v>4752</v>
      </c>
      <c r="J550" s="127"/>
      <c r="K550" s="127"/>
      <c r="L550" s="128"/>
      <c r="M550" s="129">
        <v>2</v>
      </c>
      <c r="N550" s="142">
        <v>408.98</v>
      </c>
      <c r="O550" s="142">
        <v>408.98</v>
      </c>
    </row>
    <row r="551" ht="16.1" customHeight="1">
      <c r="I551" t="s" s="126">
        <v>4651</v>
      </c>
      <c r="J551" s="127"/>
      <c r="K551" s="127"/>
      <c r="L551" s="128"/>
      <c r="M551" s="129">
        <v>3</v>
      </c>
      <c r="N551" s="142">
        <v>4539.98</v>
      </c>
      <c r="O551" s="142">
        <v>4539.98</v>
      </c>
    </row>
    <row r="552" ht="16.1" customHeight="1">
      <c r="I552" t="s" s="126">
        <v>4609</v>
      </c>
      <c r="J552" s="127"/>
      <c r="K552" s="127"/>
      <c r="L552" s="128"/>
      <c r="M552" s="129">
        <v>11</v>
      </c>
      <c r="N552" s="142">
        <v>1019.7341</v>
      </c>
      <c r="O552" s="142">
        <v>1657.2266</v>
      </c>
    </row>
    <row r="553" ht="16.1" customHeight="1">
      <c r="I553" t="s" s="126">
        <v>735</v>
      </c>
      <c r="J553" s="127"/>
      <c r="K553" s="127"/>
      <c r="L553" s="128"/>
      <c r="M553" s="129">
        <v>4</v>
      </c>
      <c r="N553" s="142">
        <v>128.98</v>
      </c>
      <c r="O553" s="142">
        <v>257.96</v>
      </c>
    </row>
    <row r="554" ht="16.1" customHeight="1">
      <c r="I554" t="s" s="126">
        <v>4728</v>
      </c>
      <c r="J554" s="127"/>
      <c r="K554" s="127"/>
      <c r="L554" s="128"/>
      <c r="M554" s="129">
        <v>2</v>
      </c>
      <c r="N554" s="142">
        <v>549.99</v>
      </c>
      <c r="O554" s="142">
        <v>1099.98</v>
      </c>
    </row>
    <row r="555" ht="16.1" customHeight="1">
      <c r="I555" t="s" s="126">
        <v>4783</v>
      </c>
      <c r="J555" s="127"/>
      <c r="K555" s="127"/>
      <c r="L555" s="128"/>
      <c r="M555" s="129">
        <v>1</v>
      </c>
      <c r="N555" s="142">
        <v>0</v>
      </c>
      <c r="O555" s="142">
        <v>0</v>
      </c>
    </row>
    <row r="556" ht="16.1" customHeight="1">
      <c r="I556" t="s" s="126">
        <v>4551</v>
      </c>
      <c r="J556" s="127"/>
      <c r="K556" s="127"/>
      <c r="L556" s="128"/>
      <c r="M556" s="129">
        <v>1</v>
      </c>
      <c r="N556" s="142">
        <v>49.99</v>
      </c>
      <c r="O556" s="142">
        <v>49.99</v>
      </c>
    </row>
    <row r="557" ht="16.1" customHeight="1">
      <c r="I557" t="s" s="126">
        <v>4817</v>
      </c>
      <c r="J557" s="127"/>
      <c r="K557" s="127"/>
      <c r="L557" s="128"/>
      <c r="M557" s="129">
        <v>9</v>
      </c>
      <c r="N557" s="142">
        <v>243.7225</v>
      </c>
      <c r="O557" s="142">
        <v>1293.67</v>
      </c>
    </row>
    <row r="558" ht="16.1" customHeight="1">
      <c r="I558" t="s" s="126">
        <v>476</v>
      </c>
      <c r="J558" s="127"/>
      <c r="K558" s="127"/>
      <c r="L558" s="128"/>
      <c r="M558" s="129">
        <v>102</v>
      </c>
      <c r="N558" s="142">
        <v>3709.9925</v>
      </c>
      <c r="O558" s="142">
        <v>39009.895</v>
      </c>
    </row>
    <row r="559" ht="16.1" customHeight="1">
      <c r="I559" t="s" s="126">
        <v>896</v>
      </c>
      <c r="J559" s="127"/>
      <c r="K559" s="127"/>
      <c r="L559" s="128"/>
      <c r="M559" s="129">
        <v>96</v>
      </c>
      <c r="N559" s="142">
        <v>550</v>
      </c>
      <c r="O559" s="142">
        <v>3925</v>
      </c>
    </row>
    <row r="560" ht="16.1" customHeight="1">
      <c r="I560" t="s" s="126">
        <v>4815</v>
      </c>
      <c r="J560" s="127"/>
      <c r="K560" s="127"/>
      <c r="L560" s="128"/>
      <c r="M560" s="129">
        <v>2</v>
      </c>
      <c r="N560" s="142">
        <v>3304.99</v>
      </c>
      <c r="O560" s="142">
        <v>3304.99</v>
      </c>
    </row>
    <row r="561" ht="16.1" customHeight="1">
      <c r="I561" t="s" s="126">
        <v>3852</v>
      </c>
      <c r="J561" s="127"/>
      <c r="K561" s="127"/>
      <c r="L561" s="128"/>
      <c r="M561" s="129">
        <v>5</v>
      </c>
      <c r="N561" s="142">
        <v>399.99</v>
      </c>
      <c r="O561" s="142">
        <v>1999.95</v>
      </c>
    </row>
    <row r="562" ht="16.1" customHeight="1">
      <c r="I562" t="s" s="126">
        <v>4714</v>
      </c>
      <c r="J562" s="127"/>
      <c r="K562" s="127"/>
      <c r="L562" s="128"/>
      <c r="M562" s="129">
        <v>2</v>
      </c>
      <c r="N562" s="142">
        <v>399.99</v>
      </c>
      <c r="O562" s="142">
        <v>799.98</v>
      </c>
    </row>
    <row r="563" ht="16.1" customHeight="1">
      <c r="I563" t="s" s="126">
        <v>4699</v>
      </c>
      <c r="J563" s="127"/>
      <c r="K563" s="127"/>
      <c r="L563" s="128"/>
      <c r="M563" s="129">
        <v>2</v>
      </c>
      <c r="N563" s="142">
        <v>58.98</v>
      </c>
      <c r="O563" s="142">
        <v>58.98</v>
      </c>
    </row>
    <row r="564" ht="16.1" customHeight="1">
      <c r="I564" t="s" s="126">
        <v>4452</v>
      </c>
      <c r="J564" s="127"/>
      <c r="K564" s="127"/>
      <c r="L564" s="128"/>
      <c r="M564" s="129">
        <v>2</v>
      </c>
      <c r="N564" s="142">
        <v>549.99</v>
      </c>
      <c r="O564" s="142">
        <v>1099.98</v>
      </c>
    </row>
    <row r="565" ht="16.1" customHeight="1">
      <c r="I565" t="s" s="126">
        <v>4523</v>
      </c>
      <c r="J565" s="127"/>
      <c r="K565" s="127"/>
      <c r="L565" s="128"/>
      <c r="M565" s="129">
        <v>4</v>
      </c>
      <c r="N565" s="142">
        <v>58.98</v>
      </c>
      <c r="O565" s="142">
        <v>117.96</v>
      </c>
    </row>
    <row r="566" ht="16.1" customHeight="1">
      <c r="I566" t="s" s="126">
        <v>4512</v>
      </c>
      <c r="J566" s="127"/>
      <c r="K566" s="127"/>
      <c r="L566" s="128"/>
      <c r="M566" s="129">
        <v>12</v>
      </c>
      <c r="N566" s="142">
        <v>9.99</v>
      </c>
      <c r="O566" s="142">
        <v>119.88</v>
      </c>
    </row>
    <row r="567" ht="16.1" customHeight="1">
      <c r="I567" t="s" s="126">
        <v>681</v>
      </c>
      <c r="J567" s="127"/>
      <c r="K567" s="127"/>
      <c r="L567" s="128"/>
      <c r="M567" s="129">
        <v>31</v>
      </c>
      <c r="N567" s="142">
        <v>3549.93</v>
      </c>
      <c r="O567" s="142">
        <v>7959.85</v>
      </c>
    </row>
    <row r="568" ht="16.1" customHeight="1">
      <c r="I568" t="s" s="126">
        <v>3803</v>
      </c>
      <c r="J568" s="127"/>
      <c r="K568" s="127"/>
      <c r="L568" s="128"/>
      <c r="M568" s="129">
        <v>1</v>
      </c>
      <c r="N568" s="142">
        <v>349.99</v>
      </c>
      <c r="O568" s="142">
        <v>349.99</v>
      </c>
    </row>
    <row r="569" ht="16.1" customHeight="1">
      <c r="I569" t="s" s="126">
        <v>4730</v>
      </c>
      <c r="J569" s="127"/>
      <c r="K569" s="127"/>
      <c r="L569" s="128"/>
      <c r="M569" s="129">
        <v>2</v>
      </c>
      <c r="N569" s="142">
        <v>22.99</v>
      </c>
      <c r="O569" s="142">
        <v>45.98</v>
      </c>
    </row>
    <row r="570" ht="16.1" customHeight="1">
      <c r="I570" t="s" s="126">
        <v>2438</v>
      </c>
      <c r="J570" s="127"/>
      <c r="K570" s="127"/>
      <c r="L570" s="128"/>
      <c r="M570" s="129">
        <v>6</v>
      </c>
      <c r="N570" s="142">
        <v>111.95</v>
      </c>
      <c r="O570" s="142">
        <v>161.94</v>
      </c>
    </row>
    <row r="571" ht="16.1" customHeight="1">
      <c r="I571" t="s" s="126">
        <v>4111</v>
      </c>
      <c r="J571" s="127"/>
      <c r="K571" s="127"/>
      <c r="L571" s="128"/>
      <c r="M571" s="129">
        <v>1</v>
      </c>
      <c r="N571" s="142">
        <v>49.99</v>
      </c>
      <c r="O571" s="142">
        <v>49.99</v>
      </c>
    </row>
    <row r="572" ht="16.1" customHeight="1">
      <c r="I572" t="s" s="126">
        <v>4603</v>
      </c>
      <c r="J572" s="127"/>
      <c r="K572" s="127"/>
      <c r="L572" s="128"/>
      <c r="M572" s="129">
        <v>16</v>
      </c>
      <c r="N572" s="142">
        <v>134.98</v>
      </c>
      <c r="O572" s="142">
        <v>469.86</v>
      </c>
    </row>
    <row r="573" ht="16.1" customHeight="1">
      <c r="I573" t="s" s="126">
        <v>4717</v>
      </c>
      <c r="J573" s="127"/>
      <c r="K573" s="127"/>
      <c r="L573" s="128"/>
      <c r="M573" s="129">
        <v>1</v>
      </c>
      <c r="N573" s="142">
        <v>349.99</v>
      </c>
      <c r="O573" s="142">
        <v>349.99</v>
      </c>
    </row>
    <row r="574" ht="16.1" customHeight="1">
      <c r="I574" t="s" s="126">
        <v>4549</v>
      </c>
      <c r="J574" s="127"/>
      <c r="K574" s="127"/>
      <c r="L574" s="128"/>
      <c r="M574" s="129">
        <v>2</v>
      </c>
      <c r="N574" s="142">
        <v>164.99</v>
      </c>
      <c r="O574" s="142">
        <v>164.99</v>
      </c>
    </row>
    <row r="575" ht="16.1" customHeight="1">
      <c r="I575" t="s" s="126">
        <v>4251</v>
      </c>
      <c r="J575" s="127"/>
      <c r="K575" s="127"/>
      <c r="L575" s="128"/>
      <c r="M575" s="129">
        <v>1</v>
      </c>
      <c r="N575" s="142">
        <v>1199.99</v>
      </c>
      <c r="O575" s="142">
        <v>1199.99</v>
      </c>
    </row>
    <row r="576" ht="16.1" customHeight="1">
      <c r="I576" t="s" s="126">
        <v>4719</v>
      </c>
      <c r="J576" s="127"/>
      <c r="K576" s="127"/>
      <c r="L576" s="128"/>
      <c r="M576" s="129">
        <v>1</v>
      </c>
      <c r="N576" s="142">
        <v>49.99</v>
      </c>
      <c r="O576" s="142">
        <v>49.99</v>
      </c>
    </row>
    <row r="577" ht="16.1" customHeight="1">
      <c r="I577" t="s" s="126">
        <v>4573</v>
      </c>
      <c r="J577" s="127"/>
      <c r="K577" s="127"/>
      <c r="L577" s="128"/>
      <c r="M577" s="129">
        <v>1</v>
      </c>
      <c r="N577" s="142">
        <v>349.99</v>
      </c>
      <c r="O577" s="142">
        <v>349.99</v>
      </c>
    </row>
    <row r="578" ht="16.1" customHeight="1">
      <c r="I578" t="s" s="126">
        <v>4754</v>
      </c>
      <c r="J578" s="127"/>
      <c r="K578" s="127"/>
      <c r="L578" s="128"/>
      <c r="M578" s="129">
        <v>12</v>
      </c>
      <c r="N578" s="142">
        <v>247.95</v>
      </c>
      <c r="O578" s="142">
        <v>615.88</v>
      </c>
    </row>
    <row r="579" ht="16.1" customHeight="1">
      <c r="I579" t="s" s="126">
        <v>4371</v>
      </c>
      <c r="J579" s="127"/>
      <c r="K579" s="127"/>
      <c r="L579" s="128"/>
      <c r="M579" s="129">
        <v>2</v>
      </c>
      <c r="N579" s="142">
        <v>374.98</v>
      </c>
      <c r="O579" s="142">
        <v>374.98</v>
      </c>
    </row>
    <row r="580" ht="16.1" customHeight="1">
      <c r="I580" t="s" s="126">
        <v>4545</v>
      </c>
      <c r="J580" s="127"/>
      <c r="K580" s="127"/>
      <c r="L580" s="128"/>
      <c r="M580" s="129">
        <v>14</v>
      </c>
      <c r="N580" s="142">
        <v>497.485</v>
      </c>
      <c r="O580" s="142">
        <v>1584.925</v>
      </c>
    </row>
    <row r="581" ht="16.1" customHeight="1">
      <c r="I581" t="s" s="126">
        <v>3094</v>
      </c>
      <c r="J581" s="127"/>
      <c r="K581" s="127"/>
      <c r="L581" s="128"/>
      <c r="M581" s="129">
        <v>21</v>
      </c>
      <c r="N581" s="142">
        <v>110</v>
      </c>
      <c r="O581" s="142">
        <v>1630</v>
      </c>
    </row>
    <row r="582" ht="16.1" customHeight="1">
      <c r="I582" t="s" s="126">
        <v>4766</v>
      </c>
      <c r="J582" s="127"/>
      <c r="K582" s="127"/>
      <c r="L582" s="128"/>
      <c r="M582" s="129">
        <v>1</v>
      </c>
      <c r="N582" s="142">
        <v>599.99</v>
      </c>
      <c r="O582" s="142">
        <v>599.99</v>
      </c>
    </row>
    <row r="583" ht="16.1" customHeight="1">
      <c r="I583" t="s" s="126">
        <v>353</v>
      </c>
      <c r="J583" s="127"/>
      <c r="K583" s="127"/>
      <c r="L583" s="128"/>
      <c r="M583" s="129">
        <v>47</v>
      </c>
      <c r="N583" s="142">
        <v>1349.203</v>
      </c>
      <c r="O583" s="142">
        <v>6290.086</v>
      </c>
    </row>
    <row r="584" ht="16.1" customHeight="1">
      <c r="I584" t="s" s="126">
        <v>4587</v>
      </c>
      <c r="J584" s="127"/>
      <c r="K584" s="127"/>
      <c r="L584" s="128"/>
      <c r="M584" s="129">
        <v>1</v>
      </c>
      <c r="N584" s="142">
        <v>399.99</v>
      </c>
      <c r="O584" s="142">
        <v>399.99</v>
      </c>
    </row>
    <row r="585" ht="16.1" customHeight="1">
      <c r="I585" t="s" s="126">
        <v>4567</v>
      </c>
      <c r="J585" s="127"/>
      <c r="K585" s="127"/>
      <c r="L585" s="128"/>
      <c r="M585" s="129">
        <v>1</v>
      </c>
      <c r="N585" s="142">
        <v>299.99</v>
      </c>
      <c r="O585" s="142">
        <v>299.99</v>
      </c>
    </row>
    <row r="586" ht="16.1" customHeight="1">
      <c r="I586" t="s" s="126">
        <v>4697</v>
      </c>
      <c r="J586" s="127"/>
      <c r="K586" s="127"/>
      <c r="L586" s="128"/>
      <c r="M586" s="129">
        <v>1</v>
      </c>
      <c r="N586" s="142">
        <v>349.99</v>
      </c>
      <c r="O586" s="142">
        <v>349.99</v>
      </c>
    </row>
    <row r="587" ht="16.1" customHeight="1">
      <c r="I587" t="s" s="126">
        <v>4622</v>
      </c>
      <c r="J587" s="127"/>
      <c r="K587" s="127"/>
      <c r="L587" s="128"/>
      <c r="M587" s="129">
        <v>20</v>
      </c>
      <c r="N587" s="142">
        <v>58.48</v>
      </c>
      <c r="O587" s="142">
        <v>584.8</v>
      </c>
    </row>
    <row r="588" ht="16.1" customHeight="1">
      <c r="I588" t="s" s="126">
        <v>4559</v>
      </c>
      <c r="J588" s="127"/>
      <c r="K588" s="127"/>
      <c r="L588" s="128"/>
      <c r="M588" s="129">
        <v>13</v>
      </c>
      <c r="N588" s="142">
        <v>477.93</v>
      </c>
      <c r="O588" s="142">
        <v>805.87</v>
      </c>
    </row>
    <row r="589" ht="16.1" customHeight="1">
      <c r="I589" t="s" s="126">
        <v>4532</v>
      </c>
      <c r="J589" s="127"/>
      <c r="K589" s="127"/>
      <c r="L589" s="128"/>
      <c r="M589" s="129">
        <v>2</v>
      </c>
      <c r="N589" s="142">
        <v>18.98</v>
      </c>
      <c r="O589" s="142">
        <v>18.98</v>
      </c>
    </row>
    <row r="590" ht="16.1" customHeight="1">
      <c r="I590" t="s" s="126">
        <v>4671</v>
      </c>
      <c r="J590" s="127"/>
      <c r="K590" s="127"/>
      <c r="L590" s="128"/>
      <c r="M590" s="129">
        <v>8</v>
      </c>
      <c r="N590" s="142">
        <v>128.98</v>
      </c>
      <c r="O590" s="142">
        <v>515.92</v>
      </c>
    </row>
    <row r="591" ht="16.1" customHeight="1">
      <c r="I591" t="s" s="126">
        <v>4537</v>
      </c>
      <c r="J591" s="127"/>
      <c r="K591" s="127"/>
      <c r="L591" s="128"/>
      <c r="M591" s="129">
        <v>1</v>
      </c>
      <c r="N591" s="142">
        <v>399.99</v>
      </c>
      <c r="O591" s="142">
        <v>399.99</v>
      </c>
    </row>
    <row r="592" ht="16.1" customHeight="1">
      <c r="I592" t="s" s="126">
        <v>4732</v>
      </c>
      <c r="J592" s="127"/>
      <c r="K592" s="127"/>
      <c r="L592" s="128"/>
      <c r="M592" s="129">
        <v>1</v>
      </c>
      <c r="N592" s="142">
        <v>599.99</v>
      </c>
      <c r="O592" s="142">
        <v>599.99</v>
      </c>
    </row>
    <row r="593" ht="16.1" customHeight="1">
      <c r="I593" t="s" s="126">
        <v>4779</v>
      </c>
      <c r="J593" s="127"/>
      <c r="K593" s="127"/>
      <c r="L593" s="128"/>
      <c r="M593" s="129">
        <v>2</v>
      </c>
      <c r="N593" s="142">
        <v>549.99</v>
      </c>
      <c r="O593" s="142">
        <v>1099.98</v>
      </c>
    </row>
    <row r="594" ht="16.1" customHeight="1">
      <c r="I594" t="s" s="126">
        <v>1586</v>
      </c>
      <c r="J594" s="127"/>
      <c r="K594" s="127"/>
      <c r="L594" s="128"/>
      <c r="M594" s="129">
        <v>139</v>
      </c>
      <c r="N594" s="142">
        <v>3271.1575</v>
      </c>
      <c r="O594" s="142">
        <v>9458.522499999999</v>
      </c>
    </row>
    <row r="595" ht="16.1" customHeight="1">
      <c r="I595" t="s" s="126">
        <v>4629</v>
      </c>
      <c r="J595" s="127"/>
      <c r="K595" s="127"/>
      <c r="L595" s="128"/>
      <c r="M595" s="129">
        <v>2</v>
      </c>
      <c r="N595" s="142">
        <v>399.98</v>
      </c>
      <c r="O595" s="142">
        <v>399.98</v>
      </c>
    </row>
    <row r="596" ht="16.1" customHeight="1">
      <c r="I596" t="s" s="126">
        <v>713</v>
      </c>
      <c r="J596" s="127"/>
      <c r="K596" s="127"/>
      <c r="L596" s="128"/>
      <c r="M596" s="129">
        <v>1</v>
      </c>
      <c r="N596" s="142">
        <v>399.99</v>
      </c>
      <c r="O596" s="142">
        <v>399.99</v>
      </c>
    </row>
    <row r="597" ht="16.1" customHeight="1">
      <c r="I597" t="s" s="126">
        <v>4564</v>
      </c>
      <c r="J597" s="127"/>
      <c r="K597" s="127"/>
      <c r="L597" s="128"/>
      <c r="M597" s="129">
        <v>4</v>
      </c>
      <c r="N597" s="142">
        <v>408.97</v>
      </c>
      <c r="O597" s="142">
        <v>758.96</v>
      </c>
    </row>
    <row r="598" ht="16.1" customHeight="1">
      <c r="I598" t="s" s="126">
        <v>3437</v>
      </c>
      <c r="J598" s="127"/>
      <c r="K598" s="127"/>
      <c r="L598" s="128"/>
      <c r="M598" s="129">
        <v>7</v>
      </c>
      <c r="N598" s="142">
        <v>34.9925</v>
      </c>
      <c r="O598" s="142">
        <v>109.955</v>
      </c>
    </row>
    <row r="599" ht="16.1" customHeight="1">
      <c r="I599" t="s" s="126">
        <v>4535</v>
      </c>
      <c r="J599" s="127"/>
      <c r="K599" s="127"/>
      <c r="L599" s="128"/>
      <c r="M599" s="129">
        <v>2</v>
      </c>
      <c r="N599" s="142">
        <v>649.98</v>
      </c>
      <c r="O599" s="142">
        <v>649.98</v>
      </c>
    </row>
    <row r="600" ht="16.1" customHeight="1">
      <c r="I600" t="s" s="126">
        <v>4575</v>
      </c>
      <c r="J600" s="127"/>
      <c r="K600" s="127"/>
      <c r="L600" s="128"/>
      <c r="M600" s="129">
        <v>2</v>
      </c>
      <c r="N600" s="142">
        <v>214.99</v>
      </c>
      <c r="O600" s="142">
        <v>214.99</v>
      </c>
    </row>
    <row r="601" ht="16.1" customHeight="1">
      <c r="I601" t="s" s="126">
        <v>4710</v>
      </c>
      <c r="J601" s="127"/>
      <c r="K601" s="127"/>
      <c r="L601" s="128"/>
      <c r="M601" s="129">
        <v>1</v>
      </c>
      <c r="N601" s="142">
        <v>429.99</v>
      </c>
      <c r="O601" s="142">
        <v>429.99</v>
      </c>
    </row>
    <row r="602" ht="16.1" customHeight="1">
      <c r="I602" t="s" s="126">
        <v>4663</v>
      </c>
      <c r="J602" s="127"/>
      <c r="K602" s="127"/>
      <c r="L602" s="128"/>
      <c r="M602" s="129">
        <v>9</v>
      </c>
      <c r="N602" s="142">
        <v>967.92</v>
      </c>
      <c r="O602" s="142">
        <v>997.91</v>
      </c>
    </row>
    <row r="603" ht="16.1" customHeight="1">
      <c r="I603" t="s" s="126">
        <v>4557</v>
      </c>
      <c r="J603" s="127"/>
      <c r="K603" s="127"/>
      <c r="L603" s="128"/>
      <c r="M603" s="129">
        <v>1</v>
      </c>
      <c r="N603" s="142">
        <v>399.99</v>
      </c>
      <c r="O603" s="142">
        <v>399.99</v>
      </c>
    </row>
    <row r="604" ht="16.1" customHeight="1">
      <c r="I604" t="s" s="126">
        <v>1006</v>
      </c>
      <c r="J604" s="127"/>
      <c r="K604" s="127"/>
      <c r="L604" s="128"/>
      <c r="M604" s="129">
        <v>2</v>
      </c>
      <c r="N604" s="142">
        <v>19.99</v>
      </c>
      <c r="O604" s="142">
        <v>39.98</v>
      </c>
    </row>
    <row r="605" ht="16.1" customHeight="1">
      <c r="I605" t="s" s="126">
        <v>4261</v>
      </c>
      <c r="J605" s="127"/>
      <c r="K605" s="127"/>
      <c r="L605" s="128"/>
      <c r="M605" s="129">
        <v>2</v>
      </c>
      <c r="N605" s="142">
        <v>9.99</v>
      </c>
      <c r="O605" s="142">
        <v>19.98</v>
      </c>
    </row>
    <row r="606" ht="16.1" customHeight="1">
      <c r="I606" t="s" s="126">
        <v>4669</v>
      </c>
      <c r="J606" s="127"/>
      <c r="K606" s="127"/>
      <c r="L606" s="128"/>
      <c r="M606" s="129">
        <v>1</v>
      </c>
      <c r="N606" s="142">
        <v>349.99</v>
      </c>
      <c r="O606" s="142">
        <v>349.99</v>
      </c>
    </row>
    <row r="607" ht="16.1" customHeight="1">
      <c r="I607" t="s" s="126">
        <v>4631</v>
      </c>
      <c r="J607" s="127"/>
      <c r="K607" s="127"/>
      <c r="L607" s="128"/>
      <c r="M607" s="129">
        <v>1</v>
      </c>
      <c r="N607" s="142">
        <v>599.99</v>
      </c>
      <c r="O607" s="142">
        <v>599.99</v>
      </c>
    </row>
    <row r="608" ht="16.1" customHeight="1">
      <c r="I608" t="s" s="126">
        <v>4744</v>
      </c>
      <c r="J608" s="127"/>
      <c r="K608" s="127"/>
      <c r="L608" s="128"/>
      <c r="M608" s="129">
        <v>33</v>
      </c>
      <c r="N608" s="142">
        <v>1461.5</v>
      </c>
      <c r="O608" s="142">
        <v>5421.37</v>
      </c>
    </row>
    <row r="609" ht="16.1" customHeight="1">
      <c r="I609" t="s" s="126">
        <v>4742</v>
      </c>
      <c r="J609" s="127"/>
      <c r="K609" s="127"/>
      <c r="L609" s="128"/>
      <c r="M609" s="129">
        <v>1</v>
      </c>
      <c r="N609" s="142">
        <v>349.99</v>
      </c>
      <c r="O609" s="142">
        <v>349.99</v>
      </c>
    </row>
    <row r="610" ht="16.1" customHeight="1">
      <c r="I610" t="s" s="126">
        <v>4636</v>
      </c>
      <c r="J610" s="127"/>
      <c r="K610" s="127"/>
      <c r="L610" s="128"/>
      <c r="M610" s="129">
        <v>5</v>
      </c>
      <c r="N610" s="142">
        <v>49.99</v>
      </c>
      <c r="O610" s="142">
        <v>249.95</v>
      </c>
    </row>
    <row r="611" ht="16.1" customHeight="1">
      <c r="I611" t="s" s="126">
        <v>4307</v>
      </c>
      <c r="J611" s="127"/>
      <c r="K611" s="127"/>
      <c r="L611" s="128"/>
      <c r="M611" s="129">
        <v>2</v>
      </c>
      <c r="N611" s="142">
        <v>124.99</v>
      </c>
      <c r="O611" s="142">
        <v>124.99</v>
      </c>
    </row>
    <row r="612" ht="16.1" customHeight="1">
      <c r="I612" t="s" s="126">
        <v>951</v>
      </c>
      <c r="J612" s="127"/>
      <c r="K612" s="127"/>
      <c r="L612" s="128"/>
      <c r="M612" s="129">
        <v>19</v>
      </c>
      <c r="N612" s="142">
        <v>342.91</v>
      </c>
      <c r="O612" s="142">
        <v>526.8099999999999</v>
      </c>
    </row>
    <row r="613" ht="16.1" customHeight="1">
      <c r="I613" t="s" s="126">
        <v>4695</v>
      </c>
      <c r="J613" s="127"/>
      <c r="K613" s="127"/>
      <c r="L613" s="128"/>
      <c r="M613" s="129">
        <v>1</v>
      </c>
      <c r="N613" s="142">
        <v>399.99</v>
      </c>
      <c r="O613" s="142">
        <v>399.99</v>
      </c>
    </row>
    <row r="614" ht="16.1" customHeight="1">
      <c r="I614" t="s" s="126">
        <v>4624</v>
      </c>
      <c r="J614" s="127"/>
      <c r="K614" s="127"/>
      <c r="L614" s="128"/>
      <c r="M614" s="129">
        <v>2</v>
      </c>
      <c r="N614" s="142">
        <v>58.98</v>
      </c>
      <c r="O614" s="142">
        <v>58.98</v>
      </c>
    </row>
    <row r="615" ht="16.1" customHeight="1">
      <c r="I615" t="s" s="126">
        <v>4510</v>
      </c>
      <c r="J615" s="127"/>
      <c r="K615" s="127"/>
      <c r="L615" s="128"/>
      <c r="M615" s="129">
        <v>1</v>
      </c>
      <c r="N615" s="142">
        <v>49.99</v>
      </c>
      <c r="O615" s="142">
        <v>49.99</v>
      </c>
    </row>
    <row r="616" ht="16.1" customHeight="1">
      <c r="I616" t="s" s="126">
        <v>2671</v>
      </c>
      <c r="J616" s="127"/>
      <c r="K616" s="127"/>
      <c r="L616" s="128"/>
      <c r="M616" s="129">
        <v>137</v>
      </c>
      <c r="N616" s="142">
        <v>6767.0575</v>
      </c>
      <c r="O616" s="142">
        <v>29701.69</v>
      </c>
    </row>
    <row r="617" ht="16.1" customHeight="1">
      <c r="I617" t="s" s="126">
        <v>473</v>
      </c>
      <c r="J617" s="127"/>
      <c r="K617" s="127"/>
      <c r="L617" s="128"/>
      <c r="M617" s="129">
        <v>11</v>
      </c>
      <c r="N617" s="142">
        <v>56.235</v>
      </c>
      <c r="O617" s="142">
        <v>221.175</v>
      </c>
    </row>
    <row r="618" ht="16.1" customHeight="1">
      <c r="I618" t="s" s="126">
        <v>42</v>
      </c>
      <c r="J618" s="127"/>
      <c r="K618" s="127"/>
      <c r="L618" s="128"/>
      <c r="M618" s="129">
        <v>472</v>
      </c>
      <c r="N618" s="142">
        <v>996.61</v>
      </c>
      <c r="O618" s="142">
        <v>15811.555</v>
      </c>
    </row>
    <row r="619" ht="16.1" customHeight="1">
      <c r="I619" t="s" s="126">
        <v>4620</v>
      </c>
      <c r="J619" s="127"/>
      <c r="K619" s="127"/>
      <c r="L619" s="128"/>
      <c r="M619" s="129">
        <v>1</v>
      </c>
      <c r="N619" s="142">
        <v>3199.99</v>
      </c>
      <c r="O619" s="142">
        <v>3199.99</v>
      </c>
    </row>
    <row r="620" ht="16.1" customHeight="1">
      <c r="I620" t="s" s="126">
        <v>4320</v>
      </c>
      <c r="J620" s="127"/>
      <c r="K620" s="127"/>
      <c r="L620" s="128"/>
      <c r="M620" s="129">
        <v>1</v>
      </c>
      <c r="N620" s="142">
        <v>49.99</v>
      </c>
      <c r="O620" s="142">
        <v>49.99</v>
      </c>
    </row>
    <row r="621" ht="16.1" customHeight="1">
      <c r="I621" t="s" s="126">
        <v>4739</v>
      </c>
      <c r="J621" s="127"/>
      <c r="K621" s="127"/>
      <c r="L621" s="128"/>
      <c r="M621" s="129">
        <v>1</v>
      </c>
      <c r="N621" s="142">
        <v>0</v>
      </c>
      <c r="O621" s="142">
        <v>0</v>
      </c>
    </row>
    <row r="622" ht="16.1" customHeight="1">
      <c r="I622" t="s" s="126">
        <v>3590</v>
      </c>
      <c r="J622" s="127"/>
      <c r="K622" s="127"/>
      <c r="L622" s="128"/>
      <c r="M622" s="129">
        <v>29</v>
      </c>
      <c r="N622" s="142">
        <v>1062.485</v>
      </c>
      <c r="O622" s="142">
        <v>4054.94</v>
      </c>
    </row>
    <row r="623" ht="16.1" customHeight="1">
      <c r="I623" t="s" s="126">
        <v>1757</v>
      </c>
      <c r="J623" s="127"/>
      <c r="K623" s="127"/>
      <c r="L623" s="128"/>
      <c r="M623" s="129">
        <v>2</v>
      </c>
      <c r="N623" s="142">
        <v>8.99</v>
      </c>
      <c r="O623" s="142">
        <v>17.98</v>
      </c>
    </row>
    <row r="624" ht="16.1" customHeight="1">
      <c r="I624" t="s" s="126">
        <v>4601</v>
      </c>
      <c r="J624" s="127"/>
      <c r="K624" s="127"/>
      <c r="L624" s="128"/>
      <c r="M624" s="129">
        <v>2</v>
      </c>
      <c r="N624" s="142">
        <v>387.49</v>
      </c>
      <c r="O624" s="142">
        <v>774.98</v>
      </c>
    </row>
    <row r="625" ht="16.1" customHeight="1">
      <c r="I625" t="s" s="126">
        <v>4796</v>
      </c>
      <c r="J625" s="127"/>
      <c r="K625" s="127"/>
      <c r="L625" s="128"/>
      <c r="M625" s="129">
        <v>1</v>
      </c>
      <c r="N625" s="142">
        <v>349.99</v>
      </c>
      <c r="O625" s="142">
        <v>349.99</v>
      </c>
    </row>
    <row r="626" ht="16.1" customHeight="1">
      <c r="I626" t="s" s="126">
        <v>4541</v>
      </c>
      <c r="J626" s="127"/>
      <c r="K626" s="127"/>
      <c r="L626" s="128"/>
      <c r="M626" s="129">
        <v>1</v>
      </c>
      <c r="N626" s="142">
        <v>399.99</v>
      </c>
      <c r="O626" s="142">
        <v>399.99</v>
      </c>
    </row>
    <row r="627" ht="16.1" customHeight="1">
      <c r="I627" t="s" s="126">
        <v>4517</v>
      </c>
      <c r="J627" s="127"/>
      <c r="K627" s="127"/>
      <c r="L627" s="128"/>
      <c r="M627" s="129">
        <v>5</v>
      </c>
      <c r="N627" s="142">
        <v>18.98</v>
      </c>
      <c r="O627" s="142">
        <v>48.95</v>
      </c>
    </row>
    <row r="628" ht="16.1" customHeight="1">
      <c r="I628" t="s" s="126">
        <v>4581</v>
      </c>
      <c r="J628" s="127"/>
      <c r="K628" s="127"/>
      <c r="L628" s="128"/>
      <c r="M628" s="129">
        <v>2</v>
      </c>
      <c r="N628" s="142">
        <v>549.99</v>
      </c>
      <c r="O628" s="142">
        <v>1099.98</v>
      </c>
    </row>
    <row r="629" ht="16.1" customHeight="1">
      <c r="I629" t="s" s="126">
        <v>719</v>
      </c>
      <c r="J629" s="127"/>
      <c r="K629" s="127"/>
      <c r="L629" s="128"/>
      <c r="M629" s="129">
        <v>5</v>
      </c>
      <c r="N629" s="142">
        <v>8.99</v>
      </c>
      <c r="O629" s="142">
        <v>44.95</v>
      </c>
    </row>
    <row r="630" ht="16.1" customHeight="1">
      <c r="I630" t="s" s="126">
        <v>4519</v>
      </c>
      <c r="J630" s="127"/>
      <c r="K630" s="127"/>
      <c r="L630" s="128"/>
      <c r="M630" s="129">
        <v>1</v>
      </c>
      <c r="N630" s="142">
        <v>349.99</v>
      </c>
      <c r="O630" s="142">
        <v>349.99</v>
      </c>
    </row>
    <row r="631" ht="16.1" customHeight="1">
      <c r="I631" t="s" s="126">
        <v>4596</v>
      </c>
      <c r="J631" s="127"/>
      <c r="K631" s="127"/>
      <c r="L631" s="128"/>
      <c r="M631" s="129">
        <v>1</v>
      </c>
      <c r="N631" s="142">
        <v>599.99</v>
      </c>
      <c r="O631" s="142">
        <v>599.99</v>
      </c>
    </row>
    <row r="632" ht="16.1" customHeight="1">
      <c r="I632" t="s" s="126">
        <v>3455</v>
      </c>
      <c r="J632" s="127"/>
      <c r="K632" s="127"/>
      <c r="L632" s="128"/>
      <c r="M632" s="129">
        <v>9</v>
      </c>
      <c r="N632" s="142">
        <v>69.99250000000001</v>
      </c>
      <c r="O632" s="142">
        <v>384.94</v>
      </c>
    </row>
    <row r="633" ht="16.1" customHeight="1">
      <c r="I633" t="s" s="126">
        <v>721</v>
      </c>
      <c r="J633" s="127"/>
      <c r="K633" s="127"/>
      <c r="L633" s="128"/>
      <c r="M633" s="129">
        <v>173</v>
      </c>
      <c r="N633" s="142">
        <v>555.0342855</v>
      </c>
      <c r="O633" s="142">
        <v>2801.391426</v>
      </c>
    </row>
    <row r="634" ht="16.1" customHeight="1">
      <c r="I634" t="s" s="126">
        <v>3137</v>
      </c>
      <c r="J634" s="127"/>
      <c r="K634" s="127"/>
      <c r="L634" s="128"/>
      <c r="M634" s="129">
        <v>2</v>
      </c>
      <c r="N634" s="142">
        <v>99.98999999999999</v>
      </c>
      <c r="O634" s="142">
        <v>199.98</v>
      </c>
    </row>
    <row r="635" ht="16.1" customHeight="1">
      <c r="I635" t="s" s="126">
        <v>3701</v>
      </c>
      <c r="J635" s="127"/>
      <c r="K635" s="127"/>
      <c r="L635" s="128"/>
      <c r="M635" s="129">
        <v>1</v>
      </c>
      <c r="N635" s="142">
        <v>399.99</v>
      </c>
      <c r="O635" s="142">
        <v>399.99</v>
      </c>
    </row>
    <row r="636" ht="16.1" customHeight="1">
      <c r="I636" t="s" s="126">
        <v>4786</v>
      </c>
      <c r="J636" s="127"/>
      <c r="K636" s="127"/>
      <c r="L636" s="128"/>
      <c r="M636" s="129">
        <v>1</v>
      </c>
      <c r="N636" s="142">
        <v>399.99</v>
      </c>
      <c r="O636" s="142">
        <v>399.99</v>
      </c>
    </row>
    <row r="637" ht="16.1" customHeight="1">
      <c r="I637" t="s" s="126">
        <v>519</v>
      </c>
      <c r="J637" s="127"/>
      <c r="K637" s="127"/>
      <c r="L637" s="128"/>
      <c r="M637" s="129">
        <v>3</v>
      </c>
      <c r="N637" s="142">
        <v>429.98</v>
      </c>
      <c r="O637" s="142">
        <v>459.97</v>
      </c>
    </row>
    <row r="638" ht="16.1" customHeight="1">
      <c r="I638" t="s" s="126">
        <v>2931</v>
      </c>
      <c r="J638" s="127"/>
      <c r="K638" s="127"/>
      <c r="L638" s="128"/>
      <c r="M638" s="129">
        <v>82</v>
      </c>
      <c r="N638" s="142">
        <v>227.97</v>
      </c>
      <c r="O638" s="142">
        <v>1459.2</v>
      </c>
    </row>
    <row r="639" ht="16.1" customHeight="1">
      <c r="I639" t="s" s="126">
        <v>583</v>
      </c>
      <c r="J639" s="127"/>
      <c r="K639" s="127"/>
      <c r="L639" s="128"/>
      <c r="M639" s="129">
        <v>4</v>
      </c>
      <c r="N639" s="142">
        <v>140.96</v>
      </c>
      <c r="O639" s="142">
        <v>140.96</v>
      </c>
    </row>
    <row r="640" ht="16.1" customHeight="1">
      <c r="I640" t="s" s="126">
        <v>4627</v>
      </c>
      <c r="J640" s="127"/>
      <c r="K640" s="127"/>
      <c r="L640" s="128"/>
      <c r="M640" s="129">
        <v>1</v>
      </c>
      <c r="N640" s="142">
        <v>399.99</v>
      </c>
      <c r="O640" s="142">
        <v>399.99</v>
      </c>
    </row>
    <row r="641" ht="16.1" customHeight="1">
      <c r="I641" t="s" s="126">
        <v>985</v>
      </c>
      <c r="J641" s="127"/>
      <c r="K641" s="127"/>
      <c r="L641" s="128"/>
      <c r="M641" s="129">
        <v>47</v>
      </c>
      <c r="N641" s="142">
        <v>1794.96</v>
      </c>
      <c r="O641" s="142">
        <v>9789.75</v>
      </c>
    </row>
    <row r="642" ht="16.1" customHeight="1">
      <c r="I642" t="s" s="126">
        <v>4648</v>
      </c>
      <c r="J642" s="127"/>
      <c r="K642" s="127"/>
      <c r="L642" s="128"/>
      <c r="M642" s="129">
        <v>3</v>
      </c>
      <c r="N642" s="142">
        <v>609.97</v>
      </c>
      <c r="O642" s="142">
        <v>609.97</v>
      </c>
    </row>
    <row r="643" ht="16.1" customHeight="1">
      <c r="I643" t="s" s="126">
        <v>4589</v>
      </c>
      <c r="J643" s="127"/>
      <c r="K643" s="127"/>
      <c r="L643" s="128"/>
      <c r="M643" s="129">
        <v>2</v>
      </c>
      <c r="N643" s="142">
        <v>58.98</v>
      </c>
      <c r="O643" s="142">
        <v>58.98</v>
      </c>
    </row>
    <row r="644" ht="16.1" customHeight="1">
      <c r="I644" t="s" s="126">
        <v>4585</v>
      </c>
      <c r="J644" s="127"/>
      <c r="K644" s="127"/>
      <c r="L644" s="128"/>
      <c r="M644" s="129">
        <v>17</v>
      </c>
      <c r="N644" s="142">
        <v>2113.95</v>
      </c>
      <c r="O644" s="142">
        <v>3827.91</v>
      </c>
    </row>
    <row r="645" ht="16.1" customHeight="1">
      <c r="I645" t="s" s="126">
        <v>4750</v>
      </c>
      <c r="J645" s="127"/>
      <c r="K645" s="127"/>
      <c r="L645" s="128"/>
      <c r="M645" s="129">
        <v>3</v>
      </c>
      <c r="N645" s="142">
        <v>68.97</v>
      </c>
      <c r="O645" s="142">
        <v>68.97</v>
      </c>
    </row>
    <row r="646" ht="16.1" customHeight="1">
      <c r="I646" t="s" s="126">
        <v>4553</v>
      </c>
      <c r="J646" s="127"/>
      <c r="K646" s="127"/>
      <c r="L646" s="128"/>
      <c r="M646" s="129">
        <v>1</v>
      </c>
      <c r="N646" s="142">
        <v>599.99</v>
      </c>
      <c r="O646" s="142">
        <v>599.99</v>
      </c>
    </row>
    <row r="647" ht="16.1" customHeight="1">
      <c r="I647" t="s" s="126">
        <v>4462</v>
      </c>
      <c r="J647" s="127"/>
      <c r="K647" s="127"/>
      <c r="L647" s="128"/>
      <c r="M647" s="129">
        <v>2</v>
      </c>
      <c r="N647" s="142">
        <v>399.99</v>
      </c>
      <c r="O647" s="142">
        <v>799.98</v>
      </c>
    </row>
    <row r="648" ht="16.1" customHeight="1">
      <c r="I648" t="s" s="126">
        <v>4163</v>
      </c>
      <c r="J648" s="127"/>
      <c r="K648" s="127"/>
      <c r="L648" s="128"/>
      <c r="M648" s="129">
        <v>7</v>
      </c>
      <c r="N648" s="142">
        <v>538.96</v>
      </c>
      <c r="O648" s="142">
        <v>568.9299999999999</v>
      </c>
    </row>
    <row r="649" ht="16.1" customHeight="1">
      <c r="I649" t="s" s="126">
        <v>1829</v>
      </c>
      <c r="J649" s="127"/>
      <c r="K649" s="127"/>
      <c r="L649" s="128"/>
      <c r="M649" s="129">
        <v>1</v>
      </c>
      <c r="N649" s="142">
        <v>599.99</v>
      </c>
      <c r="O649" s="142">
        <v>599.99</v>
      </c>
    </row>
    <row r="650" ht="16.1" customHeight="1">
      <c r="I650" t="s" s="126">
        <v>4593</v>
      </c>
      <c r="J650" s="127"/>
      <c r="K650" s="127"/>
      <c r="L650" s="128"/>
      <c r="M650" s="129">
        <v>40</v>
      </c>
      <c r="N650" s="142">
        <v>5714.95</v>
      </c>
      <c r="O650" s="142">
        <v>6874.92</v>
      </c>
    </row>
    <row r="651" ht="16.1" customHeight="1">
      <c r="I651" t="s" s="132">
        <v>1761</v>
      </c>
      <c r="J651" s="133"/>
      <c r="K651" s="133"/>
      <c r="L651" s="134"/>
      <c r="M651" s="135">
        <v>3</v>
      </c>
      <c r="N651" s="143">
        <v>54.97</v>
      </c>
      <c r="O651" s="143">
        <v>54.97</v>
      </c>
    </row>
    <row r="652" ht="16.1" customHeight="1">
      <c r="I652" t="s" s="33">
        <v>620</v>
      </c>
      <c r="M652" s="34">
        <v>2512</v>
      </c>
      <c r="N652" s="35">
        <v>105313.4048855</v>
      </c>
      <c r="O652" s="35">
        <v>273579.770026</v>
      </c>
    </row>
    <row r="654" ht="15.55" customHeight="1">
      <c r="P654" t="s" s="2">
        <v>4820</v>
      </c>
      <c r="Q654" s="2"/>
    </row>
    <row r="655" ht="13.1" customHeight="1">
      <c r="P655" t="s" s="37">
        <v>4</v>
      </c>
      <c r="Q655" t="s" s="145">
        <v>617</v>
      </c>
    </row>
    <row r="656" ht="13.1" customHeight="1">
      <c r="P656" t="s" s="38">
        <v>315</v>
      </c>
      <c r="Q656" s="34">
        <v>300</v>
      </c>
    </row>
    <row r="657" ht="12.9" customHeight="1">
      <c r="P657" t="s" s="40">
        <v>559</v>
      </c>
      <c r="Q657" s="146">
        <v>180</v>
      </c>
    </row>
    <row r="658" ht="12.9" customHeight="1">
      <c r="P658" t="s" s="40">
        <v>15</v>
      </c>
      <c r="Q658" s="146">
        <v>157</v>
      </c>
    </row>
    <row r="659" ht="12.9" customHeight="1">
      <c r="P659" t="s" s="40">
        <v>50</v>
      </c>
      <c r="Q659" s="146">
        <v>121</v>
      </c>
    </row>
    <row r="660" ht="12.9" customHeight="1">
      <c r="P660" t="s" s="40">
        <v>4811</v>
      </c>
      <c r="Q660" s="146">
        <v>120</v>
      </c>
    </row>
    <row r="661" ht="12.9" customHeight="1">
      <c r="P661" t="s" s="40">
        <v>4808</v>
      </c>
      <c r="Q661" s="146">
        <v>100</v>
      </c>
    </row>
    <row r="662" ht="12.9" customHeight="1">
      <c r="P662" t="s" s="40">
        <v>54</v>
      </c>
      <c r="Q662" s="146">
        <v>97</v>
      </c>
    </row>
    <row r="663" ht="12.9" customHeight="1">
      <c r="P663" t="s" s="40">
        <v>23</v>
      </c>
      <c r="Q663" s="146">
        <v>89</v>
      </c>
    </row>
    <row r="664" ht="12.9" customHeight="1">
      <c r="P664" t="s" s="40">
        <v>19</v>
      </c>
      <c r="Q664" s="146">
        <v>63</v>
      </c>
    </row>
    <row r="665" ht="12.9" customHeight="1">
      <c r="P665" t="s" s="40">
        <v>4304</v>
      </c>
      <c r="Q665" s="146">
        <v>60</v>
      </c>
    </row>
    <row r="666" ht="12.9" customHeight="1">
      <c r="P666" t="s" s="40">
        <v>106</v>
      </c>
      <c r="Q666" s="146">
        <v>55</v>
      </c>
    </row>
    <row r="667" ht="12.9" customHeight="1">
      <c r="P667" t="s" s="40">
        <v>227</v>
      </c>
      <c r="Q667" s="146">
        <v>54</v>
      </c>
    </row>
    <row r="668" ht="12.9" customHeight="1">
      <c r="P668" t="s" s="40">
        <v>84</v>
      </c>
      <c r="Q668" s="146">
        <v>50</v>
      </c>
    </row>
    <row r="669" ht="12.9" customHeight="1">
      <c r="P669" t="s" s="40">
        <v>1046</v>
      </c>
      <c r="Q669" s="146">
        <v>49</v>
      </c>
    </row>
    <row r="670" ht="12.9" customHeight="1">
      <c r="P670" t="s" s="40">
        <v>1044</v>
      </c>
      <c r="Q670" s="146">
        <v>49</v>
      </c>
    </row>
    <row r="671" ht="12.9" customHeight="1">
      <c r="P671" t="s" s="40">
        <v>1048</v>
      </c>
      <c r="Q671" s="146">
        <v>49</v>
      </c>
    </row>
    <row r="672" ht="12.9" customHeight="1">
      <c r="P672" t="s" s="40">
        <v>4283</v>
      </c>
      <c r="Q672" s="146">
        <v>48</v>
      </c>
    </row>
    <row r="673" ht="12.9" customHeight="1">
      <c r="P673" t="s" s="40">
        <v>48</v>
      </c>
      <c r="Q673" s="146">
        <v>45</v>
      </c>
    </row>
    <row r="674" ht="12.9" customHeight="1">
      <c r="P674" t="s" s="40">
        <v>1695</v>
      </c>
      <c r="Q674" s="146">
        <v>39</v>
      </c>
    </row>
    <row r="675" ht="12.9" customHeight="1">
      <c r="P675" t="s" s="40">
        <v>602</v>
      </c>
      <c r="Q675" s="146">
        <v>38</v>
      </c>
    </row>
    <row r="676" ht="12.9" customHeight="1">
      <c r="P676" t="s" s="40">
        <v>73</v>
      </c>
      <c r="Q676" s="146">
        <v>38</v>
      </c>
    </row>
    <row r="677" ht="12.9" customHeight="1">
      <c r="P677" t="s" s="40">
        <v>998</v>
      </c>
      <c r="Q677" s="146">
        <v>33</v>
      </c>
    </row>
    <row r="678" ht="12.9" customHeight="1">
      <c r="P678" t="s" s="40">
        <v>52</v>
      </c>
      <c r="Q678" s="146">
        <v>31</v>
      </c>
    </row>
    <row r="679" ht="12.9" customHeight="1">
      <c r="P679" t="s" s="40">
        <v>35</v>
      </c>
      <c r="Q679" s="146">
        <v>28</v>
      </c>
    </row>
    <row r="680" ht="12.9" customHeight="1">
      <c r="P680" t="s" s="40">
        <v>607</v>
      </c>
      <c r="Q680" s="146">
        <v>26</v>
      </c>
    </row>
    <row r="681" ht="12.9" customHeight="1">
      <c r="P681" t="s" s="40">
        <v>63</v>
      </c>
      <c r="Q681" s="146">
        <v>26</v>
      </c>
    </row>
    <row r="682" ht="12.9" customHeight="1">
      <c r="P682" t="s" s="40">
        <v>2947</v>
      </c>
      <c r="Q682" s="146">
        <v>25</v>
      </c>
    </row>
    <row r="683" ht="12.9" customHeight="1">
      <c r="P683" t="s" s="40">
        <v>4685</v>
      </c>
      <c r="Q683" s="146">
        <v>25</v>
      </c>
    </row>
    <row r="684" ht="12.9" customHeight="1">
      <c r="P684" t="s" s="40">
        <v>585</v>
      </c>
      <c r="Q684" s="146">
        <v>24</v>
      </c>
    </row>
    <row r="685" ht="12.9" customHeight="1">
      <c r="P685" t="s" s="40">
        <v>500</v>
      </c>
      <c r="Q685" s="146">
        <v>24</v>
      </c>
    </row>
    <row r="686" ht="12.9" customHeight="1">
      <c r="P686" t="s" s="40">
        <v>77</v>
      </c>
      <c r="Q686" s="146">
        <v>21</v>
      </c>
    </row>
    <row r="687" ht="12.9" customHeight="1">
      <c r="P687" t="s" s="40">
        <v>31</v>
      </c>
      <c r="Q687" s="146">
        <v>21</v>
      </c>
    </row>
    <row r="688" ht="12.9" customHeight="1">
      <c r="P688" t="s" s="40">
        <v>1202</v>
      </c>
      <c r="Q688" s="146">
        <v>20</v>
      </c>
    </row>
    <row r="689" ht="12.9" customHeight="1">
      <c r="P689" t="s" s="40">
        <v>89</v>
      </c>
      <c r="Q689" s="146">
        <v>20</v>
      </c>
    </row>
    <row r="690" ht="12.9" customHeight="1">
      <c r="P690" t="s" s="40">
        <v>4612</v>
      </c>
      <c r="Q690" s="146">
        <v>20</v>
      </c>
    </row>
    <row r="691" ht="12.9" customHeight="1">
      <c r="P691" t="s" s="40">
        <v>165</v>
      </c>
      <c r="Q691" s="146">
        <v>19</v>
      </c>
    </row>
    <row r="692" ht="12.9" customHeight="1">
      <c r="P692" t="s" s="40">
        <v>487</v>
      </c>
      <c r="Q692" s="146">
        <v>19</v>
      </c>
    </row>
    <row r="693" ht="12.9" customHeight="1">
      <c r="P693" t="s" s="40">
        <v>225</v>
      </c>
      <c r="Q693" s="146">
        <v>18</v>
      </c>
    </row>
    <row r="694" ht="12.9" customHeight="1">
      <c r="P694" t="s" s="40">
        <v>179</v>
      </c>
      <c r="Q694" s="146">
        <v>17</v>
      </c>
    </row>
    <row r="695" ht="12.9" customHeight="1">
      <c r="P695" t="s" s="40">
        <v>11</v>
      </c>
      <c r="Q695" s="146">
        <v>16</v>
      </c>
    </row>
    <row r="696" ht="12.9" customHeight="1">
      <c r="P696" t="s" s="40">
        <v>722</v>
      </c>
      <c r="Q696" s="146">
        <v>16</v>
      </c>
    </row>
    <row r="697" ht="12.9" customHeight="1">
      <c r="P697" t="s" s="40">
        <v>412</v>
      </c>
      <c r="Q697" s="146">
        <v>15</v>
      </c>
    </row>
    <row r="698" ht="12.9" customHeight="1">
      <c r="P698" t="s" s="40">
        <v>95</v>
      </c>
      <c r="Q698" s="146">
        <v>15</v>
      </c>
    </row>
    <row r="699" ht="12.9" customHeight="1">
      <c r="P699" t="s" s="40">
        <v>1069</v>
      </c>
      <c r="Q699" s="146">
        <v>13</v>
      </c>
    </row>
    <row r="700" ht="12.9" customHeight="1">
      <c r="P700" t="s" s="40">
        <v>462</v>
      </c>
      <c r="Q700" s="146">
        <v>10</v>
      </c>
    </row>
    <row r="701" ht="12.9" customHeight="1">
      <c r="P701" t="s" s="40">
        <v>1479</v>
      </c>
      <c r="Q701" s="146">
        <v>10</v>
      </c>
    </row>
    <row r="702" ht="12.9" customHeight="1">
      <c r="P702" t="s" s="40">
        <v>81</v>
      </c>
      <c r="Q702" s="146">
        <v>10</v>
      </c>
    </row>
    <row r="703" ht="12.9" customHeight="1">
      <c r="P703" t="s" s="40">
        <v>207</v>
      </c>
      <c r="Q703" s="146">
        <v>10</v>
      </c>
    </row>
    <row r="704" ht="12.9" customHeight="1">
      <c r="P704" t="s" s="40">
        <v>171</v>
      </c>
      <c r="Q704" s="146">
        <v>9</v>
      </c>
    </row>
    <row r="705" ht="12.9" customHeight="1">
      <c r="P705" t="s" s="40">
        <v>3847</v>
      </c>
      <c r="Q705" s="146">
        <v>8</v>
      </c>
    </row>
    <row r="706" ht="12.9" customHeight="1">
      <c r="P706" t="s" s="40">
        <v>982</v>
      </c>
      <c r="Q706" s="146">
        <v>7</v>
      </c>
    </row>
    <row r="707" ht="12.9" customHeight="1">
      <c r="P707" t="s" s="40">
        <v>354</v>
      </c>
      <c r="Q707" s="146">
        <v>7</v>
      </c>
    </row>
    <row r="708" ht="12.9" customHeight="1">
      <c r="P708" t="s" s="40">
        <v>133</v>
      </c>
      <c r="Q708" s="146">
        <v>7</v>
      </c>
    </row>
    <row r="709" ht="12.9" customHeight="1">
      <c r="P709" t="s" s="40">
        <v>468</v>
      </c>
      <c r="Q709" s="146">
        <v>7</v>
      </c>
    </row>
    <row r="710" ht="12.9" customHeight="1">
      <c r="P710" t="s" s="40">
        <v>143</v>
      </c>
      <c r="Q710" s="146">
        <v>7</v>
      </c>
    </row>
    <row r="711" ht="12.9" customHeight="1">
      <c r="P711" t="s" s="40">
        <v>47</v>
      </c>
      <c r="Q711" s="146">
        <v>7</v>
      </c>
    </row>
    <row r="712" ht="12.9" customHeight="1">
      <c r="P712" t="s" s="40">
        <v>359</v>
      </c>
      <c r="Q712" s="146">
        <v>6</v>
      </c>
    </row>
    <row r="713" ht="12.9" customHeight="1">
      <c r="P713" t="s" s="40">
        <v>59</v>
      </c>
      <c r="Q713" s="146">
        <v>6</v>
      </c>
    </row>
    <row r="714" ht="12.9" customHeight="1">
      <c r="P714" t="s" s="40">
        <v>2787</v>
      </c>
      <c r="Q714" s="146">
        <v>5</v>
      </c>
    </row>
    <row r="715" ht="12.9" customHeight="1">
      <c r="P715" t="s" s="40">
        <v>4800</v>
      </c>
      <c r="Q715" s="146">
        <v>5</v>
      </c>
    </row>
    <row r="716" ht="12.9" customHeight="1">
      <c r="P716" t="s" s="40">
        <v>1705</v>
      </c>
      <c r="Q716" s="146">
        <v>5</v>
      </c>
    </row>
    <row r="717" ht="12.9" customHeight="1">
      <c r="P717" t="s" s="40">
        <v>146</v>
      </c>
      <c r="Q717" s="146">
        <v>5</v>
      </c>
    </row>
    <row r="718" ht="12.9" customHeight="1">
      <c r="P718" t="s" s="40">
        <v>4053</v>
      </c>
      <c r="Q718" s="146">
        <v>5</v>
      </c>
    </row>
    <row r="719" ht="12.9" customHeight="1">
      <c r="P719" t="s" s="40">
        <v>1186</v>
      </c>
      <c r="Q719" s="146">
        <v>4</v>
      </c>
    </row>
    <row r="720" ht="12.9" customHeight="1">
      <c r="P720" t="s" s="40">
        <v>660</v>
      </c>
      <c r="Q720" s="146">
        <v>4</v>
      </c>
    </row>
    <row r="721" ht="12.9" customHeight="1">
      <c r="P721" t="s" s="40">
        <v>119</v>
      </c>
      <c r="Q721" s="146">
        <v>4</v>
      </c>
    </row>
    <row r="722" ht="12.9" customHeight="1">
      <c r="P722" t="s" s="40">
        <v>1593</v>
      </c>
      <c r="Q722" s="146">
        <v>4</v>
      </c>
    </row>
    <row r="723" ht="12.9" customHeight="1">
      <c r="P723" t="s" s="40">
        <v>213</v>
      </c>
      <c r="Q723" s="146">
        <v>4</v>
      </c>
    </row>
    <row r="724" ht="12.9" customHeight="1">
      <c r="P724" t="s" s="40">
        <v>1875</v>
      </c>
      <c r="Q724" s="146">
        <v>4</v>
      </c>
    </row>
    <row r="725" ht="12.9" customHeight="1">
      <c r="P725" t="s" s="40">
        <v>102</v>
      </c>
      <c r="Q725" s="146">
        <v>4</v>
      </c>
    </row>
    <row r="726" ht="12.9" customHeight="1">
      <c r="P726" t="s" s="40">
        <v>470</v>
      </c>
      <c r="Q726" s="146">
        <v>3</v>
      </c>
    </row>
    <row r="727" ht="12.9" customHeight="1">
      <c r="P727" t="s" s="40">
        <v>1731</v>
      </c>
      <c r="Q727" s="146">
        <v>3</v>
      </c>
    </row>
    <row r="728" ht="12.9" customHeight="1">
      <c r="P728" t="s" s="40">
        <v>4705</v>
      </c>
      <c r="Q728" s="146">
        <v>3</v>
      </c>
    </row>
    <row r="729" ht="12.9" customHeight="1">
      <c r="P729" t="s" s="40">
        <v>254</v>
      </c>
      <c r="Q729" s="146">
        <v>3</v>
      </c>
    </row>
    <row r="730" ht="12.9" customHeight="1">
      <c r="P730" t="s" s="40">
        <v>861</v>
      </c>
      <c r="Q730" s="146">
        <v>3</v>
      </c>
    </row>
    <row r="731" ht="12.9" customHeight="1">
      <c r="P731" t="s" s="40">
        <v>2961</v>
      </c>
      <c r="Q731" s="146">
        <v>2</v>
      </c>
    </row>
    <row r="732" ht="12.9" customHeight="1">
      <c r="P732" t="s" s="40">
        <v>4180</v>
      </c>
      <c r="Q732" s="146">
        <v>2</v>
      </c>
    </row>
    <row r="733" ht="12.9" customHeight="1">
      <c r="P733" t="s" s="40">
        <v>57</v>
      </c>
      <c r="Q733" s="146">
        <v>2</v>
      </c>
    </row>
    <row r="734" ht="12.9" customHeight="1">
      <c r="P734" t="s" s="40">
        <v>1717</v>
      </c>
      <c r="Q734" s="146">
        <v>2</v>
      </c>
    </row>
    <row r="735" ht="12.9" customHeight="1">
      <c r="P735" t="s" s="40">
        <v>882</v>
      </c>
      <c r="Q735" s="146">
        <v>2</v>
      </c>
    </row>
    <row r="736" ht="12.9" customHeight="1">
      <c r="P736" t="s" s="40">
        <v>39</v>
      </c>
      <c r="Q736" s="146">
        <v>2</v>
      </c>
    </row>
    <row r="737" ht="12.9" customHeight="1">
      <c r="P737" t="s" s="40">
        <v>682</v>
      </c>
      <c r="Q737" s="146">
        <v>2</v>
      </c>
    </row>
    <row r="738" ht="12.9" customHeight="1">
      <c r="P738" t="s" s="40">
        <v>258</v>
      </c>
      <c r="Q738" s="146">
        <v>2</v>
      </c>
    </row>
    <row r="739" ht="12.9" customHeight="1">
      <c r="P739" t="s" s="40">
        <v>1729</v>
      </c>
      <c r="Q739" s="146">
        <v>2</v>
      </c>
    </row>
    <row r="740" ht="12.9" customHeight="1">
      <c r="P740" t="s" s="40">
        <v>1155</v>
      </c>
      <c r="Q740" s="146">
        <v>2</v>
      </c>
    </row>
    <row r="741" ht="12.9" customHeight="1">
      <c r="P741" t="s" s="40">
        <v>691</v>
      </c>
      <c r="Q741" s="146">
        <v>2</v>
      </c>
    </row>
    <row r="742" ht="12.9" customHeight="1">
      <c r="P742" t="s" s="40">
        <v>762</v>
      </c>
      <c r="Q742" s="146">
        <v>2</v>
      </c>
    </row>
    <row r="743" ht="12.9" customHeight="1">
      <c r="P743" t="s" s="40">
        <v>2359</v>
      </c>
      <c r="Q743" s="146">
        <v>2</v>
      </c>
    </row>
    <row r="744" ht="12.9" customHeight="1">
      <c r="P744" t="s" s="40">
        <v>4654</v>
      </c>
      <c r="Q744" s="146">
        <v>2</v>
      </c>
    </row>
    <row r="745" ht="12.9" customHeight="1">
      <c r="P745" t="s" s="40">
        <v>123</v>
      </c>
      <c r="Q745" s="146">
        <v>1</v>
      </c>
    </row>
    <row r="746" ht="12.9" customHeight="1">
      <c r="P746" t="s" s="40">
        <v>369</v>
      </c>
      <c r="Q746" s="146">
        <v>1</v>
      </c>
    </row>
    <row r="747" ht="12.9" customHeight="1">
      <c r="P747" t="s" s="40">
        <v>587</v>
      </c>
      <c r="Q747" s="146">
        <v>1</v>
      </c>
    </row>
    <row r="748" ht="12.9" customHeight="1">
      <c r="P748" t="s" s="40">
        <v>345</v>
      </c>
      <c r="Q748" s="146">
        <v>1</v>
      </c>
    </row>
    <row r="749" ht="12.9" customHeight="1">
      <c r="P749" t="s" s="40">
        <v>2347</v>
      </c>
      <c r="Q749" s="146">
        <v>1</v>
      </c>
    </row>
    <row r="750" ht="12.9" customHeight="1">
      <c r="P750" t="s" s="40">
        <v>1466</v>
      </c>
      <c r="Q750" s="146">
        <v>1</v>
      </c>
    </row>
    <row r="751" ht="12.9" customHeight="1">
      <c r="P751" t="s" s="40">
        <v>977</v>
      </c>
      <c r="Q751" s="146">
        <v>1</v>
      </c>
    </row>
    <row r="752" ht="12.9" customHeight="1">
      <c r="P752" t="s" s="40">
        <v>1030</v>
      </c>
      <c r="Q752" s="146">
        <v>1</v>
      </c>
    </row>
    <row r="753" ht="12.9" customHeight="1">
      <c r="P753" t="s" s="40">
        <v>772</v>
      </c>
      <c r="Q753" s="146">
        <v>1</v>
      </c>
    </row>
    <row r="754" ht="12.9" customHeight="1">
      <c r="P754" t="s" s="40">
        <v>2509</v>
      </c>
      <c r="Q754" s="146">
        <v>1</v>
      </c>
    </row>
    <row r="755" ht="12.9" customHeight="1">
      <c r="P755" t="s" s="40">
        <v>404</v>
      </c>
      <c r="Q755" s="146">
        <v>1</v>
      </c>
    </row>
    <row r="756" ht="13.1" customHeight="1">
      <c r="P756" t="s" s="42">
        <v>1394</v>
      </c>
      <c r="Q756" s="147">
        <v>1</v>
      </c>
    </row>
    <row r="757" ht="13.1" customHeight="1">
      <c r="P757" t="s" s="44">
        <v>620</v>
      </c>
      <c r="Q757" s="34">
        <v>2512</v>
      </c>
    </row>
    <row r="759" ht="15.55" customHeight="1">
      <c r="R759" t="s" s="2">
        <v>4821</v>
      </c>
      <c r="S759" s="2"/>
    </row>
    <row r="760" ht="13.1" customHeight="1">
      <c r="R760" t="s" s="37">
        <v>4</v>
      </c>
      <c r="S760" t="s" s="145">
        <v>619</v>
      </c>
    </row>
    <row r="761" ht="13.1" customHeight="1">
      <c r="R761" t="s" s="38">
        <v>48</v>
      </c>
      <c r="S761" s="50">
        <v>45499.74</v>
      </c>
    </row>
    <row r="762" ht="12.9" customHeight="1">
      <c r="R762" t="s" s="40">
        <v>998</v>
      </c>
      <c r="S762" s="150">
        <v>29700</v>
      </c>
    </row>
    <row r="763" ht="12.9" customHeight="1">
      <c r="R763" t="s" s="40">
        <v>143</v>
      </c>
      <c r="S763" s="150">
        <v>19599.93</v>
      </c>
    </row>
    <row r="764" ht="12.9" customHeight="1">
      <c r="R764" t="s" s="40">
        <v>468</v>
      </c>
      <c r="S764" s="150">
        <v>14999.94</v>
      </c>
    </row>
    <row r="765" ht="12.9" customHeight="1">
      <c r="R765" t="s" s="40">
        <v>73</v>
      </c>
      <c r="S765" s="150">
        <v>14129.655</v>
      </c>
    </row>
    <row r="766" ht="12.9" customHeight="1">
      <c r="R766" t="s" s="40">
        <v>722</v>
      </c>
      <c r="S766" s="150">
        <v>11222.871</v>
      </c>
    </row>
    <row r="767" ht="12.9" customHeight="1">
      <c r="R767" t="s" s="40">
        <v>31</v>
      </c>
      <c r="S767" s="150">
        <v>10949.8175</v>
      </c>
    </row>
    <row r="768" ht="12.9" customHeight="1">
      <c r="R768" t="s" s="40">
        <v>602</v>
      </c>
      <c r="S768" s="150">
        <v>9039.757</v>
      </c>
    </row>
    <row r="769" ht="12.9" customHeight="1">
      <c r="R769" t="s" s="40">
        <v>585</v>
      </c>
      <c r="S769" s="150">
        <v>8999.895</v>
      </c>
    </row>
    <row r="770" ht="12.9" customHeight="1">
      <c r="R770" t="s" s="40">
        <v>225</v>
      </c>
      <c r="S770" s="150">
        <v>8999.82</v>
      </c>
    </row>
    <row r="771" ht="12.9" customHeight="1">
      <c r="R771" t="s" s="40">
        <v>81</v>
      </c>
      <c r="S771" s="150">
        <v>8074.905</v>
      </c>
    </row>
    <row r="772" ht="12.9" customHeight="1">
      <c r="R772" t="s" s="40">
        <v>19</v>
      </c>
      <c r="S772" s="150">
        <v>7103.408</v>
      </c>
    </row>
    <row r="773" ht="12.9" customHeight="1">
      <c r="R773" t="s" s="40">
        <v>59</v>
      </c>
      <c r="S773" s="150">
        <v>6599.945</v>
      </c>
    </row>
    <row r="774" ht="12.9" customHeight="1">
      <c r="R774" t="s" s="40">
        <v>11</v>
      </c>
      <c r="S774" s="150">
        <v>6309.841</v>
      </c>
    </row>
    <row r="775" ht="12.9" customHeight="1">
      <c r="R775" t="s" s="40">
        <v>63</v>
      </c>
      <c r="S775" s="150">
        <v>6066.07</v>
      </c>
    </row>
    <row r="776" ht="12.9" customHeight="1">
      <c r="R776" t="s" s="40">
        <v>95</v>
      </c>
      <c r="S776" s="150">
        <v>5237.35</v>
      </c>
    </row>
    <row r="777" ht="12.9" customHeight="1">
      <c r="R777" t="s" s="40">
        <v>171</v>
      </c>
      <c r="S777" s="150">
        <v>4949.91</v>
      </c>
    </row>
    <row r="778" ht="12.9" customHeight="1">
      <c r="R778" t="s" s="40">
        <v>4053</v>
      </c>
      <c r="S778" s="150">
        <v>4874.9625</v>
      </c>
    </row>
    <row r="779" ht="12.9" customHeight="1">
      <c r="R779" t="s" s="40">
        <v>4808</v>
      </c>
      <c r="S779" s="150">
        <v>3374.25</v>
      </c>
    </row>
    <row r="780" ht="12.9" customHeight="1">
      <c r="R780" t="s" s="40">
        <v>1155</v>
      </c>
      <c r="S780" s="150">
        <v>3250</v>
      </c>
    </row>
    <row r="781" ht="12.9" customHeight="1">
      <c r="R781" t="s" s="40">
        <v>4800</v>
      </c>
      <c r="S781" s="150">
        <v>2999.9625</v>
      </c>
    </row>
    <row r="782" ht="12.9" customHeight="1">
      <c r="R782" t="s" s="40">
        <v>1479</v>
      </c>
      <c r="S782" s="150">
        <v>2924.9025</v>
      </c>
    </row>
    <row r="783" ht="12.9" customHeight="1">
      <c r="R783" t="s" s="40">
        <v>23</v>
      </c>
      <c r="S783" s="150">
        <v>2924.805</v>
      </c>
    </row>
    <row r="784" ht="12.9" customHeight="1">
      <c r="R784" t="s" s="40">
        <v>106</v>
      </c>
      <c r="S784" s="150">
        <v>2680.8375</v>
      </c>
    </row>
    <row r="785" ht="12.9" customHeight="1">
      <c r="R785" t="s" s="40">
        <v>1695</v>
      </c>
      <c r="S785" s="150">
        <v>1949.61</v>
      </c>
    </row>
    <row r="786" ht="12.9" customHeight="1">
      <c r="R786" t="s" s="40">
        <v>4283</v>
      </c>
      <c r="S786" s="150">
        <v>1851.428556</v>
      </c>
    </row>
    <row r="787" ht="12.9" customHeight="1">
      <c r="R787" t="s" s="40">
        <v>487</v>
      </c>
      <c r="S787" s="150">
        <v>1649.85</v>
      </c>
    </row>
    <row r="788" ht="12.9" customHeight="1">
      <c r="R788" t="s" s="40">
        <v>1202</v>
      </c>
      <c r="S788" s="150">
        <v>1600</v>
      </c>
    </row>
    <row r="789" ht="12.9" customHeight="1">
      <c r="R789" t="s" s="40">
        <v>213</v>
      </c>
      <c r="S789" s="150">
        <v>1599.96</v>
      </c>
    </row>
    <row r="790" ht="12.9" customHeight="1">
      <c r="R790" t="s" s="40">
        <v>462</v>
      </c>
      <c r="S790" s="150">
        <v>1599.92</v>
      </c>
    </row>
    <row r="791" ht="12.9" customHeight="1">
      <c r="R791" t="s" s="40">
        <v>500</v>
      </c>
      <c r="S791" s="150">
        <v>1529.82</v>
      </c>
    </row>
    <row r="792" ht="12.9" customHeight="1">
      <c r="R792" t="s" s="40">
        <v>982</v>
      </c>
      <c r="S792" s="150">
        <v>1312.4475</v>
      </c>
    </row>
    <row r="793" ht="12.9" customHeight="1">
      <c r="R793" t="s" s="40">
        <v>1069</v>
      </c>
      <c r="S793" s="150">
        <v>1299.87</v>
      </c>
    </row>
    <row r="794" ht="12.9" customHeight="1">
      <c r="R794" t="s" s="40">
        <v>35</v>
      </c>
      <c r="S794" s="150">
        <v>1287.24</v>
      </c>
    </row>
    <row r="795" ht="12.9" customHeight="1">
      <c r="R795" t="s" s="40">
        <v>133</v>
      </c>
      <c r="S795" s="150">
        <v>1249.94</v>
      </c>
    </row>
    <row r="796" ht="12.9" customHeight="1">
      <c r="R796" t="s" s="40">
        <v>47</v>
      </c>
      <c r="S796" s="150">
        <v>1147.58</v>
      </c>
    </row>
    <row r="797" ht="12.9" customHeight="1">
      <c r="R797" t="s" s="40">
        <v>102</v>
      </c>
      <c r="S797" s="150">
        <v>1124.97</v>
      </c>
    </row>
    <row r="798" ht="12.9" customHeight="1">
      <c r="R798" t="s" s="40">
        <v>861</v>
      </c>
      <c r="S798" s="150">
        <v>1041.66</v>
      </c>
    </row>
    <row r="799" ht="12.9" customHeight="1">
      <c r="R799" t="s" s="40">
        <v>89</v>
      </c>
      <c r="S799" s="150">
        <v>989.835</v>
      </c>
    </row>
    <row r="800" ht="12.9" customHeight="1">
      <c r="R800" t="s" s="40">
        <v>4304</v>
      </c>
      <c r="S800" s="150">
        <v>959.4</v>
      </c>
    </row>
    <row r="801" ht="12.9" customHeight="1">
      <c r="R801" t="s" s="40">
        <v>227</v>
      </c>
      <c r="S801" s="150">
        <v>884.705</v>
      </c>
    </row>
    <row r="802" ht="12.9" customHeight="1">
      <c r="R802" t="s" s="40">
        <v>15</v>
      </c>
      <c r="S802" s="150">
        <v>815.08</v>
      </c>
    </row>
    <row r="803" ht="12.9" customHeight="1">
      <c r="R803" t="s" s="40">
        <v>354</v>
      </c>
      <c r="S803" s="150">
        <v>787.4475</v>
      </c>
    </row>
    <row r="804" ht="12.9" customHeight="1">
      <c r="R804" t="s" s="40">
        <v>1875</v>
      </c>
      <c r="S804" s="150">
        <v>749.97</v>
      </c>
    </row>
    <row r="805" ht="12.9" customHeight="1">
      <c r="R805" t="s" s="40">
        <v>179</v>
      </c>
      <c r="S805" s="150">
        <v>649.87</v>
      </c>
    </row>
    <row r="806" ht="12.9" customHeight="1">
      <c r="R806" t="s" s="40">
        <v>470</v>
      </c>
      <c r="S806" s="150">
        <v>624.975</v>
      </c>
    </row>
    <row r="807" ht="12.9" customHeight="1">
      <c r="R807" t="s" s="40">
        <v>691</v>
      </c>
      <c r="S807" s="150">
        <v>590</v>
      </c>
    </row>
    <row r="808" ht="12.9" customHeight="1">
      <c r="R808" t="s" s="40">
        <v>607</v>
      </c>
      <c r="S808" s="150">
        <v>584.8049999999999</v>
      </c>
    </row>
    <row r="809" ht="12.9" customHeight="1">
      <c r="R809" t="s" s="40">
        <v>682</v>
      </c>
      <c r="S809" s="150">
        <v>499.98</v>
      </c>
    </row>
    <row r="810" ht="12.9" customHeight="1">
      <c r="R810" t="s" s="40">
        <v>4811</v>
      </c>
      <c r="S810" s="150">
        <v>437.14287</v>
      </c>
    </row>
    <row r="811" ht="12.9" customHeight="1">
      <c r="R811" t="s" s="40">
        <v>1466</v>
      </c>
      <c r="S811" s="150">
        <v>429.99</v>
      </c>
    </row>
    <row r="812" ht="12.9" customHeight="1">
      <c r="R812" t="s" s="40">
        <v>4180</v>
      </c>
      <c r="S812" s="150">
        <v>399.98</v>
      </c>
    </row>
    <row r="813" ht="12.9" customHeight="1">
      <c r="R813" t="s" s="40">
        <v>77</v>
      </c>
      <c r="S813" s="150">
        <v>389.805</v>
      </c>
    </row>
    <row r="814" ht="12.9" customHeight="1">
      <c r="R814" t="s" s="40">
        <v>54</v>
      </c>
      <c r="S814" s="150">
        <v>389.61</v>
      </c>
    </row>
    <row r="815" ht="12.9" customHeight="1">
      <c r="R815" t="s" s="40">
        <v>4612</v>
      </c>
      <c r="S815" s="150">
        <v>319.8</v>
      </c>
    </row>
    <row r="816" ht="12.9" customHeight="1">
      <c r="R816" t="s" s="40">
        <v>2347</v>
      </c>
      <c r="S816" s="150">
        <v>300</v>
      </c>
    </row>
    <row r="817" ht="12.9" customHeight="1">
      <c r="R817" t="s" s="40">
        <v>345</v>
      </c>
      <c r="S817" s="150">
        <v>219.99</v>
      </c>
    </row>
    <row r="818" ht="12.9" customHeight="1">
      <c r="R818" t="s" s="40">
        <v>39</v>
      </c>
      <c r="S818" s="150">
        <v>219.98</v>
      </c>
    </row>
    <row r="819" ht="12.9" customHeight="1">
      <c r="R819" t="s" s="40">
        <v>1717</v>
      </c>
      <c r="S819" s="150">
        <v>199.98</v>
      </c>
    </row>
    <row r="820" ht="12.9" customHeight="1">
      <c r="R820" t="s" s="40">
        <v>123</v>
      </c>
      <c r="S820" s="150">
        <v>179.99</v>
      </c>
    </row>
    <row r="821" ht="12.9" customHeight="1">
      <c r="R821" t="s" s="40">
        <v>882</v>
      </c>
      <c r="S821" s="150">
        <v>149.98</v>
      </c>
    </row>
    <row r="822" ht="12.9" customHeight="1">
      <c r="R822" t="s" s="40">
        <v>359</v>
      </c>
      <c r="S822" s="150">
        <v>142.4525</v>
      </c>
    </row>
    <row r="823" ht="12.9" customHeight="1">
      <c r="R823" t="s" s="40">
        <v>2787</v>
      </c>
      <c r="S823" s="150">
        <v>114.95</v>
      </c>
    </row>
    <row r="824" ht="12.9" customHeight="1">
      <c r="R824" t="s" s="40">
        <v>315</v>
      </c>
      <c r="S824" s="150">
        <v>112.5</v>
      </c>
    </row>
    <row r="825" ht="12.9" customHeight="1">
      <c r="R825" t="s" s="40">
        <v>84</v>
      </c>
      <c r="S825" s="150">
        <v>105</v>
      </c>
    </row>
    <row r="826" ht="12.9" customHeight="1">
      <c r="R826" t="s" s="40">
        <v>146</v>
      </c>
      <c r="S826" s="150">
        <v>99.95</v>
      </c>
    </row>
    <row r="827" ht="12.9" customHeight="1">
      <c r="R827" t="s" s="40">
        <v>1705</v>
      </c>
      <c r="S827" s="150">
        <v>93.71250000000001</v>
      </c>
    </row>
    <row r="828" ht="12.9" customHeight="1">
      <c r="R828" t="s" s="40">
        <v>50</v>
      </c>
      <c r="S828" s="150">
        <v>89.97</v>
      </c>
    </row>
    <row r="829" ht="12.9" customHeight="1">
      <c r="R829" t="s" s="40">
        <v>1731</v>
      </c>
      <c r="S829" s="150">
        <v>74.97</v>
      </c>
    </row>
    <row r="830" ht="12.9" customHeight="1">
      <c r="R830" t="s" s="40">
        <v>977</v>
      </c>
      <c r="S830" s="150">
        <v>59.99</v>
      </c>
    </row>
    <row r="831" ht="12.9" customHeight="1">
      <c r="R831" t="s" s="40">
        <v>2509</v>
      </c>
      <c r="S831" s="150">
        <v>47.2491</v>
      </c>
    </row>
    <row r="832" ht="12.9" customHeight="1">
      <c r="R832" t="s" s="40">
        <v>52</v>
      </c>
      <c r="S832" s="150">
        <v>39.98</v>
      </c>
    </row>
    <row r="833" ht="12.9" customHeight="1">
      <c r="R833" t="s" s="40">
        <v>1729</v>
      </c>
      <c r="S833" s="150">
        <v>29.98</v>
      </c>
    </row>
    <row r="834" ht="12.9" customHeight="1">
      <c r="R834" t="s" s="40">
        <v>660</v>
      </c>
      <c r="S834" s="150">
        <v>23.96</v>
      </c>
    </row>
    <row r="835" ht="12.9" customHeight="1">
      <c r="R835" t="s" s="40">
        <v>412</v>
      </c>
      <c r="S835" s="150">
        <v>13.93</v>
      </c>
    </row>
    <row r="836" ht="12.9" customHeight="1">
      <c r="R836" t="s" s="40">
        <v>119</v>
      </c>
      <c r="S836" s="150">
        <v>1.99</v>
      </c>
    </row>
    <row r="837" ht="12.9" customHeight="1">
      <c r="R837" t="s" s="40">
        <v>4654</v>
      </c>
      <c r="S837" s="149">
        <v>0</v>
      </c>
    </row>
    <row r="838" ht="12.9" customHeight="1">
      <c r="R838" t="s" s="40">
        <v>2359</v>
      </c>
      <c r="S838" s="149">
        <v>0</v>
      </c>
    </row>
    <row r="839" ht="12.9" customHeight="1">
      <c r="R839" t="s" s="40">
        <v>1394</v>
      </c>
      <c r="S839" s="149">
        <v>0</v>
      </c>
    </row>
    <row r="840" ht="12.9" customHeight="1">
      <c r="R840" t="s" s="40">
        <v>762</v>
      </c>
      <c r="S840" s="149">
        <v>0</v>
      </c>
    </row>
    <row r="841" ht="12.9" customHeight="1">
      <c r="R841" t="s" s="40">
        <v>254</v>
      </c>
      <c r="S841" s="149">
        <v>0</v>
      </c>
    </row>
    <row r="842" ht="12.9" customHeight="1">
      <c r="R842" t="s" s="40">
        <v>4705</v>
      </c>
      <c r="S842" s="149">
        <v>0</v>
      </c>
    </row>
    <row r="843" ht="12.9" customHeight="1">
      <c r="R843" t="s" s="40">
        <v>1048</v>
      </c>
      <c r="S843" s="149">
        <v>0</v>
      </c>
    </row>
    <row r="844" ht="12.9" customHeight="1">
      <c r="R844" t="s" s="40">
        <v>4685</v>
      </c>
      <c r="S844" s="149">
        <v>0</v>
      </c>
    </row>
    <row r="845" ht="12.9" customHeight="1">
      <c r="R845" t="s" s="40">
        <v>3847</v>
      </c>
      <c r="S845" s="149">
        <v>0</v>
      </c>
    </row>
    <row r="846" ht="12.9" customHeight="1">
      <c r="R846" t="s" s="40">
        <v>404</v>
      </c>
      <c r="S846" s="149">
        <v>0</v>
      </c>
    </row>
    <row r="847" ht="12.9" customHeight="1">
      <c r="R847" t="s" s="40">
        <v>1044</v>
      </c>
      <c r="S847" s="149">
        <v>0</v>
      </c>
    </row>
    <row r="848" ht="12.9" customHeight="1">
      <c r="R848" t="s" s="40">
        <v>772</v>
      </c>
      <c r="S848" s="149">
        <v>0</v>
      </c>
    </row>
    <row r="849" ht="12.9" customHeight="1">
      <c r="R849" t="s" s="40">
        <v>207</v>
      </c>
      <c r="S849" s="149">
        <v>0</v>
      </c>
    </row>
    <row r="850" ht="12.9" customHeight="1">
      <c r="R850" t="s" s="40">
        <v>1030</v>
      </c>
      <c r="S850" s="149">
        <v>0</v>
      </c>
    </row>
    <row r="851" ht="12.9" customHeight="1">
      <c r="R851" t="s" s="40">
        <v>559</v>
      </c>
      <c r="S851" s="149">
        <v>0</v>
      </c>
    </row>
    <row r="852" ht="12.9" customHeight="1">
      <c r="R852" t="s" s="40">
        <v>258</v>
      </c>
      <c r="S852" s="149">
        <v>0</v>
      </c>
    </row>
    <row r="853" ht="12.9" customHeight="1">
      <c r="R853" t="s" s="40">
        <v>1593</v>
      </c>
      <c r="S853" s="149">
        <v>0</v>
      </c>
    </row>
    <row r="854" ht="12.9" customHeight="1">
      <c r="R854" t="s" s="40">
        <v>587</v>
      </c>
      <c r="S854" s="149">
        <v>0</v>
      </c>
    </row>
    <row r="855" ht="12.9" customHeight="1">
      <c r="R855" t="s" s="40">
        <v>369</v>
      </c>
      <c r="S855" s="149">
        <v>0</v>
      </c>
    </row>
    <row r="856" ht="12.9" customHeight="1">
      <c r="R856" t="s" s="40">
        <v>57</v>
      </c>
      <c r="S856" s="149">
        <v>0</v>
      </c>
    </row>
    <row r="857" ht="12.9" customHeight="1">
      <c r="R857" t="s" s="40">
        <v>165</v>
      </c>
      <c r="S857" s="149">
        <v>0</v>
      </c>
    </row>
    <row r="858" ht="12.9" customHeight="1">
      <c r="R858" t="s" s="40">
        <v>2947</v>
      </c>
      <c r="S858" s="149">
        <v>0</v>
      </c>
    </row>
    <row r="859" ht="12.9" customHeight="1">
      <c r="R859" t="s" s="40">
        <v>1186</v>
      </c>
      <c r="S859" s="149">
        <v>0</v>
      </c>
    </row>
    <row r="860" ht="12.9" customHeight="1">
      <c r="R860" t="s" s="40">
        <v>1046</v>
      </c>
      <c r="S860" s="149">
        <v>0</v>
      </c>
    </row>
    <row r="861" ht="13.1" customHeight="1">
      <c r="R861" t="s" s="42">
        <v>2961</v>
      </c>
      <c r="S861" s="151">
        <v>0</v>
      </c>
    </row>
    <row r="862" ht="13.1" customHeight="1">
      <c r="R862" t="s" s="44">
        <v>620</v>
      </c>
      <c r="S862" s="50">
        <v>273579.770026</v>
      </c>
    </row>
  </sheetData>
  <mergeCells count="4">
    <mergeCell ref="A1:H1"/>
    <mergeCell ref="I486:O486"/>
    <mergeCell ref="P654:Q654"/>
    <mergeCell ref="R759:S759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0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23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37" customWidth="1"/>
    <col min="6" max="6" width="12.4062" style="337" customWidth="1"/>
    <col min="7" max="8" width="16.3516" style="337" customWidth="1"/>
    <col min="9" max="9" width="29.7031" style="338" customWidth="1"/>
    <col min="10" max="15" width="13.3516" style="338" customWidth="1"/>
    <col min="16" max="16" width="37.4609" style="339" customWidth="1"/>
    <col min="17" max="17" width="13.3516" style="339" customWidth="1"/>
    <col min="18" max="18" width="34.0703" style="340" customWidth="1"/>
    <col min="19" max="19" width="13.3516" style="340" customWidth="1"/>
    <col min="20" max="16384" width="16.3516" style="340" customWidth="1"/>
  </cols>
  <sheetData>
    <row r="1" ht="15.55" customHeight="1">
      <c r="A1" t="s" s="2">
        <v>4822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4823</v>
      </c>
      <c r="B3" t="s" s="5">
        <v>4824</v>
      </c>
      <c r="C3" s="6">
        <v>45138.8388468287</v>
      </c>
      <c r="D3" t="s" s="7">
        <v>35</v>
      </c>
      <c r="E3" t="s" s="7">
        <v>36</v>
      </c>
      <c r="F3" s="8">
        <v>2</v>
      </c>
      <c r="G3" s="9">
        <v>48.42</v>
      </c>
      <c r="H3" s="9">
        <v>96.84</v>
      </c>
    </row>
    <row r="4" ht="12.9" customHeight="1">
      <c r="A4" t="s" s="10">
        <v>4823</v>
      </c>
      <c r="B4" t="s" s="11">
        <v>4824</v>
      </c>
      <c r="C4" s="12">
        <v>45138.8388468287</v>
      </c>
      <c r="D4" t="s" s="13">
        <v>89</v>
      </c>
      <c r="E4" t="s" s="13">
        <v>90</v>
      </c>
      <c r="F4" s="14">
        <v>2</v>
      </c>
      <c r="G4" s="15">
        <v>58.42</v>
      </c>
      <c r="H4" s="15">
        <v>116.84</v>
      </c>
    </row>
    <row r="5" ht="12.9" customHeight="1">
      <c r="A5" t="s" s="10">
        <v>4823</v>
      </c>
      <c r="B5" t="s" s="11">
        <v>4824</v>
      </c>
      <c r="C5" s="12">
        <v>45138.8388468287</v>
      </c>
      <c r="D5" t="s" s="13">
        <v>179</v>
      </c>
      <c r="E5" t="s" s="13">
        <v>180</v>
      </c>
      <c r="F5" s="14">
        <v>2</v>
      </c>
      <c r="G5" s="15">
        <v>48.43</v>
      </c>
      <c r="H5" s="15">
        <v>96.86</v>
      </c>
    </row>
    <row r="6" ht="12.9" customHeight="1">
      <c r="A6" t="s" s="10">
        <v>4823</v>
      </c>
      <c r="B6" t="s" s="11">
        <v>4824</v>
      </c>
      <c r="C6" s="12">
        <v>45138.8388468287</v>
      </c>
      <c r="D6" t="s" s="13">
        <v>412</v>
      </c>
      <c r="E6" t="s" s="13">
        <v>413</v>
      </c>
      <c r="F6" s="14">
        <v>10</v>
      </c>
      <c r="G6" s="15">
        <v>0.43</v>
      </c>
      <c r="H6" s="15">
        <v>4.3</v>
      </c>
    </row>
    <row r="7" ht="12.9" customHeight="1">
      <c r="A7" t="s" s="10">
        <v>4825</v>
      </c>
      <c r="B7" t="s" s="11">
        <v>4826</v>
      </c>
      <c r="C7" s="12">
        <v>45138.815684305555</v>
      </c>
      <c r="D7" t="s" s="13">
        <v>1717</v>
      </c>
      <c r="E7" t="s" s="13">
        <v>1718</v>
      </c>
      <c r="F7" s="14">
        <v>2</v>
      </c>
      <c r="G7" s="15">
        <v>99.98999999999999</v>
      </c>
      <c r="H7" s="15">
        <v>199.98</v>
      </c>
    </row>
    <row r="8" ht="12.9" customHeight="1">
      <c r="A8" t="s" s="10">
        <v>4825</v>
      </c>
      <c r="B8" t="s" s="11">
        <v>4826</v>
      </c>
      <c r="C8" s="12">
        <v>45138.815684305555</v>
      </c>
      <c r="D8" t="s" s="13">
        <v>1961</v>
      </c>
      <c r="E8" t="s" s="13">
        <v>1962</v>
      </c>
      <c r="F8" s="14">
        <v>1</v>
      </c>
      <c r="G8" s="15">
        <v>109.99</v>
      </c>
      <c r="H8" s="15">
        <v>109.99</v>
      </c>
    </row>
    <row r="9" ht="12.9" customHeight="1">
      <c r="A9" t="s" s="10">
        <v>4827</v>
      </c>
      <c r="B9" t="s" s="11">
        <v>3755</v>
      </c>
      <c r="C9" s="12">
        <v>45138.614640810185</v>
      </c>
      <c r="D9" t="s" s="13">
        <v>73</v>
      </c>
      <c r="E9" t="s" s="13">
        <v>74</v>
      </c>
      <c r="F9" s="14">
        <v>1</v>
      </c>
      <c r="G9" s="15">
        <v>399.99</v>
      </c>
      <c r="H9" s="15">
        <v>399.99</v>
      </c>
    </row>
    <row r="10" ht="12.9" customHeight="1">
      <c r="A10" t="s" s="10">
        <v>4828</v>
      </c>
      <c r="B10" t="s" s="11">
        <v>2222</v>
      </c>
      <c r="C10" s="12">
        <v>45138</v>
      </c>
      <c r="D10" t="s" s="13">
        <v>1731</v>
      </c>
      <c r="E10" t="s" s="13">
        <v>4829</v>
      </c>
      <c r="F10" s="14">
        <v>12</v>
      </c>
      <c r="G10" s="15">
        <v>0</v>
      </c>
      <c r="H10" s="15">
        <v>0</v>
      </c>
    </row>
    <row r="11" ht="12.9" customHeight="1">
      <c r="A11" t="s" s="10">
        <v>4830</v>
      </c>
      <c r="B11" t="s" s="11">
        <v>1110</v>
      </c>
      <c r="C11" s="12">
        <v>45138</v>
      </c>
      <c r="D11" t="s" s="13">
        <v>73</v>
      </c>
      <c r="E11" t="s" s="13">
        <v>4831</v>
      </c>
      <c r="F11" s="14">
        <v>2</v>
      </c>
      <c r="G11" s="15">
        <v>299.9925</v>
      </c>
      <c r="H11" s="15">
        <v>599.985</v>
      </c>
    </row>
    <row r="12" ht="12.9" customHeight="1">
      <c r="A12" t="s" s="10">
        <v>4830</v>
      </c>
      <c r="B12" t="s" s="11">
        <v>1110</v>
      </c>
      <c r="C12" s="12">
        <v>45138</v>
      </c>
      <c r="D12" t="s" s="13">
        <v>63</v>
      </c>
      <c r="E12" s="16"/>
      <c r="F12" s="14">
        <v>1</v>
      </c>
      <c r="G12" s="15">
        <v>20</v>
      </c>
      <c r="H12" s="15">
        <v>20</v>
      </c>
    </row>
    <row r="13" ht="12.9" customHeight="1">
      <c r="A13" t="s" s="10">
        <v>4832</v>
      </c>
      <c r="B13" t="s" s="11">
        <v>4450</v>
      </c>
      <c r="C13" s="12">
        <v>45136.802869155094</v>
      </c>
      <c r="D13" t="s" s="13">
        <v>81</v>
      </c>
      <c r="E13" t="s" s="13">
        <v>82</v>
      </c>
      <c r="F13" s="14">
        <v>2</v>
      </c>
      <c r="G13" s="15">
        <v>849.99</v>
      </c>
      <c r="H13" s="15">
        <v>1699.98</v>
      </c>
    </row>
    <row r="14" ht="12.9" customHeight="1">
      <c r="A14" t="s" s="10">
        <v>4832</v>
      </c>
      <c r="B14" t="s" s="11">
        <v>4450</v>
      </c>
      <c r="C14" s="12">
        <v>45136.802869155094</v>
      </c>
      <c r="D14" t="s" s="13">
        <v>23</v>
      </c>
      <c r="E14" t="s" s="13">
        <v>828</v>
      </c>
      <c r="F14" s="14">
        <v>2</v>
      </c>
      <c r="G14" s="15">
        <v>0</v>
      </c>
      <c r="H14" s="15">
        <v>0</v>
      </c>
    </row>
    <row r="15" ht="12.9" customHeight="1">
      <c r="A15" t="s" s="10">
        <v>4832</v>
      </c>
      <c r="B15" t="s" s="11">
        <v>4450</v>
      </c>
      <c r="C15" s="12">
        <v>45136.802869155094</v>
      </c>
      <c r="D15" t="s" s="13">
        <v>227</v>
      </c>
      <c r="E15" t="s" s="13">
        <v>228</v>
      </c>
      <c r="F15" s="14">
        <v>4</v>
      </c>
      <c r="G15" s="15">
        <v>29.99</v>
      </c>
      <c r="H15" s="15">
        <v>119.96</v>
      </c>
    </row>
    <row r="16" ht="12.9" customHeight="1">
      <c r="A16" t="s" s="10">
        <v>4832</v>
      </c>
      <c r="B16" t="s" s="11">
        <v>4450</v>
      </c>
      <c r="C16" s="12">
        <v>45136.802869155094</v>
      </c>
      <c r="D16" t="s" s="13">
        <v>660</v>
      </c>
      <c r="E16" t="s" s="13">
        <v>661</v>
      </c>
      <c r="F16" s="14">
        <v>2</v>
      </c>
      <c r="G16" s="15">
        <v>5.99</v>
      </c>
      <c r="H16" s="15">
        <v>11.98</v>
      </c>
    </row>
    <row r="17" ht="12.9" customHeight="1">
      <c r="A17" t="s" s="10">
        <v>4832</v>
      </c>
      <c r="B17" t="s" s="11">
        <v>4450</v>
      </c>
      <c r="C17" s="12">
        <v>45136.802869155094</v>
      </c>
      <c r="D17" t="s" s="13">
        <v>50</v>
      </c>
      <c r="E17" t="s" s="13">
        <v>83</v>
      </c>
      <c r="F17" s="14">
        <v>2</v>
      </c>
      <c r="G17" s="15">
        <v>0</v>
      </c>
      <c r="H17" s="15">
        <v>0</v>
      </c>
    </row>
    <row r="18" ht="12.9" customHeight="1">
      <c r="A18" t="s" s="10">
        <v>4832</v>
      </c>
      <c r="B18" t="s" s="11">
        <v>4450</v>
      </c>
      <c r="C18" s="12">
        <v>45136.802869155094</v>
      </c>
      <c r="D18" t="s" s="13">
        <v>84</v>
      </c>
      <c r="E18" t="s" s="13">
        <v>4225</v>
      </c>
      <c r="F18" s="14">
        <v>2</v>
      </c>
      <c r="G18" s="15">
        <v>0</v>
      </c>
      <c r="H18" s="15">
        <v>0</v>
      </c>
    </row>
    <row r="19" ht="12.9" customHeight="1">
      <c r="A19" t="s" s="10">
        <v>4833</v>
      </c>
      <c r="B19" t="s" s="11">
        <v>4834</v>
      </c>
      <c r="C19" s="12">
        <v>45136.073867476851</v>
      </c>
      <c r="D19" t="s" s="13">
        <v>133</v>
      </c>
      <c r="E19" t="s" s="13">
        <v>4835</v>
      </c>
      <c r="F19" s="14">
        <v>1</v>
      </c>
      <c r="G19" s="15">
        <v>199.99</v>
      </c>
      <c r="H19" s="15">
        <v>199.99</v>
      </c>
    </row>
    <row r="20" ht="12.9" customHeight="1">
      <c r="A20" t="s" s="10">
        <v>4836</v>
      </c>
      <c r="B20" t="s" s="11">
        <v>4837</v>
      </c>
      <c r="C20" s="12">
        <v>45135.701218368056</v>
      </c>
      <c r="D20" t="s" s="13">
        <v>89</v>
      </c>
      <c r="E20" t="s" s="13">
        <v>90</v>
      </c>
      <c r="F20" s="14">
        <v>6</v>
      </c>
      <c r="G20" s="15">
        <v>59.99</v>
      </c>
      <c r="H20" s="15">
        <v>359.94</v>
      </c>
    </row>
    <row r="21" ht="12.9" customHeight="1">
      <c r="A21" t="s" s="10">
        <v>4838</v>
      </c>
      <c r="B21" t="s" s="11">
        <v>4839</v>
      </c>
      <c r="C21" s="12">
        <v>45135.204481076391</v>
      </c>
      <c r="D21" t="s" s="13">
        <v>73</v>
      </c>
      <c r="E21" t="s" s="13">
        <v>74</v>
      </c>
      <c r="F21" s="14">
        <v>1</v>
      </c>
      <c r="G21" s="15">
        <v>399.99</v>
      </c>
      <c r="H21" s="15">
        <v>399.99</v>
      </c>
    </row>
    <row r="22" ht="12.9" customHeight="1">
      <c r="A22" t="s" s="10">
        <v>4838</v>
      </c>
      <c r="B22" t="s" s="11">
        <v>4839</v>
      </c>
      <c r="C22" s="12">
        <v>45135.204481076391</v>
      </c>
      <c r="D22" t="s" s="13">
        <v>89</v>
      </c>
      <c r="E22" t="s" s="13">
        <v>90</v>
      </c>
      <c r="F22" s="14">
        <v>4</v>
      </c>
      <c r="G22" s="15">
        <v>59.99</v>
      </c>
      <c r="H22" s="15">
        <v>239.96</v>
      </c>
    </row>
    <row r="23" ht="12.9" customHeight="1">
      <c r="A23" t="s" s="10">
        <v>4838</v>
      </c>
      <c r="B23" t="s" s="11">
        <v>4839</v>
      </c>
      <c r="C23" s="12">
        <v>45135.204481076391</v>
      </c>
      <c r="D23" t="s" s="13">
        <v>19</v>
      </c>
      <c r="E23" t="s" s="13">
        <v>20</v>
      </c>
      <c r="F23" s="14">
        <v>2</v>
      </c>
      <c r="G23" s="15">
        <v>119.99</v>
      </c>
      <c r="H23" s="15">
        <v>239.98</v>
      </c>
    </row>
    <row r="24" ht="12.9" customHeight="1">
      <c r="A24" t="s" s="10">
        <v>4838</v>
      </c>
      <c r="B24" t="s" s="11">
        <v>4839</v>
      </c>
      <c r="C24" s="12">
        <v>45135.204481076391</v>
      </c>
      <c r="D24" t="s" s="13">
        <v>15</v>
      </c>
      <c r="E24" t="s" s="13">
        <v>4757</v>
      </c>
      <c r="F24" s="14">
        <v>2</v>
      </c>
      <c r="G24" s="15">
        <v>8.99</v>
      </c>
      <c r="H24" s="15">
        <v>17.98</v>
      </c>
    </row>
    <row r="25" ht="12.9" customHeight="1">
      <c r="A25" t="s" s="10">
        <v>4840</v>
      </c>
      <c r="B25" t="s" s="11">
        <v>4841</v>
      </c>
      <c r="C25" s="12">
        <v>45135</v>
      </c>
      <c r="D25" t="s" s="13">
        <v>4842</v>
      </c>
      <c r="E25" t="s" s="13">
        <v>4843</v>
      </c>
      <c r="F25" s="14">
        <v>4</v>
      </c>
      <c r="G25" s="15">
        <v>199.99</v>
      </c>
      <c r="H25" s="15">
        <v>799.96</v>
      </c>
    </row>
    <row r="26" ht="12.9" customHeight="1">
      <c r="A26" t="s" s="10">
        <v>4840</v>
      </c>
      <c r="B26" t="s" s="11">
        <v>4841</v>
      </c>
      <c r="C26" s="12">
        <v>45135</v>
      </c>
      <c r="D26" t="s" s="13">
        <v>1695</v>
      </c>
      <c r="E26" t="s" s="13">
        <v>140</v>
      </c>
      <c r="F26" s="14">
        <v>2</v>
      </c>
      <c r="G26" s="15">
        <v>49.99</v>
      </c>
      <c r="H26" s="15">
        <v>99.98</v>
      </c>
    </row>
    <row r="27" ht="12.9" customHeight="1">
      <c r="A27" t="s" s="10">
        <v>4840</v>
      </c>
      <c r="B27" t="s" s="11">
        <v>4841</v>
      </c>
      <c r="C27" s="12">
        <v>45135</v>
      </c>
      <c r="D27" t="s" s="13">
        <v>15</v>
      </c>
      <c r="E27" t="s" s="13">
        <v>4757</v>
      </c>
      <c r="F27" s="14">
        <v>2</v>
      </c>
      <c r="G27" s="15">
        <v>0</v>
      </c>
      <c r="H27" s="15">
        <v>0</v>
      </c>
    </row>
    <row r="28" ht="12.9" customHeight="1">
      <c r="A28" t="s" s="10">
        <v>4844</v>
      </c>
      <c r="B28" t="s" s="11">
        <v>476</v>
      </c>
      <c r="C28" s="12">
        <v>45135</v>
      </c>
      <c r="D28" t="s" s="13">
        <v>722</v>
      </c>
      <c r="E28" t="s" s="13">
        <v>4845</v>
      </c>
      <c r="F28" s="14">
        <v>2</v>
      </c>
      <c r="G28" s="15">
        <v>652.4924999999999</v>
      </c>
      <c r="H28" s="15">
        <v>1304.985</v>
      </c>
    </row>
    <row r="29" ht="12.9" customHeight="1">
      <c r="A29" t="s" s="10">
        <v>4844</v>
      </c>
      <c r="B29" t="s" s="11">
        <v>476</v>
      </c>
      <c r="C29" s="12">
        <v>45135</v>
      </c>
      <c r="D29" t="s" s="13">
        <v>50</v>
      </c>
      <c r="E29" t="s" s="13">
        <v>83</v>
      </c>
      <c r="F29" s="14">
        <v>2</v>
      </c>
      <c r="G29" s="15">
        <v>0</v>
      </c>
      <c r="H29" s="15">
        <v>0</v>
      </c>
    </row>
    <row r="30" ht="12.9" customHeight="1">
      <c r="A30" t="s" s="10">
        <v>4844</v>
      </c>
      <c r="B30" t="s" s="11">
        <v>476</v>
      </c>
      <c r="C30" s="12">
        <v>45135</v>
      </c>
      <c r="D30" t="s" s="13">
        <v>63</v>
      </c>
      <c r="E30" s="16"/>
      <c r="F30" s="14">
        <v>1</v>
      </c>
      <c r="G30" s="15">
        <v>30</v>
      </c>
      <c r="H30" s="15">
        <v>30</v>
      </c>
    </row>
    <row r="31" ht="12.9" customHeight="1">
      <c r="A31" t="s" s="10">
        <v>4846</v>
      </c>
      <c r="B31" t="s" s="11">
        <v>4841</v>
      </c>
      <c r="C31" s="12">
        <v>45135</v>
      </c>
      <c r="D31" t="s" s="13">
        <v>4842</v>
      </c>
      <c r="E31" t="s" s="13">
        <v>4843</v>
      </c>
      <c r="F31" s="14">
        <v>2</v>
      </c>
      <c r="G31" s="15">
        <v>199.99</v>
      </c>
      <c r="H31" s="15">
        <v>399.98</v>
      </c>
    </row>
    <row r="32" ht="12.9" customHeight="1">
      <c r="A32" t="s" s="10">
        <v>4846</v>
      </c>
      <c r="B32" t="s" s="11">
        <v>4841</v>
      </c>
      <c r="C32" s="12">
        <v>45135</v>
      </c>
      <c r="D32" t="s" s="13">
        <v>15</v>
      </c>
      <c r="E32" t="s" s="13">
        <v>4757</v>
      </c>
      <c r="F32" s="14">
        <v>2</v>
      </c>
      <c r="G32" s="15">
        <v>0</v>
      </c>
      <c r="H32" s="15">
        <v>0</v>
      </c>
    </row>
    <row r="33" ht="12.9" customHeight="1">
      <c r="A33" t="s" s="10">
        <v>4846</v>
      </c>
      <c r="B33" t="s" s="11">
        <v>4841</v>
      </c>
      <c r="C33" s="12">
        <v>45135</v>
      </c>
      <c r="D33" t="s" s="13">
        <v>54</v>
      </c>
      <c r="E33" t="s" s="13">
        <v>93</v>
      </c>
      <c r="F33" s="14">
        <v>6</v>
      </c>
      <c r="G33" s="15">
        <v>0</v>
      </c>
      <c r="H33" s="15">
        <v>0</v>
      </c>
    </row>
    <row r="34" ht="12.9" customHeight="1">
      <c r="A34" t="s" s="10">
        <v>4847</v>
      </c>
      <c r="B34" t="s" s="11">
        <v>4848</v>
      </c>
      <c r="C34" s="12">
        <v>45134.925427673610</v>
      </c>
      <c r="D34" t="s" s="13">
        <v>15</v>
      </c>
      <c r="E34" t="s" s="13">
        <v>4757</v>
      </c>
      <c r="F34" s="14">
        <v>2</v>
      </c>
      <c r="G34" s="15">
        <v>8.99</v>
      </c>
      <c r="H34" s="15">
        <v>17.98</v>
      </c>
    </row>
    <row r="35" ht="12.9" customHeight="1">
      <c r="A35" t="s" s="10">
        <v>4849</v>
      </c>
      <c r="B35" t="s" s="11">
        <v>4850</v>
      </c>
      <c r="C35" s="12">
        <v>45134.885418287035</v>
      </c>
      <c r="D35" t="s" s="13">
        <v>11</v>
      </c>
      <c r="E35" t="s" s="13">
        <v>12</v>
      </c>
      <c r="F35" s="14">
        <v>2</v>
      </c>
      <c r="G35" s="15">
        <v>399.99</v>
      </c>
      <c r="H35" s="15">
        <v>799.98</v>
      </c>
    </row>
    <row r="36" ht="12.9" customHeight="1">
      <c r="A36" t="s" s="10">
        <v>4851</v>
      </c>
      <c r="B36" t="s" s="11">
        <v>4841</v>
      </c>
      <c r="C36" s="12">
        <v>45134.713271793982</v>
      </c>
      <c r="D36" t="s" s="13">
        <v>59</v>
      </c>
      <c r="E36" t="s" s="13">
        <v>60</v>
      </c>
      <c r="F36" s="14">
        <v>1</v>
      </c>
      <c r="G36" s="15">
        <v>1199.99</v>
      </c>
      <c r="H36" s="15">
        <v>1199.99</v>
      </c>
    </row>
    <row r="37" ht="12.9" customHeight="1">
      <c r="A37" t="s" s="10">
        <v>4851</v>
      </c>
      <c r="B37" t="s" s="11">
        <v>4841</v>
      </c>
      <c r="C37" s="12">
        <v>45134.713271793982</v>
      </c>
      <c r="D37" t="s" s="13">
        <v>89</v>
      </c>
      <c r="E37" t="s" s="13">
        <v>90</v>
      </c>
      <c r="F37" s="14">
        <v>2</v>
      </c>
      <c r="G37" s="15">
        <v>59.99</v>
      </c>
      <c r="H37" s="15">
        <v>119.98</v>
      </c>
    </row>
    <row r="38" ht="12.9" customHeight="1">
      <c r="A38" t="s" s="10">
        <v>4852</v>
      </c>
      <c r="B38" t="s" s="11">
        <v>4853</v>
      </c>
      <c r="C38" s="12">
        <v>45134.635413055556</v>
      </c>
      <c r="D38" t="s" s="13">
        <v>31</v>
      </c>
      <c r="E38" t="s" s="13">
        <v>32</v>
      </c>
      <c r="F38" s="14">
        <v>1</v>
      </c>
      <c r="G38" s="15">
        <v>599.99</v>
      </c>
      <c r="H38" s="15">
        <v>599.99</v>
      </c>
    </row>
    <row r="39" ht="12.9" customHeight="1">
      <c r="A39" t="s" s="10">
        <v>4852</v>
      </c>
      <c r="B39" t="s" s="11">
        <v>4853</v>
      </c>
      <c r="C39" s="12">
        <v>45134.635413055556</v>
      </c>
      <c r="D39" t="s" s="13">
        <v>73</v>
      </c>
      <c r="E39" t="s" s="13">
        <v>74</v>
      </c>
      <c r="F39" s="14">
        <v>1</v>
      </c>
      <c r="G39" s="15">
        <v>399.99</v>
      </c>
      <c r="H39" s="15">
        <v>399.99</v>
      </c>
    </row>
    <row r="40" ht="12.9" customHeight="1">
      <c r="A40" t="s" s="10">
        <v>4852</v>
      </c>
      <c r="B40" t="s" s="11">
        <v>4853</v>
      </c>
      <c r="C40" s="12">
        <v>45134.635413055556</v>
      </c>
      <c r="D40" t="s" s="13">
        <v>682</v>
      </c>
      <c r="E40" t="s" s="13">
        <v>4854</v>
      </c>
      <c r="F40" s="14">
        <v>1</v>
      </c>
      <c r="G40" s="15">
        <v>249.99</v>
      </c>
      <c r="H40" s="15">
        <v>249.99</v>
      </c>
    </row>
    <row r="41" ht="12.9" customHeight="1">
      <c r="A41" t="s" s="10">
        <v>4852</v>
      </c>
      <c r="B41" t="s" s="11">
        <v>4853</v>
      </c>
      <c r="C41" s="12">
        <v>45134.635413055556</v>
      </c>
      <c r="D41" t="s" s="13">
        <v>133</v>
      </c>
      <c r="E41" t="s" s="13">
        <v>4835</v>
      </c>
      <c r="F41" s="14">
        <v>1</v>
      </c>
      <c r="G41" s="15">
        <v>199.99</v>
      </c>
      <c r="H41" s="15">
        <v>199.99</v>
      </c>
    </row>
    <row r="42" ht="12.9" customHeight="1">
      <c r="A42" t="s" s="10">
        <v>4852</v>
      </c>
      <c r="B42" t="s" s="11">
        <v>4853</v>
      </c>
      <c r="C42" s="12">
        <v>45134.635413055556</v>
      </c>
      <c r="D42" t="s" s="13">
        <v>225</v>
      </c>
      <c r="E42" t="s" s="13">
        <v>226</v>
      </c>
      <c r="F42" s="14">
        <v>2</v>
      </c>
      <c r="G42" s="15">
        <v>499.99</v>
      </c>
      <c r="H42" s="15">
        <v>999.98</v>
      </c>
    </row>
    <row r="43" ht="12.9" customHeight="1">
      <c r="A43" t="s" s="10">
        <v>4852</v>
      </c>
      <c r="B43" t="s" s="11">
        <v>4853</v>
      </c>
      <c r="C43" s="12">
        <v>45134.635413055556</v>
      </c>
      <c r="D43" t="s" s="13">
        <v>227</v>
      </c>
      <c r="E43" t="s" s="13">
        <v>228</v>
      </c>
      <c r="F43" s="14">
        <v>2</v>
      </c>
      <c r="G43" s="15">
        <v>29.99</v>
      </c>
      <c r="H43" s="15">
        <v>59.98</v>
      </c>
    </row>
    <row r="44" ht="12.9" customHeight="1">
      <c r="A44" t="s" s="10">
        <v>4852</v>
      </c>
      <c r="B44" t="s" s="11">
        <v>4853</v>
      </c>
      <c r="C44" s="12">
        <v>45134.635413055556</v>
      </c>
      <c r="D44" t="s" s="13">
        <v>227</v>
      </c>
      <c r="E44" t="s" s="13">
        <v>228</v>
      </c>
      <c r="F44" s="14">
        <v>2</v>
      </c>
      <c r="G44" s="15">
        <v>0</v>
      </c>
      <c r="H44" s="15">
        <v>0</v>
      </c>
    </row>
    <row r="45" ht="12.9" customHeight="1">
      <c r="A45" t="s" s="10">
        <v>4852</v>
      </c>
      <c r="B45" t="s" s="11">
        <v>4853</v>
      </c>
      <c r="C45" s="12">
        <v>45134.635413055556</v>
      </c>
      <c r="D45" t="s" s="13">
        <v>35</v>
      </c>
      <c r="E45" t="s" s="13">
        <v>36</v>
      </c>
      <c r="F45" s="14">
        <v>2</v>
      </c>
      <c r="G45" s="15">
        <v>49.99</v>
      </c>
      <c r="H45" s="15">
        <v>99.98</v>
      </c>
    </row>
    <row r="46" ht="12.9" customHeight="1">
      <c r="A46" t="s" s="10">
        <v>4852</v>
      </c>
      <c r="B46" t="s" s="11">
        <v>4853</v>
      </c>
      <c r="C46" s="12">
        <v>45134.635413055556</v>
      </c>
      <c r="D46" t="s" s="13">
        <v>19</v>
      </c>
      <c r="E46" t="s" s="13">
        <v>20</v>
      </c>
      <c r="F46" s="14">
        <v>1</v>
      </c>
      <c r="G46" s="15">
        <v>119.99</v>
      </c>
      <c r="H46" s="15">
        <v>119.99</v>
      </c>
    </row>
    <row r="47" ht="12.9" customHeight="1">
      <c r="A47" t="s" s="10">
        <v>4852</v>
      </c>
      <c r="B47" t="s" s="11">
        <v>4853</v>
      </c>
      <c r="C47" s="12">
        <v>45134.635413055556</v>
      </c>
      <c r="D47" t="s" s="13">
        <v>15</v>
      </c>
      <c r="E47" t="s" s="13">
        <v>4757</v>
      </c>
      <c r="F47" s="14">
        <v>1</v>
      </c>
      <c r="G47" s="15">
        <v>8.99</v>
      </c>
      <c r="H47" s="15">
        <v>8.99</v>
      </c>
    </row>
    <row r="48" ht="12.9" customHeight="1">
      <c r="A48" t="s" s="10">
        <v>4855</v>
      </c>
      <c r="B48" t="s" s="11">
        <v>4856</v>
      </c>
      <c r="C48" s="12">
        <v>45134.125591273150</v>
      </c>
      <c r="D48" t="s" s="13">
        <v>23</v>
      </c>
      <c r="E48" t="s" s="13">
        <v>828</v>
      </c>
      <c r="F48" s="14">
        <v>1</v>
      </c>
      <c r="G48" s="15">
        <v>149.99</v>
      </c>
      <c r="H48" s="15">
        <v>149.99</v>
      </c>
    </row>
    <row r="49" ht="12.9" customHeight="1">
      <c r="A49" t="s" s="10">
        <v>4855</v>
      </c>
      <c r="B49" t="s" s="11">
        <v>4856</v>
      </c>
      <c r="C49" s="12">
        <v>45134.125591273150</v>
      </c>
      <c r="D49" t="s" s="13">
        <v>84</v>
      </c>
      <c r="E49" t="s" s="13">
        <v>4225</v>
      </c>
      <c r="F49" s="14">
        <v>1</v>
      </c>
      <c r="G49" s="15">
        <v>15</v>
      </c>
      <c r="H49" s="15">
        <v>15</v>
      </c>
    </row>
    <row r="50" ht="12.9" customHeight="1">
      <c r="A50" t="s" s="10">
        <v>4855</v>
      </c>
      <c r="B50" t="s" s="11">
        <v>4856</v>
      </c>
      <c r="C50" s="12">
        <v>45134.125591273150</v>
      </c>
      <c r="D50" t="s" s="13">
        <v>1729</v>
      </c>
      <c r="E50" t="s" s="13">
        <v>4639</v>
      </c>
      <c r="F50" s="14">
        <v>1</v>
      </c>
      <c r="G50" s="15">
        <v>14.99</v>
      </c>
      <c r="H50" s="15">
        <v>14.99</v>
      </c>
    </row>
    <row r="51" ht="12.9" customHeight="1">
      <c r="A51" t="s" s="10">
        <v>4857</v>
      </c>
      <c r="B51" t="s" s="11">
        <v>4858</v>
      </c>
      <c r="C51" s="12">
        <v>45134.039314965281</v>
      </c>
      <c r="D51" t="s" s="13">
        <v>19</v>
      </c>
      <c r="E51" t="s" s="13">
        <v>20</v>
      </c>
      <c r="F51" s="14">
        <v>1</v>
      </c>
      <c r="G51" s="15">
        <v>119.99</v>
      </c>
      <c r="H51" s="15">
        <v>119.99</v>
      </c>
    </row>
    <row r="52" ht="12.9" customHeight="1">
      <c r="A52" t="s" s="10">
        <v>4857</v>
      </c>
      <c r="B52" t="s" s="11">
        <v>4858</v>
      </c>
      <c r="C52" s="12">
        <v>45134.039314965281</v>
      </c>
      <c r="D52" t="s" s="13">
        <v>15</v>
      </c>
      <c r="E52" t="s" s="13">
        <v>4757</v>
      </c>
      <c r="F52" s="14">
        <v>1</v>
      </c>
      <c r="G52" s="15">
        <v>8.99</v>
      </c>
      <c r="H52" s="15">
        <v>8.99</v>
      </c>
    </row>
    <row r="53" ht="12.9" customHeight="1">
      <c r="A53" t="s" s="10">
        <v>4857</v>
      </c>
      <c r="B53" t="s" s="11">
        <v>4858</v>
      </c>
      <c r="C53" s="12">
        <v>45134.039314965281</v>
      </c>
      <c r="D53" t="s" s="13">
        <v>15</v>
      </c>
      <c r="E53" t="s" s="13">
        <v>4757</v>
      </c>
      <c r="F53" s="14">
        <v>1</v>
      </c>
      <c r="G53" s="15">
        <v>8.99</v>
      </c>
      <c r="H53" s="15">
        <v>8.99</v>
      </c>
    </row>
    <row r="54" ht="12.9" customHeight="1">
      <c r="A54" t="s" s="10">
        <v>4857</v>
      </c>
      <c r="B54" t="s" s="11">
        <v>4858</v>
      </c>
      <c r="C54" s="12">
        <v>45134.039314965281</v>
      </c>
      <c r="D54" t="s" s="13">
        <v>54</v>
      </c>
      <c r="E54" t="s" s="13">
        <v>93</v>
      </c>
      <c r="F54" s="14">
        <v>1</v>
      </c>
      <c r="G54" s="15">
        <v>9.99</v>
      </c>
      <c r="H54" s="15">
        <v>9.99</v>
      </c>
    </row>
    <row r="55" ht="12.9" customHeight="1">
      <c r="A55" t="s" s="10">
        <v>4859</v>
      </c>
      <c r="B55" t="s" s="11">
        <v>4860</v>
      </c>
      <c r="C55" s="12">
        <v>45134</v>
      </c>
      <c r="D55" t="s" s="13">
        <v>1044</v>
      </c>
      <c r="E55" t="s" s="13">
        <v>1044</v>
      </c>
      <c r="F55" s="14">
        <v>16</v>
      </c>
      <c r="G55" s="15">
        <v>0</v>
      </c>
      <c r="H55" s="15">
        <v>0</v>
      </c>
    </row>
    <row r="56" ht="12.9" customHeight="1">
      <c r="A56" t="s" s="10">
        <v>4859</v>
      </c>
      <c r="B56" t="s" s="11">
        <v>4860</v>
      </c>
      <c r="C56" s="12">
        <v>45134</v>
      </c>
      <c r="D56" t="s" s="13">
        <v>1046</v>
      </c>
      <c r="E56" t="s" s="13">
        <v>1047</v>
      </c>
      <c r="F56" s="14">
        <v>16</v>
      </c>
      <c r="G56" s="15">
        <v>0</v>
      </c>
      <c r="H56" s="15">
        <v>0</v>
      </c>
    </row>
    <row r="57" ht="12.9" customHeight="1">
      <c r="A57" t="s" s="10">
        <v>4859</v>
      </c>
      <c r="B57" t="s" s="11">
        <v>4860</v>
      </c>
      <c r="C57" s="12">
        <v>45134</v>
      </c>
      <c r="D57" t="s" s="13">
        <v>1048</v>
      </c>
      <c r="E57" t="s" s="13">
        <v>1048</v>
      </c>
      <c r="F57" s="14">
        <v>16</v>
      </c>
      <c r="G57" s="15">
        <v>0</v>
      </c>
      <c r="H57" s="15">
        <v>0</v>
      </c>
    </row>
    <row r="58" ht="12.9" customHeight="1">
      <c r="A58" t="s" s="10">
        <v>4859</v>
      </c>
      <c r="B58" t="s" s="11">
        <v>4860</v>
      </c>
      <c r="C58" s="12">
        <v>45134</v>
      </c>
      <c r="D58" t="s" s="13">
        <v>412</v>
      </c>
      <c r="E58" t="s" s="13">
        <v>413</v>
      </c>
      <c r="F58" s="14">
        <v>5</v>
      </c>
      <c r="G58" s="15">
        <v>0</v>
      </c>
      <c r="H58" s="15">
        <v>0</v>
      </c>
    </row>
    <row r="59" ht="12.9" customHeight="1">
      <c r="A59" t="s" s="10">
        <v>4861</v>
      </c>
      <c r="B59" t="s" s="11">
        <v>476</v>
      </c>
      <c r="C59" s="12">
        <v>45134</v>
      </c>
      <c r="D59" t="s" s="13">
        <v>1155</v>
      </c>
      <c r="E59" t="s" s="13">
        <v>4862</v>
      </c>
      <c r="F59" s="14">
        <v>3</v>
      </c>
      <c r="G59" s="15">
        <v>1624.99</v>
      </c>
      <c r="H59" s="15">
        <v>4874.97</v>
      </c>
    </row>
    <row r="60" ht="12.9" customHeight="1">
      <c r="A60" t="s" s="10">
        <v>4861</v>
      </c>
      <c r="B60" t="s" s="11">
        <v>476</v>
      </c>
      <c r="C60" s="12">
        <v>45134</v>
      </c>
      <c r="D60" t="s" s="13">
        <v>998</v>
      </c>
      <c r="E60" t="s" s="13">
        <v>999</v>
      </c>
      <c r="F60" s="14">
        <v>7</v>
      </c>
      <c r="G60" s="15">
        <v>974.9924999999999</v>
      </c>
      <c r="H60" s="15">
        <v>6824.9475</v>
      </c>
    </row>
    <row r="61" ht="12.9" customHeight="1">
      <c r="A61" t="s" s="10">
        <v>4861</v>
      </c>
      <c r="B61" t="s" s="11">
        <v>476</v>
      </c>
      <c r="C61" s="12">
        <v>45134</v>
      </c>
      <c r="D61" t="s" s="13">
        <v>59</v>
      </c>
      <c r="E61" t="s" s="13">
        <v>60</v>
      </c>
      <c r="F61" s="14">
        <v>1</v>
      </c>
      <c r="G61" s="15">
        <v>899.9924999999999</v>
      </c>
      <c r="H61" s="15">
        <v>899.9924999999999</v>
      </c>
    </row>
    <row r="62" ht="12.9" customHeight="1">
      <c r="A62" t="s" s="10">
        <v>4861</v>
      </c>
      <c r="B62" t="s" s="11">
        <v>476</v>
      </c>
      <c r="C62" s="12">
        <v>45134</v>
      </c>
      <c r="D62" t="s" s="13">
        <v>50</v>
      </c>
      <c r="E62" t="s" s="13">
        <v>83</v>
      </c>
      <c r="F62" s="14">
        <v>10</v>
      </c>
      <c r="G62" s="15">
        <v>0</v>
      </c>
      <c r="H62" s="15">
        <v>0</v>
      </c>
    </row>
    <row r="63" ht="12.9" customHeight="1">
      <c r="A63" t="s" s="10">
        <v>4861</v>
      </c>
      <c r="B63" t="s" s="11">
        <v>476</v>
      </c>
      <c r="C63" s="12">
        <v>45134</v>
      </c>
      <c r="D63" t="s" s="13">
        <v>63</v>
      </c>
      <c r="E63" s="16"/>
      <c r="F63" s="14">
        <v>1</v>
      </c>
      <c r="G63" s="15">
        <v>350</v>
      </c>
      <c r="H63" s="15">
        <v>350</v>
      </c>
    </row>
    <row r="64" ht="12.9" customHeight="1">
      <c r="A64" t="s" s="10">
        <v>4863</v>
      </c>
      <c r="B64" t="s" s="11">
        <v>4853</v>
      </c>
      <c r="C64" s="12">
        <v>45134</v>
      </c>
      <c r="D64" t="s" s="13">
        <v>691</v>
      </c>
      <c r="E64" t="s" s="13">
        <v>692</v>
      </c>
      <c r="F64" s="14">
        <v>2</v>
      </c>
      <c r="G64" s="15">
        <v>259.99</v>
      </c>
      <c r="H64" s="15">
        <v>519.98</v>
      </c>
    </row>
    <row r="65" ht="12.9" customHeight="1">
      <c r="A65" t="s" s="10">
        <v>4863</v>
      </c>
      <c r="B65" t="s" s="11">
        <v>4853</v>
      </c>
      <c r="C65" s="12">
        <v>45134</v>
      </c>
      <c r="D65" t="s" s="13">
        <v>1961</v>
      </c>
      <c r="E65" t="s" s="13">
        <v>1962</v>
      </c>
      <c r="F65" s="14">
        <v>2</v>
      </c>
      <c r="G65" s="15">
        <v>0</v>
      </c>
      <c r="H65" s="15">
        <v>0</v>
      </c>
    </row>
    <row r="66" ht="12.9" customHeight="1">
      <c r="A66" t="s" s="10">
        <v>4864</v>
      </c>
      <c r="B66" t="s" s="11">
        <v>476</v>
      </c>
      <c r="C66" s="12">
        <v>45134</v>
      </c>
      <c r="D66" t="s" s="13">
        <v>1155</v>
      </c>
      <c r="E66" t="s" s="13">
        <v>4862</v>
      </c>
      <c r="F66" s="14">
        <v>3</v>
      </c>
      <c r="G66" s="15">
        <v>1624.99</v>
      </c>
      <c r="H66" s="15">
        <v>4874.97</v>
      </c>
    </row>
    <row r="67" ht="12.9" customHeight="1">
      <c r="A67" t="s" s="10">
        <v>4864</v>
      </c>
      <c r="B67" t="s" s="11">
        <v>476</v>
      </c>
      <c r="C67" s="12">
        <v>45134</v>
      </c>
      <c r="D67" t="s" s="13">
        <v>50</v>
      </c>
      <c r="E67" t="s" s="13">
        <v>83</v>
      </c>
      <c r="F67" s="14">
        <v>3</v>
      </c>
      <c r="G67" s="15">
        <v>0</v>
      </c>
      <c r="H67" s="15">
        <v>0</v>
      </c>
    </row>
    <row r="68" ht="12.9" customHeight="1">
      <c r="A68" t="s" s="10">
        <v>4864</v>
      </c>
      <c r="B68" t="s" s="11">
        <v>476</v>
      </c>
      <c r="C68" s="12">
        <v>45134</v>
      </c>
      <c r="D68" t="s" s="13">
        <v>59</v>
      </c>
      <c r="E68" t="s" s="13">
        <v>60</v>
      </c>
      <c r="F68" s="14">
        <v>1</v>
      </c>
      <c r="G68" s="15">
        <v>899.9924999999999</v>
      </c>
      <c r="H68" s="15">
        <v>899.9924999999999</v>
      </c>
    </row>
    <row r="69" ht="12.9" customHeight="1">
      <c r="A69" t="s" s="10">
        <v>4864</v>
      </c>
      <c r="B69" t="s" s="11">
        <v>476</v>
      </c>
      <c r="C69" s="12">
        <v>45134</v>
      </c>
      <c r="D69" t="s" s="13">
        <v>63</v>
      </c>
      <c r="E69" s="16"/>
      <c r="F69" s="14">
        <v>1</v>
      </c>
      <c r="G69" s="15">
        <v>150</v>
      </c>
      <c r="H69" s="15">
        <v>150</v>
      </c>
    </row>
    <row r="70" ht="12.9" customHeight="1">
      <c r="A70" t="s" s="10">
        <v>4865</v>
      </c>
      <c r="B70" t="s" s="11">
        <v>4866</v>
      </c>
      <c r="C70" s="12">
        <v>45133.9628822801</v>
      </c>
      <c r="D70" t="s" s="13">
        <v>23</v>
      </c>
      <c r="E70" t="s" s="13">
        <v>828</v>
      </c>
      <c r="F70" s="14">
        <v>1</v>
      </c>
      <c r="G70" s="15">
        <v>149.99</v>
      </c>
      <c r="H70" s="15">
        <v>149.99</v>
      </c>
    </row>
    <row r="71" ht="12.9" customHeight="1">
      <c r="A71" t="s" s="10">
        <v>4867</v>
      </c>
      <c r="B71" t="s" s="11">
        <v>4868</v>
      </c>
      <c r="C71" s="12">
        <v>45133.945535069448</v>
      </c>
      <c r="D71" t="s" s="13">
        <v>1695</v>
      </c>
      <c r="E71" t="s" s="13">
        <v>140</v>
      </c>
      <c r="F71" s="14">
        <v>1</v>
      </c>
      <c r="G71" s="15">
        <v>49.99</v>
      </c>
      <c r="H71" s="15">
        <v>49.99</v>
      </c>
    </row>
    <row r="72" ht="12.9" customHeight="1">
      <c r="A72" t="s" s="10">
        <v>4867</v>
      </c>
      <c r="B72" t="s" s="11">
        <v>4868</v>
      </c>
      <c r="C72" s="12">
        <v>45133.945535069448</v>
      </c>
      <c r="D72" t="s" s="13">
        <v>15</v>
      </c>
      <c r="E72" t="s" s="13">
        <v>4757</v>
      </c>
      <c r="F72" s="14">
        <v>1</v>
      </c>
      <c r="G72" s="15">
        <v>8.99</v>
      </c>
      <c r="H72" s="15">
        <v>8.99</v>
      </c>
    </row>
    <row r="73" ht="12.9" customHeight="1">
      <c r="A73" t="s" s="10">
        <v>4869</v>
      </c>
      <c r="B73" t="s" s="11">
        <v>1697</v>
      </c>
      <c r="C73" s="12">
        <v>45133</v>
      </c>
      <c r="D73" t="s" s="13">
        <v>59</v>
      </c>
      <c r="E73" t="s" s="13">
        <v>60</v>
      </c>
      <c r="F73" s="14">
        <v>1</v>
      </c>
      <c r="G73" s="15">
        <v>899.9924999999999</v>
      </c>
      <c r="H73" s="15">
        <v>899.9924999999999</v>
      </c>
    </row>
    <row r="74" ht="12.9" customHeight="1">
      <c r="A74" t="s" s="10">
        <v>4869</v>
      </c>
      <c r="B74" t="s" s="11">
        <v>1697</v>
      </c>
      <c r="C74" s="12">
        <v>45133</v>
      </c>
      <c r="D74" t="s" s="13">
        <v>4870</v>
      </c>
      <c r="E74" t="s" s="13">
        <v>4871</v>
      </c>
      <c r="F74" s="14">
        <v>2</v>
      </c>
      <c r="G74" s="15">
        <v>374.9925</v>
      </c>
      <c r="H74" s="15">
        <v>749.985</v>
      </c>
    </row>
    <row r="75" ht="12.9" customHeight="1">
      <c r="A75" t="s" s="10">
        <v>4869</v>
      </c>
      <c r="B75" t="s" s="11">
        <v>1697</v>
      </c>
      <c r="C75" s="12">
        <v>45133</v>
      </c>
      <c r="D75" t="s" s="13">
        <v>165</v>
      </c>
      <c r="E75" t="s" s="13">
        <v>392</v>
      </c>
      <c r="F75" s="14">
        <v>2</v>
      </c>
      <c r="G75" s="15">
        <v>0</v>
      </c>
      <c r="H75" s="15">
        <v>0</v>
      </c>
    </row>
    <row r="76" ht="12.9" customHeight="1">
      <c r="A76" t="s" s="10">
        <v>4869</v>
      </c>
      <c r="B76" t="s" s="11">
        <v>1697</v>
      </c>
      <c r="C76" s="12">
        <v>45133</v>
      </c>
      <c r="D76" t="s" s="13">
        <v>587</v>
      </c>
      <c r="E76" t="s" s="13">
        <v>588</v>
      </c>
      <c r="F76" s="14">
        <v>2</v>
      </c>
      <c r="G76" s="15">
        <v>22.4925</v>
      </c>
      <c r="H76" s="15">
        <v>44.985</v>
      </c>
    </row>
    <row r="77" ht="12.9" customHeight="1">
      <c r="A77" t="s" s="10">
        <v>4869</v>
      </c>
      <c r="B77" t="s" s="11">
        <v>1697</v>
      </c>
      <c r="C77" s="12">
        <v>45133</v>
      </c>
      <c r="D77" t="s" s="13">
        <v>227</v>
      </c>
      <c r="E77" t="s" s="13">
        <v>228</v>
      </c>
      <c r="F77" s="14">
        <v>2</v>
      </c>
      <c r="G77" s="15">
        <v>22.4925</v>
      </c>
      <c r="H77" s="15">
        <v>44.985</v>
      </c>
    </row>
    <row r="78" ht="12.9" customHeight="1">
      <c r="A78" t="s" s="10">
        <v>4872</v>
      </c>
      <c r="B78" t="s" s="11">
        <v>1913</v>
      </c>
      <c r="C78" s="12">
        <v>45133</v>
      </c>
      <c r="D78" t="s" s="13">
        <v>4873</v>
      </c>
      <c r="E78" t="s" s="13">
        <v>4874</v>
      </c>
      <c r="F78" s="14">
        <v>10</v>
      </c>
      <c r="G78" s="15">
        <v>12.09782625</v>
      </c>
      <c r="H78" s="15">
        <v>120.9782625</v>
      </c>
    </row>
    <row r="79" ht="12.9" customHeight="1">
      <c r="A79" t="s" s="10">
        <v>4872</v>
      </c>
      <c r="B79" t="s" s="11">
        <v>1913</v>
      </c>
      <c r="C79" s="12">
        <v>45133</v>
      </c>
      <c r="D79" t="s" s="13">
        <v>2276</v>
      </c>
      <c r="E79" t="s" s="13">
        <v>2276</v>
      </c>
      <c r="F79" s="14">
        <v>10</v>
      </c>
      <c r="G79" s="15">
        <v>2.67391275</v>
      </c>
      <c r="H79" s="15">
        <v>26.7391275</v>
      </c>
    </row>
    <row r="80" ht="12.9" customHeight="1">
      <c r="A80" t="s" s="10">
        <v>4872</v>
      </c>
      <c r="B80" t="s" s="11">
        <v>1913</v>
      </c>
      <c r="C80" s="12">
        <v>45133</v>
      </c>
      <c r="D80" t="s" s="13">
        <v>63</v>
      </c>
      <c r="E80" s="16"/>
      <c r="F80" s="14">
        <v>1</v>
      </c>
      <c r="G80" s="15">
        <v>48.42</v>
      </c>
      <c r="H80" s="15">
        <v>48.42</v>
      </c>
    </row>
    <row r="81" ht="12.9" customHeight="1">
      <c r="A81" t="s" s="10">
        <v>4875</v>
      </c>
      <c r="B81" t="s" s="11">
        <v>69</v>
      </c>
      <c r="C81" s="12">
        <v>45133</v>
      </c>
      <c r="D81" t="s" s="13">
        <v>559</v>
      </c>
      <c r="E81" t="s" s="13">
        <v>560</v>
      </c>
      <c r="F81" s="14">
        <v>100</v>
      </c>
      <c r="G81" s="15">
        <v>0</v>
      </c>
      <c r="H81" s="15">
        <v>0</v>
      </c>
    </row>
    <row r="82" ht="12.9" customHeight="1">
      <c r="A82" t="s" s="10">
        <v>4876</v>
      </c>
      <c r="B82" t="s" s="11">
        <v>4877</v>
      </c>
      <c r="C82" s="12">
        <v>45132.801091018518</v>
      </c>
      <c r="D82" t="s" s="13">
        <v>470</v>
      </c>
      <c r="E82" t="s" s="13">
        <v>828</v>
      </c>
      <c r="F82" s="14">
        <v>1</v>
      </c>
      <c r="G82" s="15">
        <v>249.99</v>
      </c>
      <c r="H82" s="15">
        <v>249.99</v>
      </c>
    </row>
    <row r="83" ht="12.9" customHeight="1">
      <c r="A83" t="s" s="10">
        <v>4878</v>
      </c>
      <c r="B83" t="s" s="11">
        <v>4603</v>
      </c>
      <c r="C83" s="12">
        <v>45132.745676006947</v>
      </c>
      <c r="D83" t="s" s="13">
        <v>487</v>
      </c>
      <c r="E83" t="s" s="13">
        <v>828</v>
      </c>
      <c r="F83" s="14">
        <v>4</v>
      </c>
      <c r="G83" s="15">
        <v>109.99</v>
      </c>
      <c r="H83" s="15">
        <v>439.96</v>
      </c>
    </row>
    <row r="84" ht="12.9" customHeight="1">
      <c r="A84" t="s" s="10">
        <v>4879</v>
      </c>
      <c r="B84" t="s" s="11">
        <v>4880</v>
      </c>
      <c r="C84" s="12">
        <v>45132.7110425463</v>
      </c>
      <c r="D84" t="s" s="13">
        <v>462</v>
      </c>
      <c r="E84" t="s" s="13">
        <v>828</v>
      </c>
      <c r="F84" s="14">
        <v>1</v>
      </c>
      <c r="G84" s="15">
        <v>199.99</v>
      </c>
      <c r="H84" s="15">
        <v>199.99</v>
      </c>
    </row>
    <row r="85" ht="12.9" customHeight="1">
      <c r="A85" t="s" s="10">
        <v>4881</v>
      </c>
      <c r="B85" t="s" s="11">
        <v>4882</v>
      </c>
      <c r="C85" s="12">
        <v>45132.650337453706</v>
      </c>
      <c r="D85" t="s" s="13">
        <v>73</v>
      </c>
      <c r="E85" t="s" s="13">
        <v>74</v>
      </c>
      <c r="F85" s="14">
        <v>1</v>
      </c>
      <c r="G85" s="15">
        <v>399.99</v>
      </c>
      <c r="H85" s="15">
        <v>399.99</v>
      </c>
    </row>
    <row r="86" ht="90.9" customHeight="1">
      <c r="A86" t="s" s="10">
        <v>4883</v>
      </c>
      <c r="B86" t="s" s="11">
        <v>2209</v>
      </c>
      <c r="C86" s="12">
        <v>45132</v>
      </c>
      <c r="D86" t="s" s="13">
        <v>254</v>
      </c>
      <c r="E86" t="s" s="52">
        <v>4884</v>
      </c>
      <c r="F86" s="14">
        <v>1</v>
      </c>
      <c r="G86" s="15">
        <v>0</v>
      </c>
      <c r="H86" s="15">
        <v>0</v>
      </c>
    </row>
    <row r="87" ht="38.9" customHeight="1">
      <c r="A87" t="s" s="10">
        <v>4883</v>
      </c>
      <c r="B87" t="s" s="11">
        <v>2209</v>
      </c>
      <c r="C87" s="12">
        <v>45132</v>
      </c>
      <c r="D87" t="s" s="13">
        <v>254</v>
      </c>
      <c r="E87" t="s" s="52">
        <v>4885</v>
      </c>
      <c r="F87" s="14">
        <v>1</v>
      </c>
      <c r="G87" s="15">
        <v>0</v>
      </c>
      <c r="H87" s="15">
        <v>0</v>
      </c>
    </row>
    <row r="88" ht="51.9" customHeight="1">
      <c r="A88" t="s" s="10">
        <v>4883</v>
      </c>
      <c r="B88" t="s" s="11">
        <v>2209</v>
      </c>
      <c r="C88" s="12">
        <v>45132</v>
      </c>
      <c r="D88" t="s" s="13">
        <v>254</v>
      </c>
      <c r="E88" t="s" s="52">
        <v>4886</v>
      </c>
      <c r="F88" s="14">
        <v>1</v>
      </c>
      <c r="G88" s="15">
        <v>0</v>
      </c>
      <c r="H88" s="15">
        <v>0</v>
      </c>
    </row>
    <row r="89" ht="12.9" customHeight="1">
      <c r="A89" t="s" s="10">
        <v>4883</v>
      </c>
      <c r="B89" t="s" s="11">
        <v>2209</v>
      </c>
      <c r="C89" s="12">
        <v>45132</v>
      </c>
      <c r="D89" t="s" s="13">
        <v>775</v>
      </c>
      <c r="E89" t="s" s="13">
        <v>775</v>
      </c>
      <c r="F89" s="14">
        <v>2</v>
      </c>
      <c r="G89" s="15">
        <v>0</v>
      </c>
      <c r="H89" s="15">
        <v>0</v>
      </c>
    </row>
    <row r="90" ht="12.9" customHeight="1">
      <c r="A90" t="s" s="10">
        <v>4883</v>
      </c>
      <c r="B90" t="s" s="11">
        <v>2209</v>
      </c>
      <c r="C90" s="12">
        <v>45132</v>
      </c>
      <c r="D90" t="s" s="13">
        <v>1914</v>
      </c>
      <c r="E90" t="s" s="13">
        <v>1915</v>
      </c>
      <c r="F90" s="14">
        <v>1</v>
      </c>
      <c r="G90" s="15">
        <v>0</v>
      </c>
      <c r="H90" s="15">
        <v>0</v>
      </c>
    </row>
    <row r="91" ht="12.9" customHeight="1">
      <c r="A91" t="s" s="10">
        <v>4883</v>
      </c>
      <c r="B91" t="s" s="11">
        <v>2209</v>
      </c>
      <c r="C91" s="12">
        <v>45132</v>
      </c>
      <c r="D91" t="s" s="13">
        <v>3611</v>
      </c>
      <c r="E91" t="s" s="13">
        <v>3612</v>
      </c>
      <c r="F91" s="14">
        <v>1</v>
      </c>
      <c r="G91" s="15">
        <v>0</v>
      </c>
      <c r="H91" s="15">
        <v>0</v>
      </c>
    </row>
    <row r="92" ht="12.9" customHeight="1">
      <c r="A92" t="s" s="10">
        <v>4883</v>
      </c>
      <c r="B92" t="s" s="11">
        <v>2209</v>
      </c>
      <c r="C92" s="12">
        <v>45132</v>
      </c>
      <c r="D92" t="s" s="13">
        <v>4887</v>
      </c>
      <c r="E92" t="s" s="13">
        <v>4887</v>
      </c>
      <c r="F92" s="14">
        <v>1</v>
      </c>
      <c r="G92" s="15">
        <v>0</v>
      </c>
      <c r="H92" s="15">
        <v>0</v>
      </c>
    </row>
    <row r="93" ht="12.9" customHeight="1">
      <c r="A93" t="s" s="10">
        <v>4883</v>
      </c>
      <c r="B93" t="s" s="11">
        <v>2209</v>
      </c>
      <c r="C93" s="12">
        <v>45132</v>
      </c>
      <c r="D93" t="s" s="13">
        <v>3542</v>
      </c>
      <c r="E93" t="s" s="13">
        <v>3542</v>
      </c>
      <c r="F93" s="14">
        <v>1</v>
      </c>
      <c r="G93" s="15">
        <v>0</v>
      </c>
      <c r="H93" s="15">
        <v>0</v>
      </c>
    </row>
    <row r="94" ht="12.9" customHeight="1">
      <c r="A94" t="s" s="10">
        <v>4883</v>
      </c>
      <c r="B94" t="s" s="11">
        <v>2209</v>
      </c>
      <c r="C94" s="12">
        <v>45132</v>
      </c>
      <c r="D94" t="s" s="13">
        <v>4888</v>
      </c>
      <c r="E94" t="s" s="13">
        <v>4889</v>
      </c>
      <c r="F94" s="14">
        <v>1</v>
      </c>
      <c r="G94" s="15">
        <v>0</v>
      </c>
      <c r="H94" s="15">
        <v>0</v>
      </c>
    </row>
    <row r="95" ht="12.9" customHeight="1">
      <c r="A95" t="s" s="10">
        <v>4883</v>
      </c>
      <c r="B95" t="s" s="11">
        <v>2209</v>
      </c>
      <c r="C95" s="12">
        <v>45132</v>
      </c>
      <c r="D95" t="s" s="13">
        <v>1187</v>
      </c>
      <c r="E95" t="s" s="13">
        <v>1187</v>
      </c>
      <c r="F95" s="14">
        <v>1</v>
      </c>
      <c r="G95" s="15">
        <v>0</v>
      </c>
      <c r="H95" s="15">
        <v>0</v>
      </c>
    </row>
    <row r="96" ht="12.9" customHeight="1">
      <c r="A96" t="s" s="10">
        <v>4890</v>
      </c>
      <c r="B96" t="s" s="11">
        <v>69</v>
      </c>
      <c r="C96" s="12">
        <v>45132</v>
      </c>
      <c r="D96" t="s" s="13">
        <v>48</v>
      </c>
      <c r="E96" t="s" s="13">
        <v>49</v>
      </c>
      <c r="F96" s="14">
        <v>10</v>
      </c>
      <c r="G96" s="15">
        <v>974.9924999999999</v>
      </c>
      <c r="H96" s="15">
        <v>9749.924999999999</v>
      </c>
    </row>
    <row r="97" ht="12.9" customHeight="1">
      <c r="A97" t="s" s="10">
        <v>4890</v>
      </c>
      <c r="B97" t="s" s="11">
        <v>69</v>
      </c>
      <c r="C97" s="12">
        <v>45132</v>
      </c>
      <c r="D97" t="s" s="13">
        <v>50</v>
      </c>
      <c r="E97" t="s" s="13">
        <v>83</v>
      </c>
      <c r="F97" s="14">
        <v>10</v>
      </c>
      <c r="G97" s="15">
        <v>0</v>
      </c>
      <c r="H97" s="15">
        <v>0</v>
      </c>
    </row>
    <row r="98" ht="12.9" customHeight="1">
      <c r="A98" t="s" s="10">
        <v>4890</v>
      </c>
      <c r="B98" t="s" s="11">
        <v>69</v>
      </c>
      <c r="C98" s="12">
        <v>45132</v>
      </c>
      <c r="D98" t="s" s="13">
        <v>52</v>
      </c>
      <c r="E98" t="s" s="13">
        <v>4287</v>
      </c>
      <c r="F98" s="14">
        <v>10</v>
      </c>
      <c r="G98" s="15">
        <v>0</v>
      </c>
      <c r="H98" s="15">
        <v>0</v>
      </c>
    </row>
    <row r="99" ht="12.9" customHeight="1">
      <c r="A99" t="s" s="10">
        <v>4890</v>
      </c>
      <c r="B99" t="s" s="11">
        <v>69</v>
      </c>
      <c r="C99" s="12">
        <v>45132</v>
      </c>
      <c r="D99" t="s" s="13">
        <v>354</v>
      </c>
      <c r="E99" t="s" s="13">
        <v>4891</v>
      </c>
      <c r="F99" s="14">
        <v>10</v>
      </c>
      <c r="G99" s="15">
        <v>0</v>
      </c>
      <c r="H99" s="15">
        <v>0</v>
      </c>
    </row>
    <row r="100" ht="12.9" customHeight="1">
      <c r="A100" t="s" s="10">
        <v>4890</v>
      </c>
      <c r="B100" t="s" s="11">
        <v>69</v>
      </c>
      <c r="C100" s="12">
        <v>45132</v>
      </c>
      <c r="D100" t="s" s="13">
        <v>106</v>
      </c>
      <c r="E100" t="s" s="13">
        <v>502</v>
      </c>
      <c r="F100" s="14">
        <v>10</v>
      </c>
      <c r="G100" s="15">
        <v>48.7425</v>
      </c>
      <c r="H100" s="15">
        <v>487.425</v>
      </c>
    </row>
    <row r="101" ht="12.9" customHeight="1">
      <c r="A101" t="s" s="10">
        <v>4890</v>
      </c>
      <c r="B101" t="s" s="11">
        <v>69</v>
      </c>
      <c r="C101" s="12">
        <v>45132</v>
      </c>
      <c r="D101" t="s" s="13">
        <v>47</v>
      </c>
      <c r="E101" s="16"/>
      <c r="F101" s="14">
        <v>1</v>
      </c>
      <c r="G101" s="15">
        <v>415</v>
      </c>
      <c r="H101" s="15">
        <v>415</v>
      </c>
    </row>
    <row r="102" ht="12.9" customHeight="1">
      <c r="A102" t="s" s="10">
        <v>4892</v>
      </c>
      <c r="B102" t="s" s="11">
        <v>42</v>
      </c>
      <c r="C102" s="12">
        <v>45132</v>
      </c>
      <c r="D102" t="s" s="13">
        <v>559</v>
      </c>
      <c r="E102" t="s" s="13">
        <v>4893</v>
      </c>
      <c r="F102" s="14">
        <v>3000</v>
      </c>
      <c r="G102" s="15">
        <v>0.1875</v>
      </c>
      <c r="H102" s="15">
        <v>562.5</v>
      </c>
    </row>
    <row r="103" ht="12.9" customHeight="1">
      <c r="A103" t="s" s="10">
        <v>4892</v>
      </c>
      <c r="B103" t="s" s="11">
        <v>42</v>
      </c>
      <c r="C103" s="12">
        <v>45132</v>
      </c>
      <c r="D103" t="s" s="13">
        <v>73</v>
      </c>
      <c r="E103" t="s" s="13">
        <v>74</v>
      </c>
      <c r="F103" s="14">
        <v>1</v>
      </c>
      <c r="G103" s="15">
        <v>299.9925</v>
      </c>
      <c r="H103" s="15">
        <v>299.9925</v>
      </c>
    </row>
    <row r="104" ht="12.9" customHeight="1">
      <c r="A104" t="s" s="10">
        <v>4892</v>
      </c>
      <c r="B104" t="s" s="11">
        <v>42</v>
      </c>
      <c r="C104" s="12">
        <v>45132</v>
      </c>
      <c r="D104" t="s" s="13">
        <v>63</v>
      </c>
      <c r="E104" s="16"/>
      <c r="F104" s="14">
        <v>1</v>
      </c>
      <c r="G104" s="15">
        <v>30</v>
      </c>
      <c r="H104" s="15">
        <v>30</v>
      </c>
    </row>
    <row r="105" ht="12.9" customHeight="1">
      <c r="A105" t="s" s="10">
        <v>4894</v>
      </c>
      <c r="B105" t="s" s="11">
        <v>4462</v>
      </c>
      <c r="C105" s="12">
        <v>45132</v>
      </c>
      <c r="D105" t="s" s="13">
        <v>48</v>
      </c>
      <c r="E105" t="s" s="13">
        <v>49</v>
      </c>
      <c r="F105" s="14">
        <v>4</v>
      </c>
      <c r="G105" s="15">
        <v>1299.99</v>
      </c>
      <c r="H105" s="15">
        <v>5199.96</v>
      </c>
    </row>
    <row r="106" ht="12.9" customHeight="1">
      <c r="A106" t="s" s="10">
        <v>4894</v>
      </c>
      <c r="B106" t="s" s="11">
        <v>4462</v>
      </c>
      <c r="C106" s="12">
        <v>45132</v>
      </c>
      <c r="D106" t="s" s="13">
        <v>50</v>
      </c>
      <c r="E106" t="s" s="13">
        <v>83</v>
      </c>
      <c r="F106" s="14">
        <v>4</v>
      </c>
      <c r="G106" s="15">
        <v>0</v>
      </c>
      <c r="H106" s="15">
        <v>0</v>
      </c>
    </row>
    <row r="107" ht="12.9" customHeight="1">
      <c r="A107" t="s" s="10">
        <v>4894</v>
      </c>
      <c r="B107" t="s" s="11">
        <v>4462</v>
      </c>
      <c r="C107" s="12">
        <v>45132</v>
      </c>
      <c r="D107" t="s" s="13">
        <v>23</v>
      </c>
      <c r="E107" t="s" s="13">
        <v>4895</v>
      </c>
      <c r="F107" s="14">
        <v>4</v>
      </c>
      <c r="G107" s="15">
        <v>0</v>
      </c>
      <c r="H107" s="15">
        <v>0</v>
      </c>
    </row>
    <row r="108" ht="12.9" customHeight="1">
      <c r="A108" t="s" s="10">
        <v>4894</v>
      </c>
      <c r="B108" t="s" s="11">
        <v>4462</v>
      </c>
      <c r="C108" s="12">
        <v>45132</v>
      </c>
      <c r="D108" t="s" s="13">
        <v>52</v>
      </c>
      <c r="E108" t="s" s="13">
        <v>4287</v>
      </c>
      <c r="F108" s="14">
        <v>4</v>
      </c>
      <c r="G108" s="15">
        <v>0</v>
      </c>
      <c r="H108" s="15">
        <v>0</v>
      </c>
    </row>
    <row r="109" ht="12.9" customHeight="1">
      <c r="A109" t="s" s="10">
        <v>4894</v>
      </c>
      <c r="B109" t="s" s="11">
        <v>4462</v>
      </c>
      <c r="C109" s="12">
        <v>45132</v>
      </c>
      <c r="D109" t="s" s="13">
        <v>84</v>
      </c>
      <c r="E109" t="s" s="13">
        <v>829</v>
      </c>
      <c r="F109" s="14">
        <v>4</v>
      </c>
      <c r="G109" s="15">
        <v>0</v>
      </c>
      <c r="H109" s="15">
        <v>0</v>
      </c>
    </row>
    <row r="110" ht="12.9" customHeight="1">
      <c r="A110" t="s" s="10">
        <v>4894</v>
      </c>
      <c r="B110" t="s" s="11">
        <v>4462</v>
      </c>
      <c r="C110" s="12">
        <v>45132</v>
      </c>
      <c r="D110" t="s" s="13">
        <v>73</v>
      </c>
      <c r="E110" t="s" s="13">
        <v>74</v>
      </c>
      <c r="F110" s="14">
        <v>2</v>
      </c>
      <c r="G110" s="15">
        <v>399.99</v>
      </c>
      <c r="H110" s="15">
        <v>799.98</v>
      </c>
    </row>
    <row r="111" ht="12.9" customHeight="1">
      <c r="A111" t="s" s="10">
        <v>4894</v>
      </c>
      <c r="B111" t="s" s="11">
        <v>4462</v>
      </c>
      <c r="C111" s="12">
        <v>45132</v>
      </c>
      <c r="D111" t="s" s="13">
        <v>227</v>
      </c>
      <c r="E111" t="s" s="13">
        <v>228</v>
      </c>
      <c r="F111" s="14">
        <v>4</v>
      </c>
      <c r="G111" s="15">
        <v>29.99</v>
      </c>
      <c r="H111" s="15">
        <v>119.96</v>
      </c>
    </row>
    <row r="112" ht="12.9" customHeight="1">
      <c r="A112" t="s" s="10">
        <v>4896</v>
      </c>
      <c r="B112" t="s" s="11">
        <v>473</v>
      </c>
      <c r="C112" s="12">
        <v>45131</v>
      </c>
      <c r="D112" t="s" s="13">
        <v>359</v>
      </c>
      <c r="E112" t="s" s="13">
        <v>4897</v>
      </c>
      <c r="F112" s="14">
        <v>5</v>
      </c>
      <c r="G112" s="15">
        <v>22.4925</v>
      </c>
      <c r="H112" s="15">
        <v>112.4625</v>
      </c>
    </row>
    <row r="113" ht="12.9" customHeight="1">
      <c r="A113" t="s" s="10">
        <v>4896</v>
      </c>
      <c r="B113" t="s" s="11">
        <v>473</v>
      </c>
      <c r="C113" s="12">
        <v>45131</v>
      </c>
      <c r="D113" t="s" s="13">
        <v>1705</v>
      </c>
      <c r="E113" t="s" s="13">
        <v>1706</v>
      </c>
      <c r="F113" s="14">
        <v>5</v>
      </c>
      <c r="G113" s="15">
        <v>18.7425</v>
      </c>
      <c r="H113" s="15">
        <v>93.71250000000001</v>
      </c>
    </row>
    <row r="114" ht="12.9" customHeight="1">
      <c r="A114" t="s" s="10">
        <v>4896</v>
      </c>
      <c r="B114" t="s" s="11">
        <v>473</v>
      </c>
      <c r="C114" s="12">
        <v>45131</v>
      </c>
      <c r="D114" t="s" s="13">
        <v>47</v>
      </c>
      <c r="E114" s="16"/>
      <c r="F114" s="14">
        <v>1</v>
      </c>
      <c r="G114" s="15">
        <v>15</v>
      </c>
      <c r="H114" s="15">
        <v>15</v>
      </c>
    </row>
    <row r="115" ht="12.9" customHeight="1">
      <c r="A115" t="s" s="10">
        <v>4898</v>
      </c>
      <c r="B115" t="s" s="11">
        <v>69</v>
      </c>
      <c r="C115" s="12">
        <v>45131</v>
      </c>
      <c r="D115" t="s" s="13">
        <v>354</v>
      </c>
      <c r="E115" t="s" s="13">
        <v>828</v>
      </c>
      <c r="F115" s="14">
        <v>5</v>
      </c>
      <c r="G115" s="15">
        <v>112.4925</v>
      </c>
      <c r="H115" s="15">
        <v>562.4625</v>
      </c>
    </row>
    <row r="116" ht="12.9" customHeight="1">
      <c r="A116" t="s" s="10">
        <v>4898</v>
      </c>
      <c r="B116" t="s" s="11">
        <v>69</v>
      </c>
      <c r="C116" s="12">
        <v>45131</v>
      </c>
      <c r="D116" t="s" s="13">
        <v>63</v>
      </c>
      <c r="E116" s="16"/>
      <c r="F116" s="14">
        <v>1</v>
      </c>
      <c r="G116" s="15">
        <v>20</v>
      </c>
      <c r="H116" s="15">
        <v>20</v>
      </c>
    </row>
    <row r="117" ht="12.9" customHeight="1">
      <c r="A117" t="s" s="10">
        <v>4899</v>
      </c>
      <c r="B117" t="s" s="11">
        <v>473</v>
      </c>
      <c r="C117" s="12">
        <v>45131</v>
      </c>
      <c r="D117" t="s" s="13">
        <v>359</v>
      </c>
      <c r="E117" t="s" s="13">
        <v>4897</v>
      </c>
      <c r="F117" s="14">
        <v>56</v>
      </c>
      <c r="G117" s="15">
        <v>22.4925</v>
      </c>
      <c r="H117" s="15">
        <v>1259.58</v>
      </c>
    </row>
    <row r="118" ht="12.9" customHeight="1">
      <c r="A118" t="s" s="10">
        <v>4899</v>
      </c>
      <c r="B118" t="s" s="11">
        <v>473</v>
      </c>
      <c r="C118" s="12">
        <v>45131</v>
      </c>
      <c r="D118" t="s" s="13">
        <v>47</v>
      </c>
      <c r="E118" s="16"/>
      <c r="F118" s="14">
        <v>1</v>
      </c>
      <c r="G118" s="15">
        <v>40</v>
      </c>
      <c r="H118" s="15">
        <v>40</v>
      </c>
    </row>
    <row r="119" ht="12.9" customHeight="1">
      <c r="A119" t="s" s="10">
        <v>4900</v>
      </c>
      <c r="B119" t="s" s="11">
        <v>704</v>
      </c>
      <c r="C119" s="12">
        <v>45131</v>
      </c>
      <c r="D119" t="s" s="13">
        <v>345</v>
      </c>
      <c r="E119" t="s" s="13">
        <v>346</v>
      </c>
      <c r="F119" s="14">
        <v>1</v>
      </c>
      <c r="G119" s="15">
        <v>164.9925</v>
      </c>
      <c r="H119" s="15">
        <v>164.9925</v>
      </c>
    </row>
    <row r="120" ht="12.9" customHeight="1">
      <c r="A120" t="s" s="10">
        <v>4901</v>
      </c>
      <c r="B120" t="s" s="11">
        <v>2940</v>
      </c>
      <c r="C120" s="12">
        <v>45130</v>
      </c>
      <c r="D120" t="s" s="13">
        <v>95</v>
      </c>
      <c r="E120" t="s" s="13">
        <v>12</v>
      </c>
      <c r="F120" s="14">
        <v>2</v>
      </c>
      <c r="G120" s="15">
        <v>314.991</v>
      </c>
      <c r="H120" s="15">
        <v>629.982</v>
      </c>
    </row>
    <row r="121" ht="12.9" customHeight="1">
      <c r="A121" t="s" s="10">
        <v>4902</v>
      </c>
      <c r="B121" t="s" s="11">
        <v>4903</v>
      </c>
      <c r="C121" s="12">
        <v>45129.690965960646</v>
      </c>
      <c r="D121" t="s" s="13">
        <v>171</v>
      </c>
      <c r="E121" t="s" s="13">
        <v>172</v>
      </c>
      <c r="F121" s="14">
        <v>1</v>
      </c>
      <c r="G121" s="15">
        <v>549.99</v>
      </c>
      <c r="H121" s="15">
        <v>549.99</v>
      </c>
    </row>
    <row r="122" ht="12.9" customHeight="1">
      <c r="A122" t="s" s="10">
        <v>4904</v>
      </c>
      <c r="B122" t="s" s="11">
        <v>4905</v>
      </c>
      <c r="C122" s="12">
        <v>45129.297294120370</v>
      </c>
      <c r="D122" t="s" s="13">
        <v>35</v>
      </c>
      <c r="E122" t="s" s="13">
        <v>36</v>
      </c>
      <c r="F122" s="14">
        <v>1</v>
      </c>
      <c r="G122" s="15">
        <v>49.99</v>
      </c>
      <c r="H122" s="15">
        <v>49.99</v>
      </c>
    </row>
    <row r="123" ht="12.9" customHeight="1">
      <c r="A123" t="s" s="10">
        <v>4906</v>
      </c>
      <c r="B123" t="s" s="11">
        <v>4907</v>
      </c>
      <c r="C123" s="12">
        <v>45128.942000636576</v>
      </c>
      <c r="D123" t="s" s="13">
        <v>89</v>
      </c>
      <c r="E123" t="s" s="13">
        <v>90</v>
      </c>
      <c r="F123" s="14">
        <v>2</v>
      </c>
      <c r="G123" s="15">
        <v>51.66</v>
      </c>
      <c r="H123" s="15">
        <v>103.32</v>
      </c>
    </row>
    <row r="124" ht="12.9" customHeight="1">
      <c r="A124" t="s" s="10">
        <v>4906</v>
      </c>
      <c r="B124" t="s" s="11">
        <v>4907</v>
      </c>
      <c r="C124" s="12">
        <v>45128.942000636576</v>
      </c>
      <c r="D124" t="s" s="13">
        <v>11</v>
      </c>
      <c r="E124" t="s" s="13">
        <v>12</v>
      </c>
      <c r="F124" s="14">
        <v>1</v>
      </c>
      <c r="G124" s="15">
        <v>391.65</v>
      </c>
      <c r="H124" s="15">
        <v>391.65</v>
      </c>
    </row>
    <row r="125" ht="12.9" customHeight="1">
      <c r="A125" t="s" s="10">
        <v>4908</v>
      </c>
      <c r="B125" t="s" s="11">
        <v>4909</v>
      </c>
      <c r="C125" s="12">
        <v>45128.768443576388</v>
      </c>
      <c r="D125" t="s" s="13">
        <v>602</v>
      </c>
      <c r="E125" t="s" s="13">
        <v>828</v>
      </c>
      <c r="F125" s="14">
        <v>1</v>
      </c>
      <c r="G125" s="15">
        <v>299.99</v>
      </c>
      <c r="H125" s="15">
        <v>299.99</v>
      </c>
    </row>
    <row r="126" ht="12.9" customHeight="1">
      <c r="A126" t="s" s="10">
        <v>4910</v>
      </c>
      <c r="B126" t="s" s="11">
        <v>4911</v>
      </c>
      <c r="C126" s="12">
        <v>45128.709099155094</v>
      </c>
      <c r="D126" t="s" s="13">
        <v>35</v>
      </c>
      <c r="E126" t="s" s="13">
        <v>36</v>
      </c>
      <c r="F126" s="14">
        <v>2</v>
      </c>
      <c r="G126" s="15">
        <v>49.99</v>
      </c>
      <c r="H126" s="15">
        <v>99.98</v>
      </c>
    </row>
    <row r="127" ht="12.9" customHeight="1">
      <c r="A127" t="s" s="10">
        <v>4912</v>
      </c>
      <c r="B127" t="s" s="11">
        <v>4913</v>
      </c>
      <c r="C127" s="12">
        <v>45128.654918842592</v>
      </c>
      <c r="D127" t="s" s="13">
        <v>95</v>
      </c>
      <c r="E127" t="s" s="13">
        <v>12</v>
      </c>
      <c r="F127" s="14">
        <v>1</v>
      </c>
      <c r="G127" s="15">
        <v>349.99</v>
      </c>
      <c r="H127" s="15">
        <v>349.99</v>
      </c>
    </row>
    <row r="128" ht="12.9" customHeight="1">
      <c r="A128" t="s" s="10">
        <v>4914</v>
      </c>
      <c r="B128" t="s" s="11">
        <v>4915</v>
      </c>
      <c r="C128" s="12">
        <v>45128.204594537034</v>
      </c>
      <c r="D128" t="s" s="13">
        <v>73</v>
      </c>
      <c r="E128" t="s" s="13">
        <v>74</v>
      </c>
      <c r="F128" s="14">
        <v>1</v>
      </c>
      <c r="G128" s="15">
        <v>399.99</v>
      </c>
      <c r="H128" s="15">
        <v>399.99</v>
      </c>
    </row>
    <row r="129" ht="12.9" customHeight="1">
      <c r="A129" t="s" s="10">
        <v>4916</v>
      </c>
      <c r="B129" t="s" s="11">
        <v>4917</v>
      </c>
      <c r="C129" s="12">
        <v>45127.801795879626</v>
      </c>
      <c r="D129" t="s" s="13">
        <v>89</v>
      </c>
      <c r="E129" t="s" s="13">
        <v>90</v>
      </c>
      <c r="F129" s="14">
        <v>1</v>
      </c>
      <c r="G129" s="15">
        <v>59.99</v>
      </c>
      <c r="H129" s="15">
        <v>59.99</v>
      </c>
    </row>
    <row r="130" ht="12.9" customHeight="1">
      <c r="A130" t="s" s="10">
        <v>4918</v>
      </c>
      <c r="B130" t="s" s="11">
        <v>4919</v>
      </c>
      <c r="C130" s="12">
        <v>45127.630978541667</v>
      </c>
      <c r="D130" t="s" s="13">
        <v>89</v>
      </c>
      <c r="E130" t="s" s="13">
        <v>90</v>
      </c>
      <c r="F130" s="14">
        <v>1</v>
      </c>
      <c r="G130" s="15">
        <v>59.99</v>
      </c>
      <c r="H130" s="15">
        <v>59.99</v>
      </c>
    </row>
    <row r="131" ht="12.9" customHeight="1">
      <c r="A131" t="s" s="10">
        <v>4920</v>
      </c>
      <c r="B131" t="s" s="11">
        <v>1622</v>
      </c>
      <c r="C131" s="12">
        <v>45127</v>
      </c>
      <c r="D131" t="s" s="13">
        <v>722</v>
      </c>
      <c r="E131" t="s" s="13">
        <v>82</v>
      </c>
      <c r="F131" s="14">
        <v>2</v>
      </c>
      <c r="G131" s="15">
        <v>652.4924999999999</v>
      </c>
      <c r="H131" s="15">
        <v>1304.985</v>
      </c>
    </row>
    <row r="132" ht="12.9" customHeight="1">
      <c r="A132" t="s" s="10">
        <v>4920</v>
      </c>
      <c r="B132" t="s" s="11">
        <v>1622</v>
      </c>
      <c r="C132" s="12">
        <v>45127</v>
      </c>
      <c r="D132" t="s" s="13">
        <v>1132</v>
      </c>
      <c r="E132" t="s" s="13">
        <v>4280</v>
      </c>
      <c r="F132" s="14">
        <v>2</v>
      </c>
      <c r="G132" s="15">
        <v>0</v>
      </c>
      <c r="H132" s="15">
        <v>0</v>
      </c>
    </row>
    <row r="133" ht="12.9" customHeight="1">
      <c r="A133" t="s" s="10">
        <v>4920</v>
      </c>
      <c r="B133" t="s" s="11">
        <v>1622</v>
      </c>
      <c r="C133" s="12">
        <v>45127</v>
      </c>
      <c r="D133" t="s" s="13">
        <v>50</v>
      </c>
      <c r="E133" t="s" s="13">
        <v>83</v>
      </c>
      <c r="F133" s="14">
        <v>2</v>
      </c>
      <c r="G133" s="15">
        <v>0</v>
      </c>
      <c r="H133" s="15">
        <v>0</v>
      </c>
    </row>
    <row r="134" ht="12.9" customHeight="1">
      <c r="A134" t="s" s="10">
        <v>4920</v>
      </c>
      <c r="B134" t="s" s="11">
        <v>1622</v>
      </c>
      <c r="C134" s="12">
        <v>45127</v>
      </c>
      <c r="D134" t="s" s="13">
        <v>63</v>
      </c>
      <c r="E134" s="16"/>
      <c r="F134" s="14">
        <v>1</v>
      </c>
      <c r="G134" s="15">
        <v>40</v>
      </c>
      <c r="H134" s="15">
        <v>40</v>
      </c>
    </row>
    <row r="135" ht="12.9" customHeight="1">
      <c r="A135" t="s" s="10">
        <v>4921</v>
      </c>
      <c r="B135" t="s" s="11">
        <v>476</v>
      </c>
      <c r="C135" s="12">
        <v>45127</v>
      </c>
      <c r="D135" t="s" s="13">
        <v>1155</v>
      </c>
      <c r="E135" t="s" s="13">
        <v>4922</v>
      </c>
      <c r="F135" s="14">
        <v>4</v>
      </c>
      <c r="G135" s="15">
        <v>1624.99</v>
      </c>
      <c r="H135" s="15">
        <v>6499.96</v>
      </c>
    </row>
    <row r="136" ht="12.9" customHeight="1">
      <c r="A136" t="s" s="10">
        <v>4921</v>
      </c>
      <c r="B136" t="s" s="11">
        <v>476</v>
      </c>
      <c r="C136" s="12">
        <v>45127</v>
      </c>
      <c r="D136" t="s" s="13">
        <v>50</v>
      </c>
      <c r="E136" t="s" s="13">
        <v>83</v>
      </c>
      <c r="F136" s="14">
        <v>4</v>
      </c>
      <c r="G136" s="15">
        <v>0</v>
      </c>
      <c r="H136" s="15">
        <v>0</v>
      </c>
    </row>
    <row r="137" ht="12.9" customHeight="1">
      <c r="A137" t="s" s="10">
        <v>4921</v>
      </c>
      <c r="B137" t="s" s="11">
        <v>476</v>
      </c>
      <c r="C137" s="12">
        <v>45127</v>
      </c>
      <c r="D137" t="s" s="13">
        <v>59</v>
      </c>
      <c r="E137" t="s" s="13">
        <v>60</v>
      </c>
      <c r="F137" s="14">
        <v>1</v>
      </c>
      <c r="G137" s="15">
        <v>899.9924999999999</v>
      </c>
      <c r="H137" s="15">
        <v>899.9924999999999</v>
      </c>
    </row>
    <row r="138" ht="12.9" customHeight="1">
      <c r="A138" t="s" s="10">
        <v>4921</v>
      </c>
      <c r="B138" t="s" s="11">
        <v>476</v>
      </c>
      <c r="C138" s="12">
        <v>45127</v>
      </c>
      <c r="D138" t="s" s="13">
        <v>47</v>
      </c>
      <c r="E138" s="16"/>
      <c r="F138" s="14">
        <v>1</v>
      </c>
      <c r="G138" s="15">
        <v>120</v>
      </c>
      <c r="H138" s="15">
        <v>120</v>
      </c>
    </row>
    <row r="139" ht="12.9" customHeight="1">
      <c r="A139" t="s" s="10">
        <v>4923</v>
      </c>
      <c r="B139" t="s" s="11">
        <v>4924</v>
      </c>
      <c r="C139" s="12">
        <v>45126.906314814813</v>
      </c>
      <c r="D139" t="s" s="13">
        <v>19</v>
      </c>
      <c r="E139" t="s" s="13">
        <v>20</v>
      </c>
      <c r="F139" s="14">
        <v>2</v>
      </c>
      <c r="G139" s="15">
        <v>119.99</v>
      </c>
      <c r="H139" s="15">
        <v>239.98</v>
      </c>
    </row>
    <row r="140" ht="12.9" customHeight="1">
      <c r="A140" t="s" s="10">
        <v>4923</v>
      </c>
      <c r="B140" t="s" s="11">
        <v>4924</v>
      </c>
      <c r="C140" s="12">
        <v>45126.906314814813</v>
      </c>
      <c r="D140" t="s" s="13">
        <v>15</v>
      </c>
      <c r="E140" t="s" s="13">
        <v>4757</v>
      </c>
      <c r="F140" s="14">
        <v>2</v>
      </c>
      <c r="G140" s="15">
        <v>8.99</v>
      </c>
      <c r="H140" s="15">
        <v>17.98</v>
      </c>
    </row>
    <row r="141" ht="12.9" customHeight="1">
      <c r="A141" t="s" s="10">
        <v>4923</v>
      </c>
      <c r="B141" t="s" s="11">
        <v>4924</v>
      </c>
      <c r="C141" s="12">
        <v>45126.906314814813</v>
      </c>
      <c r="D141" t="s" s="13">
        <v>73</v>
      </c>
      <c r="E141" t="s" s="13">
        <v>74</v>
      </c>
      <c r="F141" s="14">
        <v>1</v>
      </c>
      <c r="G141" s="15">
        <v>399.99</v>
      </c>
      <c r="H141" s="15">
        <v>399.99</v>
      </c>
    </row>
    <row r="142" ht="12.9" customHeight="1">
      <c r="A142" t="s" s="10">
        <v>4925</v>
      </c>
      <c r="B142" t="s" s="11">
        <v>2756</v>
      </c>
      <c r="C142" s="12">
        <v>45126.818382407408</v>
      </c>
      <c r="D142" t="s" s="13">
        <v>48</v>
      </c>
      <c r="E142" t="s" s="13">
        <v>49</v>
      </c>
      <c r="F142" s="14">
        <v>1</v>
      </c>
      <c r="G142" s="15">
        <v>1299.99</v>
      </c>
      <c r="H142" s="15">
        <v>1299.99</v>
      </c>
    </row>
    <row r="143" ht="12.9" customHeight="1">
      <c r="A143" t="s" s="10">
        <v>4925</v>
      </c>
      <c r="B143" t="s" s="11">
        <v>2756</v>
      </c>
      <c r="C143" s="12">
        <v>45126.818382407408</v>
      </c>
      <c r="D143" t="s" s="13">
        <v>50</v>
      </c>
      <c r="E143" t="s" s="13">
        <v>83</v>
      </c>
      <c r="F143" s="14">
        <v>1</v>
      </c>
      <c r="G143" s="15">
        <v>0</v>
      </c>
      <c r="H143" s="15">
        <v>0</v>
      </c>
    </row>
    <row r="144" ht="12.9" customHeight="1">
      <c r="A144" t="s" s="10">
        <v>4925</v>
      </c>
      <c r="B144" t="s" s="11">
        <v>2756</v>
      </c>
      <c r="C144" s="12">
        <v>45126.818382407408</v>
      </c>
      <c r="D144" t="s" s="13">
        <v>52</v>
      </c>
      <c r="E144" t="s" s="13">
        <v>4287</v>
      </c>
      <c r="F144" s="14">
        <v>1</v>
      </c>
      <c r="G144" s="15">
        <v>0</v>
      </c>
      <c r="H144" s="15">
        <v>0</v>
      </c>
    </row>
    <row r="145" ht="12.9" customHeight="1">
      <c r="A145" t="s" s="10">
        <v>4925</v>
      </c>
      <c r="B145" t="s" s="11">
        <v>2756</v>
      </c>
      <c r="C145" s="12">
        <v>45126.818382407408</v>
      </c>
      <c r="D145" t="s" s="13">
        <v>84</v>
      </c>
      <c r="E145" t="s" s="13">
        <v>4225</v>
      </c>
      <c r="F145" s="14">
        <v>1</v>
      </c>
      <c r="G145" s="15">
        <v>0</v>
      </c>
      <c r="H145" s="15">
        <v>0</v>
      </c>
    </row>
    <row r="146" ht="12.9" customHeight="1">
      <c r="A146" t="s" s="10">
        <v>4925</v>
      </c>
      <c r="B146" t="s" s="11">
        <v>2756</v>
      </c>
      <c r="C146" s="12">
        <v>45126.818382407408</v>
      </c>
      <c r="D146" t="s" s="13">
        <v>23</v>
      </c>
      <c r="E146" t="s" s="13">
        <v>828</v>
      </c>
      <c r="F146" s="14">
        <v>1</v>
      </c>
      <c r="G146" s="15">
        <v>0</v>
      </c>
      <c r="H146" s="15">
        <v>0</v>
      </c>
    </row>
    <row r="147" ht="12.9" customHeight="1">
      <c r="A147" t="s" s="10">
        <v>4926</v>
      </c>
      <c r="B147" t="s" s="11">
        <v>4927</v>
      </c>
      <c r="C147" s="12">
        <v>45126.6716395949</v>
      </c>
      <c r="D147" t="s" s="13">
        <v>23</v>
      </c>
      <c r="E147" t="s" s="13">
        <v>828</v>
      </c>
      <c r="F147" s="14">
        <v>1</v>
      </c>
      <c r="G147" s="15">
        <v>149.99</v>
      </c>
      <c r="H147" s="15">
        <v>149.99</v>
      </c>
    </row>
    <row r="148" ht="12.9" customHeight="1">
      <c r="A148" t="s" s="10">
        <v>4928</v>
      </c>
      <c r="B148" t="s" s="11">
        <v>4929</v>
      </c>
      <c r="C148" s="12">
        <v>45126.637115520833</v>
      </c>
      <c r="D148" t="s" s="13">
        <v>11</v>
      </c>
      <c r="E148" t="s" s="13">
        <v>12</v>
      </c>
      <c r="F148" s="14">
        <v>1</v>
      </c>
      <c r="G148" s="15">
        <v>399.99</v>
      </c>
      <c r="H148" s="15">
        <v>399.99</v>
      </c>
    </row>
    <row r="149" ht="12.9" customHeight="1">
      <c r="A149" t="s" s="10">
        <v>4930</v>
      </c>
      <c r="B149" t="s" s="11">
        <v>4931</v>
      </c>
      <c r="C149" s="12">
        <v>45126.630878402779</v>
      </c>
      <c r="D149" t="s" s="13">
        <v>59</v>
      </c>
      <c r="E149" t="s" s="13">
        <v>60</v>
      </c>
      <c r="F149" s="14">
        <v>1</v>
      </c>
      <c r="G149" s="15">
        <v>1199.99</v>
      </c>
      <c r="H149" s="15">
        <v>1199.99</v>
      </c>
    </row>
    <row r="150" ht="12.9" customHeight="1">
      <c r="A150" t="s" s="10">
        <v>4932</v>
      </c>
      <c r="B150" t="s" s="11">
        <v>1426</v>
      </c>
      <c r="C150" s="12">
        <v>45126</v>
      </c>
      <c r="D150" t="s" s="13">
        <v>254</v>
      </c>
      <c r="E150" t="s" s="13">
        <v>4933</v>
      </c>
      <c r="F150" s="14">
        <v>1</v>
      </c>
      <c r="G150" s="15">
        <v>0</v>
      </c>
      <c r="H150" s="15">
        <v>0</v>
      </c>
    </row>
    <row r="151" ht="12.9" customHeight="1">
      <c r="A151" t="s" s="10">
        <v>4932</v>
      </c>
      <c r="B151" t="s" s="11">
        <v>1426</v>
      </c>
      <c r="C151" s="12">
        <v>45126</v>
      </c>
      <c r="D151" t="s" s="13">
        <v>266</v>
      </c>
      <c r="E151" t="s" s="13">
        <v>267</v>
      </c>
      <c r="F151" s="14">
        <v>10</v>
      </c>
      <c r="G151" s="15">
        <v>0</v>
      </c>
      <c r="H151" s="15">
        <v>0</v>
      </c>
    </row>
    <row r="152" ht="12.9" customHeight="1">
      <c r="A152" t="s" s="10">
        <v>4932</v>
      </c>
      <c r="B152" t="s" s="11">
        <v>1426</v>
      </c>
      <c r="C152" s="12">
        <v>45126</v>
      </c>
      <c r="D152" t="s" s="13">
        <v>207</v>
      </c>
      <c r="E152" t="s" s="13">
        <v>208</v>
      </c>
      <c r="F152" s="14">
        <v>1</v>
      </c>
      <c r="G152" s="15">
        <v>0</v>
      </c>
      <c r="H152" s="15">
        <v>0</v>
      </c>
    </row>
    <row r="153" ht="12.9" customHeight="1">
      <c r="A153" t="s" s="10">
        <v>4934</v>
      </c>
      <c r="B153" t="s" s="11">
        <v>42</v>
      </c>
      <c r="C153" s="12">
        <v>45126</v>
      </c>
      <c r="D153" t="s" s="13">
        <v>48</v>
      </c>
      <c r="E153" t="s" s="13">
        <v>4935</v>
      </c>
      <c r="F153" s="14">
        <v>12</v>
      </c>
      <c r="G153" s="15">
        <v>900</v>
      </c>
      <c r="H153" s="15">
        <v>10800</v>
      </c>
    </row>
    <row r="154" ht="12.9" customHeight="1">
      <c r="A154" t="s" s="10">
        <v>4934</v>
      </c>
      <c r="B154" t="s" s="11">
        <v>42</v>
      </c>
      <c r="C154" s="12">
        <v>45126</v>
      </c>
      <c r="D154" t="s" s="13">
        <v>50</v>
      </c>
      <c r="E154" t="s" s="13">
        <v>83</v>
      </c>
      <c r="F154" s="14">
        <v>12</v>
      </c>
      <c r="G154" s="15">
        <v>0</v>
      </c>
      <c r="H154" s="15">
        <v>0</v>
      </c>
    </row>
    <row r="155" ht="12.9" customHeight="1">
      <c r="A155" t="s" s="10">
        <v>4934</v>
      </c>
      <c r="B155" t="s" s="11">
        <v>42</v>
      </c>
      <c r="C155" s="12">
        <v>45126</v>
      </c>
      <c r="D155" t="s" s="13">
        <v>52</v>
      </c>
      <c r="E155" t="s" s="13">
        <v>4287</v>
      </c>
      <c r="F155" s="14">
        <v>12</v>
      </c>
      <c r="G155" s="15">
        <v>0</v>
      </c>
      <c r="H155" s="15">
        <v>0</v>
      </c>
    </row>
    <row r="156" ht="12.9" customHeight="1">
      <c r="A156" t="s" s="10">
        <v>4934</v>
      </c>
      <c r="B156" t="s" s="11">
        <v>42</v>
      </c>
      <c r="C156" s="12">
        <v>45126</v>
      </c>
      <c r="D156" t="s" s="13">
        <v>607</v>
      </c>
      <c r="E156" t="s" s="13">
        <v>608</v>
      </c>
      <c r="F156" s="14">
        <v>24</v>
      </c>
      <c r="G156" s="15">
        <v>22.4925</v>
      </c>
      <c r="H156" s="15">
        <v>539.8200000000001</v>
      </c>
    </row>
    <row r="157" ht="12.9" customHeight="1">
      <c r="A157" t="s" s="10">
        <v>4934</v>
      </c>
      <c r="B157" t="s" s="11">
        <v>42</v>
      </c>
      <c r="C157" s="12">
        <v>45126</v>
      </c>
      <c r="D157" t="s" s="13">
        <v>559</v>
      </c>
      <c r="E157" t="s" s="13">
        <v>560</v>
      </c>
      <c r="F157" s="14">
        <v>600</v>
      </c>
      <c r="G157" s="15">
        <v>0.1875</v>
      </c>
      <c r="H157" s="15">
        <v>112.5</v>
      </c>
    </row>
    <row r="158" ht="12.9" customHeight="1">
      <c r="A158" t="s" s="10">
        <v>4934</v>
      </c>
      <c r="B158" t="s" s="11">
        <v>42</v>
      </c>
      <c r="C158" s="12">
        <v>45126</v>
      </c>
      <c r="D158" t="s" s="13">
        <v>63</v>
      </c>
      <c r="E158" s="16"/>
      <c r="F158" s="14">
        <v>1</v>
      </c>
      <c r="G158" s="15">
        <v>211.83</v>
      </c>
      <c r="H158" s="15">
        <v>211.83</v>
      </c>
    </row>
    <row r="159" ht="12.9" customHeight="1">
      <c r="A159" t="s" s="10">
        <v>4936</v>
      </c>
      <c r="B159" t="s" s="11">
        <v>4937</v>
      </c>
      <c r="C159" s="12">
        <v>45125.895250729169</v>
      </c>
      <c r="D159" t="s" s="13">
        <v>81</v>
      </c>
      <c r="E159" t="s" s="13">
        <v>82</v>
      </c>
      <c r="F159" s="14">
        <v>1</v>
      </c>
      <c r="G159" s="15">
        <v>849.99</v>
      </c>
      <c r="H159" s="15">
        <v>849.99</v>
      </c>
    </row>
    <row r="160" ht="12.9" customHeight="1">
      <c r="A160" t="s" s="10">
        <v>4936</v>
      </c>
      <c r="B160" t="s" s="11">
        <v>4937</v>
      </c>
      <c r="C160" s="12">
        <v>45125.895250729169</v>
      </c>
      <c r="D160" t="s" s="13">
        <v>23</v>
      </c>
      <c r="E160" t="s" s="13">
        <v>828</v>
      </c>
      <c r="F160" s="14">
        <v>1</v>
      </c>
      <c r="G160" s="15">
        <v>0</v>
      </c>
      <c r="H160" s="15">
        <v>0</v>
      </c>
    </row>
    <row r="161" ht="12.9" customHeight="1">
      <c r="A161" t="s" s="10">
        <v>4936</v>
      </c>
      <c r="B161" t="s" s="11">
        <v>4937</v>
      </c>
      <c r="C161" s="12">
        <v>45125.895250729169</v>
      </c>
      <c r="D161" t="s" s="13">
        <v>227</v>
      </c>
      <c r="E161" t="s" s="13">
        <v>228</v>
      </c>
      <c r="F161" s="14">
        <v>2</v>
      </c>
      <c r="G161" s="15">
        <v>29.99</v>
      </c>
      <c r="H161" s="15">
        <v>59.98</v>
      </c>
    </row>
    <row r="162" ht="12.9" customHeight="1">
      <c r="A162" t="s" s="10">
        <v>4936</v>
      </c>
      <c r="B162" t="s" s="11">
        <v>4937</v>
      </c>
      <c r="C162" s="12">
        <v>45125.895250729169</v>
      </c>
      <c r="D162" t="s" s="13">
        <v>50</v>
      </c>
      <c r="E162" t="s" s="13">
        <v>83</v>
      </c>
      <c r="F162" s="14">
        <v>1</v>
      </c>
      <c r="G162" s="15">
        <v>0</v>
      </c>
      <c r="H162" s="15">
        <v>0</v>
      </c>
    </row>
    <row r="163" ht="12.9" customHeight="1">
      <c r="A163" t="s" s="10">
        <v>4936</v>
      </c>
      <c r="B163" t="s" s="11">
        <v>4937</v>
      </c>
      <c r="C163" s="12">
        <v>45125.895250729169</v>
      </c>
      <c r="D163" t="s" s="13">
        <v>84</v>
      </c>
      <c r="E163" t="s" s="13">
        <v>4225</v>
      </c>
      <c r="F163" s="14">
        <v>1</v>
      </c>
      <c r="G163" s="15">
        <v>0</v>
      </c>
      <c r="H163" s="15">
        <v>0</v>
      </c>
    </row>
    <row r="164" ht="12.9" customHeight="1">
      <c r="A164" t="s" s="10">
        <v>4936</v>
      </c>
      <c r="B164" t="s" s="11">
        <v>4937</v>
      </c>
      <c r="C164" s="12">
        <v>45125.895250729169</v>
      </c>
      <c r="D164" t="s" s="13">
        <v>19</v>
      </c>
      <c r="E164" t="s" s="13">
        <v>20</v>
      </c>
      <c r="F164" s="14">
        <v>4</v>
      </c>
      <c r="G164" s="15">
        <v>119.99</v>
      </c>
      <c r="H164" s="15">
        <v>479.96</v>
      </c>
    </row>
    <row r="165" ht="12.9" customHeight="1">
      <c r="A165" t="s" s="10">
        <v>4936</v>
      </c>
      <c r="B165" t="s" s="11">
        <v>4937</v>
      </c>
      <c r="C165" s="12">
        <v>45125.895250729169</v>
      </c>
      <c r="D165" t="s" s="13">
        <v>15</v>
      </c>
      <c r="E165" t="s" s="13">
        <v>4757</v>
      </c>
      <c r="F165" s="14">
        <v>4</v>
      </c>
      <c r="G165" s="15">
        <v>8.99</v>
      </c>
      <c r="H165" s="15">
        <v>35.96</v>
      </c>
    </row>
    <row r="166" ht="12.9" customHeight="1">
      <c r="A166" t="s" s="10">
        <v>4938</v>
      </c>
      <c r="B166" t="s" s="11">
        <v>4939</v>
      </c>
      <c r="C166" s="12">
        <v>45125.8004890625</v>
      </c>
      <c r="D166" t="s" s="13">
        <v>146</v>
      </c>
      <c r="E166" t="s" s="13">
        <v>147</v>
      </c>
      <c r="F166" s="14">
        <v>1</v>
      </c>
      <c r="G166" s="15">
        <v>19.99</v>
      </c>
      <c r="H166" s="15">
        <v>19.99</v>
      </c>
    </row>
    <row r="167" ht="12.9" customHeight="1">
      <c r="A167" t="s" s="10">
        <v>4940</v>
      </c>
      <c r="B167" t="s" s="11">
        <v>4941</v>
      </c>
      <c r="C167" s="12">
        <v>45125.374964722221</v>
      </c>
      <c r="D167" t="s" s="13">
        <v>50</v>
      </c>
      <c r="E167" t="s" s="13">
        <v>83</v>
      </c>
      <c r="F167" s="14">
        <v>1</v>
      </c>
      <c r="G167" s="15">
        <v>29.99</v>
      </c>
      <c r="H167" s="15">
        <v>29.99</v>
      </c>
    </row>
    <row r="168" ht="12.9" customHeight="1">
      <c r="A168" t="s" s="10">
        <v>4942</v>
      </c>
      <c r="B168" t="s" s="11">
        <v>3189</v>
      </c>
      <c r="C168" s="12">
        <v>45125.187360844910</v>
      </c>
      <c r="D168" t="s" s="13">
        <v>73</v>
      </c>
      <c r="E168" t="s" s="13">
        <v>74</v>
      </c>
      <c r="F168" s="14">
        <v>1</v>
      </c>
      <c r="G168" s="15">
        <v>399.99</v>
      </c>
      <c r="H168" s="15">
        <v>399.99</v>
      </c>
    </row>
    <row r="169" ht="12.9" customHeight="1">
      <c r="A169" t="s" s="10">
        <v>4943</v>
      </c>
      <c r="B169" t="s" s="11">
        <v>4944</v>
      </c>
      <c r="C169" s="12">
        <v>45125.170120428244</v>
      </c>
      <c r="D169" t="s" s="13">
        <v>11</v>
      </c>
      <c r="E169" t="s" s="13">
        <v>12</v>
      </c>
      <c r="F169" s="14">
        <v>1</v>
      </c>
      <c r="G169" s="15">
        <v>399.99</v>
      </c>
      <c r="H169" s="15">
        <v>399.99</v>
      </c>
    </row>
    <row r="170" ht="12.9" customHeight="1">
      <c r="A170" t="s" s="10">
        <v>4945</v>
      </c>
      <c r="B170" t="s" s="11">
        <v>721</v>
      </c>
      <c r="C170" s="12">
        <v>45125</v>
      </c>
      <c r="D170" t="s" s="13">
        <v>225</v>
      </c>
      <c r="E170" t="s" s="13">
        <v>226</v>
      </c>
      <c r="F170" s="14">
        <v>12</v>
      </c>
      <c r="G170" s="15">
        <v>374.9925</v>
      </c>
      <c r="H170" s="15">
        <v>4499.91</v>
      </c>
    </row>
    <row r="171" ht="12.9" customHeight="1">
      <c r="A171" t="s" s="10">
        <v>4945</v>
      </c>
      <c r="B171" t="s" s="11">
        <v>721</v>
      </c>
      <c r="C171" s="12">
        <v>45125</v>
      </c>
      <c r="D171" t="s" s="13">
        <v>4180</v>
      </c>
      <c r="E171" t="s" s="13">
        <v>4181</v>
      </c>
      <c r="F171" s="14">
        <v>12</v>
      </c>
      <c r="G171" s="15">
        <v>111.99999975</v>
      </c>
      <c r="H171" s="15">
        <v>1343.999997</v>
      </c>
    </row>
    <row r="172" ht="12.9" customHeight="1">
      <c r="A172" t="s" s="10">
        <v>4945</v>
      </c>
      <c r="B172" t="s" s="11">
        <v>721</v>
      </c>
      <c r="C172" s="12">
        <v>45125</v>
      </c>
      <c r="D172" t="s" s="13">
        <v>110</v>
      </c>
      <c r="E172" t="s" s="13">
        <v>110</v>
      </c>
      <c r="F172" s="14">
        <v>4</v>
      </c>
      <c r="G172" s="15">
        <v>0</v>
      </c>
      <c r="H172" s="15">
        <v>0</v>
      </c>
    </row>
    <row r="173" ht="12.9" customHeight="1">
      <c r="A173" t="s" s="10">
        <v>4945</v>
      </c>
      <c r="B173" t="s" s="11">
        <v>721</v>
      </c>
      <c r="C173" s="12">
        <v>45125</v>
      </c>
      <c r="D173" t="s" s="13">
        <v>1007</v>
      </c>
      <c r="E173" t="s" s="13">
        <v>4946</v>
      </c>
      <c r="F173" s="14">
        <v>12</v>
      </c>
      <c r="G173" s="15">
        <v>6.978261</v>
      </c>
      <c r="H173" s="15">
        <v>83.739132</v>
      </c>
    </row>
    <row r="174" ht="12.9" customHeight="1">
      <c r="A174" t="s" s="10">
        <v>4945</v>
      </c>
      <c r="B174" t="s" s="11">
        <v>721</v>
      </c>
      <c r="C174" s="12">
        <v>45125</v>
      </c>
      <c r="D174" t="s" s="13">
        <v>179</v>
      </c>
      <c r="E174" t="s" s="13">
        <v>180</v>
      </c>
      <c r="F174" s="14">
        <v>16</v>
      </c>
      <c r="G174" s="15">
        <v>37.4925</v>
      </c>
      <c r="H174" s="15">
        <v>599.88</v>
      </c>
    </row>
    <row r="175" ht="12.9" customHeight="1">
      <c r="A175" t="s" s="10">
        <v>4945</v>
      </c>
      <c r="B175" t="s" s="11">
        <v>721</v>
      </c>
      <c r="C175" s="12">
        <v>45125</v>
      </c>
      <c r="D175" t="s" s="13">
        <v>63</v>
      </c>
      <c r="E175" s="16"/>
      <c r="F175" s="14">
        <v>1</v>
      </c>
      <c r="G175" s="15">
        <v>346.64</v>
      </c>
      <c r="H175" s="15">
        <v>346.64</v>
      </c>
    </row>
    <row r="176" ht="12.9" customHeight="1">
      <c r="A176" t="s" s="10">
        <v>4947</v>
      </c>
      <c r="B176" t="s" s="11">
        <v>4948</v>
      </c>
      <c r="C176" s="12">
        <v>45124.690704513887</v>
      </c>
      <c r="D176" t="s" s="13">
        <v>1896</v>
      </c>
      <c r="E176" t="s" s="13">
        <v>1897</v>
      </c>
      <c r="F176" s="14">
        <v>2</v>
      </c>
      <c r="G176" s="15">
        <v>64.98999999999999</v>
      </c>
      <c r="H176" s="15">
        <v>129.98</v>
      </c>
    </row>
    <row r="177" ht="12.9" customHeight="1">
      <c r="A177" t="s" s="10">
        <v>4949</v>
      </c>
      <c r="B177" t="s" s="11">
        <v>4950</v>
      </c>
      <c r="C177" s="12">
        <v>45124.6292831713</v>
      </c>
      <c r="D177" t="s" s="13">
        <v>225</v>
      </c>
      <c r="E177" t="s" s="13">
        <v>226</v>
      </c>
      <c r="F177" s="14">
        <v>2</v>
      </c>
      <c r="G177" s="15">
        <v>499.99</v>
      </c>
      <c r="H177" s="15">
        <v>999.98</v>
      </c>
    </row>
    <row r="178" ht="12.9" customHeight="1">
      <c r="A178" t="s" s="10">
        <v>4949</v>
      </c>
      <c r="B178" t="s" s="11">
        <v>4950</v>
      </c>
      <c r="C178" s="12">
        <v>45124.6292831713</v>
      </c>
      <c r="D178" t="s" s="13">
        <v>165</v>
      </c>
      <c r="E178" t="s" s="13">
        <v>392</v>
      </c>
      <c r="F178" s="14">
        <v>2</v>
      </c>
      <c r="G178" s="15">
        <v>0</v>
      </c>
      <c r="H178" s="15">
        <v>0</v>
      </c>
    </row>
    <row r="179" ht="12.9" customHeight="1">
      <c r="A179" t="s" s="10">
        <v>4949</v>
      </c>
      <c r="B179" t="s" s="11">
        <v>4950</v>
      </c>
      <c r="C179" s="12">
        <v>45124.6292831713</v>
      </c>
      <c r="D179" t="s" s="13">
        <v>73</v>
      </c>
      <c r="E179" t="s" s="13">
        <v>74</v>
      </c>
      <c r="F179" s="14">
        <v>1</v>
      </c>
      <c r="G179" s="15">
        <v>399.99</v>
      </c>
      <c r="H179" s="15">
        <v>399.99</v>
      </c>
    </row>
    <row r="180" ht="12.9" customHeight="1">
      <c r="A180" t="s" s="10">
        <v>4949</v>
      </c>
      <c r="B180" t="s" s="11">
        <v>4950</v>
      </c>
      <c r="C180" s="12">
        <v>45124.6292831713</v>
      </c>
      <c r="D180" t="s" s="13">
        <v>133</v>
      </c>
      <c r="E180" t="s" s="13">
        <v>4835</v>
      </c>
      <c r="F180" s="14">
        <v>2</v>
      </c>
      <c r="G180" s="15">
        <v>199.99</v>
      </c>
      <c r="H180" s="15">
        <v>399.98</v>
      </c>
    </row>
    <row r="181" ht="12.9" customHeight="1">
      <c r="A181" t="s" s="10">
        <v>4951</v>
      </c>
      <c r="B181" t="s" s="11">
        <v>4952</v>
      </c>
      <c r="C181" s="12">
        <v>45124</v>
      </c>
      <c r="D181" t="s" s="13">
        <v>254</v>
      </c>
      <c r="E181" t="s" s="13">
        <v>4953</v>
      </c>
      <c r="F181" s="14">
        <v>1</v>
      </c>
      <c r="G181" s="15">
        <v>0</v>
      </c>
      <c r="H181" s="15">
        <v>0</v>
      </c>
    </row>
    <row r="182" ht="12.9" customHeight="1">
      <c r="A182" t="s" s="10">
        <v>4951</v>
      </c>
      <c r="B182" t="s" s="11">
        <v>4952</v>
      </c>
      <c r="C182" s="12">
        <v>45124</v>
      </c>
      <c r="D182" t="s" s="13">
        <v>4954</v>
      </c>
      <c r="E182" t="s" s="13">
        <v>4955</v>
      </c>
      <c r="F182" s="14">
        <v>1</v>
      </c>
      <c r="G182" s="15">
        <v>0</v>
      </c>
      <c r="H182" s="15">
        <v>0</v>
      </c>
    </row>
    <row r="183" ht="12.9" customHeight="1">
      <c r="A183" t="s" s="10">
        <v>4951</v>
      </c>
      <c r="B183" t="s" s="11">
        <v>4952</v>
      </c>
      <c r="C183" s="12">
        <v>45124</v>
      </c>
      <c r="D183" t="s" s="13">
        <v>258</v>
      </c>
      <c r="E183" t="s" s="13">
        <v>3592</v>
      </c>
      <c r="F183" s="14">
        <v>1</v>
      </c>
      <c r="G183" s="15">
        <v>0</v>
      </c>
      <c r="H183" s="15">
        <v>0</v>
      </c>
    </row>
    <row r="184" ht="12.9" customHeight="1">
      <c r="A184" t="s" s="10">
        <v>4956</v>
      </c>
      <c r="B184" t="s" s="11">
        <v>592</v>
      </c>
      <c r="C184" s="12">
        <v>45124</v>
      </c>
      <c r="D184" t="s" s="13">
        <v>109</v>
      </c>
      <c r="E184" t="s" s="13">
        <v>109</v>
      </c>
      <c r="F184" s="14">
        <v>40</v>
      </c>
      <c r="G184" s="15">
        <v>100</v>
      </c>
      <c r="H184" s="15">
        <v>4000</v>
      </c>
    </row>
    <row r="185" ht="12.9" customHeight="1">
      <c r="A185" t="s" s="10">
        <v>4956</v>
      </c>
      <c r="B185" t="s" s="11">
        <v>592</v>
      </c>
      <c r="C185" s="12">
        <v>45124</v>
      </c>
      <c r="D185" t="s" s="13">
        <v>593</v>
      </c>
      <c r="E185" t="s" s="13">
        <v>593</v>
      </c>
      <c r="F185" s="14">
        <v>40</v>
      </c>
      <c r="G185" s="15">
        <v>40</v>
      </c>
      <c r="H185" s="15">
        <v>1600</v>
      </c>
    </row>
    <row r="186" ht="12.9" customHeight="1">
      <c r="A186" t="s" s="10">
        <v>4956</v>
      </c>
      <c r="B186" t="s" s="11">
        <v>592</v>
      </c>
      <c r="C186" s="12">
        <v>45124</v>
      </c>
      <c r="D186" t="s" s="13">
        <v>594</v>
      </c>
      <c r="E186" t="s" s="13">
        <v>595</v>
      </c>
      <c r="F186" s="14">
        <v>40</v>
      </c>
      <c r="G186" s="15">
        <v>20</v>
      </c>
      <c r="H186" s="15">
        <v>800</v>
      </c>
    </row>
    <row r="187" ht="12.9" customHeight="1">
      <c r="A187" t="s" s="10">
        <v>4956</v>
      </c>
      <c r="B187" t="s" s="11">
        <v>592</v>
      </c>
      <c r="C187" s="12">
        <v>45124</v>
      </c>
      <c r="D187" t="s" s="13">
        <v>63</v>
      </c>
      <c r="E187" s="16"/>
      <c r="F187" s="14">
        <v>1</v>
      </c>
      <c r="G187" s="15">
        <v>100</v>
      </c>
      <c r="H187" s="15">
        <v>100</v>
      </c>
    </row>
    <row r="188" ht="12.9" customHeight="1">
      <c r="A188" t="s" s="10">
        <v>4957</v>
      </c>
      <c r="B188" t="s" s="11">
        <v>122</v>
      </c>
      <c r="C188" s="12">
        <v>45124</v>
      </c>
      <c r="D188" t="s" s="13">
        <v>299</v>
      </c>
      <c r="E188" t="s" s="13">
        <v>300</v>
      </c>
      <c r="F188" s="14">
        <v>2</v>
      </c>
      <c r="G188" s="15">
        <v>52.4925</v>
      </c>
      <c r="H188" s="15">
        <v>104.985</v>
      </c>
    </row>
    <row r="189" ht="12.9" customHeight="1">
      <c r="A189" t="s" s="10">
        <v>4957</v>
      </c>
      <c r="B189" t="s" s="11">
        <v>122</v>
      </c>
      <c r="C189" s="12">
        <v>45124</v>
      </c>
      <c r="D189" t="s" s="13">
        <v>125</v>
      </c>
      <c r="E189" t="s" s="13">
        <v>126</v>
      </c>
      <c r="F189" s="14">
        <v>2</v>
      </c>
      <c r="G189" s="15">
        <v>48.7425</v>
      </c>
      <c r="H189" s="15">
        <v>97.485</v>
      </c>
    </row>
    <row r="190" ht="12.9" customHeight="1">
      <c r="A190" t="s" s="10">
        <v>4957</v>
      </c>
      <c r="B190" t="s" s="11">
        <v>122</v>
      </c>
      <c r="C190" s="12">
        <v>45124</v>
      </c>
      <c r="D190" t="s" s="13">
        <v>63</v>
      </c>
      <c r="E190" s="16"/>
      <c r="F190" s="14">
        <v>1</v>
      </c>
      <c r="G190" s="15">
        <v>20</v>
      </c>
      <c r="H190" s="15">
        <v>20</v>
      </c>
    </row>
    <row r="191" ht="12.9" customHeight="1">
      <c r="A191" t="s" s="10">
        <v>4958</v>
      </c>
      <c r="B191" t="s" s="11">
        <v>391</v>
      </c>
      <c r="C191" s="12">
        <v>45124</v>
      </c>
      <c r="D191" t="s" s="13">
        <v>2961</v>
      </c>
      <c r="E191" t="s" s="13">
        <v>2962</v>
      </c>
      <c r="F191" s="14">
        <v>100</v>
      </c>
      <c r="G191" s="15">
        <v>14</v>
      </c>
      <c r="H191" s="15">
        <v>1400</v>
      </c>
    </row>
    <row r="192" ht="12.9" customHeight="1">
      <c r="A192" t="s" s="10">
        <v>4958</v>
      </c>
      <c r="B192" t="s" s="11">
        <v>391</v>
      </c>
      <c r="C192" s="12">
        <v>45124</v>
      </c>
      <c r="D192" t="s" s="13">
        <v>559</v>
      </c>
      <c r="E192" t="s" s="13">
        <v>560</v>
      </c>
      <c r="F192" s="14">
        <v>100</v>
      </c>
      <c r="G192" s="15">
        <v>0</v>
      </c>
      <c r="H192" s="15">
        <v>0</v>
      </c>
    </row>
    <row r="193" ht="12.9" customHeight="1">
      <c r="A193" t="s" s="10">
        <v>4958</v>
      </c>
      <c r="B193" t="s" s="11">
        <v>391</v>
      </c>
      <c r="C193" s="12">
        <v>45124</v>
      </c>
      <c r="D193" t="s" s="13">
        <v>63</v>
      </c>
      <c r="E193" s="16"/>
      <c r="F193" s="14">
        <v>1</v>
      </c>
      <c r="G193" s="15">
        <v>125</v>
      </c>
      <c r="H193" s="15">
        <v>125</v>
      </c>
    </row>
    <row r="194" ht="12.9" customHeight="1">
      <c r="A194" t="s" s="10">
        <v>4959</v>
      </c>
      <c r="B194" t="s" s="11">
        <v>122</v>
      </c>
      <c r="C194" s="12">
        <v>45124</v>
      </c>
      <c r="D194" t="s" s="13">
        <v>4960</v>
      </c>
      <c r="E194" t="s" s="13">
        <v>4961</v>
      </c>
      <c r="F194" s="14">
        <v>8</v>
      </c>
      <c r="G194" s="15">
        <v>1850</v>
      </c>
      <c r="H194" s="15">
        <v>14800</v>
      </c>
    </row>
    <row r="195" ht="12.9" customHeight="1">
      <c r="A195" t="s" s="10">
        <v>4959</v>
      </c>
      <c r="B195" t="s" s="11">
        <v>122</v>
      </c>
      <c r="C195" s="12">
        <v>45124</v>
      </c>
      <c r="D195" t="s" s="13">
        <v>63</v>
      </c>
      <c r="E195" s="16"/>
      <c r="F195" s="14">
        <v>1</v>
      </c>
      <c r="G195" s="15">
        <v>175</v>
      </c>
      <c r="H195" s="15">
        <v>175</v>
      </c>
    </row>
    <row r="196" ht="12.9" customHeight="1">
      <c r="A196" t="s" s="10">
        <v>4962</v>
      </c>
      <c r="B196" t="s" s="11">
        <v>1653</v>
      </c>
      <c r="C196" s="12">
        <v>45123.2423499537</v>
      </c>
      <c r="D196" t="s" s="13">
        <v>602</v>
      </c>
      <c r="E196" t="s" s="13">
        <v>828</v>
      </c>
      <c r="F196" s="14">
        <v>2</v>
      </c>
      <c r="G196" s="15">
        <v>299.99</v>
      </c>
      <c r="H196" s="15">
        <v>599.98</v>
      </c>
    </row>
    <row r="197" ht="12.9" customHeight="1">
      <c r="A197" t="s" s="10">
        <v>4963</v>
      </c>
      <c r="B197" t="s" s="11">
        <v>4964</v>
      </c>
      <c r="C197" s="12">
        <v>45123.077231388888</v>
      </c>
      <c r="D197" t="s" s="13">
        <v>35</v>
      </c>
      <c r="E197" t="s" s="13">
        <v>36</v>
      </c>
      <c r="F197" s="14">
        <v>1</v>
      </c>
      <c r="G197" s="15">
        <v>49.99</v>
      </c>
      <c r="H197" s="15">
        <v>49.99</v>
      </c>
    </row>
    <row r="198" ht="12.9" customHeight="1">
      <c r="A198" t="s" s="10">
        <v>4965</v>
      </c>
      <c r="B198" t="s" s="11">
        <v>4966</v>
      </c>
      <c r="C198" s="12">
        <v>45122.714857002313</v>
      </c>
      <c r="D198" t="s" s="13">
        <v>11</v>
      </c>
      <c r="E198" t="s" s="13">
        <v>12</v>
      </c>
      <c r="F198" s="14">
        <v>1</v>
      </c>
      <c r="G198" s="15">
        <v>399.99</v>
      </c>
      <c r="H198" s="15">
        <v>399.99</v>
      </c>
    </row>
    <row r="199" ht="12.9" customHeight="1">
      <c r="A199" t="s" s="10">
        <v>4967</v>
      </c>
      <c r="B199" t="s" s="11">
        <v>4968</v>
      </c>
      <c r="C199" s="12">
        <v>45122.098241574073</v>
      </c>
      <c r="D199" t="s" s="13">
        <v>11</v>
      </c>
      <c r="E199" t="s" s="13">
        <v>12</v>
      </c>
      <c r="F199" s="14">
        <v>2</v>
      </c>
      <c r="G199" s="15">
        <v>399.99</v>
      </c>
      <c r="H199" s="15">
        <v>799.98</v>
      </c>
    </row>
    <row r="200" ht="12.9" customHeight="1">
      <c r="A200" t="s" s="10">
        <v>4969</v>
      </c>
      <c r="B200" t="s" s="11">
        <v>4970</v>
      </c>
      <c r="C200" s="12">
        <v>45122.026037870368</v>
      </c>
      <c r="D200" t="s" s="13">
        <v>50</v>
      </c>
      <c r="E200" t="s" s="13">
        <v>83</v>
      </c>
      <c r="F200" s="14">
        <v>1</v>
      </c>
      <c r="G200" s="15">
        <v>29.99</v>
      </c>
      <c r="H200" s="15">
        <v>29.99</v>
      </c>
    </row>
    <row r="201" ht="12.9" customHeight="1">
      <c r="A201" t="s" s="10">
        <v>4969</v>
      </c>
      <c r="B201" t="s" s="11">
        <v>4970</v>
      </c>
      <c r="C201" s="12">
        <v>45122.026037870368</v>
      </c>
      <c r="D201" t="s" s="13">
        <v>4325</v>
      </c>
      <c r="E201" t="s" s="13">
        <v>4326</v>
      </c>
      <c r="F201" s="14">
        <v>1</v>
      </c>
      <c r="G201" s="15">
        <v>54.99</v>
      </c>
      <c r="H201" s="15">
        <v>54.99</v>
      </c>
    </row>
    <row r="202" ht="12.9" customHeight="1">
      <c r="A202" t="s" s="10">
        <v>4971</v>
      </c>
      <c r="B202" t="s" s="11">
        <v>4972</v>
      </c>
      <c r="C202" s="12">
        <v>45121.3645303588</v>
      </c>
      <c r="D202" t="s" s="13">
        <v>73</v>
      </c>
      <c r="E202" t="s" s="13">
        <v>74</v>
      </c>
      <c r="F202" s="14">
        <v>1</v>
      </c>
      <c r="G202" s="15">
        <v>399.99</v>
      </c>
      <c r="H202" s="15">
        <v>399.99</v>
      </c>
    </row>
    <row r="203" ht="12.9" customHeight="1">
      <c r="A203" t="s" s="10">
        <v>4973</v>
      </c>
      <c r="B203" t="s" s="11">
        <v>4974</v>
      </c>
      <c r="C203" s="12">
        <v>45121.336304652781</v>
      </c>
      <c r="D203" t="s" s="13">
        <v>171</v>
      </c>
      <c r="E203" t="s" s="13">
        <v>172</v>
      </c>
      <c r="F203" s="14">
        <v>1</v>
      </c>
      <c r="G203" s="15">
        <v>549.99</v>
      </c>
      <c r="H203" s="15">
        <v>549.99</v>
      </c>
    </row>
    <row r="204" ht="12.9" customHeight="1">
      <c r="A204" t="s" s="10">
        <v>4975</v>
      </c>
      <c r="B204" t="s" s="11">
        <v>2852</v>
      </c>
      <c r="C204" s="12">
        <v>45121.013163495372</v>
      </c>
      <c r="D204" t="s" s="13">
        <v>95</v>
      </c>
      <c r="E204" t="s" s="13">
        <v>12</v>
      </c>
      <c r="F204" s="14">
        <v>1</v>
      </c>
      <c r="G204" s="15">
        <v>324.99</v>
      </c>
      <c r="H204" s="15">
        <v>324.99</v>
      </c>
    </row>
    <row r="205" ht="12.9" customHeight="1">
      <c r="A205" t="s" s="10">
        <v>4976</v>
      </c>
      <c r="B205" t="s" s="11">
        <v>2829</v>
      </c>
      <c r="C205" s="12">
        <v>45121</v>
      </c>
      <c r="D205" t="s" s="13">
        <v>73</v>
      </c>
      <c r="E205" t="s" s="13">
        <v>74</v>
      </c>
      <c r="F205" s="14">
        <v>2</v>
      </c>
      <c r="G205" s="15">
        <v>299.9925</v>
      </c>
      <c r="H205" s="15">
        <v>599.985</v>
      </c>
    </row>
    <row r="206" ht="12.9" customHeight="1">
      <c r="A206" t="s" s="10">
        <v>4976</v>
      </c>
      <c r="B206" t="s" s="11">
        <v>2829</v>
      </c>
      <c r="C206" s="12">
        <v>45121</v>
      </c>
      <c r="D206" t="s" s="13">
        <v>63</v>
      </c>
      <c r="E206" s="16"/>
      <c r="F206" s="14">
        <v>1</v>
      </c>
      <c r="G206" s="15">
        <v>20</v>
      </c>
      <c r="H206" s="15">
        <v>20</v>
      </c>
    </row>
    <row r="207" ht="12.9" customHeight="1">
      <c r="A207" t="s" s="10">
        <v>4977</v>
      </c>
      <c r="B207" t="s" s="11">
        <v>4978</v>
      </c>
      <c r="C207" s="12">
        <v>45120.950914050925</v>
      </c>
      <c r="D207" t="s" s="13">
        <v>35</v>
      </c>
      <c r="E207" t="s" s="13">
        <v>36</v>
      </c>
      <c r="F207" s="14">
        <v>1</v>
      </c>
      <c r="G207" s="15">
        <v>49.99</v>
      </c>
      <c r="H207" s="15">
        <v>49.99</v>
      </c>
    </row>
    <row r="208" ht="12.9" customHeight="1">
      <c r="A208" t="s" s="10">
        <v>4979</v>
      </c>
      <c r="B208" t="s" s="11">
        <v>4980</v>
      </c>
      <c r="C208" s="12">
        <v>45120.943907199071</v>
      </c>
      <c r="D208" t="s" s="13">
        <v>11</v>
      </c>
      <c r="E208" t="s" s="13">
        <v>12</v>
      </c>
      <c r="F208" s="14">
        <v>1</v>
      </c>
      <c r="G208" s="15">
        <v>399.99</v>
      </c>
      <c r="H208" s="15">
        <v>399.99</v>
      </c>
    </row>
    <row r="209" ht="12.9" customHeight="1">
      <c r="A209" t="s" s="10">
        <v>4981</v>
      </c>
      <c r="B209" t="s" s="11">
        <v>4982</v>
      </c>
      <c r="C209" s="12">
        <v>45120.834237002317</v>
      </c>
      <c r="D209" t="s" s="13">
        <v>81</v>
      </c>
      <c r="E209" t="s" s="13">
        <v>82</v>
      </c>
      <c r="F209" s="14">
        <v>4</v>
      </c>
      <c r="G209" s="15">
        <v>849.99</v>
      </c>
      <c r="H209" s="15">
        <v>3399.96</v>
      </c>
    </row>
    <row r="210" ht="12.9" customHeight="1">
      <c r="A210" t="s" s="10">
        <v>4981</v>
      </c>
      <c r="B210" t="s" s="11">
        <v>4982</v>
      </c>
      <c r="C210" s="12">
        <v>45120.834237002317</v>
      </c>
      <c r="D210" t="s" s="13">
        <v>602</v>
      </c>
      <c r="E210" t="s" s="13">
        <v>828</v>
      </c>
      <c r="F210" s="14">
        <v>4</v>
      </c>
      <c r="G210" s="15">
        <v>175</v>
      </c>
      <c r="H210" s="15">
        <v>700</v>
      </c>
    </row>
    <row r="211" ht="12.9" customHeight="1">
      <c r="A211" t="s" s="10">
        <v>4981</v>
      </c>
      <c r="B211" t="s" s="11">
        <v>4982</v>
      </c>
      <c r="C211" s="12">
        <v>45120.834237002317</v>
      </c>
      <c r="D211" t="s" s="13">
        <v>227</v>
      </c>
      <c r="E211" t="s" s="13">
        <v>228</v>
      </c>
      <c r="F211" s="14">
        <v>8</v>
      </c>
      <c r="G211" s="15">
        <v>29.99</v>
      </c>
      <c r="H211" s="15">
        <v>239.92</v>
      </c>
    </row>
    <row r="212" ht="12.9" customHeight="1">
      <c r="A212" t="s" s="10">
        <v>4981</v>
      </c>
      <c r="B212" t="s" s="11">
        <v>4982</v>
      </c>
      <c r="C212" s="12">
        <v>45120.834237002317</v>
      </c>
      <c r="D212" t="s" s="13">
        <v>660</v>
      </c>
      <c r="E212" t="s" s="13">
        <v>661</v>
      </c>
      <c r="F212" s="14">
        <v>4</v>
      </c>
      <c r="G212" s="15">
        <v>5.99</v>
      </c>
      <c r="H212" s="15">
        <v>23.96</v>
      </c>
    </row>
    <row r="213" ht="12.9" customHeight="1">
      <c r="A213" t="s" s="10">
        <v>4981</v>
      </c>
      <c r="B213" t="s" s="11">
        <v>4982</v>
      </c>
      <c r="C213" s="12">
        <v>45120.834237002317</v>
      </c>
      <c r="D213" t="s" s="13">
        <v>50</v>
      </c>
      <c r="E213" t="s" s="13">
        <v>83</v>
      </c>
      <c r="F213" s="14">
        <v>4</v>
      </c>
      <c r="G213" s="15">
        <v>0</v>
      </c>
      <c r="H213" s="15">
        <v>0</v>
      </c>
    </row>
    <row r="214" ht="12.9" customHeight="1">
      <c r="A214" t="s" s="10">
        <v>4981</v>
      </c>
      <c r="B214" t="s" s="11">
        <v>4982</v>
      </c>
      <c r="C214" s="12">
        <v>45120.834237002317</v>
      </c>
      <c r="D214" t="s" s="13">
        <v>84</v>
      </c>
      <c r="E214" t="s" s="13">
        <v>4225</v>
      </c>
      <c r="F214" s="14">
        <v>4</v>
      </c>
      <c r="G214" s="15">
        <v>0</v>
      </c>
      <c r="H214" s="15">
        <v>0</v>
      </c>
    </row>
    <row r="215" ht="12.9" customHeight="1">
      <c r="A215" t="s" s="10">
        <v>4981</v>
      </c>
      <c r="B215" t="s" s="11">
        <v>4982</v>
      </c>
      <c r="C215" s="12">
        <v>45120.834237002317</v>
      </c>
      <c r="D215" t="s" s="13">
        <v>73</v>
      </c>
      <c r="E215" t="s" s="13">
        <v>74</v>
      </c>
      <c r="F215" s="14">
        <v>1</v>
      </c>
      <c r="G215" s="15">
        <v>399.99</v>
      </c>
      <c r="H215" s="15">
        <v>399.99</v>
      </c>
    </row>
    <row r="216" ht="12.9" customHeight="1">
      <c r="A216" t="s" s="10">
        <v>4981</v>
      </c>
      <c r="B216" t="s" s="11">
        <v>4982</v>
      </c>
      <c r="C216" s="12">
        <v>45120.834237002317</v>
      </c>
      <c r="D216" t="s" s="13">
        <v>2332</v>
      </c>
      <c r="E216" t="s" s="13">
        <v>828</v>
      </c>
      <c r="F216" s="14">
        <v>2</v>
      </c>
      <c r="G216" s="15">
        <v>199.99</v>
      </c>
      <c r="H216" s="15">
        <v>399.98</v>
      </c>
    </row>
    <row r="217" ht="12.9" customHeight="1">
      <c r="A217" t="s" s="10">
        <v>4983</v>
      </c>
      <c r="B217" t="s" s="11">
        <v>4984</v>
      </c>
      <c r="C217" s="12">
        <v>45120.078397569443</v>
      </c>
      <c r="D217" t="s" s="13">
        <v>73</v>
      </c>
      <c r="E217" t="s" s="13">
        <v>74</v>
      </c>
      <c r="F217" s="14">
        <v>2</v>
      </c>
      <c r="G217" s="15">
        <v>399.99</v>
      </c>
      <c r="H217" s="15">
        <v>799.98</v>
      </c>
    </row>
    <row r="218" ht="12.9" customHeight="1">
      <c r="A218" t="s" s="10">
        <v>4985</v>
      </c>
      <c r="B218" t="s" s="11">
        <v>69</v>
      </c>
      <c r="C218" s="12">
        <v>45120</v>
      </c>
      <c r="D218" t="s" s="13">
        <v>1160</v>
      </c>
      <c r="E218" t="s" s="13">
        <v>1161</v>
      </c>
      <c r="F218" s="14">
        <v>20</v>
      </c>
      <c r="G218" s="15">
        <v>48.7425</v>
      </c>
      <c r="H218" s="15">
        <v>974.85</v>
      </c>
    </row>
    <row r="219" ht="12.9" customHeight="1">
      <c r="A219" t="s" s="10">
        <v>4985</v>
      </c>
      <c r="B219" t="s" s="11">
        <v>69</v>
      </c>
      <c r="C219" s="12">
        <v>45120</v>
      </c>
      <c r="D219" t="s" s="13">
        <v>63</v>
      </c>
      <c r="E219" s="16"/>
      <c r="F219" s="14">
        <v>1</v>
      </c>
      <c r="G219" s="15">
        <v>40</v>
      </c>
      <c r="H219" s="15">
        <v>40</v>
      </c>
    </row>
    <row r="220" ht="12.9" customHeight="1">
      <c r="A220" t="s" s="10">
        <v>4986</v>
      </c>
      <c r="B220" t="s" s="11">
        <v>4987</v>
      </c>
      <c r="C220" s="12">
        <v>45120</v>
      </c>
      <c r="D220" t="s" s="13">
        <v>3653</v>
      </c>
      <c r="E220" t="s" s="13">
        <v>3654</v>
      </c>
      <c r="F220" s="14">
        <v>1</v>
      </c>
      <c r="G220" s="15">
        <v>0</v>
      </c>
      <c r="H220" s="15">
        <v>0</v>
      </c>
    </row>
    <row r="221" ht="12.9" customHeight="1">
      <c r="A221" t="s" s="10">
        <v>4988</v>
      </c>
      <c r="B221" t="s" s="11">
        <v>473</v>
      </c>
      <c r="C221" s="12">
        <v>45120</v>
      </c>
      <c r="D221" t="s" s="13">
        <v>468</v>
      </c>
      <c r="E221" t="s" s="13">
        <v>4989</v>
      </c>
      <c r="F221" s="14">
        <v>14</v>
      </c>
      <c r="G221" s="15">
        <v>1575</v>
      </c>
      <c r="H221" s="15">
        <v>22050</v>
      </c>
    </row>
    <row r="222" ht="12.9" customHeight="1">
      <c r="A222" t="s" s="10">
        <v>4988</v>
      </c>
      <c r="B222" t="s" s="11">
        <v>473</v>
      </c>
      <c r="C222" s="12">
        <v>45120</v>
      </c>
      <c r="D222" t="s" s="13">
        <v>50</v>
      </c>
      <c r="E222" t="s" s="13">
        <v>4317</v>
      </c>
      <c r="F222" s="14">
        <v>14</v>
      </c>
      <c r="G222" s="15">
        <v>0</v>
      </c>
      <c r="H222" s="15">
        <v>0</v>
      </c>
    </row>
    <row r="223" ht="12.9" customHeight="1">
      <c r="A223" t="s" s="10">
        <v>4988</v>
      </c>
      <c r="B223" t="s" s="11">
        <v>473</v>
      </c>
      <c r="C223" s="12">
        <v>45120</v>
      </c>
      <c r="D223" t="s" s="13">
        <v>47</v>
      </c>
      <c r="E223" s="16"/>
      <c r="F223" s="14">
        <v>1</v>
      </c>
      <c r="G223" s="15">
        <v>50</v>
      </c>
      <c r="H223" s="15">
        <v>50</v>
      </c>
    </row>
    <row r="224" ht="12.9" customHeight="1">
      <c r="A224" t="s" s="10">
        <v>4990</v>
      </c>
      <c r="B224" t="s" s="11">
        <v>476</v>
      </c>
      <c r="C224" s="12">
        <v>45120</v>
      </c>
      <c r="D224" t="s" s="13">
        <v>998</v>
      </c>
      <c r="E224" t="s" s="13">
        <v>999</v>
      </c>
      <c r="F224" s="14">
        <v>6</v>
      </c>
      <c r="G224" s="15">
        <v>900</v>
      </c>
      <c r="H224" s="15">
        <v>5400</v>
      </c>
    </row>
    <row r="225" ht="12.9" customHeight="1">
      <c r="A225" t="s" s="10">
        <v>4990</v>
      </c>
      <c r="B225" t="s" s="11">
        <v>476</v>
      </c>
      <c r="C225" s="12">
        <v>45120</v>
      </c>
      <c r="D225" t="s" s="13">
        <v>50</v>
      </c>
      <c r="E225" t="s" s="13">
        <v>83</v>
      </c>
      <c r="F225" s="14">
        <v>6</v>
      </c>
      <c r="G225" s="15">
        <v>0</v>
      </c>
      <c r="H225" s="15">
        <v>0</v>
      </c>
    </row>
    <row r="226" ht="12.9" customHeight="1">
      <c r="A226" t="s" s="10">
        <v>4990</v>
      </c>
      <c r="B226" t="s" s="11">
        <v>476</v>
      </c>
      <c r="C226" s="12">
        <v>45120</v>
      </c>
      <c r="D226" t="s" s="13">
        <v>63</v>
      </c>
      <c r="E226" s="16"/>
      <c r="F226" s="14">
        <v>1</v>
      </c>
      <c r="G226" s="15">
        <v>75</v>
      </c>
      <c r="H226" s="15">
        <v>75</v>
      </c>
    </row>
    <row r="227" ht="12.9" customHeight="1">
      <c r="A227" t="s" s="10">
        <v>4991</v>
      </c>
      <c r="B227" t="s" s="11">
        <v>4992</v>
      </c>
      <c r="C227" s="12">
        <v>45119.820209259262</v>
      </c>
      <c r="D227" t="s" s="13">
        <v>50</v>
      </c>
      <c r="E227" t="s" s="13">
        <v>83</v>
      </c>
      <c r="F227" s="14">
        <v>1</v>
      </c>
      <c r="G227" s="15">
        <v>29.99</v>
      </c>
      <c r="H227" s="15">
        <v>29.99</v>
      </c>
    </row>
    <row r="228" ht="12.9" customHeight="1">
      <c r="A228" t="s" s="10">
        <v>4993</v>
      </c>
      <c r="B228" t="s" s="11">
        <v>4665</v>
      </c>
      <c r="C228" s="12">
        <v>45119.252144884260</v>
      </c>
      <c r="D228" t="s" s="13">
        <v>73</v>
      </c>
      <c r="E228" t="s" s="13">
        <v>74</v>
      </c>
      <c r="F228" s="14">
        <v>1</v>
      </c>
      <c r="G228" s="15">
        <v>399.99</v>
      </c>
      <c r="H228" s="15">
        <v>399.99</v>
      </c>
    </row>
    <row r="229" ht="12.9" customHeight="1">
      <c r="A229" t="s" s="10">
        <v>4994</v>
      </c>
      <c r="B229" t="s" s="11">
        <v>4995</v>
      </c>
      <c r="C229" s="12">
        <v>45119.024357789349</v>
      </c>
      <c r="D229" t="s" s="13">
        <v>73</v>
      </c>
      <c r="E229" t="s" s="13">
        <v>74</v>
      </c>
      <c r="F229" s="14">
        <v>1</v>
      </c>
      <c r="G229" s="15">
        <v>399.99</v>
      </c>
      <c r="H229" s="15">
        <v>399.99</v>
      </c>
    </row>
    <row r="230" ht="12.9" customHeight="1">
      <c r="A230" t="s" s="10">
        <v>4996</v>
      </c>
      <c r="B230" t="s" s="11">
        <v>476</v>
      </c>
      <c r="C230" s="12">
        <v>45119</v>
      </c>
      <c r="D230" t="s" s="13">
        <v>1155</v>
      </c>
      <c r="E230" t="s" s="13">
        <v>1156</v>
      </c>
      <c r="F230" s="14">
        <v>2</v>
      </c>
      <c r="G230" s="15">
        <v>1624.99</v>
      </c>
      <c r="H230" s="15">
        <v>3249.98</v>
      </c>
    </row>
    <row r="231" ht="12.9" customHeight="1">
      <c r="A231" t="s" s="10">
        <v>4996</v>
      </c>
      <c r="B231" t="s" s="11">
        <v>476</v>
      </c>
      <c r="C231" s="12">
        <v>45119</v>
      </c>
      <c r="D231" t="s" s="13">
        <v>50</v>
      </c>
      <c r="E231" t="s" s="13">
        <v>83</v>
      </c>
      <c r="F231" s="14">
        <v>2</v>
      </c>
      <c r="G231" s="15">
        <v>0</v>
      </c>
      <c r="H231" s="15">
        <v>0</v>
      </c>
    </row>
    <row r="232" ht="12.9" customHeight="1">
      <c r="A232" t="s" s="10">
        <v>4996</v>
      </c>
      <c r="B232" t="s" s="11">
        <v>476</v>
      </c>
      <c r="C232" s="12">
        <v>45119</v>
      </c>
      <c r="D232" t="s" s="13">
        <v>63</v>
      </c>
      <c r="E232" s="16"/>
      <c r="F232" s="14">
        <v>1</v>
      </c>
      <c r="G232" s="15">
        <v>175</v>
      </c>
      <c r="H232" s="15">
        <v>175</v>
      </c>
    </row>
    <row r="233" ht="12.9" customHeight="1">
      <c r="A233" t="s" s="10">
        <v>4997</v>
      </c>
      <c r="B233" t="s" s="11">
        <v>122</v>
      </c>
      <c r="C233" s="12">
        <v>45119</v>
      </c>
      <c r="D233" t="s" s="13">
        <v>299</v>
      </c>
      <c r="E233" t="s" s="13">
        <v>300</v>
      </c>
      <c r="F233" s="14">
        <v>6</v>
      </c>
      <c r="G233" s="15">
        <v>52.4925</v>
      </c>
      <c r="H233" s="15">
        <v>314.955</v>
      </c>
    </row>
    <row r="234" ht="12.9" customHeight="1">
      <c r="A234" t="s" s="10">
        <v>4997</v>
      </c>
      <c r="B234" t="s" s="11">
        <v>122</v>
      </c>
      <c r="C234" s="12">
        <v>45119</v>
      </c>
      <c r="D234" t="s" s="13">
        <v>882</v>
      </c>
      <c r="E234" t="s" s="13">
        <v>883</v>
      </c>
      <c r="F234" s="14">
        <v>6</v>
      </c>
      <c r="G234" s="15">
        <v>56.2425</v>
      </c>
      <c r="H234" s="15">
        <v>337.455</v>
      </c>
    </row>
    <row r="235" ht="12.9" customHeight="1">
      <c r="A235" t="s" s="10">
        <v>4997</v>
      </c>
      <c r="B235" t="s" s="11">
        <v>122</v>
      </c>
      <c r="C235" s="12">
        <v>45119</v>
      </c>
      <c r="D235" t="s" s="13">
        <v>4998</v>
      </c>
      <c r="E235" t="s" s="13">
        <v>4999</v>
      </c>
      <c r="F235" s="14">
        <v>2</v>
      </c>
      <c r="G235" s="15">
        <v>4.875</v>
      </c>
      <c r="H235" s="15">
        <v>9.75</v>
      </c>
    </row>
    <row r="236" ht="12.9" customHeight="1">
      <c r="A236" t="s" s="10">
        <v>4997</v>
      </c>
      <c r="B236" t="s" s="11">
        <v>122</v>
      </c>
      <c r="C236" s="12">
        <v>45119</v>
      </c>
      <c r="D236" t="s" s="13">
        <v>2961</v>
      </c>
      <c r="E236" t="s" s="13">
        <v>2962</v>
      </c>
      <c r="F236" s="14">
        <v>8</v>
      </c>
      <c r="G236" s="15">
        <v>17.2425</v>
      </c>
      <c r="H236" s="15">
        <v>137.94</v>
      </c>
    </row>
    <row r="237" ht="12.9" customHeight="1">
      <c r="A237" t="s" s="10">
        <v>4997</v>
      </c>
      <c r="B237" t="s" s="11">
        <v>122</v>
      </c>
      <c r="C237" s="12">
        <v>45119</v>
      </c>
      <c r="D237" t="s" s="13">
        <v>301</v>
      </c>
      <c r="E237" t="s" s="13">
        <v>302</v>
      </c>
      <c r="F237" s="14">
        <v>8</v>
      </c>
      <c r="G237" s="15">
        <v>6</v>
      </c>
      <c r="H237" s="15">
        <v>48</v>
      </c>
    </row>
    <row r="238" ht="12.9" customHeight="1">
      <c r="A238" t="s" s="10">
        <v>4997</v>
      </c>
      <c r="B238" t="s" s="11">
        <v>122</v>
      </c>
      <c r="C238" s="12">
        <v>45119</v>
      </c>
      <c r="D238" t="s" s="13">
        <v>63</v>
      </c>
      <c r="E238" s="16"/>
      <c r="F238" s="14">
        <v>1</v>
      </c>
      <c r="G238" s="15">
        <v>25</v>
      </c>
      <c r="H238" s="15">
        <v>25</v>
      </c>
    </row>
    <row r="239" ht="12.9" customHeight="1">
      <c r="A239" t="s" s="10">
        <v>5000</v>
      </c>
      <c r="B239" t="s" s="11">
        <v>5001</v>
      </c>
      <c r="C239" s="12">
        <v>45119</v>
      </c>
      <c r="D239" t="s" s="13">
        <v>254</v>
      </c>
      <c r="E239" t="s" s="13">
        <v>5002</v>
      </c>
      <c r="F239" s="14">
        <v>1</v>
      </c>
      <c r="G239" s="15">
        <v>0</v>
      </c>
      <c r="H239" s="15">
        <v>0</v>
      </c>
    </row>
    <row r="240" ht="12.9" customHeight="1">
      <c r="A240" t="s" s="10">
        <v>5000</v>
      </c>
      <c r="B240" t="s" s="11">
        <v>5001</v>
      </c>
      <c r="C240" s="12">
        <v>45119</v>
      </c>
      <c r="D240" t="s" s="13">
        <v>726</v>
      </c>
      <c r="E240" t="s" s="13">
        <v>726</v>
      </c>
      <c r="F240" s="14">
        <v>1</v>
      </c>
      <c r="G240" s="15">
        <v>0</v>
      </c>
      <c r="H240" s="15">
        <v>0</v>
      </c>
    </row>
    <row r="241" ht="12.9" customHeight="1">
      <c r="A241" t="s" s="10">
        <v>5003</v>
      </c>
      <c r="B241" t="s" s="11">
        <v>5004</v>
      </c>
      <c r="C241" s="12">
        <v>45118.948634895831</v>
      </c>
      <c r="D241" t="s" s="13">
        <v>95</v>
      </c>
      <c r="E241" t="s" s="13">
        <v>12</v>
      </c>
      <c r="F241" s="14">
        <v>1</v>
      </c>
      <c r="G241" s="15">
        <v>349.99</v>
      </c>
      <c r="H241" s="15">
        <v>349.99</v>
      </c>
    </row>
    <row r="242" ht="12.9" customHeight="1">
      <c r="A242" t="s" s="10">
        <v>5005</v>
      </c>
      <c r="B242" t="s" s="11">
        <v>5006</v>
      </c>
      <c r="C242" s="12">
        <v>45118.750352534720</v>
      </c>
      <c r="D242" t="s" s="13">
        <v>73</v>
      </c>
      <c r="E242" t="s" s="13">
        <v>74</v>
      </c>
      <c r="F242" s="14">
        <v>1</v>
      </c>
      <c r="G242" s="15">
        <v>399.99</v>
      </c>
      <c r="H242" s="15">
        <v>399.99</v>
      </c>
    </row>
    <row r="243" ht="12.9" customHeight="1">
      <c r="A243" t="s" s="10">
        <v>5007</v>
      </c>
      <c r="B243" t="s" s="11">
        <v>5008</v>
      </c>
      <c r="C243" s="12">
        <v>45118.212023854168</v>
      </c>
      <c r="D243" t="s" s="13">
        <v>11</v>
      </c>
      <c r="E243" t="s" s="13">
        <v>12</v>
      </c>
      <c r="F243" s="14">
        <v>1</v>
      </c>
      <c r="G243" s="15">
        <v>399.99</v>
      </c>
      <c r="H243" s="15">
        <v>399.99</v>
      </c>
    </row>
    <row r="244" ht="12.9" customHeight="1">
      <c r="A244" t="s" s="10">
        <v>5009</v>
      </c>
      <c r="B244" t="s" s="11">
        <v>5010</v>
      </c>
      <c r="C244" s="12">
        <v>45118.031618460649</v>
      </c>
      <c r="D244" t="s" s="13">
        <v>15</v>
      </c>
      <c r="E244" t="s" s="13">
        <v>4757</v>
      </c>
      <c r="F244" s="14">
        <v>2</v>
      </c>
      <c r="G244" s="15">
        <v>8.99</v>
      </c>
      <c r="H244" s="15">
        <v>17.98</v>
      </c>
    </row>
    <row r="245" ht="12.9" customHeight="1">
      <c r="A245" t="s" s="10">
        <v>5009</v>
      </c>
      <c r="B245" t="s" s="11">
        <v>5010</v>
      </c>
      <c r="C245" s="12">
        <v>45118.031618460649</v>
      </c>
      <c r="D245" t="s" s="13">
        <v>19</v>
      </c>
      <c r="E245" t="s" s="13">
        <v>20</v>
      </c>
      <c r="F245" s="14">
        <v>10</v>
      </c>
      <c r="G245" s="15">
        <v>119.99</v>
      </c>
      <c r="H245" s="15">
        <v>1199.9</v>
      </c>
    </row>
    <row r="246" ht="12.9" customHeight="1">
      <c r="A246" t="s" s="10">
        <v>5009</v>
      </c>
      <c r="B246" t="s" s="11">
        <v>5010</v>
      </c>
      <c r="C246" s="12">
        <v>45118.031618460649</v>
      </c>
      <c r="D246" t="s" s="13">
        <v>15</v>
      </c>
      <c r="E246" t="s" s="13">
        <v>4757</v>
      </c>
      <c r="F246" s="14">
        <v>10</v>
      </c>
      <c r="G246" s="15">
        <v>8.49</v>
      </c>
      <c r="H246" s="15">
        <v>84.90000000000001</v>
      </c>
    </row>
    <row r="247" ht="12.9" customHeight="1">
      <c r="A247" t="s" s="10">
        <v>5011</v>
      </c>
      <c r="B247" t="s" s="11">
        <v>5012</v>
      </c>
      <c r="C247" s="12">
        <v>45118.008407152774</v>
      </c>
      <c r="D247" t="s" s="13">
        <v>11</v>
      </c>
      <c r="E247" t="s" s="13">
        <v>12</v>
      </c>
      <c r="F247" s="14">
        <v>1</v>
      </c>
      <c r="G247" s="15">
        <v>399.99</v>
      </c>
      <c r="H247" s="15">
        <v>399.99</v>
      </c>
    </row>
    <row r="248" ht="12.9" customHeight="1">
      <c r="A248" t="s" s="10">
        <v>5013</v>
      </c>
      <c r="B248" t="s" s="11">
        <v>896</v>
      </c>
      <c r="C248" s="12">
        <v>45118</v>
      </c>
      <c r="D248" t="s" s="13">
        <v>5014</v>
      </c>
      <c r="E248" t="s" s="13">
        <v>5015</v>
      </c>
      <c r="F248" s="14">
        <v>1</v>
      </c>
      <c r="G248" s="15">
        <v>3000</v>
      </c>
      <c r="H248" s="15">
        <v>3000</v>
      </c>
    </row>
    <row r="249" ht="12.9" customHeight="1">
      <c r="A249" t="s" s="10">
        <v>5016</v>
      </c>
      <c r="B249" t="s" s="11">
        <v>161</v>
      </c>
      <c r="C249" s="12">
        <v>45118</v>
      </c>
      <c r="D249" t="s" s="13">
        <v>1155</v>
      </c>
      <c r="E249" t="s" s="13">
        <v>5017</v>
      </c>
      <c r="F249" s="14">
        <v>3</v>
      </c>
      <c r="G249" s="15">
        <v>1574.99</v>
      </c>
      <c r="H249" s="15">
        <v>4724.97</v>
      </c>
    </row>
    <row r="250" ht="12.9" customHeight="1">
      <c r="A250" t="s" s="10">
        <v>5016</v>
      </c>
      <c r="B250" t="s" s="11">
        <v>161</v>
      </c>
      <c r="C250" s="12">
        <v>45118</v>
      </c>
      <c r="D250" t="s" s="13">
        <v>225</v>
      </c>
      <c r="E250" t="s" s="13">
        <v>5018</v>
      </c>
      <c r="F250" s="14">
        <v>8</v>
      </c>
      <c r="G250" s="15">
        <v>374.9925</v>
      </c>
      <c r="H250" s="15">
        <v>2999.94</v>
      </c>
    </row>
    <row r="251" ht="12.9" customHeight="1">
      <c r="A251" t="s" s="10">
        <v>5016</v>
      </c>
      <c r="B251" t="s" s="11">
        <v>161</v>
      </c>
      <c r="C251" s="12">
        <v>45118</v>
      </c>
      <c r="D251" t="s" s="13">
        <v>227</v>
      </c>
      <c r="E251" t="s" s="13">
        <v>228</v>
      </c>
      <c r="F251" s="14">
        <v>8</v>
      </c>
      <c r="G251" s="15">
        <v>22.4925</v>
      </c>
      <c r="H251" s="15">
        <v>179.94</v>
      </c>
    </row>
    <row r="252" ht="12.9" customHeight="1">
      <c r="A252" t="s" s="10">
        <v>5016</v>
      </c>
      <c r="B252" t="s" s="11">
        <v>161</v>
      </c>
      <c r="C252" s="12">
        <v>45118</v>
      </c>
      <c r="D252" t="s" s="13">
        <v>165</v>
      </c>
      <c r="E252" t="s" s="13">
        <v>392</v>
      </c>
      <c r="F252" s="14">
        <v>8</v>
      </c>
      <c r="G252" s="15">
        <v>0</v>
      </c>
      <c r="H252" s="15">
        <v>0</v>
      </c>
    </row>
    <row r="253" ht="12.9" customHeight="1">
      <c r="A253" t="s" s="10">
        <v>5016</v>
      </c>
      <c r="B253" t="s" s="11">
        <v>161</v>
      </c>
      <c r="C253" s="12">
        <v>45118</v>
      </c>
      <c r="D253" t="s" s="13">
        <v>1186</v>
      </c>
      <c r="E253" t="s" s="13">
        <v>5019</v>
      </c>
      <c r="F253" s="14">
        <v>8</v>
      </c>
      <c r="G253" s="15">
        <v>0</v>
      </c>
      <c r="H253" s="15">
        <v>0</v>
      </c>
    </row>
    <row r="254" ht="12.9" customHeight="1">
      <c r="A254" t="s" s="10">
        <v>5016</v>
      </c>
      <c r="B254" t="s" s="11">
        <v>161</v>
      </c>
      <c r="C254" s="12">
        <v>45118</v>
      </c>
      <c r="D254" t="s" s="13">
        <v>5020</v>
      </c>
      <c r="E254" t="s" s="13">
        <v>5020</v>
      </c>
      <c r="F254" s="14">
        <v>63</v>
      </c>
      <c r="G254" s="15">
        <v>4.2521742</v>
      </c>
      <c r="H254" s="15">
        <v>267.8869746</v>
      </c>
    </row>
    <row r="255" ht="12.9" customHeight="1">
      <c r="A255" t="s" s="10">
        <v>5016</v>
      </c>
      <c r="B255" t="s" s="11">
        <v>161</v>
      </c>
      <c r="C255" s="12">
        <v>45118</v>
      </c>
      <c r="D255" t="s" s="13">
        <v>906</v>
      </c>
      <c r="E255" t="s" s="13">
        <v>907</v>
      </c>
      <c r="F255" s="14">
        <v>20</v>
      </c>
      <c r="G255" s="15">
        <v>5.625</v>
      </c>
      <c r="H255" s="15">
        <v>112.5</v>
      </c>
    </row>
    <row r="256" ht="12.9" customHeight="1">
      <c r="A256" t="s" s="10">
        <v>5016</v>
      </c>
      <c r="B256" t="s" s="11">
        <v>161</v>
      </c>
      <c r="C256" s="12">
        <v>45118</v>
      </c>
      <c r="D256" t="s" s="13">
        <v>35</v>
      </c>
      <c r="E256" t="s" s="13">
        <v>36</v>
      </c>
      <c r="F256" s="14">
        <v>12</v>
      </c>
      <c r="G256" s="15">
        <v>37.4925</v>
      </c>
      <c r="H256" s="15">
        <v>449.91</v>
      </c>
    </row>
    <row r="257" ht="12.9" customHeight="1">
      <c r="A257" t="s" s="10">
        <v>5016</v>
      </c>
      <c r="B257" t="s" s="11">
        <v>161</v>
      </c>
      <c r="C257" s="12">
        <v>45118</v>
      </c>
      <c r="D257" t="s" s="13">
        <v>63</v>
      </c>
      <c r="E257" s="16"/>
      <c r="F257" s="14">
        <v>1</v>
      </c>
      <c r="G257" s="15">
        <v>200</v>
      </c>
      <c r="H257" s="15">
        <v>200</v>
      </c>
    </row>
    <row r="258" ht="12.9" customHeight="1">
      <c r="A258" t="s" s="10">
        <v>5021</v>
      </c>
      <c r="B258" t="s" s="11">
        <v>555</v>
      </c>
      <c r="C258" s="12">
        <v>45118</v>
      </c>
      <c r="D258" t="s" s="13">
        <v>2711</v>
      </c>
      <c r="E258" t="s" s="13">
        <v>2712</v>
      </c>
      <c r="F258" s="14">
        <v>2</v>
      </c>
      <c r="G258" s="15">
        <v>0</v>
      </c>
      <c r="H258" s="15">
        <v>0</v>
      </c>
    </row>
    <row r="259" ht="12.9" customHeight="1">
      <c r="A259" t="s" s="10">
        <v>5021</v>
      </c>
      <c r="B259" t="s" s="11">
        <v>555</v>
      </c>
      <c r="C259" s="12">
        <v>45118</v>
      </c>
      <c r="D259" t="s" s="13">
        <v>3653</v>
      </c>
      <c r="E259" t="s" s="13">
        <v>3654</v>
      </c>
      <c r="F259" s="14">
        <v>2</v>
      </c>
      <c r="G259" s="15">
        <v>0</v>
      </c>
      <c r="H259" s="15">
        <v>0</v>
      </c>
    </row>
    <row r="260" ht="12.9" customHeight="1">
      <c r="A260" t="s" s="10">
        <v>5021</v>
      </c>
      <c r="B260" t="s" s="11">
        <v>555</v>
      </c>
      <c r="C260" s="12">
        <v>45118</v>
      </c>
      <c r="D260" t="s" s="13">
        <v>5022</v>
      </c>
      <c r="E260" t="s" s="13">
        <v>5022</v>
      </c>
      <c r="F260" s="14">
        <v>2</v>
      </c>
      <c r="G260" s="15">
        <v>0</v>
      </c>
      <c r="H260" s="15">
        <v>0</v>
      </c>
    </row>
    <row r="261" ht="12.9" customHeight="1">
      <c r="A261" t="s" s="10">
        <v>5021</v>
      </c>
      <c r="B261" t="s" s="11">
        <v>555</v>
      </c>
      <c r="C261" s="12">
        <v>45118</v>
      </c>
      <c r="D261" t="s" s="13">
        <v>2125</v>
      </c>
      <c r="E261" t="s" s="13">
        <v>2126</v>
      </c>
      <c r="F261" s="14">
        <v>2</v>
      </c>
      <c r="G261" s="15">
        <v>0</v>
      </c>
      <c r="H261" s="15">
        <v>0</v>
      </c>
    </row>
    <row r="262" ht="12.9" customHeight="1">
      <c r="A262" t="s" s="10">
        <v>5021</v>
      </c>
      <c r="B262" t="s" s="11">
        <v>555</v>
      </c>
      <c r="C262" s="12">
        <v>45118</v>
      </c>
      <c r="D262" t="s" s="13">
        <v>400</v>
      </c>
      <c r="E262" t="s" s="13">
        <v>401</v>
      </c>
      <c r="F262" s="14">
        <v>2</v>
      </c>
      <c r="G262" s="15">
        <v>0</v>
      </c>
      <c r="H262" s="15">
        <v>0</v>
      </c>
    </row>
    <row r="263" ht="12.9" customHeight="1">
      <c r="A263" t="s" s="10">
        <v>5023</v>
      </c>
      <c r="B263" t="s" s="11">
        <v>5024</v>
      </c>
      <c r="C263" s="12">
        <v>45118</v>
      </c>
      <c r="D263" t="s" s="13">
        <v>369</v>
      </c>
      <c r="E263" t="s" s="13">
        <v>370</v>
      </c>
      <c r="F263" s="14">
        <v>4</v>
      </c>
      <c r="G263" s="15">
        <v>0</v>
      </c>
      <c r="H263" s="15">
        <v>0</v>
      </c>
    </row>
    <row r="264" ht="12.9" customHeight="1">
      <c r="A264" t="s" s="10">
        <v>5023</v>
      </c>
      <c r="B264" t="s" s="11">
        <v>5024</v>
      </c>
      <c r="C264" s="12">
        <v>45118</v>
      </c>
      <c r="D264" t="s" s="13">
        <v>589</v>
      </c>
      <c r="E264" t="s" s="13">
        <v>590</v>
      </c>
      <c r="F264" s="14">
        <v>4</v>
      </c>
      <c r="G264" s="15">
        <v>0</v>
      </c>
      <c r="H264" s="15">
        <v>0</v>
      </c>
    </row>
    <row r="265" ht="12.9" customHeight="1">
      <c r="A265" t="s" s="10">
        <v>5025</v>
      </c>
      <c r="B265" t="s" s="11">
        <v>1586</v>
      </c>
      <c r="C265" s="12">
        <v>45118</v>
      </c>
      <c r="D265" t="s" s="13">
        <v>165</v>
      </c>
      <c r="E265" t="s" s="13">
        <v>392</v>
      </c>
      <c r="F265" s="14">
        <v>4</v>
      </c>
      <c r="G265" s="15">
        <v>0</v>
      </c>
      <c r="H265" s="15">
        <v>0</v>
      </c>
    </row>
    <row r="266" ht="12.9" customHeight="1">
      <c r="A266" t="s" s="10">
        <v>5026</v>
      </c>
      <c r="B266" t="s" s="11">
        <v>210</v>
      </c>
      <c r="C266" s="12">
        <v>45118</v>
      </c>
      <c r="D266" t="s" s="13">
        <v>412</v>
      </c>
      <c r="E266" t="s" s="13">
        <v>413</v>
      </c>
      <c r="F266" s="14">
        <v>20</v>
      </c>
      <c r="G266" s="15">
        <v>0</v>
      </c>
      <c r="H266" s="15">
        <v>0</v>
      </c>
    </row>
    <row r="267" ht="12.9" customHeight="1">
      <c r="A267" t="s" s="10">
        <v>5027</v>
      </c>
      <c r="B267" t="s" s="11">
        <v>1669</v>
      </c>
      <c r="C267" s="12">
        <v>45118</v>
      </c>
      <c r="D267" t="s" s="13">
        <v>133</v>
      </c>
      <c r="E267" t="s" s="13">
        <v>4835</v>
      </c>
      <c r="F267" s="14">
        <v>1</v>
      </c>
      <c r="G267" s="15">
        <v>199.99</v>
      </c>
      <c r="H267" s="15">
        <v>199.99</v>
      </c>
    </row>
    <row r="268" ht="12.9" customHeight="1">
      <c r="A268" t="s" s="10">
        <v>5028</v>
      </c>
      <c r="B268" t="s" s="11">
        <v>4477</v>
      </c>
      <c r="C268" s="12">
        <v>45118</v>
      </c>
      <c r="D268" t="s" s="13">
        <v>254</v>
      </c>
      <c r="E268" t="s" s="13">
        <v>5029</v>
      </c>
      <c r="F268" s="14">
        <v>1</v>
      </c>
      <c r="G268" s="15">
        <v>0</v>
      </c>
      <c r="H268" s="15">
        <v>0</v>
      </c>
    </row>
    <row r="269" ht="12.9" customHeight="1">
      <c r="A269" t="s" s="10">
        <v>5028</v>
      </c>
      <c r="B269" t="s" s="11">
        <v>4477</v>
      </c>
      <c r="C269" s="12">
        <v>45118</v>
      </c>
      <c r="D269" t="s" s="13">
        <v>762</v>
      </c>
      <c r="E269" t="s" s="13">
        <v>5030</v>
      </c>
      <c r="F269" s="14">
        <v>1</v>
      </c>
      <c r="G269" s="15">
        <v>0</v>
      </c>
      <c r="H269" s="15">
        <v>0</v>
      </c>
    </row>
    <row r="270" ht="12.9" customHeight="1">
      <c r="A270" t="s" s="10">
        <v>5031</v>
      </c>
      <c r="B270" t="s" s="11">
        <v>5032</v>
      </c>
      <c r="C270" s="12">
        <v>45118</v>
      </c>
      <c r="D270" t="s" s="13">
        <v>11</v>
      </c>
      <c r="E270" t="s" s="13">
        <v>12</v>
      </c>
      <c r="F270" s="14">
        <v>1</v>
      </c>
      <c r="G270" s="15">
        <v>399.99</v>
      </c>
      <c r="H270" s="15">
        <v>399.99</v>
      </c>
    </row>
    <row r="271" ht="12.9" customHeight="1">
      <c r="A271" t="s" s="10">
        <v>5033</v>
      </c>
      <c r="B271" t="s" s="11">
        <v>1064</v>
      </c>
      <c r="C271" s="12">
        <v>45117.919960196756</v>
      </c>
      <c r="D271" t="s" s="13">
        <v>73</v>
      </c>
      <c r="E271" t="s" s="13">
        <v>74</v>
      </c>
      <c r="F271" s="14">
        <v>3</v>
      </c>
      <c r="G271" s="15">
        <v>399.99</v>
      </c>
      <c r="H271" s="15">
        <v>1199.97</v>
      </c>
    </row>
    <row r="272" ht="12.9" customHeight="1">
      <c r="A272" t="s" s="10">
        <v>5033</v>
      </c>
      <c r="B272" t="s" s="11">
        <v>1064</v>
      </c>
      <c r="C272" s="12">
        <v>45117.919960196756</v>
      </c>
      <c r="D272" t="s" s="13">
        <v>81</v>
      </c>
      <c r="E272" t="s" s="13">
        <v>82</v>
      </c>
      <c r="F272" s="14">
        <v>4</v>
      </c>
      <c r="G272" s="15">
        <v>849.99</v>
      </c>
      <c r="H272" s="15">
        <v>3399.96</v>
      </c>
    </row>
    <row r="273" ht="12.9" customHeight="1">
      <c r="A273" t="s" s="10">
        <v>5033</v>
      </c>
      <c r="B273" t="s" s="11">
        <v>1064</v>
      </c>
      <c r="C273" s="12">
        <v>45117.919960196756</v>
      </c>
      <c r="D273" t="s" s="13">
        <v>23</v>
      </c>
      <c r="E273" t="s" s="13">
        <v>828</v>
      </c>
      <c r="F273" s="14">
        <v>4</v>
      </c>
      <c r="G273" s="15">
        <v>0</v>
      </c>
      <c r="H273" s="15">
        <v>0</v>
      </c>
    </row>
    <row r="274" ht="12.9" customHeight="1">
      <c r="A274" t="s" s="10">
        <v>5033</v>
      </c>
      <c r="B274" t="s" s="11">
        <v>1064</v>
      </c>
      <c r="C274" s="12">
        <v>45117.919960196756</v>
      </c>
      <c r="D274" t="s" s="13">
        <v>660</v>
      </c>
      <c r="E274" t="s" s="13">
        <v>661</v>
      </c>
      <c r="F274" s="14">
        <v>4</v>
      </c>
      <c r="G274" s="15">
        <v>5.99</v>
      </c>
      <c r="H274" s="15">
        <v>23.96</v>
      </c>
    </row>
    <row r="275" ht="12.9" customHeight="1">
      <c r="A275" t="s" s="10">
        <v>5033</v>
      </c>
      <c r="B275" t="s" s="11">
        <v>1064</v>
      </c>
      <c r="C275" s="12">
        <v>45117.919960196756</v>
      </c>
      <c r="D275" t="s" s="13">
        <v>50</v>
      </c>
      <c r="E275" t="s" s="13">
        <v>83</v>
      </c>
      <c r="F275" s="14">
        <v>4</v>
      </c>
      <c r="G275" s="15">
        <v>0</v>
      </c>
      <c r="H275" s="15">
        <v>0</v>
      </c>
    </row>
    <row r="276" ht="12.9" customHeight="1">
      <c r="A276" t="s" s="10">
        <v>5033</v>
      </c>
      <c r="B276" t="s" s="11">
        <v>1064</v>
      </c>
      <c r="C276" s="12">
        <v>45117.919960196756</v>
      </c>
      <c r="D276" t="s" s="13">
        <v>84</v>
      </c>
      <c r="E276" t="s" s="13">
        <v>4225</v>
      </c>
      <c r="F276" s="14">
        <v>4</v>
      </c>
      <c r="G276" s="15">
        <v>0</v>
      </c>
      <c r="H276" s="15">
        <v>0</v>
      </c>
    </row>
    <row r="277" ht="12.9" customHeight="1">
      <c r="A277" t="s" s="10">
        <v>5034</v>
      </c>
      <c r="B277" t="s" s="11">
        <v>5035</v>
      </c>
      <c r="C277" s="12">
        <v>45117.780771076388</v>
      </c>
      <c r="D277" t="s" s="13">
        <v>95</v>
      </c>
      <c r="E277" t="s" s="13">
        <v>12</v>
      </c>
      <c r="F277" s="14">
        <v>1</v>
      </c>
      <c r="G277" s="15">
        <v>349.99</v>
      </c>
      <c r="H277" s="15">
        <v>349.99</v>
      </c>
    </row>
    <row r="278" ht="12.9" customHeight="1">
      <c r="A278" t="s" s="10">
        <v>5036</v>
      </c>
      <c r="B278" t="s" s="11">
        <v>212</v>
      </c>
      <c r="C278" s="12">
        <v>45115.893275613424</v>
      </c>
      <c r="D278" t="s" s="13">
        <v>19</v>
      </c>
      <c r="E278" t="s" s="13">
        <v>20</v>
      </c>
      <c r="F278" s="14">
        <v>2</v>
      </c>
      <c r="G278" s="15">
        <v>119.99</v>
      </c>
      <c r="H278" s="15">
        <v>239.98</v>
      </c>
    </row>
    <row r="279" ht="12.9" customHeight="1">
      <c r="A279" t="s" s="10">
        <v>5036</v>
      </c>
      <c r="B279" t="s" s="11">
        <v>212</v>
      </c>
      <c r="C279" s="12">
        <v>45115.893275613424</v>
      </c>
      <c r="D279" t="s" s="13">
        <v>15</v>
      </c>
      <c r="E279" t="s" s="13">
        <v>4757</v>
      </c>
      <c r="F279" s="14">
        <v>2</v>
      </c>
      <c r="G279" s="15">
        <v>8.99</v>
      </c>
      <c r="H279" s="15">
        <v>17.98</v>
      </c>
    </row>
    <row r="280" ht="12.9" customHeight="1">
      <c r="A280" t="s" s="10">
        <v>5037</v>
      </c>
      <c r="B280" t="s" s="11">
        <v>3870</v>
      </c>
      <c r="C280" s="12">
        <v>45115.346023310187</v>
      </c>
      <c r="D280" t="s" s="13">
        <v>73</v>
      </c>
      <c r="E280" t="s" s="13">
        <v>74</v>
      </c>
      <c r="F280" s="14">
        <v>1</v>
      </c>
      <c r="G280" s="15">
        <v>399.99</v>
      </c>
      <c r="H280" s="15">
        <v>399.99</v>
      </c>
    </row>
    <row r="281" ht="12.9" customHeight="1">
      <c r="A281" t="s" s="10">
        <v>5038</v>
      </c>
      <c r="B281" t="s" s="11">
        <v>4978</v>
      </c>
      <c r="C281" s="12">
        <v>45115.0270387963</v>
      </c>
      <c r="D281" t="s" s="13">
        <v>31</v>
      </c>
      <c r="E281" t="s" s="13">
        <v>32</v>
      </c>
      <c r="F281" s="14">
        <v>1</v>
      </c>
      <c r="G281" s="15">
        <v>599.99</v>
      </c>
      <c r="H281" s="15">
        <v>599.99</v>
      </c>
    </row>
    <row r="282" ht="12.9" customHeight="1">
      <c r="A282" t="s" s="10">
        <v>5038</v>
      </c>
      <c r="B282" t="s" s="11">
        <v>4978</v>
      </c>
      <c r="C282" s="12">
        <v>45115.0270387963</v>
      </c>
      <c r="D282" t="s" s="13">
        <v>35</v>
      </c>
      <c r="E282" t="s" s="13">
        <v>36</v>
      </c>
      <c r="F282" s="14">
        <v>1</v>
      </c>
      <c r="G282" s="15">
        <v>49.99</v>
      </c>
      <c r="H282" s="15">
        <v>49.99</v>
      </c>
    </row>
    <row r="283" ht="12.9" customHeight="1">
      <c r="A283" t="s" s="10">
        <v>5039</v>
      </c>
      <c r="B283" t="s" s="11">
        <v>1913</v>
      </c>
      <c r="C283" s="12">
        <v>45114</v>
      </c>
      <c r="D283" t="s" s="13">
        <v>2961</v>
      </c>
      <c r="E283" t="s" s="13">
        <v>2962</v>
      </c>
      <c r="F283" s="14">
        <v>120</v>
      </c>
      <c r="G283" s="15">
        <v>13</v>
      </c>
      <c r="H283" s="15">
        <v>1560</v>
      </c>
    </row>
    <row r="284" ht="12.9" customHeight="1">
      <c r="A284" t="s" s="10">
        <v>5039</v>
      </c>
      <c r="B284" t="s" s="11">
        <v>1913</v>
      </c>
      <c r="C284" s="12">
        <v>45114</v>
      </c>
      <c r="D284" t="s" s="13">
        <v>4873</v>
      </c>
      <c r="E284" t="s" s="13">
        <v>4874</v>
      </c>
      <c r="F284" s="14">
        <v>120</v>
      </c>
      <c r="G284" s="15">
        <v>12</v>
      </c>
      <c r="H284" s="15">
        <v>1440</v>
      </c>
    </row>
    <row r="285" ht="12.9" customHeight="1">
      <c r="A285" t="s" s="10">
        <v>5039</v>
      </c>
      <c r="B285" t="s" s="11">
        <v>1913</v>
      </c>
      <c r="C285" s="12">
        <v>45114</v>
      </c>
      <c r="D285" t="s" s="13">
        <v>5040</v>
      </c>
      <c r="E285" t="s" s="13">
        <v>5041</v>
      </c>
      <c r="F285" s="14">
        <v>100</v>
      </c>
      <c r="G285" s="15">
        <v>1</v>
      </c>
      <c r="H285" s="15">
        <v>100</v>
      </c>
    </row>
    <row r="286" ht="12.9" customHeight="1">
      <c r="A286" t="s" s="10">
        <v>5039</v>
      </c>
      <c r="B286" t="s" s="11">
        <v>1913</v>
      </c>
      <c r="C286" s="12">
        <v>45114</v>
      </c>
      <c r="D286" t="s" s="13">
        <v>5042</v>
      </c>
      <c r="E286" t="s" s="13">
        <v>5043</v>
      </c>
      <c r="F286" s="14">
        <v>80</v>
      </c>
      <c r="G286" s="15">
        <v>8.0625</v>
      </c>
      <c r="H286" s="15">
        <v>645</v>
      </c>
    </row>
    <row r="287" ht="12.9" customHeight="1">
      <c r="A287" t="s" s="10">
        <v>5039</v>
      </c>
      <c r="B287" t="s" s="11">
        <v>1913</v>
      </c>
      <c r="C287" s="12">
        <v>45114</v>
      </c>
      <c r="D287" t="s" s="13">
        <v>63</v>
      </c>
      <c r="E287" s="16"/>
      <c r="F287" s="14">
        <v>1</v>
      </c>
      <c r="G287" s="15">
        <v>100</v>
      </c>
      <c r="H287" s="15">
        <v>100</v>
      </c>
    </row>
    <row r="288" ht="12.9" customHeight="1">
      <c r="A288" t="s" s="10">
        <v>5044</v>
      </c>
      <c r="B288" t="s" s="11">
        <v>5045</v>
      </c>
      <c r="C288" s="12">
        <v>45113.757700949071</v>
      </c>
      <c r="D288" t="s" s="13">
        <v>95</v>
      </c>
      <c r="E288" t="s" s="13">
        <v>12</v>
      </c>
      <c r="F288" s="14">
        <v>1</v>
      </c>
      <c r="G288" s="15">
        <v>349.99</v>
      </c>
      <c r="H288" s="15">
        <v>349.99</v>
      </c>
    </row>
    <row r="289" ht="12.9" customHeight="1">
      <c r="A289" t="s" s="10">
        <v>5046</v>
      </c>
      <c r="B289" t="s" s="11">
        <v>5047</v>
      </c>
      <c r="C289" s="12">
        <v>45113.722165821760</v>
      </c>
      <c r="D289" t="s" s="13">
        <v>95</v>
      </c>
      <c r="E289" t="s" s="13">
        <v>12</v>
      </c>
      <c r="F289" s="14">
        <v>1</v>
      </c>
      <c r="G289" s="15">
        <v>349.99</v>
      </c>
      <c r="H289" s="15">
        <v>349.99</v>
      </c>
    </row>
    <row r="290" ht="12.9" customHeight="1">
      <c r="A290" t="s" s="10">
        <v>5048</v>
      </c>
      <c r="B290" t="s" s="11">
        <v>5006</v>
      </c>
      <c r="C290" s="12">
        <v>45113.591579351851</v>
      </c>
      <c r="D290" t="s" s="13">
        <v>48</v>
      </c>
      <c r="E290" t="s" s="13">
        <v>49</v>
      </c>
      <c r="F290" s="14">
        <v>4</v>
      </c>
      <c r="G290" s="15">
        <v>1299.99</v>
      </c>
      <c r="H290" s="15">
        <v>5199.96</v>
      </c>
    </row>
    <row r="291" ht="12.9" customHeight="1">
      <c r="A291" t="s" s="10">
        <v>5048</v>
      </c>
      <c r="B291" t="s" s="11">
        <v>5006</v>
      </c>
      <c r="C291" s="12">
        <v>45113.591579351851</v>
      </c>
      <c r="D291" t="s" s="13">
        <v>50</v>
      </c>
      <c r="E291" t="s" s="13">
        <v>83</v>
      </c>
      <c r="F291" s="14">
        <v>4</v>
      </c>
      <c r="G291" s="15">
        <v>0</v>
      </c>
      <c r="H291" s="15">
        <v>0</v>
      </c>
    </row>
    <row r="292" ht="12.9" customHeight="1">
      <c r="A292" t="s" s="10">
        <v>5048</v>
      </c>
      <c r="B292" t="s" s="11">
        <v>5006</v>
      </c>
      <c r="C292" s="12">
        <v>45113.591579351851</v>
      </c>
      <c r="D292" t="s" s="13">
        <v>52</v>
      </c>
      <c r="E292" t="s" s="13">
        <v>4287</v>
      </c>
      <c r="F292" s="14">
        <v>4</v>
      </c>
      <c r="G292" s="15">
        <v>0</v>
      </c>
      <c r="H292" s="15">
        <v>0</v>
      </c>
    </row>
    <row r="293" ht="12.9" customHeight="1">
      <c r="A293" t="s" s="10">
        <v>5048</v>
      </c>
      <c r="B293" t="s" s="11">
        <v>5006</v>
      </c>
      <c r="C293" s="12">
        <v>45113.591579351851</v>
      </c>
      <c r="D293" t="s" s="13">
        <v>84</v>
      </c>
      <c r="E293" t="s" s="13">
        <v>4225</v>
      </c>
      <c r="F293" s="14">
        <v>4</v>
      </c>
      <c r="G293" s="15">
        <v>0</v>
      </c>
      <c r="H293" s="15">
        <v>0</v>
      </c>
    </row>
    <row r="294" ht="12.9" customHeight="1">
      <c r="A294" t="s" s="10">
        <v>5048</v>
      </c>
      <c r="B294" t="s" s="11">
        <v>5006</v>
      </c>
      <c r="C294" s="12">
        <v>45113.591579351851</v>
      </c>
      <c r="D294" t="s" s="13">
        <v>133</v>
      </c>
      <c r="E294" t="s" s="13">
        <v>4835</v>
      </c>
      <c r="F294" s="14">
        <v>4</v>
      </c>
      <c r="G294" s="15">
        <v>50</v>
      </c>
      <c r="H294" s="15">
        <v>200</v>
      </c>
    </row>
    <row r="295" ht="12.9" customHeight="1">
      <c r="A295" t="s" s="10">
        <v>5049</v>
      </c>
      <c r="B295" t="s" s="11">
        <v>5050</v>
      </c>
      <c r="C295" s="12">
        <v>45113.36554375</v>
      </c>
      <c r="D295" t="s" s="13">
        <v>31</v>
      </c>
      <c r="E295" t="s" s="13">
        <v>32</v>
      </c>
      <c r="F295" s="14">
        <v>1</v>
      </c>
      <c r="G295" s="15">
        <v>599.99</v>
      </c>
      <c r="H295" s="15">
        <v>599.99</v>
      </c>
    </row>
    <row r="296" ht="12.9" customHeight="1">
      <c r="A296" t="s" s="10">
        <v>5051</v>
      </c>
      <c r="B296" t="s" s="11">
        <v>831</v>
      </c>
      <c r="C296" s="12">
        <v>45113</v>
      </c>
      <c r="D296" t="s" s="13">
        <v>412</v>
      </c>
      <c r="E296" t="s" s="13">
        <v>413</v>
      </c>
      <c r="F296" s="14">
        <v>50</v>
      </c>
      <c r="G296" s="15">
        <v>0</v>
      </c>
      <c r="H296" s="15">
        <v>0</v>
      </c>
    </row>
    <row r="297" ht="12.9" customHeight="1">
      <c r="A297" t="s" s="10">
        <v>5051</v>
      </c>
      <c r="B297" t="s" s="11">
        <v>831</v>
      </c>
      <c r="C297" s="12">
        <v>45113</v>
      </c>
      <c r="D297" t="s" s="13">
        <v>1226</v>
      </c>
      <c r="E297" t="s" s="13">
        <v>1224</v>
      </c>
      <c r="F297" s="14">
        <v>1</v>
      </c>
      <c r="G297" s="15">
        <v>4.4925</v>
      </c>
      <c r="H297" s="15">
        <v>4.4925</v>
      </c>
    </row>
    <row r="298" ht="12.9" customHeight="1">
      <c r="A298" t="s" s="10">
        <v>5052</v>
      </c>
      <c r="B298" t="s" s="11">
        <v>5053</v>
      </c>
      <c r="C298" s="12">
        <v>45112.963481481478</v>
      </c>
      <c r="D298" t="s" s="13">
        <v>31</v>
      </c>
      <c r="E298" t="s" s="13">
        <v>32</v>
      </c>
      <c r="F298" s="14">
        <v>2</v>
      </c>
      <c r="G298" s="15">
        <v>599.99</v>
      </c>
      <c r="H298" s="15">
        <v>1199.98</v>
      </c>
    </row>
    <row r="299" ht="12.9" customHeight="1">
      <c r="A299" t="s" s="10">
        <v>5054</v>
      </c>
      <c r="B299" t="s" s="11">
        <v>5055</v>
      </c>
      <c r="C299" s="12">
        <v>45112.646161412034</v>
      </c>
      <c r="D299" t="s" s="13">
        <v>95</v>
      </c>
      <c r="E299" t="s" s="13">
        <v>12</v>
      </c>
      <c r="F299" s="14">
        <v>1</v>
      </c>
      <c r="G299" s="15">
        <v>349.99</v>
      </c>
      <c r="H299" s="15">
        <v>349.99</v>
      </c>
    </row>
    <row r="300" ht="12.9" customHeight="1">
      <c r="A300" t="s" s="10">
        <v>5056</v>
      </c>
      <c r="B300" t="s" s="11">
        <v>5057</v>
      </c>
      <c r="C300" s="12">
        <v>45112.105384398150</v>
      </c>
      <c r="D300" t="s" s="13">
        <v>1729</v>
      </c>
      <c r="E300" t="s" s="13">
        <v>4639</v>
      </c>
      <c r="F300" s="14">
        <v>1</v>
      </c>
      <c r="G300" s="15">
        <v>14.99</v>
      </c>
      <c r="H300" s="15">
        <v>14.99</v>
      </c>
    </row>
    <row r="301" ht="12.9" customHeight="1">
      <c r="A301" t="s" s="10">
        <v>5056</v>
      </c>
      <c r="B301" t="s" s="11">
        <v>5057</v>
      </c>
      <c r="C301" s="12">
        <v>45112.105384398150</v>
      </c>
      <c r="D301" t="s" s="13">
        <v>1731</v>
      </c>
      <c r="E301" t="s" s="13">
        <v>4657</v>
      </c>
      <c r="F301" s="14">
        <v>1</v>
      </c>
      <c r="G301" s="15">
        <v>24.99</v>
      </c>
      <c r="H301" s="15">
        <v>24.99</v>
      </c>
    </row>
    <row r="302" ht="12.9" customHeight="1">
      <c r="A302" t="s" s="10">
        <v>5058</v>
      </c>
      <c r="B302" t="s" s="11">
        <v>210</v>
      </c>
      <c r="C302" s="12">
        <v>45112</v>
      </c>
      <c r="D302" t="s" s="13">
        <v>468</v>
      </c>
      <c r="E302" t="s" s="13">
        <v>469</v>
      </c>
      <c r="F302" s="14">
        <v>2</v>
      </c>
      <c r="G302" s="15">
        <v>1874.9925</v>
      </c>
      <c r="H302" s="15">
        <v>3749.985</v>
      </c>
    </row>
    <row r="303" ht="12.9" customHeight="1">
      <c r="A303" t="s" s="10">
        <v>5058</v>
      </c>
      <c r="B303" t="s" s="11">
        <v>210</v>
      </c>
      <c r="C303" s="12">
        <v>45112</v>
      </c>
      <c r="D303" t="s" s="13">
        <v>39</v>
      </c>
      <c r="E303" t="s" s="13">
        <v>5059</v>
      </c>
      <c r="F303" s="14">
        <v>8</v>
      </c>
      <c r="G303" s="15">
        <v>0</v>
      </c>
      <c r="H303" s="15">
        <v>0</v>
      </c>
    </row>
    <row r="304" ht="12.9" customHeight="1">
      <c r="A304" t="s" s="10">
        <v>5058</v>
      </c>
      <c r="B304" t="s" s="11">
        <v>210</v>
      </c>
      <c r="C304" s="12">
        <v>45112</v>
      </c>
      <c r="D304" t="s" s="13">
        <v>1695</v>
      </c>
      <c r="E304" t="s" s="13">
        <v>140</v>
      </c>
      <c r="F304" s="14">
        <v>4</v>
      </c>
      <c r="G304" s="15">
        <v>37.4925</v>
      </c>
      <c r="H304" s="15">
        <v>149.97</v>
      </c>
    </row>
    <row r="305" ht="12.9" customHeight="1">
      <c r="A305" t="s" s="10">
        <v>5058</v>
      </c>
      <c r="B305" t="s" s="11">
        <v>210</v>
      </c>
      <c r="C305" s="12">
        <v>45112</v>
      </c>
      <c r="D305" t="s" s="13">
        <v>559</v>
      </c>
      <c r="E305" t="s" s="13">
        <v>560</v>
      </c>
      <c r="F305" s="14">
        <v>80</v>
      </c>
      <c r="G305" s="15">
        <v>0</v>
      </c>
      <c r="H305" s="15">
        <v>0</v>
      </c>
    </row>
    <row r="306" ht="12.9" customHeight="1">
      <c r="A306" t="s" s="10">
        <v>5058</v>
      </c>
      <c r="B306" t="s" s="11">
        <v>210</v>
      </c>
      <c r="C306" s="12">
        <v>45112</v>
      </c>
      <c r="D306" t="s" s="13">
        <v>54</v>
      </c>
      <c r="E306" t="s" s="13">
        <v>93</v>
      </c>
      <c r="F306" s="14">
        <v>8</v>
      </c>
      <c r="G306" s="15">
        <v>0</v>
      </c>
      <c r="H306" s="15">
        <v>0</v>
      </c>
    </row>
    <row r="307" ht="12.9" customHeight="1">
      <c r="A307" t="s" s="10">
        <v>5058</v>
      </c>
      <c r="B307" t="s" s="11">
        <v>210</v>
      </c>
      <c r="C307" s="12">
        <v>45112</v>
      </c>
      <c r="D307" t="s" s="13">
        <v>50</v>
      </c>
      <c r="E307" t="s" s="13">
        <v>83</v>
      </c>
      <c r="F307" s="14">
        <v>2</v>
      </c>
      <c r="G307" s="15">
        <v>0</v>
      </c>
      <c r="H307" s="15">
        <v>0</v>
      </c>
    </row>
    <row r="308" ht="12.9" customHeight="1">
      <c r="A308" t="s" s="10">
        <v>5060</v>
      </c>
      <c r="B308" t="s" s="11">
        <v>2438</v>
      </c>
      <c r="C308" s="12">
        <v>45111.141158379629</v>
      </c>
      <c r="D308" t="s" s="13">
        <v>31</v>
      </c>
      <c r="E308" t="s" s="13">
        <v>32</v>
      </c>
      <c r="F308" s="14">
        <v>1</v>
      </c>
      <c r="G308" s="15">
        <v>599.99</v>
      </c>
      <c r="H308" s="15">
        <v>599.99</v>
      </c>
    </row>
    <row r="309" ht="12.9" customHeight="1">
      <c r="A309" t="s" s="10">
        <v>5061</v>
      </c>
      <c r="B309" t="s" s="11">
        <v>5062</v>
      </c>
      <c r="C309" s="12">
        <v>45110.740415162036</v>
      </c>
      <c r="D309" t="s" s="13">
        <v>1695</v>
      </c>
      <c r="E309" t="s" s="13">
        <v>140</v>
      </c>
      <c r="F309" s="14">
        <v>1</v>
      </c>
      <c r="G309" s="15">
        <v>49.99</v>
      </c>
      <c r="H309" s="15">
        <v>49.99</v>
      </c>
    </row>
    <row r="310" ht="12.9" customHeight="1">
      <c r="A310" t="s" s="10">
        <v>5061</v>
      </c>
      <c r="B310" t="s" s="11">
        <v>5062</v>
      </c>
      <c r="C310" s="12">
        <v>45110.740415162036</v>
      </c>
      <c r="D310" t="s" s="13">
        <v>15</v>
      </c>
      <c r="E310" t="s" s="13">
        <v>4757</v>
      </c>
      <c r="F310" s="14">
        <v>1</v>
      </c>
      <c r="G310" s="15">
        <v>8.99</v>
      </c>
      <c r="H310" s="15">
        <v>8.99</v>
      </c>
    </row>
    <row r="311" ht="12.9" customHeight="1">
      <c r="A311" t="s" s="10">
        <v>5063</v>
      </c>
      <c r="B311" t="s" s="11">
        <v>1586</v>
      </c>
      <c r="C311" s="12">
        <v>45110</v>
      </c>
      <c r="D311" t="s" s="13">
        <v>225</v>
      </c>
      <c r="E311" t="s" s="13">
        <v>226</v>
      </c>
      <c r="F311" s="14">
        <v>4</v>
      </c>
      <c r="G311" s="15">
        <v>499.99</v>
      </c>
      <c r="H311" s="15">
        <v>1999.96</v>
      </c>
    </row>
    <row r="312" ht="12.9" customHeight="1">
      <c r="A312" t="s" s="10">
        <v>5063</v>
      </c>
      <c r="B312" t="s" s="11">
        <v>1586</v>
      </c>
      <c r="C312" s="12">
        <v>45110</v>
      </c>
      <c r="D312" t="s" s="13">
        <v>213</v>
      </c>
      <c r="E312" t="s" s="13">
        <v>828</v>
      </c>
      <c r="F312" s="14">
        <v>4</v>
      </c>
      <c r="G312" s="15">
        <v>549.99</v>
      </c>
      <c r="H312" s="15">
        <v>2199.96</v>
      </c>
    </row>
    <row r="313" ht="12.9" customHeight="1">
      <c r="A313" t="s" s="10">
        <v>5063</v>
      </c>
      <c r="B313" t="s" s="11">
        <v>1586</v>
      </c>
      <c r="C313" s="12">
        <v>45110</v>
      </c>
      <c r="D313" t="s" s="13">
        <v>84</v>
      </c>
      <c r="E313" t="s" s="13">
        <v>4225</v>
      </c>
      <c r="F313" s="14">
        <v>4</v>
      </c>
      <c r="G313" s="15">
        <v>0</v>
      </c>
      <c r="H313" s="15">
        <v>0</v>
      </c>
    </row>
    <row r="314" ht="12.9" customHeight="1">
      <c r="A314" t="s" s="10">
        <v>5064</v>
      </c>
      <c r="B314" t="s" s="11">
        <v>5065</v>
      </c>
      <c r="C314" s="12">
        <v>45109.198461527776</v>
      </c>
      <c r="D314" t="s" s="13">
        <v>81</v>
      </c>
      <c r="E314" t="s" s="13">
        <v>82</v>
      </c>
      <c r="F314" s="14">
        <v>1</v>
      </c>
      <c r="G314" s="15">
        <v>849.99</v>
      </c>
      <c r="H314" s="15">
        <v>849.99</v>
      </c>
    </row>
    <row r="315" ht="12.9" customHeight="1">
      <c r="A315" t="s" s="10">
        <v>5064</v>
      </c>
      <c r="B315" t="s" s="11">
        <v>5065</v>
      </c>
      <c r="C315" s="12">
        <v>45109.198461527776</v>
      </c>
      <c r="D315" t="s" s="13">
        <v>133</v>
      </c>
      <c r="E315" t="s" s="13">
        <v>4835</v>
      </c>
      <c r="F315" s="14">
        <v>1</v>
      </c>
      <c r="G315" s="15">
        <v>50</v>
      </c>
      <c r="H315" s="15">
        <v>50</v>
      </c>
    </row>
    <row r="316" ht="12.9" customHeight="1">
      <c r="A316" t="s" s="10">
        <v>5064</v>
      </c>
      <c r="B316" t="s" s="11">
        <v>5065</v>
      </c>
      <c r="C316" s="12">
        <v>45109.198461527776</v>
      </c>
      <c r="D316" t="s" s="13">
        <v>227</v>
      </c>
      <c r="E316" t="s" s="13">
        <v>228</v>
      </c>
      <c r="F316" s="14">
        <v>2</v>
      </c>
      <c r="G316" s="15">
        <v>29.99</v>
      </c>
      <c r="H316" s="15">
        <v>59.98</v>
      </c>
    </row>
    <row r="317" ht="12.9" customHeight="1">
      <c r="A317" t="s" s="10">
        <v>5064</v>
      </c>
      <c r="B317" t="s" s="11">
        <v>5065</v>
      </c>
      <c r="C317" s="12">
        <v>45109.198461527776</v>
      </c>
      <c r="D317" t="s" s="13">
        <v>660</v>
      </c>
      <c r="E317" t="s" s="13">
        <v>661</v>
      </c>
      <c r="F317" s="14">
        <v>1</v>
      </c>
      <c r="G317" s="15">
        <v>5.99</v>
      </c>
      <c r="H317" s="15">
        <v>5.99</v>
      </c>
    </row>
    <row r="318" ht="12.9" customHeight="1">
      <c r="A318" t="s" s="10">
        <v>5064</v>
      </c>
      <c r="B318" t="s" s="11">
        <v>5065</v>
      </c>
      <c r="C318" s="12">
        <v>45109.198461527776</v>
      </c>
      <c r="D318" t="s" s="13">
        <v>50</v>
      </c>
      <c r="E318" t="s" s="13">
        <v>83</v>
      </c>
      <c r="F318" s="14">
        <v>1</v>
      </c>
      <c r="G318" s="15">
        <v>0</v>
      </c>
      <c r="H318" s="15">
        <v>0</v>
      </c>
    </row>
    <row r="319" ht="12.9" customHeight="1">
      <c r="A319" t="s" s="10">
        <v>5064</v>
      </c>
      <c r="B319" t="s" s="11">
        <v>5065</v>
      </c>
      <c r="C319" s="12">
        <v>45109.198461527776</v>
      </c>
      <c r="D319" t="s" s="13">
        <v>84</v>
      </c>
      <c r="E319" t="s" s="13">
        <v>4225</v>
      </c>
      <c r="F319" s="14">
        <v>1</v>
      </c>
      <c r="G319" s="15">
        <v>0</v>
      </c>
      <c r="H319" s="15">
        <v>0</v>
      </c>
    </row>
    <row r="320" ht="12.9" customHeight="1">
      <c r="A320" t="s" s="10">
        <v>5064</v>
      </c>
      <c r="B320" t="s" s="11">
        <v>5065</v>
      </c>
      <c r="C320" s="12">
        <v>45109.198461527776</v>
      </c>
      <c r="D320" t="s" s="13">
        <v>59</v>
      </c>
      <c r="E320" t="s" s="13">
        <v>60</v>
      </c>
      <c r="F320" s="14">
        <v>1</v>
      </c>
      <c r="G320" s="15">
        <v>1199.99</v>
      </c>
      <c r="H320" s="15">
        <v>1199.99</v>
      </c>
    </row>
    <row r="321" ht="12.9" customHeight="1">
      <c r="A321" t="s" s="10">
        <v>5066</v>
      </c>
      <c r="B321" t="s" s="11">
        <v>5067</v>
      </c>
      <c r="C321" s="12">
        <v>45109.195275092592</v>
      </c>
      <c r="D321" t="s" s="13">
        <v>15</v>
      </c>
      <c r="E321" t="s" s="13">
        <v>4757</v>
      </c>
      <c r="F321" s="14">
        <v>5</v>
      </c>
      <c r="G321" s="15">
        <v>8.99</v>
      </c>
      <c r="H321" s="15">
        <v>44.95</v>
      </c>
    </row>
    <row r="322" ht="12.9" customHeight="1">
      <c r="A322" t="s" s="10">
        <v>5068</v>
      </c>
      <c r="B322" t="s" s="11">
        <v>5065</v>
      </c>
      <c r="C322" s="12">
        <v>45108.8432615162</v>
      </c>
      <c r="D322" t="s" s="13">
        <v>81</v>
      </c>
      <c r="E322" t="s" s="13">
        <v>82</v>
      </c>
      <c r="F322" s="14">
        <v>1</v>
      </c>
      <c r="G322" s="15">
        <v>849.99</v>
      </c>
      <c r="H322" s="15">
        <v>849.99</v>
      </c>
    </row>
    <row r="323" ht="12.9" customHeight="1">
      <c r="A323" t="s" s="10">
        <v>5068</v>
      </c>
      <c r="B323" t="s" s="11">
        <v>5065</v>
      </c>
      <c r="C323" s="12">
        <v>45108.8432615162</v>
      </c>
      <c r="D323" t="s" s="13">
        <v>602</v>
      </c>
      <c r="E323" t="s" s="13">
        <v>828</v>
      </c>
      <c r="F323" s="14">
        <v>1</v>
      </c>
      <c r="G323" s="15">
        <v>175</v>
      </c>
      <c r="H323" s="15">
        <v>175</v>
      </c>
    </row>
    <row r="324" ht="12.9" customHeight="1">
      <c r="A324" t="s" s="10">
        <v>5068</v>
      </c>
      <c r="B324" t="s" s="11">
        <v>5065</v>
      </c>
      <c r="C324" s="12">
        <v>45108.8432615162</v>
      </c>
      <c r="D324" t="s" s="13">
        <v>227</v>
      </c>
      <c r="E324" t="s" s="13">
        <v>228</v>
      </c>
      <c r="F324" s="14">
        <v>2</v>
      </c>
      <c r="G324" s="15">
        <v>29.99</v>
      </c>
      <c r="H324" s="15">
        <v>59.98</v>
      </c>
    </row>
    <row r="325" ht="12.9" customHeight="1">
      <c r="A325" t="s" s="10">
        <v>5068</v>
      </c>
      <c r="B325" t="s" s="11">
        <v>5065</v>
      </c>
      <c r="C325" s="12">
        <v>45108.8432615162</v>
      </c>
      <c r="D325" t="s" s="13">
        <v>660</v>
      </c>
      <c r="E325" t="s" s="13">
        <v>661</v>
      </c>
      <c r="F325" s="14">
        <v>1</v>
      </c>
      <c r="G325" s="15">
        <v>5.99</v>
      </c>
      <c r="H325" s="15">
        <v>5.99</v>
      </c>
    </row>
    <row r="326" ht="12.9" customHeight="1">
      <c r="A326" t="s" s="10">
        <v>5068</v>
      </c>
      <c r="B326" t="s" s="11">
        <v>5065</v>
      </c>
      <c r="C326" s="12">
        <v>45108.8432615162</v>
      </c>
      <c r="D326" t="s" s="13">
        <v>50</v>
      </c>
      <c r="E326" t="s" s="13">
        <v>83</v>
      </c>
      <c r="F326" s="14">
        <v>1</v>
      </c>
      <c r="G326" s="15">
        <v>0</v>
      </c>
      <c r="H326" s="15">
        <v>0</v>
      </c>
    </row>
    <row r="327" ht="12.9" customHeight="1">
      <c r="A327" t="s" s="10">
        <v>5068</v>
      </c>
      <c r="B327" t="s" s="11">
        <v>5065</v>
      </c>
      <c r="C327" s="12">
        <v>45108.8432615162</v>
      </c>
      <c r="D327" t="s" s="13">
        <v>84</v>
      </c>
      <c r="E327" t="s" s="13">
        <v>4225</v>
      </c>
      <c r="F327" s="14">
        <v>1</v>
      </c>
      <c r="G327" s="15">
        <v>0</v>
      </c>
      <c r="H327" s="15">
        <v>0</v>
      </c>
    </row>
    <row r="328" ht="12.9" customHeight="1">
      <c r="A328" t="s" s="10">
        <v>5069</v>
      </c>
      <c r="B328" t="s" s="11">
        <v>5070</v>
      </c>
      <c r="C328" s="12">
        <v>45108.036448819446</v>
      </c>
      <c r="D328" t="s" s="13">
        <v>11</v>
      </c>
      <c r="E328" t="s" s="13">
        <v>12</v>
      </c>
      <c r="F328" s="14">
        <v>2</v>
      </c>
      <c r="G328" s="15">
        <v>399.99</v>
      </c>
      <c r="H328" s="15">
        <v>799.98</v>
      </c>
    </row>
    <row r="330" ht="15.55" customHeight="1">
      <c r="I330" t="s" s="2">
        <v>5071</v>
      </c>
      <c r="J330" s="2"/>
      <c r="K330" s="2"/>
      <c r="L330" s="2"/>
      <c r="M330" s="2"/>
      <c r="N330" s="2"/>
      <c r="O330" s="2"/>
    </row>
    <row r="331" ht="16.1" customHeight="1">
      <c r="I331" t="s" s="20">
        <v>2</v>
      </c>
      <c r="J331" t="s" s="21">
        <v>1</v>
      </c>
      <c r="K331" t="s" s="21">
        <v>1504</v>
      </c>
      <c r="L331" t="s" s="22">
        <v>4</v>
      </c>
      <c r="M331" t="s" s="23">
        <v>617</v>
      </c>
      <c r="N331" t="s" s="3">
        <v>618</v>
      </c>
      <c r="O331" t="s" s="3">
        <v>619</v>
      </c>
    </row>
    <row r="332" ht="8.75" customHeight="1" hidden="1">
      <c r="I332" s="62"/>
      <c r="J332" s="63"/>
      <c r="K332" s="63"/>
      <c r="L332" t="s" s="64">
        <v>54</v>
      </c>
      <c r="M332" s="65">
        <v>8</v>
      </c>
      <c r="N332" s="66">
        <v>0</v>
      </c>
      <c r="O332" s="66">
        <v>0</v>
      </c>
    </row>
    <row r="333" ht="8.75" customHeight="1" hidden="1">
      <c r="I333" s="62"/>
      <c r="J333" s="63"/>
      <c r="K333" s="63"/>
      <c r="L333" t="s" s="64">
        <v>1695</v>
      </c>
      <c r="M333" s="65">
        <v>4</v>
      </c>
      <c r="N333" s="66">
        <v>37.4925</v>
      </c>
      <c r="O333" s="66">
        <v>149.97</v>
      </c>
    </row>
    <row r="334" ht="8.75" customHeight="1" hidden="1">
      <c r="I334" s="62"/>
      <c r="J334" s="63"/>
      <c r="K334" s="63"/>
      <c r="L334" t="s" s="64">
        <v>39</v>
      </c>
      <c r="M334" s="65">
        <v>8</v>
      </c>
      <c r="N334" s="66">
        <v>0</v>
      </c>
      <c r="O334" s="66">
        <v>0</v>
      </c>
    </row>
    <row r="335" ht="8.75" customHeight="1" hidden="1">
      <c r="I335" s="62"/>
      <c r="J335" s="63"/>
      <c r="K335" s="63"/>
      <c r="L335" t="s" s="64">
        <v>50</v>
      </c>
      <c r="M335" s="65">
        <v>2</v>
      </c>
      <c r="N335" s="66">
        <v>0</v>
      </c>
      <c r="O335" s="66">
        <v>0</v>
      </c>
    </row>
    <row r="336" ht="8.75" customHeight="1" hidden="1">
      <c r="I336" s="62"/>
      <c r="J336" s="63"/>
      <c r="K336" s="63"/>
      <c r="L336" t="s" s="64">
        <v>468</v>
      </c>
      <c r="M336" s="65">
        <v>2</v>
      </c>
      <c r="N336" s="66">
        <v>1874.9925</v>
      </c>
      <c r="O336" s="66">
        <v>3749.985</v>
      </c>
    </row>
    <row r="337" ht="8.75" customHeight="1" hidden="1">
      <c r="I337" s="62"/>
      <c r="J337" s="63"/>
      <c r="K337" s="63"/>
      <c r="L337" t="s" s="64">
        <v>559</v>
      </c>
      <c r="M337" s="65">
        <v>80</v>
      </c>
      <c r="N337" s="66">
        <v>0</v>
      </c>
      <c r="O337" s="66">
        <v>0</v>
      </c>
    </row>
    <row r="338" ht="8.75" customHeight="1" hidden="1">
      <c r="I338" s="67"/>
      <c r="J338" s="68"/>
      <c r="K338" s="69">
        <v>45108</v>
      </c>
      <c r="L338" s="70"/>
      <c r="M338" s="71">
        <v>104</v>
      </c>
      <c r="N338" s="72">
        <v>1912.485</v>
      </c>
      <c r="O338" s="72">
        <v>3899.955</v>
      </c>
    </row>
    <row r="339" ht="8.75" customHeight="1" hidden="1">
      <c r="I339" s="67"/>
      <c r="J339" t="s" s="73">
        <v>5058</v>
      </c>
      <c r="K339" s="74"/>
      <c r="L339" s="70"/>
      <c r="M339" s="71">
        <v>104</v>
      </c>
      <c r="N339" s="72">
        <v>1912.485</v>
      </c>
      <c r="O339" s="72">
        <v>3899.955</v>
      </c>
    </row>
    <row r="340" ht="8.75" customHeight="1" hidden="1">
      <c r="I340" s="62"/>
      <c r="J340" s="63"/>
      <c r="K340" s="63"/>
      <c r="L340" t="s" s="64">
        <v>412</v>
      </c>
      <c r="M340" s="65">
        <v>20</v>
      </c>
      <c r="N340" s="66">
        <v>0</v>
      </c>
      <c r="O340" s="66">
        <v>0</v>
      </c>
    </row>
    <row r="341" ht="8.75" customHeight="1" hidden="1">
      <c r="I341" s="67"/>
      <c r="J341" s="68"/>
      <c r="K341" s="69">
        <v>45108</v>
      </c>
      <c r="L341" s="70"/>
      <c r="M341" s="71">
        <v>20</v>
      </c>
      <c r="N341" s="72">
        <v>0</v>
      </c>
      <c r="O341" s="72">
        <v>0</v>
      </c>
    </row>
    <row r="342" ht="8.75" customHeight="1" hidden="1">
      <c r="I342" s="67"/>
      <c r="J342" t="s" s="73">
        <v>5026</v>
      </c>
      <c r="K342" s="74"/>
      <c r="L342" s="70"/>
      <c r="M342" s="71">
        <v>20</v>
      </c>
      <c r="N342" s="72">
        <v>0</v>
      </c>
      <c r="O342" s="72">
        <v>0</v>
      </c>
    </row>
    <row r="343" ht="16.1" customHeight="1">
      <c r="I343" t="s" s="121">
        <v>210</v>
      </c>
      <c r="J343" s="122"/>
      <c r="K343" s="122"/>
      <c r="L343" s="123"/>
      <c r="M343" s="124">
        <v>124</v>
      </c>
      <c r="N343" s="141">
        <v>1912.485</v>
      </c>
      <c r="O343" s="141">
        <v>3899.955</v>
      </c>
    </row>
    <row r="344" ht="9" customHeight="1" hidden="1">
      <c r="I344" s="77"/>
      <c r="J344" s="78"/>
      <c r="K344" s="78"/>
      <c r="L344" t="s" s="79">
        <v>470</v>
      </c>
      <c r="M344" s="80">
        <v>1</v>
      </c>
      <c r="N344" s="81">
        <v>249.99</v>
      </c>
      <c r="O344" s="81">
        <v>249.99</v>
      </c>
    </row>
    <row r="345" ht="9" customHeight="1" hidden="1">
      <c r="I345" s="82"/>
      <c r="J345" s="83"/>
      <c r="K345" s="84">
        <v>45108</v>
      </c>
      <c r="L345" s="85"/>
      <c r="M345" s="28">
        <v>1</v>
      </c>
      <c r="N345" s="29">
        <v>249.99</v>
      </c>
      <c r="O345" s="29">
        <v>249.99</v>
      </c>
    </row>
    <row r="346" ht="9" customHeight="1" hidden="1">
      <c r="I346" s="82"/>
      <c r="J346" t="s" s="86">
        <v>4876</v>
      </c>
      <c r="K346" s="87"/>
      <c r="L346" s="85"/>
      <c r="M346" s="28">
        <v>1</v>
      </c>
      <c r="N346" s="29">
        <v>249.99</v>
      </c>
      <c r="O346" s="29">
        <v>249.99</v>
      </c>
    </row>
    <row r="347" ht="16.1" customHeight="1">
      <c r="I347" t="s" s="126">
        <v>4877</v>
      </c>
      <c r="J347" s="127"/>
      <c r="K347" s="127"/>
      <c r="L347" s="128"/>
      <c r="M347" s="129">
        <v>1</v>
      </c>
      <c r="N347" s="142">
        <v>249.99</v>
      </c>
      <c r="O347" s="142">
        <v>249.99</v>
      </c>
    </row>
    <row r="348" ht="9" customHeight="1" hidden="1">
      <c r="I348" s="77"/>
      <c r="J348" s="78"/>
      <c r="K348" s="78"/>
      <c r="L348" t="s" s="79">
        <v>73</v>
      </c>
      <c r="M348" s="80">
        <v>2</v>
      </c>
      <c r="N348" s="81">
        <v>299.9925</v>
      </c>
      <c r="O348" s="81">
        <v>599.985</v>
      </c>
    </row>
    <row r="349" ht="9" customHeight="1" hidden="1">
      <c r="I349" s="77"/>
      <c r="J349" s="78"/>
      <c r="K349" s="78"/>
      <c r="L349" t="s" s="79">
        <v>63</v>
      </c>
      <c r="M349" s="80">
        <v>1</v>
      </c>
      <c r="N349" s="81">
        <v>20</v>
      </c>
      <c r="O349" s="81">
        <v>20</v>
      </c>
    </row>
    <row r="350" ht="9" customHeight="1" hidden="1">
      <c r="I350" s="82"/>
      <c r="J350" s="83"/>
      <c r="K350" s="84">
        <v>45108</v>
      </c>
      <c r="L350" s="85"/>
      <c r="M350" s="28">
        <v>3</v>
      </c>
      <c r="N350" s="29">
        <v>319.9925</v>
      </c>
      <c r="O350" s="29">
        <v>619.985</v>
      </c>
    </row>
    <row r="351" ht="9" customHeight="1" hidden="1">
      <c r="I351" s="82"/>
      <c r="J351" t="s" s="86">
        <v>4830</v>
      </c>
      <c r="K351" s="87"/>
      <c r="L351" s="85"/>
      <c r="M351" s="28">
        <v>3</v>
      </c>
      <c r="N351" s="29">
        <v>319.9925</v>
      </c>
      <c r="O351" s="29">
        <v>619.985</v>
      </c>
    </row>
    <row r="352" ht="16.1" customHeight="1">
      <c r="I352" t="s" s="126">
        <v>1110</v>
      </c>
      <c r="J352" s="127"/>
      <c r="K352" s="127"/>
      <c r="L352" s="128"/>
      <c r="M352" s="129">
        <v>3</v>
      </c>
      <c r="N352" s="142">
        <v>319.9925</v>
      </c>
      <c r="O352" s="142">
        <v>619.985</v>
      </c>
    </row>
    <row r="353" ht="9" customHeight="1" hidden="1">
      <c r="I353" s="77"/>
      <c r="J353" s="78"/>
      <c r="K353" s="78"/>
      <c r="L353" t="s" s="79">
        <v>1186</v>
      </c>
      <c r="M353" s="80">
        <v>8</v>
      </c>
      <c r="N353" s="81">
        <v>0</v>
      </c>
      <c r="O353" s="81">
        <v>0</v>
      </c>
    </row>
    <row r="354" ht="9" customHeight="1" hidden="1">
      <c r="I354" s="77"/>
      <c r="J354" s="78"/>
      <c r="K354" s="78"/>
      <c r="L354" t="s" s="79">
        <v>906</v>
      </c>
      <c r="M354" s="80">
        <v>20</v>
      </c>
      <c r="N354" s="81">
        <v>5.625</v>
      </c>
      <c r="O354" s="81">
        <v>112.5</v>
      </c>
    </row>
    <row r="355" ht="9" customHeight="1" hidden="1">
      <c r="I355" s="77"/>
      <c r="J355" s="78"/>
      <c r="K355" s="78"/>
      <c r="L355" t="s" s="79">
        <v>5020</v>
      </c>
      <c r="M355" s="80">
        <v>63</v>
      </c>
      <c r="N355" s="81">
        <v>4.2521742</v>
      </c>
      <c r="O355" s="81">
        <v>267.8869746</v>
      </c>
    </row>
    <row r="356" ht="9" customHeight="1" hidden="1">
      <c r="I356" s="77"/>
      <c r="J356" s="78"/>
      <c r="K356" s="78"/>
      <c r="L356" t="s" s="79">
        <v>165</v>
      </c>
      <c r="M356" s="80">
        <v>8</v>
      </c>
      <c r="N356" s="81">
        <v>0</v>
      </c>
      <c r="O356" s="81">
        <v>0</v>
      </c>
    </row>
    <row r="357" ht="9" customHeight="1" hidden="1">
      <c r="I357" s="77"/>
      <c r="J357" s="78"/>
      <c r="K357" s="78"/>
      <c r="L357" t="s" s="79">
        <v>227</v>
      </c>
      <c r="M357" s="80">
        <v>8</v>
      </c>
      <c r="N357" s="81">
        <v>22.4925</v>
      </c>
      <c r="O357" s="81">
        <v>179.94</v>
      </c>
    </row>
    <row r="358" ht="9" customHeight="1" hidden="1">
      <c r="I358" s="77"/>
      <c r="J358" s="78"/>
      <c r="K358" s="78"/>
      <c r="L358" t="s" s="79">
        <v>225</v>
      </c>
      <c r="M358" s="80">
        <v>8</v>
      </c>
      <c r="N358" s="81">
        <v>374.9925</v>
      </c>
      <c r="O358" s="81">
        <v>2999.94</v>
      </c>
    </row>
    <row r="359" ht="9" customHeight="1" hidden="1">
      <c r="I359" s="77"/>
      <c r="J359" s="78"/>
      <c r="K359" s="78"/>
      <c r="L359" t="s" s="79">
        <v>35</v>
      </c>
      <c r="M359" s="80">
        <v>12</v>
      </c>
      <c r="N359" s="81">
        <v>37.4925</v>
      </c>
      <c r="O359" s="81">
        <v>449.91</v>
      </c>
    </row>
    <row r="360" ht="9" customHeight="1" hidden="1">
      <c r="I360" s="77"/>
      <c r="J360" s="78"/>
      <c r="K360" s="78"/>
      <c r="L360" t="s" s="79">
        <v>1155</v>
      </c>
      <c r="M360" s="80">
        <v>3</v>
      </c>
      <c r="N360" s="81">
        <v>1574.99</v>
      </c>
      <c r="O360" s="81">
        <v>4724.97</v>
      </c>
    </row>
    <row r="361" ht="9" customHeight="1" hidden="1">
      <c r="I361" s="77"/>
      <c r="J361" s="78"/>
      <c r="K361" s="78"/>
      <c r="L361" t="s" s="79">
        <v>63</v>
      </c>
      <c r="M361" s="80">
        <v>1</v>
      </c>
      <c r="N361" s="81">
        <v>200</v>
      </c>
      <c r="O361" s="81">
        <v>200</v>
      </c>
    </row>
    <row r="362" ht="9" customHeight="1" hidden="1">
      <c r="I362" s="82"/>
      <c r="J362" s="83"/>
      <c r="K362" s="84">
        <v>45108</v>
      </c>
      <c r="L362" s="85"/>
      <c r="M362" s="28">
        <v>131</v>
      </c>
      <c r="N362" s="29">
        <v>2219.8446742</v>
      </c>
      <c r="O362" s="29">
        <v>8935.1469746</v>
      </c>
    </row>
    <row r="363" ht="9" customHeight="1" hidden="1">
      <c r="I363" s="82"/>
      <c r="J363" t="s" s="86">
        <v>5016</v>
      </c>
      <c r="K363" s="87"/>
      <c r="L363" s="85"/>
      <c r="M363" s="28">
        <v>131</v>
      </c>
      <c r="N363" s="29">
        <v>2219.8446742</v>
      </c>
      <c r="O363" s="29">
        <v>8935.1469746</v>
      </c>
    </row>
    <row r="364" ht="16.1" customHeight="1">
      <c r="I364" t="s" s="126">
        <v>161</v>
      </c>
      <c r="J364" s="127"/>
      <c r="K364" s="127"/>
      <c r="L364" s="128"/>
      <c r="M364" s="129">
        <v>131</v>
      </c>
      <c r="N364" s="142">
        <v>2219.8446742</v>
      </c>
      <c r="O364" s="142">
        <v>8935.1469746</v>
      </c>
    </row>
    <row r="365" ht="9" customHeight="1" hidden="1">
      <c r="I365" s="77"/>
      <c r="J365" s="78"/>
      <c r="K365" s="78"/>
      <c r="L365" t="s" s="79">
        <v>1717</v>
      </c>
      <c r="M365" s="80">
        <v>2</v>
      </c>
      <c r="N365" s="81">
        <v>99.98999999999999</v>
      </c>
      <c r="O365" s="81">
        <v>199.98</v>
      </c>
    </row>
    <row r="366" ht="9" customHeight="1" hidden="1">
      <c r="I366" s="77"/>
      <c r="J366" s="78"/>
      <c r="K366" s="78"/>
      <c r="L366" t="s" s="79">
        <v>1961</v>
      </c>
      <c r="M366" s="80">
        <v>1</v>
      </c>
      <c r="N366" s="81">
        <v>109.99</v>
      </c>
      <c r="O366" s="81">
        <v>109.99</v>
      </c>
    </row>
    <row r="367" ht="9" customHeight="1" hidden="1">
      <c r="I367" s="82"/>
      <c r="J367" s="83"/>
      <c r="K367" s="84">
        <v>45108</v>
      </c>
      <c r="L367" s="85"/>
      <c r="M367" s="28">
        <v>3</v>
      </c>
      <c r="N367" s="29">
        <v>209.98</v>
      </c>
      <c r="O367" s="29">
        <v>309.97</v>
      </c>
    </row>
    <row r="368" ht="9" customHeight="1" hidden="1">
      <c r="I368" s="82"/>
      <c r="J368" t="s" s="86">
        <v>4825</v>
      </c>
      <c r="K368" s="87"/>
      <c r="L368" s="85"/>
      <c r="M368" s="28">
        <v>3</v>
      </c>
      <c r="N368" s="29">
        <v>209.98</v>
      </c>
      <c r="O368" s="29">
        <v>309.97</v>
      </c>
    </row>
    <row r="369" ht="16.1" customHeight="1">
      <c r="I369" t="s" s="126">
        <v>4826</v>
      </c>
      <c r="J369" s="127"/>
      <c r="K369" s="127"/>
      <c r="L369" s="128"/>
      <c r="M369" s="129">
        <v>3</v>
      </c>
      <c r="N369" s="142">
        <v>209.98</v>
      </c>
      <c r="O369" s="142">
        <v>309.97</v>
      </c>
    </row>
    <row r="370" ht="9" customHeight="1" hidden="1">
      <c r="I370" s="77"/>
      <c r="J370" s="78"/>
      <c r="K370" s="78"/>
      <c r="L370" t="s" s="79">
        <v>95</v>
      </c>
      <c r="M370" s="80">
        <v>1</v>
      </c>
      <c r="N370" s="81">
        <v>349.99</v>
      </c>
      <c r="O370" s="81">
        <v>349.99</v>
      </c>
    </row>
    <row r="371" ht="9" customHeight="1" hidden="1">
      <c r="I371" s="82"/>
      <c r="J371" s="83"/>
      <c r="K371" s="84">
        <v>45108</v>
      </c>
      <c r="L371" s="85"/>
      <c r="M371" s="28">
        <v>1</v>
      </c>
      <c r="N371" s="29">
        <v>349.99</v>
      </c>
      <c r="O371" s="29">
        <v>349.99</v>
      </c>
    </row>
    <row r="372" ht="9" customHeight="1" hidden="1">
      <c r="I372" s="82"/>
      <c r="J372" t="s" s="86">
        <v>5054</v>
      </c>
      <c r="K372" s="87"/>
      <c r="L372" s="85"/>
      <c r="M372" s="28">
        <v>1</v>
      </c>
      <c r="N372" s="29">
        <v>349.99</v>
      </c>
      <c r="O372" s="29">
        <v>349.99</v>
      </c>
    </row>
    <row r="373" ht="16.1" customHeight="1">
      <c r="I373" t="s" s="126">
        <v>5055</v>
      </c>
      <c r="J373" s="127"/>
      <c r="K373" s="127"/>
      <c r="L373" s="128"/>
      <c r="M373" s="129">
        <v>1</v>
      </c>
      <c r="N373" s="142">
        <v>349.99</v>
      </c>
      <c r="O373" s="142">
        <v>349.99</v>
      </c>
    </row>
    <row r="374" ht="9" customHeight="1" hidden="1">
      <c r="I374" s="77"/>
      <c r="J374" s="78"/>
      <c r="K374" s="78"/>
      <c r="L374" t="s" s="79">
        <v>84</v>
      </c>
      <c r="M374" s="80">
        <v>1</v>
      </c>
      <c r="N374" s="81">
        <v>15</v>
      </c>
      <c r="O374" s="81">
        <v>15</v>
      </c>
    </row>
    <row r="375" ht="9" customHeight="1" hidden="1">
      <c r="I375" s="77"/>
      <c r="J375" s="78"/>
      <c r="K375" s="78"/>
      <c r="L375" t="s" s="79">
        <v>23</v>
      </c>
      <c r="M375" s="80">
        <v>1</v>
      </c>
      <c r="N375" s="81">
        <v>149.99</v>
      </c>
      <c r="O375" s="81">
        <v>149.99</v>
      </c>
    </row>
    <row r="376" ht="9" customHeight="1" hidden="1">
      <c r="I376" s="77"/>
      <c r="J376" s="78"/>
      <c r="K376" s="78"/>
      <c r="L376" t="s" s="79">
        <v>1729</v>
      </c>
      <c r="M376" s="80">
        <v>1</v>
      </c>
      <c r="N376" s="81">
        <v>14.99</v>
      </c>
      <c r="O376" s="81">
        <v>14.99</v>
      </c>
    </row>
    <row r="377" ht="9" customHeight="1" hidden="1">
      <c r="I377" s="82"/>
      <c r="J377" s="83"/>
      <c r="K377" s="84">
        <v>45108</v>
      </c>
      <c r="L377" s="85"/>
      <c r="M377" s="28">
        <v>3</v>
      </c>
      <c r="N377" s="29">
        <v>179.98</v>
      </c>
      <c r="O377" s="29">
        <v>179.98</v>
      </c>
    </row>
    <row r="378" ht="9" customHeight="1" hidden="1">
      <c r="I378" s="82"/>
      <c r="J378" t="s" s="86">
        <v>4855</v>
      </c>
      <c r="K378" s="87"/>
      <c r="L378" s="85"/>
      <c r="M378" s="28">
        <v>3</v>
      </c>
      <c r="N378" s="29">
        <v>179.98</v>
      </c>
      <c r="O378" s="29">
        <v>179.98</v>
      </c>
    </row>
    <row r="379" ht="16.1" customHeight="1">
      <c r="I379" t="s" s="126">
        <v>4856</v>
      </c>
      <c r="J379" s="127"/>
      <c r="K379" s="127"/>
      <c r="L379" s="128"/>
      <c r="M379" s="129">
        <v>3</v>
      </c>
      <c r="N379" s="142">
        <v>179.98</v>
      </c>
      <c r="O379" s="142">
        <v>179.98</v>
      </c>
    </row>
    <row r="380" ht="9" customHeight="1" hidden="1">
      <c r="I380" s="77"/>
      <c r="J380" s="78"/>
      <c r="K380" s="78"/>
      <c r="L380" t="s" s="79">
        <v>11</v>
      </c>
      <c r="M380" s="80">
        <v>1</v>
      </c>
      <c r="N380" s="81">
        <v>399.99</v>
      </c>
      <c r="O380" s="81">
        <v>399.99</v>
      </c>
    </row>
    <row r="381" ht="9" customHeight="1" hidden="1">
      <c r="I381" s="82"/>
      <c r="J381" s="83"/>
      <c r="K381" s="84">
        <v>45108</v>
      </c>
      <c r="L381" s="85"/>
      <c r="M381" s="28">
        <v>1</v>
      </c>
      <c r="N381" s="29">
        <v>399.99</v>
      </c>
      <c r="O381" s="29">
        <v>399.99</v>
      </c>
    </row>
    <row r="382" ht="9" customHeight="1" hidden="1">
      <c r="I382" s="82"/>
      <c r="J382" t="s" s="86">
        <v>5011</v>
      </c>
      <c r="K382" s="87"/>
      <c r="L382" s="85"/>
      <c r="M382" s="28">
        <v>1</v>
      </c>
      <c r="N382" s="29">
        <v>399.99</v>
      </c>
      <c r="O382" s="29">
        <v>399.99</v>
      </c>
    </row>
    <row r="383" ht="16.1" customHeight="1">
      <c r="I383" t="s" s="126">
        <v>5012</v>
      </c>
      <c r="J383" s="127"/>
      <c r="K383" s="127"/>
      <c r="L383" s="128"/>
      <c r="M383" s="129">
        <v>1</v>
      </c>
      <c r="N383" s="142">
        <v>399.99</v>
      </c>
      <c r="O383" s="142">
        <v>399.99</v>
      </c>
    </row>
    <row r="384" ht="9" customHeight="1" hidden="1">
      <c r="I384" s="77"/>
      <c r="J384" s="78"/>
      <c r="K384" s="78"/>
      <c r="L384" t="s" s="79">
        <v>1896</v>
      </c>
      <c r="M384" s="80">
        <v>2</v>
      </c>
      <c r="N384" s="81">
        <v>64.98999999999999</v>
      </c>
      <c r="O384" s="81">
        <v>129.98</v>
      </c>
    </row>
    <row r="385" ht="9" customHeight="1" hidden="1">
      <c r="I385" s="82"/>
      <c r="J385" s="83"/>
      <c r="K385" s="84">
        <v>45108</v>
      </c>
      <c r="L385" s="85"/>
      <c r="M385" s="28">
        <v>2</v>
      </c>
      <c r="N385" s="29">
        <v>64.98999999999999</v>
      </c>
      <c r="O385" s="29">
        <v>129.98</v>
      </c>
    </row>
    <row r="386" ht="9" customHeight="1" hidden="1">
      <c r="I386" s="82"/>
      <c r="J386" t="s" s="86">
        <v>4947</v>
      </c>
      <c r="K386" s="87"/>
      <c r="L386" s="85"/>
      <c r="M386" s="28">
        <v>2</v>
      </c>
      <c r="N386" s="29">
        <v>64.98999999999999</v>
      </c>
      <c r="O386" s="29">
        <v>129.98</v>
      </c>
    </row>
    <row r="387" ht="16.1" customHeight="1">
      <c r="I387" t="s" s="126">
        <v>4948</v>
      </c>
      <c r="J387" s="127"/>
      <c r="K387" s="127"/>
      <c r="L387" s="128"/>
      <c r="M387" s="129">
        <v>2</v>
      </c>
      <c r="N387" s="142">
        <v>64.98999999999999</v>
      </c>
      <c r="O387" s="142">
        <v>129.98</v>
      </c>
    </row>
    <row r="388" ht="9" customHeight="1" hidden="1">
      <c r="I388" s="77"/>
      <c r="J388" s="78"/>
      <c r="K388" s="78"/>
      <c r="L388" t="s" s="79">
        <v>50</v>
      </c>
      <c r="M388" s="80">
        <v>1</v>
      </c>
      <c r="N388" s="81">
        <v>29.99</v>
      </c>
      <c r="O388" s="81">
        <v>29.99</v>
      </c>
    </row>
    <row r="389" ht="9" customHeight="1" hidden="1">
      <c r="I389" s="82"/>
      <c r="J389" s="83"/>
      <c r="K389" s="84">
        <v>45108</v>
      </c>
      <c r="L389" s="85"/>
      <c r="M389" s="28">
        <v>1</v>
      </c>
      <c r="N389" s="29">
        <v>29.99</v>
      </c>
      <c r="O389" s="29">
        <v>29.99</v>
      </c>
    </row>
    <row r="390" ht="9" customHeight="1" hidden="1">
      <c r="I390" s="82"/>
      <c r="J390" t="s" s="86">
        <v>4940</v>
      </c>
      <c r="K390" s="87"/>
      <c r="L390" s="85"/>
      <c r="M390" s="28">
        <v>1</v>
      </c>
      <c r="N390" s="29">
        <v>29.99</v>
      </c>
      <c r="O390" s="29">
        <v>29.99</v>
      </c>
    </row>
    <row r="391" ht="16.1" customHeight="1">
      <c r="I391" t="s" s="126">
        <v>4941</v>
      </c>
      <c r="J391" s="127"/>
      <c r="K391" s="127"/>
      <c r="L391" s="128"/>
      <c r="M391" s="129">
        <v>1</v>
      </c>
      <c r="N391" s="142">
        <v>29.99</v>
      </c>
      <c r="O391" s="142">
        <v>29.99</v>
      </c>
    </row>
    <row r="392" ht="9" customHeight="1" hidden="1">
      <c r="I392" s="77"/>
      <c r="J392" s="78"/>
      <c r="K392" s="78"/>
      <c r="L392" t="s" s="79">
        <v>73</v>
      </c>
      <c r="M392" s="80">
        <v>2</v>
      </c>
      <c r="N392" s="81">
        <v>299.9925</v>
      </c>
      <c r="O392" s="81">
        <v>599.985</v>
      </c>
    </row>
    <row r="393" ht="9" customHeight="1" hidden="1">
      <c r="I393" s="77"/>
      <c r="J393" s="78"/>
      <c r="K393" s="78"/>
      <c r="L393" t="s" s="79">
        <v>63</v>
      </c>
      <c r="M393" s="80">
        <v>1</v>
      </c>
      <c r="N393" s="81">
        <v>20</v>
      </c>
      <c r="O393" s="81">
        <v>20</v>
      </c>
    </row>
    <row r="394" ht="9" customHeight="1" hidden="1">
      <c r="I394" s="82"/>
      <c r="J394" s="83"/>
      <c r="K394" s="84">
        <v>45108</v>
      </c>
      <c r="L394" s="85"/>
      <c r="M394" s="28">
        <v>3</v>
      </c>
      <c r="N394" s="29">
        <v>319.9925</v>
      </c>
      <c r="O394" s="29">
        <v>619.985</v>
      </c>
    </row>
    <row r="395" ht="9" customHeight="1" hidden="1">
      <c r="I395" s="82"/>
      <c r="J395" t="s" s="86">
        <v>4976</v>
      </c>
      <c r="K395" s="87"/>
      <c r="L395" s="85"/>
      <c r="M395" s="28">
        <v>3</v>
      </c>
      <c r="N395" s="29">
        <v>319.9925</v>
      </c>
      <c r="O395" s="29">
        <v>619.985</v>
      </c>
    </row>
    <row r="396" ht="16.1" customHeight="1">
      <c r="I396" t="s" s="126">
        <v>2829</v>
      </c>
      <c r="J396" s="127"/>
      <c r="K396" s="127"/>
      <c r="L396" s="128"/>
      <c r="M396" s="129">
        <v>3</v>
      </c>
      <c r="N396" s="142">
        <v>319.9925</v>
      </c>
      <c r="O396" s="142">
        <v>619.985</v>
      </c>
    </row>
    <row r="397" ht="9" customHeight="1" hidden="1">
      <c r="I397" s="77"/>
      <c r="J397" s="78"/>
      <c r="K397" s="78"/>
      <c r="L397" t="s" s="79">
        <v>165</v>
      </c>
      <c r="M397" s="80">
        <v>2</v>
      </c>
      <c r="N397" s="81">
        <v>0</v>
      </c>
      <c r="O397" s="81">
        <v>0</v>
      </c>
    </row>
    <row r="398" ht="9" customHeight="1" hidden="1">
      <c r="I398" s="77"/>
      <c r="J398" s="78"/>
      <c r="K398" s="78"/>
      <c r="L398" t="s" s="79">
        <v>225</v>
      </c>
      <c r="M398" s="80">
        <v>2</v>
      </c>
      <c r="N398" s="81">
        <v>499.99</v>
      </c>
      <c r="O398" s="81">
        <v>999.98</v>
      </c>
    </row>
    <row r="399" ht="9" customHeight="1" hidden="1">
      <c r="I399" s="77"/>
      <c r="J399" s="78"/>
      <c r="K399" s="78"/>
      <c r="L399" t="s" s="79">
        <v>133</v>
      </c>
      <c r="M399" s="80">
        <v>2</v>
      </c>
      <c r="N399" s="81">
        <v>199.99</v>
      </c>
      <c r="O399" s="81">
        <v>399.98</v>
      </c>
    </row>
    <row r="400" ht="9" customHeight="1" hidden="1">
      <c r="I400" s="77"/>
      <c r="J400" s="78"/>
      <c r="K400" s="78"/>
      <c r="L400" t="s" s="79">
        <v>73</v>
      </c>
      <c r="M400" s="80">
        <v>1</v>
      </c>
      <c r="N400" s="81">
        <v>399.99</v>
      </c>
      <c r="O400" s="81">
        <v>399.99</v>
      </c>
    </row>
    <row r="401" ht="9" customHeight="1" hidden="1">
      <c r="I401" s="82"/>
      <c r="J401" s="83"/>
      <c r="K401" s="84">
        <v>45108</v>
      </c>
      <c r="L401" s="85"/>
      <c r="M401" s="28">
        <v>7</v>
      </c>
      <c r="N401" s="29">
        <v>1099.97</v>
      </c>
      <c r="O401" s="29">
        <v>1799.95</v>
      </c>
    </row>
    <row r="402" ht="9" customHeight="1" hidden="1">
      <c r="I402" s="82"/>
      <c r="J402" t="s" s="86">
        <v>4949</v>
      </c>
      <c r="K402" s="87"/>
      <c r="L402" s="85"/>
      <c r="M402" s="28">
        <v>7</v>
      </c>
      <c r="N402" s="29">
        <v>1099.97</v>
      </c>
      <c r="O402" s="29">
        <v>1799.95</v>
      </c>
    </row>
    <row r="403" ht="16.1" customHeight="1">
      <c r="I403" t="s" s="126">
        <v>4950</v>
      </c>
      <c r="J403" s="127"/>
      <c r="K403" s="127"/>
      <c r="L403" s="128"/>
      <c r="M403" s="129">
        <v>7</v>
      </c>
      <c r="N403" s="142">
        <v>1099.97</v>
      </c>
      <c r="O403" s="142">
        <v>1799.95</v>
      </c>
    </row>
    <row r="404" ht="9" customHeight="1" hidden="1">
      <c r="I404" s="77"/>
      <c r="J404" s="78"/>
      <c r="K404" s="78"/>
      <c r="L404" t="s" s="79">
        <v>462</v>
      </c>
      <c r="M404" s="80">
        <v>1</v>
      </c>
      <c r="N404" s="81">
        <v>199.99</v>
      </c>
      <c r="O404" s="81">
        <v>199.99</v>
      </c>
    </row>
    <row r="405" ht="9" customHeight="1" hidden="1">
      <c r="I405" s="82"/>
      <c r="J405" s="83"/>
      <c r="K405" s="84">
        <v>45108</v>
      </c>
      <c r="L405" s="85"/>
      <c r="M405" s="28">
        <v>1</v>
      </c>
      <c r="N405" s="29">
        <v>199.99</v>
      </c>
      <c r="O405" s="29">
        <v>199.99</v>
      </c>
    </row>
    <row r="406" ht="9" customHeight="1" hidden="1">
      <c r="I406" s="82"/>
      <c r="J406" t="s" s="86">
        <v>4879</v>
      </c>
      <c r="K406" s="87"/>
      <c r="L406" s="85"/>
      <c r="M406" s="28">
        <v>1</v>
      </c>
      <c r="N406" s="29">
        <v>199.99</v>
      </c>
      <c r="O406" s="29">
        <v>199.99</v>
      </c>
    </row>
    <row r="407" ht="16.1" customHeight="1">
      <c r="I407" t="s" s="126">
        <v>4880</v>
      </c>
      <c r="J407" s="127"/>
      <c r="K407" s="127"/>
      <c r="L407" s="128"/>
      <c r="M407" s="129">
        <v>1</v>
      </c>
      <c r="N407" s="142">
        <v>199.99</v>
      </c>
      <c r="O407" s="142">
        <v>199.99</v>
      </c>
    </row>
    <row r="408" ht="9" customHeight="1" hidden="1">
      <c r="I408" s="77"/>
      <c r="J408" s="78"/>
      <c r="K408" s="78"/>
      <c r="L408" t="s" s="79">
        <v>254</v>
      </c>
      <c r="M408" s="80">
        <v>1</v>
      </c>
      <c r="N408" s="81">
        <v>0</v>
      </c>
      <c r="O408" s="81">
        <v>0</v>
      </c>
    </row>
    <row r="409" ht="9" customHeight="1" hidden="1">
      <c r="I409" s="77"/>
      <c r="J409" s="78"/>
      <c r="K409" s="78"/>
      <c r="L409" t="s" s="79">
        <v>762</v>
      </c>
      <c r="M409" s="80">
        <v>1</v>
      </c>
      <c r="N409" s="81">
        <v>0</v>
      </c>
      <c r="O409" s="81">
        <v>0</v>
      </c>
    </row>
    <row r="410" ht="9" customHeight="1" hidden="1">
      <c r="I410" s="82"/>
      <c r="J410" s="83"/>
      <c r="K410" s="84">
        <v>45108</v>
      </c>
      <c r="L410" s="85"/>
      <c r="M410" s="28">
        <v>2</v>
      </c>
      <c r="N410" s="29">
        <v>0</v>
      </c>
      <c r="O410" s="29">
        <v>0</v>
      </c>
    </row>
    <row r="411" ht="9" customHeight="1" hidden="1">
      <c r="I411" s="82"/>
      <c r="J411" t="s" s="86">
        <v>5028</v>
      </c>
      <c r="K411" s="87"/>
      <c r="L411" s="85"/>
      <c r="M411" s="28">
        <v>2</v>
      </c>
      <c r="N411" s="29">
        <v>0</v>
      </c>
      <c r="O411" s="29">
        <v>0</v>
      </c>
    </row>
    <row r="412" ht="16.1" customHeight="1">
      <c r="I412" t="s" s="126">
        <v>4477</v>
      </c>
      <c r="J412" s="127"/>
      <c r="K412" s="127"/>
      <c r="L412" s="128"/>
      <c r="M412" s="129">
        <v>2</v>
      </c>
      <c r="N412" s="142">
        <v>0</v>
      </c>
      <c r="O412" s="142">
        <v>0</v>
      </c>
    </row>
    <row r="413" ht="9" customHeight="1" hidden="1">
      <c r="I413" s="77"/>
      <c r="J413" s="78"/>
      <c r="K413" s="78"/>
      <c r="L413" t="s" s="79">
        <v>19</v>
      </c>
      <c r="M413" s="80">
        <v>2</v>
      </c>
      <c r="N413" s="81">
        <v>119.99</v>
      </c>
      <c r="O413" s="81">
        <v>239.98</v>
      </c>
    </row>
    <row r="414" ht="9" customHeight="1" hidden="1">
      <c r="I414" s="77"/>
      <c r="J414" s="78"/>
      <c r="K414" s="78"/>
      <c r="L414" t="s" s="79">
        <v>73</v>
      </c>
      <c r="M414" s="80">
        <v>1</v>
      </c>
      <c r="N414" s="81">
        <v>399.99</v>
      </c>
      <c r="O414" s="81">
        <v>399.99</v>
      </c>
    </row>
    <row r="415" ht="9" customHeight="1" hidden="1">
      <c r="I415" s="77"/>
      <c r="J415" s="78"/>
      <c r="K415" s="78"/>
      <c r="L415" t="s" s="79">
        <v>15</v>
      </c>
      <c r="M415" s="80">
        <v>2</v>
      </c>
      <c r="N415" s="81">
        <v>8.99</v>
      </c>
      <c r="O415" s="81">
        <v>17.98</v>
      </c>
    </row>
    <row r="416" ht="9" customHeight="1" hidden="1">
      <c r="I416" s="82"/>
      <c r="J416" s="83"/>
      <c r="K416" s="84">
        <v>45108</v>
      </c>
      <c r="L416" s="85"/>
      <c r="M416" s="28">
        <v>5</v>
      </c>
      <c r="N416" s="29">
        <v>528.97</v>
      </c>
      <c r="O416" s="29">
        <v>657.95</v>
      </c>
    </row>
    <row r="417" ht="9" customHeight="1" hidden="1">
      <c r="I417" s="82"/>
      <c r="J417" t="s" s="86">
        <v>4923</v>
      </c>
      <c r="K417" s="87"/>
      <c r="L417" s="85"/>
      <c r="M417" s="28">
        <v>5</v>
      </c>
      <c r="N417" s="29">
        <v>528.97</v>
      </c>
      <c r="O417" s="29">
        <v>657.95</v>
      </c>
    </row>
    <row r="418" ht="16.1" customHeight="1">
      <c r="I418" t="s" s="126">
        <v>4924</v>
      </c>
      <c r="J418" s="127"/>
      <c r="K418" s="127"/>
      <c r="L418" s="128"/>
      <c r="M418" s="129">
        <v>5</v>
      </c>
      <c r="N418" s="142">
        <v>528.97</v>
      </c>
      <c r="O418" s="142">
        <v>657.95</v>
      </c>
    </row>
    <row r="419" ht="9" customHeight="1" hidden="1">
      <c r="I419" s="77"/>
      <c r="J419" s="78"/>
      <c r="K419" s="78"/>
      <c r="L419" t="s" s="79">
        <v>73</v>
      </c>
      <c r="M419" s="80">
        <v>1</v>
      </c>
      <c r="N419" s="81">
        <v>399.99</v>
      </c>
      <c r="O419" s="81">
        <v>399.99</v>
      </c>
    </row>
    <row r="420" ht="9" customHeight="1" hidden="1">
      <c r="I420" s="82"/>
      <c r="J420" s="83"/>
      <c r="K420" s="84">
        <v>45108</v>
      </c>
      <c r="L420" s="85"/>
      <c r="M420" s="28">
        <v>1</v>
      </c>
      <c r="N420" s="29">
        <v>399.99</v>
      </c>
      <c r="O420" s="29">
        <v>399.99</v>
      </c>
    </row>
    <row r="421" ht="9" customHeight="1" hidden="1">
      <c r="I421" s="82"/>
      <c r="J421" t="s" s="86">
        <v>4993</v>
      </c>
      <c r="K421" s="87"/>
      <c r="L421" s="85"/>
      <c r="M421" s="28">
        <v>1</v>
      </c>
      <c r="N421" s="29">
        <v>399.99</v>
      </c>
      <c r="O421" s="29">
        <v>399.99</v>
      </c>
    </row>
    <row r="422" ht="16.1" customHeight="1">
      <c r="I422" t="s" s="126">
        <v>4665</v>
      </c>
      <c r="J422" s="127"/>
      <c r="K422" s="127"/>
      <c r="L422" s="128"/>
      <c r="M422" s="129">
        <v>1</v>
      </c>
      <c r="N422" s="142">
        <v>399.99</v>
      </c>
      <c r="O422" s="142">
        <v>399.99</v>
      </c>
    </row>
    <row r="423" ht="9" customHeight="1" hidden="1">
      <c r="I423" s="77"/>
      <c r="J423" s="78"/>
      <c r="K423" s="78"/>
      <c r="L423" t="s" s="79">
        <v>11</v>
      </c>
      <c r="M423" s="80">
        <v>1</v>
      </c>
      <c r="N423" s="81">
        <v>399.99</v>
      </c>
      <c r="O423" s="81">
        <v>399.99</v>
      </c>
    </row>
    <row r="424" ht="9" customHeight="1" hidden="1">
      <c r="I424" s="82"/>
      <c r="J424" s="83"/>
      <c r="K424" s="84">
        <v>45108</v>
      </c>
      <c r="L424" s="85"/>
      <c r="M424" s="28">
        <v>1</v>
      </c>
      <c r="N424" s="29">
        <v>399.99</v>
      </c>
      <c r="O424" s="29">
        <v>399.99</v>
      </c>
    </row>
    <row r="425" ht="9" customHeight="1" hidden="1">
      <c r="I425" s="82"/>
      <c r="J425" t="s" s="86">
        <v>5031</v>
      </c>
      <c r="K425" s="87"/>
      <c r="L425" s="85"/>
      <c r="M425" s="28">
        <v>1</v>
      </c>
      <c r="N425" s="29">
        <v>399.99</v>
      </c>
      <c r="O425" s="29">
        <v>399.99</v>
      </c>
    </row>
    <row r="426" ht="16.1" customHeight="1">
      <c r="I426" t="s" s="126">
        <v>5032</v>
      </c>
      <c r="J426" s="127"/>
      <c r="K426" s="127"/>
      <c r="L426" s="128"/>
      <c r="M426" s="129">
        <v>1</v>
      </c>
      <c r="N426" s="142">
        <v>399.99</v>
      </c>
      <c r="O426" s="142">
        <v>399.99</v>
      </c>
    </row>
    <row r="427" ht="9" customHeight="1" hidden="1">
      <c r="I427" s="77"/>
      <c r="J427" s="78"/>
      <c r="K427" s="78"/>
      <c r="L427" t="s" s="79">
        <v>11</v>
      </c>
      <c r="M427" s="80">
        <v>1</v>
      </c>
      <c r="N427" s="81">
        <v>399.99</v>
      </c>
      <c r="O427" s="81">
        <v>399.99</v>
      </c>
    </row>
    <row r="428" ht="9" customHeight="1" hidden="1">
      <c r="I428" s="82"/>
      <c r="J428" s="83"/>
      <c r="K428" s="84">
        <v>45108</v>
      </c>
      <c r="L428" s="85"/>
      <c r="M428" s="28">
        <v>1</v>
      </c>
      <c r="N428" s="29">
        <v>399.99</v>
      </c>
      <c r="O428" s="29">
        <v>399.99</v>
      </c>
    </row>
    <row r="429" ht="9" customHeight="1" hidden="1">
      <c r="I429" s="82"/>
      <c r="J429" t="s" s="86">
        <v>4928</v>
      </c>
      <c r="K429" s="87"/>
      <c r="L429" s="85"/>
      <c r="M429" s="28">
        <v>1</v>
      </c>
      <c r="N429" s="29">
        <v>399.99</v>
      </c>
      <c r="O429" s="29">
        <v>399.99</v>
      </c>
    </row>
    <row r="430" ht="16.1" customHeight="1">
      <c r="I430" t="s" s="126">
        <v>4929</v>
      </c>
      <c r="J430" s="127"/>
      <c r="K430" s="127"/>
      <c r="L430" s="128"/>
      <c r="M430" s="129">
        <v>1</v>
      </c>
      <c r="N430" s="142">
        <v>399.99</v>
      </c>
      <c r="O430" s="142">
        <v>399.99</v>
      </c>
    </row>
    <row r="431" ht="9" customHeight="1" hidden="1">
      <c r="I431" s="77"/>
      <c r="J431" s="78"/>
      <c r="K431" s="78"/>
      <c r="L431" t="s" s="79">
        <v>179</v>
      </c>
      <c r="M431" s="80">
        <v>2</v>
      </c>
      <c r="N431" s="81">
        <v>48.43</v>
      </c>
      <c r="O431" s="81">
        <v>96.86</v>
      </c>
    </row>
    <row r="432" ht="9" customHeight="1" hidden="1">
      <c r="I432" s="77"/>
      <c r="J432" s="78"/>
      <c r="K432" s="78"/>
      <c r="L432" t="s" s="79">
        <v>412</v>
      </c>
      <c r="M432" s="80">
        <v>10</v>
      </c>
      <c r="N432" s="81">
        <v>0.43</v>
      </c>
      <c r="O432" s="81">
        <v>4.3</v>
      </c>
    </row>
    <row r="433" ht="9" customHeight="1" hidden="1">
      <c r="I433" s="77"/>
      <c r="J433" s="78"/>
      <c r="K433" s="78"/>
      <c r="L433" t="s" s="79">
        <v>35</v>
      </c>
      <c r="M433" s="80">
        <v>2</v>
      </c>
      <c r="N433" s="81">
        <v>48.42</v>
      </c>
      <c r="O433" s="81">
        <v>96.84</v>
      </c>
    </row>
    <row r="434" ht="9" customHeight="1" hidden="1">
      <c r="I434" s="77"/>
      <c r="J434" s="78"/>
      <c r="K434" s="78"/>
      <c r="L434" t="s" s="79">
        <v>89</v>
      </c>
      <c r="M434" s="80">
        <v>2</v>
      </c>
      <c r="N434" s="81">
        <v>58.42</v>
      </c>
      <c r="O434" s="81">
        <v>116.84</v>
      </c>
    </row>
    <row r="435" ht="9" customHeight="1" hidden="1">
      <c r="I435" s="82"/>
      <c r="J435" s="83"/>
      <c r="K435" s="84">
        <v>45108</v>
      </c>
      <c r="L435" s="85"/>
      <c r="M435" s="28">
        <v>16</v>
      </c>
      <c r="N435" s="29">
        <v>155.7</v>
      </c>
      <c r="O435" s="29">
        <v>314.84</v>
      </c>
    </row>
    <row r="436" ht="9" customHeight="1" hidden="1">
      <c r="I436" s="82"/>
      <c r="J436" t="s" s="86">
        <v>4823</v>
      </c>
      <c r="K436" s="87"/>
      <c r="L436" s="85"/>
      <c r="M436" s="28">
        <v>16</v>
      </c>
      <c r="N436" s="29">
        <v>155.7</v>
      </c>
      <c r="O436" s="29">
        <v>314.84</v>
      </c>
    </row>
    <row r="437" ht="16.1" customHeight="1">
      <c r="I437" t="s" s="126">
        <v>4824</v>
      </c>
      <c r="J437" s="127"/>
      <c r="K437" s="127"/>
      <c r="L437" s="128"/>
      <c r="M437" s="129">
        <v>16</v>
      </c>
      <c r="N437" s="142">
        <v>155.7</v>
      </c>
      <c r="O437" s="142">
        <v>314.84</v>
      </c>
    </row>
    <row r="438" ht="9" customHeight="1" hidden="1">
      <c r="I438" s="77"/>
      <c r="J438" s="78"/>
      <c r="K438" s="78"/>
      <c r="L438" t="s" s="79">
        <v>73</v>
      </c>
      <c r="M438" s="80">
        <v>1</v>
      </c>
      <c r="N438" s="81">
        <v>399.99</v>
      </c>
      <c r="O438" s="81">
        <v>399.99</v>
      </c>
    </row>
    <row r="439" ht="9" customHeight="1" hidden="1">
      <c r="I439" s="82"/>
      <c r="J439" s="83"/>
      <c r="K439" s="84">
        <v>45108</v>
      </c>
      <c r="L439" s="85"/>
      <c r="M439" s="28">
        <v>1</v>
      </c>
      <c r="N439" s="29">
        <v>399.99</v>
      </c>
      <c r="O439" s="29">
        <v>399.99</v>
      </c>
    </row>
    <row r="440" ht="9" customHeight="1" hidden="1">
      <c r="I440" s="82"/>
      <c r="J440" t="s" s="86">
        <v>4971</v>
      </c>
      <c r="K440" s="87"/>
      <c r="L440" s="85"/>
      <c r="M440" s="28">
        <v>1</v>
      </c>
      <c r="N440" s="29">
        <v>399.99</v>
      </c>
      <c r="O440" s="29">
        <v>399.99</v>
      </c>
    </row>
    <row r="441" ht="16.1" customHeight="1">
      <c r="I441" t="s" s="126">
        <v>4972</v>
      </c>
      <c r="J441" s="127"/>
      <c r="K441" s="127"/>
      <c r="L441" s="128"/>
      <c r="M441" s="129">
        <v>1</v>
      </c>
      <c r="N441" s="142">
        <v>399.99</v>
      </c>
      <c r="O441" s="142">
        <v>399.99</v>
      </c>
    </row>
    <row r="442" ht="9" customHeight="1" hidden="1">
      <c r="I442" s="77"/>
      <c r="J442" s="78"/>
      <c r="K442" s="78"/>
      <c r="L442" t="s" s="79">
        <v>133</v>
      </c>
      <c r="M442" s="80">
        <v>1</v>
      </c>
      <c r="N442" s="81">
        <v>199.99</v>
      </c>
      <c r="O442" s="81">
        <v>199.99</v>
      </c>
    </row>
    <row r="443" ht="9" customHeight="1" hidden="1">
      <c r="I443" s="82"/>
      <c r="J443" s="83"/>
      <c r="K443" s="84">
        <v>45108</v>
      </c>
      <c r="L443" s="85"/>
      <c r="M443" s="28">
        <v>1</v>
      </c>
      <c r="N443" s="29">
        <v>199.99</v>
      </c>
      <c r="O443" s="29">
        <v>199.99</v>
      </c>
    </row>
    <row r="444" ht="9" customHeight="1" hidden="1">
      <c r="I444" s="82"/>
      <c r="J444" t="s" s="86">
        <v>4833</v>
      </c>
      <c r="K444" s="87"/>
      <c r="L444" s="85"/>
      <c r="M444" s="28">
        <v>1</v>
      </c>
      <c r="N444" s="29">
        <v>199.99</v>
      </c>
      <c r="O444" s="29">
        <v>199.99</v>
      </c>
    </row>
    <row r="445" ht="16.1" customHeight="1">
      <c r="I445" t="s" s="126">
        <v>4834</v>
      </c>
      <c r="J445" s="127"/>
      <c r="K445" s="127"/>
      <c r="L445" s="128"/>
      <c r="M445" s="129">
        <v>1</v>
      </c>
      <c r="N445" s="142">
        <v>199.99</v>
      </c>
      <c r="O445" s="142">
        <v>199.99</v>
      </c>
    </row>
    <row r="446" ht="9" customHeight="1" hidden="1">
      <c r="I446" s="77"/>
      <c r="J446" s="78"/>
      <c r="K446" s="78"/>
      <c r="L446" t="s" s="79">
        <v>4325</v>
      </c>
      <c r="M446" s="80">
        <v>1</v>
      </c>
      <c r="N446" s="81">
        <v>54.99</v>
      </c>
      <c r="O446" s="81">
        <v>54.99</v>
      </c>
    </row>
    <row r="447" ht="9" customHeight="1" hidden="1">
      <c r="I447" s="77"/>
      <c r="J447" s="78"/>
      <c r="K447" s="78"/>
      <c r="L447" t="s" s="79">
        <v>50</v>
      </c>
      <c r="M447" s="80">
        <v>1</v>
      </c>
      <c r="N447" s="81">
        <v>29.99</v>
      </c>
      <c r="O447" s="81">
        <v>29.99</v>
      </c>
    </row>
    <row r="448" ht="9" customHeight="1" hidden="1">
      <c r="I448" s="82"/>
      <c r="J448" s="83"/>
      <c r="K448" s="84">
        <v>45108</v>
      </c>
      <c r="L448" s="85"/>
      <c r="M448" s="28">
        <v>2</v>
      </c>
      <c r="N448" s="29">
        <v>84.98</v>
      </c>
      <c r="O448" s="29">
        <v>84.98</v>
      </c>
    </row>
    <row r="449" ht="9" customHeight="1" hidden="1">
      <c r="I449" s="82"/>
      <c r="J449" t="s" s="86">
        <v>4969</v>
      </c>
      <c r="K449" s="87"/>
      <c r="L449" s="85"/>
      <c r="M449" s="28">
        <v>2</v>
      </c>
      <c r="N449" s="29">
        <v>84.98</v>
      </c>
      <c r="O449" s="29">
        <v>84.98</v>
      </c>
    </row>
    <row r="450" ht="16.1" customHeight="1">
      <c r="I450" t="s" s="126">
        <v>4970</v>
      </c>
      <c r="J450" s="127"/>
      <c r="K450" s="127"/>
      <c r="L450" s="128"/>
      <c r="M450" s="129">
        <v>2</v>
      </c>
      <c r="N450" s="142">
        <v>84.98</v>
      </c>
      <c r="O450" s="142">
        <v>84.98</v>
      </c>
    </row>
    <row r="451" ht="9" customHeight="1" hidden="1">
      <c r="I451" s="77"/>
      <c r="J451" s="78"/>
      <c r="K451" s="78"/>
      <c r="L451" t="s" s="79">
        <v>11</v>
      </c>
      <c r="M451" s="80">
        <v>1</v>
      </c>
      <c r="N451" s="81">
        <v>399.99</v>
      </c>
      <c r="O451" s="81">
        <v>399.99</v>
      </c>
    </row>
    <row r="452" ht="9" customHeight="1" hidden="1">
      <c r="I452" s="82"/>
      <c r="J452" s="83"/>
      <c r="K452" s="84">
        <v>45108</v>
      </c>
      <c r="L452" s="85"/>
      <c r="M452" s="28">
        <v>1</v>
      </c>
      <c r="N452" s="29">
        <v>399.99</v>
      </c>
      <c r="O452" s="29">
        <v>399.99</v>
      </c>
    </row>
    <row r="453" ht="9" customHeight="1" hidden="1">
      <c r="I453" s="82"/>
      <c r="J453" t="s" s="86">
        <v>4943</v>
      </c>
      <c r="K453" s="87"/>
      <c r="L453" s="85"/>
      <c r="M453" s="28">
        <v>1</v>
      </c>
      <c r="N453" s="29">
        <v>399.99</v>
      </c>
      <c r="O453" s="29">
        <v>399.99</v>
      </c>
    </row>
    <row r="454" ht="16.1" customHeight="1">
      <c r="I454" t="s" s="126">
        <v>4944</v>
      </c>
      <c r="J454" s="127"/>
      <c r="K454" s="127"/>
      <c r="L454" s="128"/>
      <c r="M454" s="129">
        <v>1</v>
      </c>
      <c r="N454" s="142">
        <v>399.99</v>
      </c>
      <c r="O454" s="142">
        <v>399.99</v>
      </c>
    </row>
    <row r="455" ht="9" customHeight="1" hidden="1">
      <c r="I455" s="77"/>
      <c r="J455" s="78"/>
      <c r="K455" s="78"/>
      <c r="L455" t="s" s="79">
        <v>23</v>
      </c>
      <c r="M455" s="80">
        <v>1</v>
      </c>
      <c r="N455" s="81">
        <v>149.99</v>
      </c>
      <c r="O455" s="81">
        <v>149.99</v>
      </c>
    </row>
    <row r="456" ht="9" customHeight="1" hidden="1">
      <c r="I456" s="82"/>
      <c r="J456" s="83"/>
      <c r="K456" s="84">
        <v>45108</v>
      </c>
      <c r="L456" s="85"/>
      <c r="M456" s="28">
        <v>1</v>
      </c>
      <c r="N456" s="29">
        <v>149.99</v>
      </c>
      <c r="O456" s="29">
        <v>149.99</v>
      </c>
    </row>
    <row r="457" ht="9" customHeight="1" hidden="1">
      <c r="I457" s="82"/>
      <c r="J457" t="s" s="86">
        <v>4865</v>
      </c>
      <c r="K457" s="87"/>
      <c r="L457" s="85"/>
      <c r="M457" s="28">
        <v>1</v>
      </c>
      <c r="N457" s="29">
        <v>149.99</v>
      </c>
      <c r="O457" s="29">
        <v>149.99</v>
      </c>
    </row>
    <row r="458" ht="16.1" customHeight="1">
      <c r="I458" t="s" s="126">
        <v>4866</v>
      </c>
      <c r="J458" s="127"/>
      <c r="K458" s="127"/>
      <c r="L458" s="128"/>
      <c r="M458" s="129">
        <v>1</v>
      </c>
      <c r="N458" s="142">
        <v>149.99</v>
      </c>
      <c r="O458" s="142">
        <v>149.99</v>
      </c>
    </row>
    <row r="459" ht="9" customHeight="1" hidden="1">
      <c r="I459" s="77"/>
      <c r="J459" s="78"/>
      <c r="K459" s="78"/>
      <c r="L459" t="s" s="79">
        <v>73</v>
      </c>
      <c r="M459" s="80">
        <v>1</v>
      </c>
      <c r="N459" s="81">
        <v>399.99</v>
      </c>
      <c r="O459" s="81">
        <v>399.99</v>
      </c>
    </row>
    <row r="460" ht="9" customHeight="1" hidden="1">
      <c r="I460" s="82"/>
      <c r="J460" s="83"/>
      <c r="K460" s="84">
        <v>45108</v>
      </c>
      <c r="L460" s="85"/>
      <c r="M460" s="28">
        <v>1</v>
      </c>
      <c r="N460" s="29">
        <v>399.99</v>
      </c>
      <c r="O460" s="29">
        <v>399.99</v>
      </c>
    </row>
    <row r="461" ht="9" customHeight="1" hidden="1">
      <c r="I461" s="82"/>
      <c r="J461" t="s" s="86">
        <v>5037</v>
      </c>
      <c r="K461" s="87"/>
      <c r="L461" s="85"/>
      <c r="M461" s="28">
        <v>1</v>
      </c>
      <c r="N461" s="29">
        <v>399.99</v>
      </c>
      <c r="O461" s="29">
        <v>399.99</v>
      </c>
    </row>
    <row r="462" ht="16.1" customHeight="1">
      <c r="I462" t="s" s="126">
        <v>3870</v>
      </c>
      <c r="J462" s="127"/>
      <c r="K462" s="127"/>
      <c r="L462" s="128"/>
      <c r="M462" s="129">
        <v>1</v>
      </c>
      <c r="N462" s="142">
        <v>399.99</v>
      </c>
      <c r="O462" s="142">
        <v>399.99</v>
      </c>
    </row>
    <row r="463" ht="9" customHeight="1" hidden="1">
      <c r="I463" s="77"/>
      <c r="J463" s="78"/>
      <c r="K463" s="78"/>
      <c r="L463" t="s" s="79">
        <v>3653</v>
      </c>
      <c r="M463" s="80">
        <v>1</v>
      </c>
      <c r="N463" s="81">
        <v>0</v>
      </c>
      <c r="O463" s="81">
        <v>0</v>
      </c>
    </row>
    <row r="464" ht="9" customHeight="1" hidden="1">
      <c r="I464" s="82"/>
      <c r="J464" s="83"/>
      <c r="K464" s="84">
        <v>45108</v>
      </c>
      <c r="L464" s="85"/>
      <c r="M464" s="28">
        <v>1</v>
      </c>
      <c r="N464" s="29">
        <v>0</v>
      </c>
      <c r="O464" s="29">
        <v>0</v>
      </c>
    </row>
    <row r="465" ht="9" customHeight="1" hidden="1">
      <c r="I465" s="82"/>
      <c r="J465" t="s" s="86">
        <v>4986</v>
      </c>
      <c r="K465" s="87"/>
      <c r="L465" s="85"/>
      <c r="M465" s="28">
        <v>1</v>
      </c>
      <c r="N465" s="29">
        <v>0</v>
      </c>
      <c r="O465" s="29">
        <v>0</v>
      </c>
    </row>
    <row r="466" ht="16.1" customHeight="1">
      <c r="I466" t="s" s="126">
        <v>4987</v>
      </c>
      <c r="J466" s="127"/>
      <c r="K466" s="127"/>
      <c r="L466" s="128"/>
      <c r="M466" s="129">
        <v>1</v>
      </c>
      <c r="N466" s="142">
        <v>0</v>
      </c>
      <c r="O466" s="142">
        <v>0</v>
      </c>
    </row>
    <row r="467" ht="9" customHeight="1" hidden="1">
      <c r="I467" s="77"/>
      <c r="J467" s="78"/>
      <c r="K467" s="78"/>
      <c r="L467" t="s" s="79">
        <v>35</v>
      </c>
      <c r="M467" s="80">
        <v>2</v>
      </c>
      <c r="N467" s="81">
        <v>49.99</v>
      </c>
      <c r="O467" s="81">
        <v>99.98</v>
      </c>
    </row>
    <row r="468" ht="9" customHeight="1" hidden="1">
      <c r="I468" s="82"/>
      <c r="J468" s="83"/>
      <c r="K468" s="84">
        <v>45108</v>
      </c>
      <c r="L468" s="85"/>
      <c r="M468" s="28">
        <v>2</v>
      </c>
      <c r="N468" s="29">
        <v>49.99</v>
      </c>
      <c r="O468" s="29">
        <v>99.98</v>
      </c>
    </row>
    <row r="469" ht="9" customHeight="1" hidden="1">
      <c r="I469" s="82"/>
      <c r="J469" t="s" s="86">
        <v>4910</v>
      </c>
      <c r="K469" s="87"/>
      <c r="L469" s="85"/>
      <c r="M469" s="28">
        <v>2</v>
      </c>
      <c r="N469" s="29">
        <v>49.99</v>
      </c>
      <c r="O469" s="29">
        <v>99.98</v>
      </c>
    </row>
    <row r="470" ht="16.1" customHeight="1">
      <c r="I470" t="s" s="126">
        <v>4911</v>
      </c>
      <c r="J470" s="127"/>
      <c r="K470" s="127"/>
      <c r="L470" s="128"/>
      <c r="M470" s="129">
        <v>2</v>
      </c>
      <c r="N470" s="142">
        <v>49.99</v>
      </c>
      <c r="O470" s="142">
        <v>99.98</v>
      </c>
    </row>
    <row r="471" ht="9" customHeight="1" hidden="1">
      <c r="I471" s="77"/>
      <c r="J471" s="78"/>
      <c r="K471" s="78"/>
      <c r="L471" t="s" s="79">
        <v>35</v>
      </c>
      <c r="M471" s="80">
        <v>1</v>
      </c>
      <c r="N471" s="81">
        <v>49.99</v>
      </c>
      <c r="O471" s="81">
        <v>49.99</v>
      </c>
    </row>
    <row r="472" ht="9" customHeight="1" hidden="1">
      <c r="I472" s="77"/>
      <c r="J472" s="78"/>
      <c r="K472" s="78"/>
      <c r="L472" t="s" s="79">
        <v>31</v>
      </c>
      <c r="M472" s="80">
        <v>1</v>
      </c>
      <c r="N472" s="81">
        <v>599.99</v>
      </c>
      <c r="O472" s="81">
        <v>599.99</v>
      </c>
    </row>
    <row r="473" ht="9" customHeight="1" hidden="1">
      <c r="I473" s="82"/>
      <c r="J473" s="83"/>
      <c r="K473" s="84">
        <v>45108</v>
      </c>
      <c r="L473" s="85"/>
      <c r="M473" s="28">
        <v>2</v>
      </c>
      <c r="N473" s="29">
        <v>649.98</v>
      </c>
      <c r="O473" s="29">
        <v>649.98</v>
      </c>
    </row>
    <row r="474" ht="9" customHeight="1" hidden="1">
      <c r="I474" s="82"/>
      <c r="J474" t="s" s="86">
        <v>5038</v>
      </c>
      <c r="K474" s="87"/>
      <c r="L474" s="85"/>
      <c r="M474" s="28">
        <v>2</v>
      </c>
      <c r="N474" s="29">
        <v>649.98</v>
      </c>
      <c r="O474" s="29">
        <v>649.98</v>
      </c>
    </row>
    <row r="475" ht="9" customHeight="1" hidden="1">
      <c r="I475" s="77"/>
      <c r="J475" s="78"/>
      <c r="K475" s="78"/>
      <c r="L475" t="s" s="79">
        <v>35</v>
      </c>
      <c r="M475" s="80">
        <v>1</v>
      </c>
      <c r="N475" s="81">
        <v>49.99</v>
      </c>
      <c r="O475" s="81">
        <v>49.99</v>
      </c>
    </row>
    <row r="476" ht="9" customHeight="1" hidden="1">
      <c r="I476" s="82"/>
      <c r="J476" s="83"/>
      <c r="K476" s="84">
        <v>45108</v>
      </c>
      <c r="L476" s="85"/>
      <c r="M476" s="28">
        <v>1</v>
      </c>
      <c r="N476" s="29">
        <v>49.99</v>
      </c>
      <c r="O476" s="29">
        <v>49.99</v>
      </c>
    </row>
    <row r="477" ht="9" customHeight="1" hidden="1">
      <c r="I477" s="82"/>
      <c r="J477" t="s" s="86">
        <v>4977</v>
      </c>
      <c r="K477" s="87"/>
      <c r="L477" s="85"/>
      <c r="M477" s="28">
        <v>1</v>
      </c>
      <c r="N477" s="29">
        <v>49.99</v>
      </c>
      <c r="O477" s="29">
        <v>49.99</v>
      </c>
    </row>
    <row r="478" ht="16.1" customHeight="1">
      <c r="I478" t="s" s="126">
        <v>4978</v>
      </c>
      <c r="J478" s="127"/>
      <c r="K478" s="127"/>
      <c r="L478" s="128"/>
      <c r="M478" s="129">
        <v>3</v>
      </c>
      <c r="N478" s="142">
        <v>699.97</v>
      </c>
      <c r="O478" s="142">
        <v>699.97</v>
      </c>
    </row>
    <row r="479" ht="9" customHeight="1" hidden="1">
      <c r="I479" s="77"/>
      <c r="J479" s="78"/>
      <c r="K479" s="78"/>
      <c r="L479" t="s" s="79">
        <v>602</v>
      </c>
      <c r="M479" s="80">
        <v>1</v>
      </c>
      <c r="N479" s="81">
        <v>299.99</v>
      </c>
      <c r="O479" s="81">
        <v>299.99</v>
      </c>
    </row>
    <row r="480" ht="9" customHeight="1" hidden="1">
      <c r="I480" s="82"/>
      <c r="J480" s="83"/>
      <c r="K480" s="84">
        <v>45108</v>
      </c>
      <c r="L480" s="85"/>
      <c r="M480" s="28">
        <v>1</v>
      </c>
      <c r="N480" s="29">
        <v>299.99</v>
      </c>
      <c r="O480" s="29">
        <v>299.99</v>
      </c>
    </row>
    <row r="481" ht="9" customHeight="1" hidden="1">
      <c r="I481" s="82"/>
      <c r="J481" t="s" s="86">
        <v>4908</v>
      </c>
      <c r="K481" s="87"/>
      <c r="L481" s="85"/>
      <c r="M481" s="28">
        <v>1</v>
      </c>
      <c r="N481" s="29">
        <v>299.99</v>
      </c>
      <c r="O481" s="29">
        <v>299.99</v>
      </c>
    </row>
    <row r="482" ht="16.1" customHeight="1">
      <c r="I482" t="s" s="126">
        <v>4909</v>
      </c>
      <c r="J482" s="127"/>
      <c r="K482" s="127"/>
      <c r="L482" s="128"/>
      <c r="M482" s="129">
        <v>1</v>
      </c>
      <c r="N482" s="142">
        <v>299.99</v>
      </c>
      <c r="O482" s="142">
        <v>299.99</v>
      </c>
    </row>
    <row r="483" ht="9" customHeight="1" hidden="1">
      <c r="I483" s="77"/>
      <c r="J483" s="78"/>
      <c r="K483" s="78"/>
      <c r="L483" t="s" s="79">
        <v>1695</v>
      </c>
      <c r="M483" s="80">
        <v>1</v>
      </c>
      <c r="N483" s="81">
        <v>49.99</v>
      </c>
      <c r="O483" s="81">
        <v>49.99</v>
      </c>
    </row>
    <row r="484" ht="9" customHeight="1" hidden="1">
      <c r="I484" s="77"/>
      <c r="J484" s="78"/>
      <c r="K484" s="78"/>
      <c r="L484" t="s" s="79">
        <v>15</v>
      </c>
      <c r="M484" s="80">
        <v>1</v>
      </c>
      <c r="N484" s="81">
        <v>8.99</v>
      </c>
      <c r="O484" s="81">
        <v>8.99</v>
      </c>
    </row>
    <row r="485" ht="9" customHeight="1" hidden="1">
      <c r="I485" s="82"/>
      <c r="J485" s="83"/>
      <c r="K485" s="84">
        <v>45108</v>
      </c>
      <c r="L485" s="85"/>
      <c r="M485" s="28">
        <v>2</v>
      </c>
      <c r="N485" s="29">
        <v>58.98</v>
      </c>
      <c r="O485" s="29">
        <v>58.98</v>
      </c>
    </row>
    <row r="486" ht="9" customHeight="1" hidden="1">
      <c r="I486" s="82"/>
      <c r="J486" t="s" s="86">
        <v>4867</v>
      </c>
      <c r="K486" s="87"/>
      <c r="L486" s="85"/>
      <c r="M486" s="28">
        <v>2</v>
      </c>
      <c r="N486" s="29">
        <v>58.98</v>
      </c>
      <c r="O486" s="29">
        <v>58.98</v>
      </c>
    </row>
    <row r="487" ht="16.1" customHeight="1">
      <c r="I487" t="s" s="126">
        <v>4868</v>
      </c>
      <c r="J487" s="127"/>
      <c r="K487" s="127"/>
      <c r="L487" s="128"/>
      <c r="M487" s="129">
        <v>2</v>
      </c>
      <c r="N487" s="142">
        <v>58.98</v>
      </c>
      <c r="O487" s="142">
        <v>58.98</v>
      </c>
    </row>
    <row r="488" ht="9" customHeight="1" hidden="1">
      <c r="I488" s="77"/>
      <c r="J488" s="78"/>
      <c r="K488" s="78"/>
      <c r="L488" t="s" s="79">
        <v>1226</v>
      </c>
      <c r="M488" s="80">
        <v>1</v>
      </c>
      <c r="N488" s="81">
        <v>4.4925</v>
      </c>
      <c r="O488" s="81">
        <v>4.4925</v>
      </c>
    </row>
    <row r="489" ht="9" customHeight="1" hidden="1">
      <c r="I489" s="77"/>
      <c r="J489" s="78"/>
      <c r="K489" s="78"/>
      <c r="L489" t="s" s="79">
        <v>412</v>
      </c>
      <c r="M489" s="80">
        <v>50</v>
      </c>
      <c r="N489" s="81">
        <v>0</v>
      </c>
      <c r="O489" s="81">
        <v>0</v>
      </c>
    </row>
    <row r="490" ht="9" customHeight="1" hidden="1">
      <c r="I490" s="82"/>
      <c r="J490" s="83"/>
      <c r="K490" s="84">
        <v>45108</v>
      </c>
      <c r="L490" s="85"/>
      <c r="M490" s="28">
        <v>51</v>
      </c>
      <c r="N490" s="29">
        <v>4.4925</v>
      </c>
      <c r="O490" s="29">
        <v>4.4925</v>
      </c>
    </row>
    <row r="491" ht="9" customHeight="1" hidden="1">
      <c r="I491" s="82"/>
      <c r="J491" t="s" s="86">
        <v>5051</v>
      </c>
      <c r="K491" s="87"/>
      <c r="L491" s="85"/>
      <c r="M491" s="28">
        <v>51</v>
      </c>
      <c r="N491" s="29">
        <v>4.4925</v>
      </c>
      <c r="O491" s="29">
        <v>4.4925</v>
      </c>
    </row>
    <row r="492" ht="16.1" customHeight="1">
      <c r="I492" t="s" s="126">
        <v>831</v>
      </c>
      <c r="J492" s="127"/>
      <c r="K492" s="127"/>
      <c r="L492" s="128"/>
      <c r="M492" s="129">
        <v>51</v>
      </c>
      <c r="N492" s="142">
        <v>4.4925</v>
      </c>
      <c r="O492" s="142">
        <v>4.4925</v>
      </c>
    </row>
    <row r="493" ht="9" customHeight="1" hidden="1">
      <c r="I493" s="77"/>
      <c r="J493" s="78"/>
      <c r="K493" s="78"/>
      <c r="L493" t="s" s="79">
        <v>50</v>
      </c>
      <c r="M493" s="80">
        <v>1</v>
      </c>
      <c r="N493" s="81">
        <v>29.99</v>
      </c>
      <c r="O493" s="81">
        <v>29.99</v>
      </c>
    </row>
    <row r="494" ht="9" customHeight="1" hidden="1">
      <c r="I494" s="82"/>
      <c r="J494" s="83"/>
      <c r="K494" s="84">
        <v>45108</v>
      </c>
      <c r="L494" s="85"/>
      <c r="M494" s="28">
        <v>1</v>
      </c>
      <c r="N494" s="29">
        <v>29.99</v>
      </c>
      <c r="O494" s="29">
        <v>29.99</v>
      </c>
    </row>
    <row r="495" ht="9" customHeight="1" hidden="1">
      <c r="I495" s="82"/>
      <c r="J495" t="s" s="86">
        <v>4991</v>
      </c>
      <c r="K495" s="87"/>
      <c r="L495" s="85"/>
      <c r="M495" s="28">
        <v>1</v>
      </c>
      <c r="N495" s="29">
        <v>29.99</v>
      </c>
      <c r="O495" s="29">
        <v>29.99</v>
      </c>
    </row>
    <row r="496" ht="16.1" customHeight="1">
      <c r="I496" t="s" s="126">
        <v>4992</v>
      </c>
      <c r="J496" s="127"/>
      <c r="K496" s="127"/>
      <c r="L496" s="128"/>
      <c r="M496" s="129">
        <v>1</v>
      </c>
      <c r="N496" s="142">
        <v>29.99</v>
      </c>
      <c r="O496" s="142">
        <v>29.99</v>
      </c>
    </row>
    <row r="497" ht="9" customHeight="1" hidden="1">
      <c r="I497" s="77"/>
      <c r="J497" s="78"/>
      <c r="K497" s="78"/>
      <c r="L497" t="s" s="79">
        <v>95</v>
      </c>
      <c r="M497" s="80">
        <v>1</v>
      </c>
      <c r="N497" s="81">
        <v>349.99</v>
      </c>
      <c r="O497" s="81">
        <v>349.99</v>
      </c>
    </row>
    <row r="498" ht="9" customHeight="1" hidden="1">
      <c r="I498" s="82"/>
      <c r="J498" s="83"/>
      <c r="K498" s="84">
        <v>45108</v>
      </c>
      <c r="L498" s="85"/>
      <c r="M498" s="28">
        <v>1</v>
      </c>
      <c r="N498" s="29">
        <v>349.99</v>
      </c>
      <c r="O498" s="29">
        <v>349.99</v>
      </c>
    </row>
    <row r="499" ht="9" customHeight="1" hidden="1">
      <c r="I499" s="82"/>
      <c r="J499" t="s" s="86">
        <v>4912</v>
      </c>
      <c r="K499" s="87"/>
      <c r="L499" s="85"/>
      <c r="M499" s="28">
        <v>1</v>
      </c>
      <c r="N499" s="29">
        <v>349.99</v>
      </c>
      <c r="O499" s="29">
        <v>349.99</v>
      </c>
    </row>
    <row r="500" ht="16.1" customHeight="1">
      <c r="I500" t="s" s="126">
        <v>4913</v>
      </c>
      <c r="J500" s="127"/>
      <c r="K500" s="127"/>
      <c r="L500" s="128"/>
      <c r="M500" s="129">
        <v>1</v>
      </c>
      <c r="N500" s="142">
        <v>349.99</v>
      </c>
      <c r="O500" s="142">
        <v>349.99</v>
      </c>
    </row>
    <row r="501" ht="9" customHeight="1" hidden="1">
      <c r="I501" s="77"/>
      <c r="J501" s="78"/>
      <c r="K501" s="78"/>
      <c r="L501" t="s" s="79">
        <v>89</v>
      </c>
      <c r="M501" s="80">
        <v>1</v>
      </c>
      <c r="N501" s="81">
        <v>59.99</v>
      </c>
      <c r="O501" s="81">
        <v>59.99</v>
      </c>
    </row>
    <row r="502" ht="9" customHeight="1" hidden="1">
      <c r="I502" s="82"/>
      <c r="J502" s="83"/>
      <c r="K502" s="84">
        <v>45108</v>
      </c>
      <c r="L502" s="85"/>
      <c r="M502" s="28">
        <v>1</v>
      </c>
      <c r="N502" s="29">
        <v>59.99</v>
      </c>
      <c r="O502" s="29">
        <v>59.99</v>
      </c>
    </row>
    <row r="503" ht="9" customHeight="1" hidden="1">
      <c r="I503" s="82"/>
      <c r="J503" t="s" s="86">
        <v>4918</v>
      </c>
      <c r="K503" s="87"/>
      <c r="L503" s="85"/>
      <c r="M503" s="28">
        <v>1</v>
      </c>
      <c r="N503" s="29">
        <v>59.99</v>
      </c>
      <c r="O503" s="29">
        <v>59.99</v>
      </c>
    </row>
    <row r="504" ht="16.1" customHeight="1">
      <c r="I504" t="s" s="126">
        <v>4919</v>
      </c>
      <c r="J504" s="127"/>
      <c r="K504" s="127"/>
      <c r="L504" s="128"/>
      <c r="M504" s="129">
        <v>1</v>
      </c>
      <c r="N504" s="142">
        <v>59.99</v>
      </c>
      <c r="O504" s="142">
        <v>59.99</v>
      </c>
    </row>
    <row r="505" ht="9" customHeight="1" hidden="1">
      <c r="I505" s="77"/>
      <c r="J505" s="78"/>
      <c r="K505" s="78"/>
      <c r="L505" t="s" s="79">
        <v>15</v>
      </c>
      <c r="M505" s="80">
        <v>2</v>
      </c>
      <c r="N505" s="81">
        <v>8.99</v>
      </c>
      <c r="O505" s="81">
        <v>17.98</v>
      </c>
    </row>
    <row r="506" ht="9" customHeight="1" hidden="1">
      <c r="I506" s="82"/>
      <c r="J506" s="83"/>
      <c r="K506" s="84">
        <v>45108</v>
      </c>
      <c r="L506" s="85"/>
      <c r="M506" s="28">
        <v>2</v>
      </c>
      <c r="N506" s="29">
        <v>8.99</v>
      </c>
      <c r="O506" s="29">
        <v>17.98</v>
      </c>
    </row>
    <row r="507" ht="9" customHeight="1" hidden="1">
      <c r="I507" s="82"/>
      <c r="J507" t="s" s="86">
        <v>4847</v>
      </c>
      <c r="K507" s="87"/>
      <c r="L507" s="85"/>
      <c r="M507" s="28">
        <v>2</v>
      </c>
      <c r="N507" s="29">
        <v>8.99</v>
      </c>
      <c r="O507" s="29">
        <v>17.98</v>
      </c>
    </row>
    <row r="508" ht="16.1" customHeight="1">
      <c r="I508" t="s" s="126">
        <v>4848</v>
      </c>
      <c r="J508" s="127"/>
      <c r="K508" s="127"/>
      <c r="L508" s="128"/>
      <c r="M508" s="129">
        <v>2</v>
      </c>
      <c r="N508" s="142">
        <v>8.99</v>
      </c>
      <c r="O508" s="142">
        <v>17.98</v>
      </c>
    </row>
    <row r="509" ht="9" customHeight="1" hidden="1">
      <c r="I509" s="77"/>
      <c r="J509" s="78"/>
      <c r="K509" s="78"/>
      <c r="L509" t="s" s="79">
        <v>2961</v>
      </c>
      <c r="M509" s="80">
        <v>100</v>
      </c>
      <c r="N509" s="81">
        <v>14</v>
      </c>
      <c r="O509" s="81">
        <v>1400</v>
      </c>
    </row>
    <row r="510" ht="9" customHeight="1" hidden="1">
      <c r="I510" s="77"/>
      <c r="J510" s="78"/>
      <c r="K510" s="78"/>
      <c r="L510" t="s" s="79">
        <v>559</v>
      </c>
      <c r="M510" s="80">
        <v>100</v>
      </c>
      <c r="N510" s="81">
        <v>0</v>
      </c>
      <c r="O510" s="81">
        <v>0</v>
      </c>
    </row>
    <row r="511" ht="9" customHeight="1" hidden="1">
      <c r="I511" s="77"/>
      <c r="J511" s="78"/>
      <c r="K511" s="78"/>
      <c r="L511" t="s" s="79">
        <v>63</v>
      </c>
      <c r="M511" s="80">
        <v>1</v>
      </c>
      <c r="N511" s="81">
        <v>125</v>
      </c>
      <c r="O511" s="81">
        <v>125</v>
      </c>
    </row>
    <row r="512" ht="9" customHeight="1" hidden="1">
      <c r="I512" s="82"/>
      <c r="J512" s="83"/>
      <c r="K512" s="84">
        <v>45108</v>
      </c>
      <c r="L512" s="85"/>
      <c r="M512" s="28">
        <v>201</v>
      </c>
      <c r="N512" s="29">
        <v>139</v>
      </c>
      <c r="O512" s="29">
        <v>1525</v>
      </c>
    </row>
    <row r="513" ht="9" customHeight="1" hidden="1">
      <c r="I513" s="82"/>
      <c r="J513" t="s" s="86">
        <v>4958</v>
      </c>
      <c r="K513" s="87"/>
      <c r="L513" s="85"/>
      <c r="M513" s="28">
        <v>201</v>
      </c>
      <c r="N513" s="29">
        <v>139</v>
      </c>
      <c r="O513" s="29">
        <v>1525</v>
      </c>
    </row>
    <row r="514" ht="16.1" customHeight="1">
      <c r="I514" t="s" s="126">
        <v>391</v>
      </c>
      <c r="J514" s="127"/>
      <c r="K514" s="127"/>
      <c r="L514" s="128"/>
      <c r="M514" s="129">
        <v>201</v>
      </c>
      <c r="N514" s="142">
        <v>139</v>
      </c>
      <c r="O514" s="142">
        <v>1525</v>
      </c>
    </row>
    <row r="515" ht="9" customHeight="1" hidden="1">
      <c r="I515" s="77"/>
      <c r="J515" s="78"/>
      <c r="K515" s="78"/>
      <c r="L515" t="s" s="79">
        <v>95</v>
      </c>
      <c r="M515" s="80">
        <v>2</v>
      </c>
      <c r="N515" s="81">
        <v>314.991</v>
      </c>
      <c r="O515" s="81">
        <v>629.982</v>
      </c>
    </row>
    <row r="516" ht="9" customHeight="1" hidden="1">
      <c r="I516" s="82"/>
      <c r="J516" s="83"/>
      <c r="K516" s="84">
        <v>45108</v>
      </c>
      <c r="L516" s="85"/>
      <c r="M516" s="28">
        <v>2</v>
      </c>
      <c r="N516" s="29">
        <v>314.991</v>
      </c>
      <c r="O516" s="29">
        <v>629.982</v>
      </c>
    </row>
    <row r="517" ht="9" customHeight="1" hidden="1">
      <c r="I517" s="82"/>
      <c r="J517" t="s" s="86">
        <v>4901</v>
      </c>
      <c r="K517" s="87"/>
      <c r="L517" s="85"/>
      <c r="M517" s="28">
        <v>2</v>
      </c>
      <c r="N517" s="29">
        <v>314.991</v>
      </c>
      <c r="O517" s="29">
        <v>629.982</v>
      </c>
    </row>
    <row r="518" ht="16.1" customHeight="1">
      <c r="I518" t="s" s="126">
        <v>2940</v>
      </c>
      <c r="J518" s="127"/>
      <c r="K518" s="127"/>
      <c r="L518" s="128"/>
      <c r="M518" s="129">
        <v>2</v>
      </c>
      <c r="N518" s="142">
        <v>314.991</v>
      </c>
      <c r="O518" s="142">
        <v>629.982</v>
      </c>
    </row>
    <row r="519" ht="9" customHeight="1" hidden="1">
      <c r="I519" s="77"/>
      <c r="J519" s="78"/>
      <c r="K519" s="78"/>
      <c r="L519" t="s" s="79">
        <v>89</v>
      </c>
      <c r="M519" s="80">
        <v>1</v>
      </c>
      <c r="N519" s="81">
        <v>59.99</v>
      </c>
      <c r="O519" s="81">
        <v>59.99</v>
      </c>
    </row>
    <row r="520" ht="9" customHeight="1" hidden="1">
      <c r="I520" s="82"/>
      <c r="J520" s="83"/>
      <c r="K520" s="84">
        <v>45108</v>
      </c>
      <c r="L520" s="85"/>
      <c r="M520" s="28">
        <v>1</v>
      </c>
      <c r="N520" s="29">
        <v>59.99</v>
      </c>
      <c r="O520" s="29">
        <v>59.99</v>
      </c>
    </row>
    <row r="521" ht="9" customHeight="1" hidden="1">
      <c r="I521" s="82"/>
      <c r="J521" t="s" s="86">
        <v>4916</v>
      </c>
      <c r="K521" s="87"/>
      <c r="L521" s="85"/>
      <c r="M521" s="28">
        <v>1</v>
      </c>
      <c r="N521" s="29">
        <v>59.99</v>
      </c>
      <c r="O521" s="29">
        <v>59.99</v>
      </c>
    </row>
    <row r="522" ht="16.1" customHeight="1">
      <c r="I522" t="s" s="126">
        <v>4917</v>
      </c>
      <c r="J522" s="127"/>
      <c r="K522" s="127"/>
      <c r="L522" s="128"/>
      <c r="M522" s="129">
        <v>1</v>
      </c>
      <c r="N522" s="142">
        <v>59.99</v>
      </c>
      <c r="O522" s="142">
        <v>59.99</v>
      </c>
    </row>
    <row r="523" ht="9" customHeight="1" hidden="1">
      <c r="I523" s="77"/>
      <c r="J523" s="78"/>
      <c r="K523" s="78"/>
      <c r="L523" t="s" s="79">
        <v>19</v>
      </c>
      <c r="M523" s="80">
        <v>2</v>
      </c>
      <c r="N523" s="81">
        <v>119.99</v>
      </c>
      <c r="O523" s="81">
        <v>239.98</v>
      </c>
    </row>
    <row r="524" ht="9" customHeight="1" hidden="1">
      <c r="I524" s="77"/>
      <c r="J524" s="78"/>
      <c r="K524" s="78"/>
      <c r="L524" t="s" s="79">
        <v>15</v>
      </c>
      <c r="M524" s="80">
        <v>2</v>
      </c>
      <c r="N524" s="81">
        <v>8.99</v>
      </c>
      <c r="O524" s="81">
        <v>17.98</v>
      </c>
    </row>
    <row r="525" ht="9" customHeight="1" hidden="1">
      <c r="I525" s="82"/>
      <c r="J525" s="83"/>
      <c r="K525" s="84">
        <v>45108</v>
      </c>
      <c r="L525" s="85"/>
      <c r="M525" s="28">
        <v>4</v>
      </c>
      <c r="N525" s="29">
        <v>128.98</v>
      </c>
      <c r="O525" s="29">
        <v>257.96</v>
      </c>
    </row>
    <row r="526" ht="9" customHeight="1" hidden="1">
      <c r="I526" s="82"/>
      <c r="J526" t="s" s="86">
        <v>5036</v>
      </c>
      <c r="K526" s="87"/>
      <c r="L526" s="85"/>
      <c r="M526" s="28">
        <v>4</v>
      </c>
      <c r="N526" s="29">
        <v>128.98</v>
      </c>
      <c r="O526" s="29">
        <v>257.96</v>
      </c>
    </row>
    <row r="527" ht="16.1" customHeight="1">
      <c r="I527" t="s" s="126">
        <v>212</v>
      </c>
      <c r="J527" s="127"/>
      <c r="K527" s="127"/>
      <c r="L527" s="128"/>
      <c r="M527" s="129">
        <v>4</v>
      </c>
      <c r="N527" s="142">
        <v>128.98</v>
      </c>
      <c r="O527" s="142">
        <v>257.96</v>
      </c>
    </row>
    <row r="528" ht="9" customHeight="1" hidden="1">
      <c r="I528" s="77"/>
      <c r="J528" s="78"/>
      <c r="K528" s="78"/>
      <c r="L528" t="s" s="79">
        <v>19</v>
      </c>
      <c r="M528" s="80">
        <v>4</v>
      </c>
      <c r="N528" s="81">
        <v>119.99</v>
      </c>
      <c r="O528" s="81">
        <v>479.96</v>
      </c>
    </row>
    <row r="529" ht="9" customHeight="1" hidden="1">
      <c r="I529" s="77"/>
      <c r="J529" s="78"/>
      <c r="K529" s="78"/>
      <c r="L529" t="s" s="79">
        <v>227</v>
      </c>
      <c r="M529" s="80">
        <v>2</v>
      </c>
      <c r="N529" s="81">
        <v>29.99</v>
      </c>
      <c r="O529" s="81">
        <v>59.98</v>
      </c>
    </row>
    <row r="530" ht="9" customHeight="1" hidden="1">
      <c r="I530" s="77"/>
      <c r="J530" s="78"/>
      <c r="K530" s="78"/>
      <c r="L530" t="s" s="79">
        <v>84</v>
      </c>
      <c r="M530" s="80">
        <v>1</v>
      </c>
      <c r="N530" s="81">
        <v>0</v>
      </c>
      <c r="O530" s="81">
        <v>0</v>
      </c>
    </row>
    <row r="531" ht="9" customHeight="1" hidden="1">
      <c r="I531" s="77"/>
      <c r="J531" s="78"/>
      <c r="K531" s="78"/>
      <c r="L531" t="s" s="79">
        <v>23</v>
      </c>
      <c r="M531" s="80">
        <v>1</v>
      </c>
      <c r="N531" s="81">
        <v>0</v>
      </c>
      <c r="O531" s="81">
        <v>0</v>
      </c>
    </row>
    <row r="532" ht="9" customHeight="1" hidden="1">
      <c r="I532" s="77"/>
      <c r="J532" s="78"/>
      <c r="K532" s="78"/>
      <c r="L532" t="s" s="79">
        <v>81</v>
      </c>
      <c r="M532" s="80">
        <v>1</v>
      </c>
      <c r="N532" s="81">
        <v>849.99</v>
      </c>
      <c r="O532" s="81">
        <v>849.99</v>
      </c>
    </row>
    <row r="533" ht="9" customHeight="1" hidden="1">
      <c r="I533" s="77"/>
      <c r="J533" s="78"/>
      <c r="K533" s="78"/>
      <c r="L533" t="s" s="79">
        <v>50</v>
      </c>
      <c r="M533" s="80">
        <v>1</v>
      </c>
      <c r="N533" s="81">
        <v>0</v>
      </c>
      <c r="O533" s="81">
        <v>0</v>
      </c>
    </row>
    <row r="534" ht="9" customHeight="1" hidden="1">
      <c r="I534" s="77"/>
      <c r="J534" s="78"/>
      <c r="K534" s="78"/>
      <c r="L534" t="s" s="79">
        <v>15</v>
      </c>
      <c r="M534" s="80">
        <v>4</v>
      </c>
      <c r="N534" s="81">
        <v>8.99</v>
      </c>
      <c r="O534" s="81">
        <v>35.96</v>
      </c>
    </row>
    <row r="535" ht="9" customHeight="1" hidden="1">
      <c r="I535" s="82"/>
      <c r="J535" s="83"/>
      <c r="K535" s="84">
        <v>45108</v>
      </c>
      <c r="L535" s="85"/>
      <c r="M535" s="28">
        <v>14</v>
      </c>
      <c r="N535" s="29">
        <v>1008.96</v>
      </c>
      <c r="O535" s="29">
        <v>1425.89</v>
      </c>
    </row>
    <row r="536" ht="9" customHeight="1" hidden="1">
      <c r="I536" s="82"/>
      <c r="J536" t="s" s="86">
        <v>4936</v>
      </c>
      <c r="K536" s="87"/>
      <c r="L536" s="85"/>
      <c r="M536" s="28">
        <v>14</v>
      </c>
      <c r="N536" s="29">
        <v>1008.96</v>
      </c>
      <c r="O536" s="29">
        <v>1425.89</v>
      </c>
    </row>
    <row r="537" ht="16.1" customHeight="1">
      <c r="I537" t="s" s="126">
        <v>4937</v>
      </c>
      <c r="J537" s="127"/>
      <c r="K537" s="127"/>
      <c r="L537" s="128"/>
      <c r="M537" s="129">
        <v>14</v>
      </c>
      <c r="N537" s="142">
        <v>1008.96</v>
      </c>
      <c r="O537" s="142">
        <v>1425.89</v>
      </c>
    </row>
    <row r="538" ht="9" customHeight="1" hidden="1">
      <c r="I538" s="77"/>
      <c r="J538" s="78"/>
      <c r="K538" s="78"/>
      <c r="L538" t="s" s="79">
        <v>171</v>
      </c>
      <c r="M538" s="80">
        <v>1</v>
      </c>
      <c r="N538" s="81">
        <v>549.99</v>
      </c>
      <c r="O538" s="81">
        <v>549.99</v>
      </c>
    </row>
    <row r="539" ht="9" customHeight="1" hidden="1">
      <c r="I539" s="82"/>
      <c r="J539" s="83"/>
      <c r="K539" s="84">
        <v>45108</v>
      </c>
      <c r="L539" s="85"/>
      <c r="M539" s="28">
        <v>1</v>
      </c>
      <c r="N539" s="29">
        <v>549.99</v>
      </c>
      <c r="O539" s="29">
        <v>549.99</v>
      </c>
    </row>
    <row r="540" ht="9" customHeight="1" hidden="1">
      <c r="I540" s="82"/>
      <c r="J540" t="s" s="86">
        <v>4902</v>
      </c>
      <c r="K540" s="87"/>
      <c r="L540" s="85"/>
      <c r="M540" s="28">
        <v>1</v>
      </c>
      <c r="N540" s="29">
        <v>549.99</v>
      </c>
      <c r="O540" s="29">
        <v>549.99</v>
      </c>
    </row>
    <row r="541" ht="16.1" customHeight="1">
      <c r="I541" t="s" s="126">
        <v>4903</v>
      </c>
      <c r="J541" s="127"/>
      <c r="K541" s="127"/>
      <c r="L541" s="128"/>
      <c r="M541" s="129">
        <v>1</v>
      </c>
      <c r="N541" s="142">
        <v>549.99</v>
      </c>
      <c r="O541" s="142">
        <v>549.99</v>
      </c>
    </row>
    <row r="542" ht="9" customHeight="1" hidden="1">
      <c r="I542" s="77"/>
      <c r="J542" s="78"/>
      <c r="K542" s="78"/>
      <c r="L542" t="s" s="79">
        <v>400</v>
      </c>
      <c r="M542" s="80">
        <v>2</v>
      </c>
      <c r="N542" s="81">
        <v>0</v>
      </c>
      <c r="O542" s="81">
        <v>0</v>
      </c>
    </row>
    <row r="543" ht="9" customHeight="1" hidden="1">
      <c r="I543" s="77"/>
      <c r="J543" s="78"/>
      <c r="K543" s="78"/>
      <c r="L543" t="s" s="79">
        <v>3653</v>
      </c>
      <c r="M543" s="80">
        <v>2</v>
      </c>
      <c r="N543" s="81">
        <v>0</v>
      </c>
      <c r="O543" s="81">
        <v>0</v>
      </c>
    </row>
    <row r="544" ht="9" customHeight="1" hidden="1">
      <c r="I544" s="77"/>
      <c r="J544" s="78"/>
      <c r="K544" s="78"/>
      <c r="L544" t="s" s="79">
        <v>2125</v>
      </c>
      <c r="M544" s="80">
        <v>2</v>
      </c>
      <c r="N544" s="81">
        <v>0</v>
      </c>
      <c r="O544" s="81">
        <v>0</v>
      </c>
    </row>
    <row r="545" ht="9" customHeight="1" hidden="1">
      <c r="I545" s="77"/>
      <c r="J545" s="78"/>
      <c r="K545" s="78"/>
      <c r="L545" t="s" s="79">
        <v>5022</v>
      </c>
      <c r="M545" s="80">
        <v>2</v>
      </c>
      <c r="N545" s="81">
        <v>0</v>
      </c>
      <c r="O545" s="81">
        <v>0</v>
      </c>
    </row>
    <row r="546" ht="9" customHeight="1" hidden="1">
      <c r="I546" s="77"/>
      <c r="J546" s="78"/>
      <c r="K546" s="78"/>
      <c r="L546" t="s" s="79">
        <v>2711</v>
      </c>
      <c r="M546" s="80">
        <v>2</v>
      </c>
      <c r="N546" s="81">
        <v>0</v>
      </c>
      <c r="O546" s="81">
        <v>0</v>
      </c>
    </row>
    <row r="547" ht="9" customHeight="1" hidden="1">
      <c r="I547" s="82"/>
      <c r="J547" s="83"/>
      <c r="K547" s="84">
        <v>45108</v>
      </c>
      <c r="L547" s="85"/>
      <c r="M547" s="28">
        <v>10</v>
      </c>
      <c r="N547" s="29">
        <v>0</v>
      </c>
      <c r="O547" s="29">
        <v>0</v>
      </c>
    </row>
    <row r="548" ht="9" customHeight="1" hidden="1">
      <c r="I548" s="82"/>
      <c r="J548" t="s" s="86">
        <v>5021</v>
      </c>
      <c r="K548" s="87"/>
      <c r="L548" s="85"/>
      <c r="M548" s="28">
        <v>10</v>
      </c>
      <c r="N548" s="29">
        <v>0</v>
      </c>
      <c r="O548" s="29">
        <v>0</v>
      </c>
    </row>
    <row r="549" ht="16.1" customHeight="1">
      <c r="I549" t="s" s="126">
        <v>555</v>
      </c>
      <c r="J549" s="127"/>
      <c r="K549" s="127"/>
      <c r="L549" s="128"/>
      <c r="M549" s="129">
        <v>10</v>
      </c>
      <c r="N549" s="142">
        <v>0</v>
      </c>
      <c r="O549" s="142">
        <v>0</v>
      </c>
    </row>
    <row r="550" ht="9" customHeight="1" hidden="1">
      <c r="I550" s="77"/>
      <c r="J550" s="78"/>
      <c r="K550" s="78"/>
      <c r="L550" t="s" s="79">
        <v>1160</v>
      </c>
      <c r="M550" s="80">
        <v>20</v>
      </c>
      <c r="N550" s="81">
        <v>48.7425</v>
      </c>
      <c r="O550" s="81">
        <v>974.85</v>
      </c>
    </row>
    <row r="551" ht="9" customHeight="1" hidden="1">
      <c r="I551" s="77"/>
      <c r="J551" s="78"/>
      <c r="K551" s="78"/>
      <c r="L551" t="s" s="79">
        <v>63</v>
      </c>
      <c r="M551" s="80">
        <v>1</v>
      </c>
      <c r="N551" s="81">
        <v>40</v>
      </c>
      <c r="O551" s="81">
        <v>40</v>
      </c>
    </row>
    <row r="552" ht="9" customHeight="1" hidden="1">
      <c r="I552" s="82"/>
      <c r="J552" s="83"/>
      <c r="K552" s="84">
        <v>45108</v>
      </c>
      <c r="L552" s="85"/>
      <c r="M552" s="28">
        <v>21</v>
      </c>
      <c r="N552" s="29">
        <v>88.74250000000001</v>
      </c>
      <c r="O552" s="29">
        <v>1014.85</v>
      </c>
    </row>
    <row r="553" ht="9" customHeight="1" hidden="1">
      <c r="I553" s="82"/>
      <c r="J553" t="s" s="86">
        <v>4985</v>
      </c>
      <c r="K553" s="87"/>
      <c r="L553" s="85"/>
      <c r="M553" s="28">
        <v>21</v>
      </c>
      <c r="N553" s="29">
        <v>88.74250000000001</v>
      </c>
      <c r="O553" s="29">
        <v>1014.85</v>
      </c>
    </row>
    <row r="554" ht="9" customHeight="1" hidden="1">
      <c r="I554" s="77"/>
      <c r="J554" s="78"/>
      <c r="K554" s="78"/>
      <c r="L554" t="s" s="79">
        <v>354</v>
      </c>
      <c r="M554" s="80">
        <v>5</v>
      </c>
      <c r="N554" s="81">
        <v>112.4925</v>
      </c>
      <c r="O554" s="81">
        <v>562.4625</v>
      </c>
    </row>
    <row r="555" ht="9" customHeight="1" hidden="1">
      <c r="I555" s="77"/>
      <c r="J555" s="78"/>
      <c r="K555" s="78"/>
      <c r="L555" t="s" s="79">
        <v>63</v>
      </c>
      <c r="M555" s="80">
        <v>1</v>
      </c>
      <c r="N555" s="81">
        <v>20</v>
      </c>
      <c r="O555" s="81">
        <v>20</v>
      </c>
    </row>
    <row r="556" ht="9" customHeight="1" hidden="1">
      <c r="I556" s="82"/>
      <c r="J556" s="83"/>
      <c r="K556" s="84">
        <v>45108</v>
      </c>
      <c r="L556" s="85"/>
      <c r="M556" s="28">
        <v>6</v>
      </c>
      <c r="N556" s="29">
        <v>132.4925</v>
      </c>
      <c r="O556" s="29">
        <v>582.4625</v>
      </c>
    </row>
    <row r="557" ht="9" customHeight="1" hidden="1">
      <c r="I557" s="82"/>
      <c r="J557" t="s" s="86">
        <v>4898</v>
      </c>
      <c r="K557" s="87"/>
      <c r="L557" s="85"/>
      <c r="M557" s="28">
        <v>6</v>
      </c>
      <c r="N557" s="29">
        <v>132.4925</v>
      </c>
      <c r="O557" s="29">
        <v>582.4625</v>
      </c>
    </row>
    <row r="558" ht="9" customHeight="1" hidden="1">
      <c r="I558" s="77"/>
      <c r="J558" s="78"/>
      <c r="K558" s="78"/>
      <c r="L558" t="s" s="79">
        <v>354</v>
      </c>
      <c r="M558" s="80">
        <v>10</v>
      </c>
      <c r="N558" s="81">
        <v>0</v>
      </c>
      <c r="O558" s="81">
        <v>0</v>
      </c>
    </row>
    <row r="559" ht="9" customHeight="1" hidden="1">
      <c r="I559" s="77"/>
      <c r="J559" s="78"/>
      <c r="K559" s="78"/>
      <c r="L559" t="s" s="79">
        <v>106</v>
      </c>
      <c r="M559" s="80">
        <v>10</v>
      </c>
      <c r="N559" s="81">
        <v>48.7425</v>
      </c>
      <c r="O559" s="81">
        <v>487.425</v>
      </c>
    </row>
    <row r="560" ht="9" customHeight="1" hidden="1">
      <c r="I560" s="77"/>
      <c r="J560" s="78"/>
      <c r="K560" s="78"/>
      <c r="L560" t="s" s="79">
        <v>52</v>
      </c>
      <c r="M560" s="80">
        <v>10</v>
      </c>
      <c r="N560" s="81">
        <v>0</v>
      </c>
      <c r="O560" s="81">
        <v>0</v>
      </c>
    </row>
    <row r="561" ht="9" customHeight="1" hidden="1">
      <c r="I561" s="77"/>
      <c r="J561" s="78"/>
      <c r="K561" s="78"/>
      <c r="L561" t="s" s="79">
        <v>50</v>
      </c>
      <c r="M561" s="80">
        <v>10</v>
      </c>
      <c r="N561" s="81">
        <v>0</v>
      </c>
      <c r="O561" s="81">
        <v>0</v>
      </c>
    </row>
    <row r="562" ht="9" customHeight="1" hidden="1">
      <c r="I562" s="77"/>
      <c r="J562" s="78"/>
      <c r="K562" s="78"/>
      <c r="L562" t="s" s="79">
        <v>48</v>
      </c>
      <c r="M562" s="80">
        <v>10</v>
      </c>
      <c r="N562" s="81">
        <v>974.9924999999999</v>
      </c>
      <c r="O562" s="81">
        <v>9749.924999999999</v>
      </c>
    </row>
    <row r="563" ht="9" customHeight="1" hidden="1">
      <c r="I563" s="77"/>
      <c r="J563" s="78"/>
      <c r="K563" s="78"/>
      <c r="L563" t="s" s="79">
        <v>47</v>
      </c>
      <c r="M563" s="80">
        <v>1</v>
      </c>
      <c r="N563" s="81">
        <v>415</v>
      </c>
      <c r="O563" s="81">
        <v>415</v>
      </c>
    </row>
    <row r="564" ht="9" customHeight="1" hidden="1">
      <c r="I564" s="82"/>
      <c r="J564" s="83"/>
      <c r="K564" s="84">
        <v>45108</v>
      </c>
      <c r="L564" s="85"/>
      <c r="M564" s="28">
        <v>51</v>
      </c>
      <c r="N564" s="29">
        <v>1438.735</v>
      </c>
      <c r="O564" s="29">
        <v>10652.35</v>
      </c>
    </row>
    <row r="565" ht="9" customHeight="1" hidden="1">
      <c r="I565" s="82"/>
      <c r="J565" t="s" s="86">
        <v>4890</v>
      </c>
      <c r="K565" s="87"/>
      <c r="L565" s="85"/>
      <c r="M565" s="28">
        <v>51</v>
      </c>
      <c r="N565" s="29">
        <v>1438.735</v>
      </c>
      <c r="O565" s="29">
        <v>10652.35</v>
      </c>
    </row>
    <row r="566" ht="9" customHeight="1" hidden="1">
      <c r="I566" s="77"/>
      <c r="J566" s="78"/>
      <c r="K566" s="78"/>
      <c r="L566" t="s" s="79">
        <v>559</v>
      </c>
      <c r="M566" s="80">
        <v>100</v>
      </c>
      <c r="N566" s="81">
        <v>0</v>
      </c>
      <c r="O566" s="81">
        <v>0</v>
      </c>
    </row>
    <row r="567" ht="9" customHeight="1" hidden="1">
      <c r="I567" s="82"/>
      <c r="J567" s="83"/>
      <c r="K567" s="84">
        <v>45108</v>
      </c>
      <c r="L567" s="85"/>
      <c r="M567" s="28">
        <v>100</v>
      </c>
      <c r="N567" s="29">
        <v>0</v>
      </c>
      <c r="O567" s="29">
        <v>0</v>
      </c>
    </row>
    <row r="568" ht="9" customHeight="1" hidden="1">
      <c r="I568" s="82"/>
      <c r="J568" t="s" s="86">
        <v>4875</v>
      </c>
      <c r="K568" s="87"/>
      <c r="L568" s="85"/>
      <c r="M568" s="28">
        <v>100</v>
      </c>
      <c r="N568" s="29">
        <v>0</v>
      </c>
      <c r="O568" s="29">
        <v>0</v>
      </c>
    </row>
    <row r="569" ht="16.1" customHeight="1">
      <c r="I569" t="s" s="126">
        <v>69</v>
      </c>
      <c r="J569" s="127"/>
      <c r="K569" s="127"/>
      <c r="L569" s="128"/>
      <c r="M569" s="129">
        <v>178</v>
      </c>
      <c r="N569" s="142">
        <v>1659.97</v>
      </c>
      <c r="O569" s="142">
        <v>12249.6625</v>
      </c>
    </row>
    <row r="570" ht="9" customHeight="1" hidden="1">
      <c r="I570" s="77"/>
      <c r="J570" s="78"/>
      <c r="K570" s="78"/>
      <c r="L570" t="s" s="79">
        <v>19</v>
      </c>
      <c r="M570" s="80">
        <v>10</v>
      </c>
      <c r="N570" s="81">
        <v>119.99</v>
      </c>
      <c r="O570" s="81">
        <v>1199.9</v>
      </c>
    </row>
    <row r="571" ht="9" customHeight="1" hidden="1">
      <c r="I571" s="77"/>
      <c r="J571" s="78"/>
      <c r="K571" s="78"/>
      <c r="L571" t="s" s="79">
        <v>15</v>
      </c>
      <c r="M571" s="80">
        <v>12</v>
      </c>
      <c r="N571" s="81">
        <v>17.48</v>
      </c>
      <c r="O571" s="81">
        <v>102.88</v>
      </c>
    </row>
    <row r="572" ht="9" customHeight="1" hidden="1">
      <c r="I572" s="82"/>
      <c r="J572" s="83"/>
      <c r="K572" s="84">
        <v>45108</v>
      </c>
      <c r="L572" s="85"/>
      <c r="M572" s="28">
        <v>22</v>
      </c>
      <c r="N572" s="29">
        <v>137.47</v>
      </c>
      <c r="O572" s="29">
        <v>1302.78</v>
      </c>
    </row>
    <row r="573" ht="9" customHeight="1" hidden="1">
      <c r="I573" s="82"/>
      <c r="J573" t="s" s="86">
        <v>5009</v>
      </c>
      <c r="K573" s="87"/>
      <c r="L573" s="85"/>
      <c r="M573" s="28">
        <v>22</v>
      </c>
      <c r="N573" s="29">
        <v>137.47</v>
      </c>
      <c r="O573" s="29">
        <v>1302.78</v>
      </c>
    </row>
    <row r="574" ht="16.1" customHeight="1">
      <c r="I574" t="s" s="126">
        <v>5010</v>
      </c>
      <c r="J574" s="127"/>
      <c r="K574" s="127"/>
      <c r="L574" s="128"/>
      <c r="M574" s="129">
        <v>22</v>
      </c>
      <c r="N574" s="142">
        <v>137.47</v>
      </c>
      <c r="O574" s="142">
        <v>1302.78</v>
      </c>
    </row>
    <row r="575" ht="9" customHeight="1" hidden="1">
      <c r="I575" s="77"/>
      <c r="J575" s="78"/>
      <c r="K575" s="78"/>
      <c r="L575" t="s" s="79">
        <v>95</v>
      </c>
      <c r="M575" s="80">
        <v>1</v>
      </c>
      <c r="N575" s="81">
        <v>349.99</v>
      </c>
      <c r="O575" s="81">
        <v>349.99</v>
      </c>
    </row>
    <row r="576" ht="9" customHeight="1" hidden="1">
      <c r="I576" s="82"/>
      <c r="J576" s="83"/>
      <c r="K576" s="84">
        <v>45108</v>
      </c>
      <c r="L576" s="85"/>
      <c r="M576" s="28">
        <v>1</v>
      </c>
      <c r="N576" s="29">
        <v>349.99</v>
      </c>
      <c r="O576" s="29">
        <v>349.99</v>
      </c>
    </row>
    <row r="577" ht="9" customHeight="1" hidden="1">
      <c r="I577" s="82"/>
      <c r="J577" t="s" s="86">
        <v>5003</v>
      </c>
      <c r="K577" s="87"/>
      <c r="L577" s="85"/>
      <c r="M577" s="28">
        <v>1</v>
      </c>
      <c r="N577" s="29">
        <v>349.99</v>
      </c>
      <c r="O577" s="29">
        <v>349.99</v>
      </c>
    </row>
    <row r="578" ht="16.1" customHeight="1">
      <c r="I578" t="s" s="126">
        <v>5004</v>
      </c>
      <c r="J578" s="127"/>
      <c r="K578" s="127"/>
      <c r="L578" s="128"/>
      <c r="M578" s="129">
        <v>1</v>
      </c>
      <c r="N578" s="142">
        <v>349.99</v>
      </c>
      <c r="O578" s="142">
        <v>349.99</v>
      </c>
    </row>
    <row r="579" ht="9" customHeight="1" hidden="1">
      <c r="I579" s="77"/>
      <c r="J579" s="78"/>
      <c r="K579" s="78"/>
      <c r="L579" t="s" s="79">
        <v>73</v>
      </c>
      <c r="M579" s="80">
        <v>1</v>
      </c>
      <c r="N579" s="81">
        <v>399.99</v>
      </c>
      <c r="O579" s="81">
        <v>399.99</v>
      </c>
    </row>
    <row r="580" ht="9" customHeight="1" hidden="1">
      <c r="I580" s="82"/>
      <c r="J580" s="83"/>
      <c r="K580" s="84">
        <v>45108</v>
      </c>
      <c r="L580" s="85"/>
      <c r="M580" s="28">
        <v>1</v>
      </c>
      <c r="N580" s="29">
        <v>399.99</v>
      </c>
      <c r="O580" s="29">
        <v>399.99</v>
      </c>
    </row>
    <row r="581" ht="9" customHeight="1" hidden="1">
      <c r="I581" s="82"/>
      <c r="J581" t="s" s="86">
        <v>4942</v>
      </c>
      <c r="K581" s="87"/>
      <c r="L581" s="85"/>
      <c r="M581" s="28">
        <v>1</v>
      </c>
      <c r="N581" s="29">
        <v>399.99</v>
      </c>
      <c r="O581" s="29">
        <v>399.99</v>
      </c>
    </row>
    <row r="582" ht="16.1" customHeight="1">
      <c r="I582" t="s" s="126">
        <v>3189</v>
      </c>
      <c r="J582" s="127"/>
      <c r="K582" s="127"/>
      <c r="L582" s="128"/>
      <c r="M582" s="129">
        <v>1</v>
      </c>
      <c r="N582" s="142">
        <v>399.99</v>
      </c>
      <c r="O582" s="142">
        <v>399.99</v>
      </c>
    </row>
    <row r="583" ht="9" customHeight="1" hidden="1">
      <c r="I583" s="77"/>
      <c r="J583" s="78"/>
      <c r="K583" s="78"/>
      <c r="L583" t="s" s="79">
        <v>266</v>
      </c>
      <c r="M583" s="80">
        <v>10</v>
      </c>
      <c r="N583" s="81">
        <v>0</v>
      </c>
      <c r="O583" s="81">
        <v>0</v>
      </c>
    </row>
    <row r="584" ht="9" customHeight="1" hidden="1">
      <c r="I584" s="77"/>
      <c r="J584" s="78"/>
      <c r="K584" s="78"/>
      <c r="L584" t="s" s="79">
        <v>207</v>
      </c>
      <c r="M584" s="80">
        <v>1</v>
      </c>
      <c r="N584" s="81">
        <v>0</v>
      </c>
      <c r="O584" s="81">
        <v>0</v>
      </c>
    </row>
    <row r="585" ht="9" customHeight="1" hidden="1">
      <c r="I585" s="77"/>
      <c r="J585" s="78"/>
      <c r="K585" s="78"/>
      <c r="L585" t="s" s="79">
        <v>254</v>
      </c>
      <c r="M585" s="80">
        <v>1</v>
      </c>
      <c r="N585" s="81">
        <v>0</v>
      </c>
      <c r="O585" s="81">
        <v>0</v>
      </c>
    </row>
    <row r="586" ht="9" customHeight="1" hidden="1">
      <c r="I586" s="82"/>
      <c r="J586" s="83"/>
      <c r="K586" s="84">
        <v>45108</v>
      </c>
      <c r="L586" s="85"/>
      <c r="M586" s="28">
        <v>12</v>
      </c>
      <c r="N586" s="29">
        <v>0</v>
      </c>
      <c r="O586" s="29">
        <v>0</v>
      </c>
    </row>
    <row r="587" ht="9" customHeight="1" hidden="1">
      <c r="I587" s="82"/>
      <c r="J587" t="s" s="86">
        <v>4932</v>
      </c>
      <c r="K587" s="87"/>
      <c r="L587" s="85"/>
      <c r="M587" s="28">
        <v>12</v>
      </c>
      <c r="N587" s="29">
        <v>0</v>
      </c>
      <c r="O587" s="29">
        <v>0</v>
      </c>
    </row>
    <row r="588" ht="16.1" customHeight="1">
      <c r="I588" t="s" s="126">
        <v>1426</v>
      </c>
      <c r="J588" s="127"/>
      <c r="K588" s="127"/>
      <c r="L588" s="128"/>
      <c r="M588" s="129">
        <v>12</v>
      </c>
      <c r="N588" s="142">
        <v>0</v>
      </c>
      <c r="O588" s="142">
        <v>0</v>
      </c>
    </row>
    <row r="589" ht="9" customHeight="1" hidden="1">
      <c r="I589" s="77"/>
      <c r="J589" s="78"/>
      <c r="K589" s="78"/>
      <c r="L589" t="s" s="79">
        <v>227</v>
      </c>
      <c r="M589" s="80">
        <v>4</v>
      </c>
      <c r="N589" s="81">
        <v>29.99</v>
      </c>
      <c r="O589" s="81">
        <v>119.96</v>
      </c>
    </row>
    <row r="590" ht="9" customHeight="1" hidden="1">
      <c r="I590" s="77"/>
      <c r="J590" s="78"/>
      <c r="K590" s="78"/>
      <c r="L590" t="s" s="79">
        <v>84</v>
      </c>
      <c r="M590" s="80">
        <v>2</v>
      </c>
      <c r="N590" s="81">
        <v>0</v>
      </c>
      <c r="O590" s="81">
        <v>0</v>
      </c>
    </row>
    <row r="591" ht="9" customHeight="1" hidden="1">
      <c r="I591" s="77"/>
      <c r="J591" s="78"/>
      <c r="K591" s="78"/>
      <c r="L591" t="s" s="79">
        <v>660</v>
      </c>
      <c r="M591" s="80">
        <v>2</v>
      </c>
      <c r="N591" s="81">
        <v>5.99</v>
      </c>
      <c r="O591" s="81">
        <v>11.98</v>
      </c>
    </row>
    <row r="592" ht="9" customHeight="1" hidden="1">
      <c r="I592" s="77"/>
      <c r="J592" s="78"/>
      <c r="K592" s="78"/>
      <c r="L592" t="s" s="79">
        <v>23</v>
      </c>
      <c r="M592" s="80">
        <v>2</v>
      </c>
      <c r="N592" s="81">
        <v>0</v>
      </c>
      <c r="O592" s="81">
        <v>0</v>
      </c>
    </row>
    <row r="593" ht="9" customHeight="1" hidden="1">
      <c r="I593" s="77"/>
      <c r="J593" s="78"/>
      <c r="K593" s="78"/>
      <c r="L593" t="s" s="79">
        <v>81</v>
      </c>
      <c r="M593" s="80">
        <v>2</v>
      </c>
      <c r="N593" s="81">
        <v>849.99</v>
      </c>
      <c r="O593" s="81">
        <v>1699.98</v>
      </c>
    </row>
    <row r="594" ht="9" customHeight="1" hidden="1">
      <c r="I594" s="77"/>
      <c r="J594" s="78"/>
      <c r="K594" s="78"/>
      <c r="L594" t="s" s="79">
        <v>50</v>
      </c>
      <c r="M594" s="80">
        <v>2</v>
      </c>
      <c r="N594" s="81">
        <v>0</v>
      </c>
      <c r="O594" s="81">
        <v>0</v>
      </c>
    </row>
    <row r="595" ht="9" customHeight="1" hidden="1">
      <c r="I595" s="82"/>
      <c r="J595" s="83"/>
      <c r="K595" s="84">
        <v>45108</v>
      </c>
      <c r="L595" s="85"/>
      <c r="M595" s="28">
        <v>14</v>
      </c>
      <c r="N595" s="29">
        <v>885.97</v>
      </c>
      <c r="O595" s="29">
        <v>1831.92</v>
      </c>
    </row>
    <row r="596" ht="9" customHeight="1" hidden="1">
      <c r="I596" s="82"/>
      <c r="J596" t="s" s="86">
        <v>4832</v>
      </c>
      <c r="K596" s="87"/>
      <c r="L596" s="85"/>
      <c r="M596" s="28">
        <v>14</v>
      </c>
      <c r="N596" s="29">
        <v>885.97</v>
      </c>
      <c r="O596" s="29">
        <v>1831.92</v>
      </c>
    </row>
    <row r="597" ht="16.1" customHeight="1">
      <c r="I597" t="s" s="126">
        <v>4450</v>
      </c>
      <c r="J597" s="127"/>
      <c r="K597" s="127"/>
      <c r="L597" s="128"/>
      <c r="M597" s="129">
        <v>14</v>
      </c>
      <c r="N597" s="142">
        <v>885.97</v>
      </c>
      <c r="O597" s="142">
        <v>1831.92</v>
      </c>
    </row>
    <row r="598" ht="9" customHeight="1" hidden="1">
      <c r="I598" s="77"/>
      <c r="J598" s="78"/>
      <c r="K598" s="78"/>
      <c r="L598" t="s" s="79">
        <v>19</v>
      </c>
      <c r="M598" s="80">
        <v>1</v>
      </c>
      <c r="N598" s="81">
        <v>119.99</v>
      </c>
      <c r="O598" s="81">
        <v>119.99</v>
      </c>
    </row>
    <row r="599" ht="9" customHeight="1" hidden="1">
      <c r="I599" s="77"/>
      <c r="J599" s="78"/>
      <c r="K599" s="78"/>
      <c r="L599" t="s" s="79">
        <v>54</v>
      </c>
      <c r="M599" s="80">
        <v>1</v>
      </c>
      <c r="N599" s="81">
        <v>9.99</v>
      </c>
      <c r="O599" s="81">
        <v>9.99</v>
      </c>
    </row>
    <row r="600" ht="9" customHeight="1" hidden="1">
      <c r="I600" s="77"/>
      <c r="J600" s="78"/>
      <c r="K600" s="78"/>
      <c r="L600" t="s" s="79">
        <v>15</v>
      </c>
      <c r="M600" s="80">
        <v>2</v>
      </c>
      <c r="N600" s="81">
        <v>17.98</v>
      </c>
      <c r="O600" s="81">
        <v>17.98</v>
      </c>
    </row>
    <row r="601" ht="9" customHeight="1" hidden="1">
      <c r="I601" s="82"/>
      <c r="J601" s="83"/>
      <c r="K601" s="84">
        <v>45108</v>
      </c>
      <c r="L601" s="85"/>
      <c r="M601" s="28">
        <v>4</v>
      </c>
      <c r="N601" s="29">
        <v>147.96</v>
      </c>
      <c r="O601" s="29">
        <v>147.96</v>
      </c>
    </row>
    <row r="602" ht="9" customHeight="1" hidden="1">
      <c r="I602" s="82"/>
      <c r="J602" t="s" s="86">
        <v>4857</v>
      </c>
      <c r="K602" s="87"/>
      <c r="L602" s="85"/>
      <c r="M602" s="28">
        <v>4</v>
      </c>
      <c r="N602" s="29">
        <v>147.96</v>
      </c>
      <c r="O602" s="29">
        <v>147.96</v>
      </c>
    </row>
    <row r="603" ht="16.1" customHeight="1">
      <c r="I603" t="s" s="126">
        <v>4858</v>
      </c>
      <c r="J603" s="127"/>
      <c r="K603" s="127"/>
      <c r="L603" s="128"/>
      <c r="M603" s="129">
        <v>4</v>
      </c>
      <c r="N603" s="142">
        <v>147.96</v>
      </c>
      <c r="O603" s="142">
        <v>147.96</v>
      </c>
    </row>
    <row r="604" ht="9" customHeight="1" hidden="1">
      <c r="I604" s="77"/>
      <c r="J604" s="78"/>
      <c r="K604" s="78"/>
      <c r="L604" t="s" s="79">
        <v>109</v>
      </c>
      <c r="M604" s="80">
        <v>40</v>
      </c>
      <c r="N604" s="81">
        <v>100</v>
      </c>
      <c r="O604" s="81">
        <v>4000</v>
      </c>
    </row>
    <row r="605" ht="9" customHeight="1" hidden="1">
      <c r="I605" s="77"/>
      <c r="J605" s="78"/>
      <c r="K605" s="78"/>
      <c r="L605" t="s" s="79">
        <v>593</v>
      </c>
      <c r="M605" s="80">
        <v>40</v>
      </c>
      <c r="N605" s="81">
        <v>40</v>
      </c>
      <c r="O605" s="81">
        <v>1600</v>
      </c>
    </row>
    <row r="606" ht="9" customHeight="1" hidden="1">
      <c r="I606" s="77"/>
      <c r="J606" s="78"/>
      <c r="K606" s="78"/>
      <c r="L606" t="s" s="79">
        <v>594</v>
      </c>
      <c r="M606" s="80">
        <v>40</v>
      </c>
      <c r="N606" s="81">
        <v>20</v>
      </c>
      <c r="O606" s="81">
        <v>800</v>
      </c>
    </row>
    <row r="607" ht="9" customHeight="1" hidden="1">
      <c r="I607" s="77"/>
      <c r="J607" s="78"/>
      <c r="K607" s="78"/>
      <c r="L607" t="s" s="79">
        <v>63</v>
      </c>
      <c r="M607" s="80">
        <v>1</v>
      </c>
      <c r="N607" s="81">
        <v>100</v>
      </c>
      <c r="O607" s="81">
        <v>100</v>
      </c>
    </row>
    <row r="608" ht="9" customHeight="1" hidden="1">
      <c r="I608" s="82"/>
      <c r="J608" s="83"/>
      <c r="K608" s="84">
        <v>45108</v>
      </c>
      <c r="L608" s="85"/>
      <c r="M608" s="28">
        <v>121</v>
      </c>
      <c r="N608" s="29">
        <v>260</v>
      </c>
      <c r="O608" s="29">
        <v>6500</v>
      </c>
    </row>
    <row r="609" ht="9" customHeight="1" hidden="1">
      <c r="I609" s="82"/>
      <c r="J609" t="s" s="86">
        <v>4956</v>
      </c>
      <c r="K609" s="87"/>
      <c r="L609" s="85"/>
      <c r="M609" s="28">
        <v>121</v>
      </c>
      <c r="N609" s="29">
        <v>260</v>
      </c>
      <c r="O609" s="29">
        <v>6500</v>
      </c>
    </row>
    <row r="610" ht="16.1" customHeight="1">
      <c r="I610" t="s" s="126">
        <v>592</v>
      </c>
      <c r="J610" s="127"/>
      <c r="K610" s="127"/>
      <c r="L610" s="128"/>
      <c r="M610" s="129">
        <v>121</v>
      </c>
      <c r="N610" s="142">
        <v>260</v>
      </c>
      <c r="O610" s="142">
        <v>6500</v>
      </c>
    </row>
    <row r="611" ht="9" customHeight="1" hidden="1">
      <c r="I611" s="77"/>
      <c r="J611" s="78"/>
      <c r="K611" s="78"/>
      <c r="L611" t="s" s="79">
        <v>11</v>
      </c>
      <c r="M611" s="80">
        <v>1</v>
      </c>
      <c r="N611" s="81">
        <v>399.99</v>
      </c>
      <c r="O611" s="81">
        <v>399.99</v>
      </c>
    </row>
    <row r="612" ht="9" customHeight="1" hidden="1">
      <c r="I612" s="82"/>
      <c r="J612" s="83"/>
      <c r="K612" s="84">
        <v>45108</v>
      </c>
      <c r="L612" s="85"/>
      <c r="M612" s="28">
        <v>1</v>
      </c>
      <c r="N612" s="29">
        <v>399.99</v>
      </c>
      <c r="O612" s="29">
        <v>399.99</v>
      </c>
    </row>
    <row r="613" ht="9" customHeight="1" hidden="1">
      <c r="I613" s="82"/>
      <c r="J613" t="s" s="86">
        <v>4979</v>
      </c>
      <c r="K613" s="87"/>
      <c r="L613" s="85"/>
      <c r="M613" s="28">
        <v>1</v>
      </c>
      <c r="N613" s="29">
        <v>399.99</v>
      </c>
      <c r="O613" s="29">
        <v>399.99</v>
      </c>
    </row>
    <row r="614" ht="16.1" customHeight="1">
      <c r="I614" t="s" s="126">
        <v>4980</v>
      </c>
      <c r="J614" s="127"/>
      <c r="K614" s="127"/>
      <c r="L614" s="128"/>
      <c r="M614" s="129">
        <v>1</v>
      </c>
      <c r="N614" s="142">
        <v>399.99</v>
      </c>
      <c r="O614" s="142">
        <v>399.99</v>
      </c>
    </row>
    <row r="615" ht="9" customHeight="1" hidden="1">
      <c r="I615" s="77"/>
      <c r="J615" s="78"/>
      <c r="K615" s="78"/>
      <c r="L615" t="s" s="79">
        <v>50</v>
      </c>
      <c r="M615" s="80">
        <v>2</v>
      </c>
      <c r="N615" s="81">
        <v>0</v>
      </c>
      <c r="O615" s="81">
        <v>0</v>
      </c>
    </row>
    <row r="616" ht="9" customHeight="1" hidden="1">
      <c r="I616" s="77"/>
      <c r="J616" s="78"/>
      <c r="K616" s="78"/>
      <c r="L616" t="s" s="79">
        <v>1155</v>
      </c>
      <c r="M616" s="80">
        <v>2</v>
      </c>
      <c r="N616" s="81">
        <v>1624.99</v>
      </c>
      <c r="O616" s="81">
        <v>3249.98</v>
      </c>
    </row>
    <row r="617" ht="9" customHeight="1" hidden="1">
      <c r="I617" s="77"/>
      <c r="J617" s="78"/>
      <c r="K617" s="78"/>
      <c r="L617" t="s" s="79">
        <v>63</v>
      </c>
      <c r="M617" s="80">
        <v>1</v>
      </c>
      <c r="N617" s="81">
        <v>175</v>
      </c>
      <c r="O617" s="81">
        <v>175</v>
      </c>
    </row>
    <row r="618" ht="9" customHeight="1" hidden="1">
      <c r="I618" s="82"/>
      <c r="J618" s="83"/>
      <c r="K618" s="84">
        <v>45108</v>
      </c>
      <c r="L618" s="85"/>
      <c r="M618" s="28">
        <v>5</v>
      </c>
      <c r="N618" s="29">
        <v>1799.99</v>
      </c>
      <c r="O618" s="29">
        <v>3424.98</v>
      </c>
    </row>
    <row r="619" ht="9" customHeight="1" hidden="1">
      <c r="I619" s="82"/>
      <c r="J619" t="s" s="86">
        <v>4996</v>
      </c>
      <c r="K619" s="87"/>
      <c r="L619" s="85"/>
      <c r="M619" s="28">
        <v>5</v>
      </c>
      <c r="N619" s="29">
        <v>1799.99</v>
      </c>
      <c r="O619" s="29">
        <v>3424.98</v>
      </c>
    </row>
    <row r="620" ht="9" customHeight="1" hidden="1">
      <c r="I620" s="77"/>
      <c r="J620" s="78"/>
      <c r="K620" s="78"/>
      <c r="L620" t="s" s="79">
        <v>50</v>
      </c>
      <c r="M620" s="80">
        <v>6</v>
      </c>
      <c r="N620" s="81">
        <v>0</v>
      </c>
      <c r="O620" s="81">
        <v>0</v>
      </c>
    </row>
    <row r="621" ht="9" customHeight="1" hidden="1">
      <c r="I621" s="77"/>
      <c r="J621" s="78"/>
      <c r="K621" s="78"/>
      <c r="L621" t="s" s="79">
        <v>998</v>
      </c>
      <c r="M621" s="80">
        <v>6</v>
      </c>
      <c r="N621" s="81">
        <v>900</v>
      </c>
      <c r="O621" s="81">
        <v>5400</v>
      </c>
    </row>
    <row r="622" ht="9" customHeight="1" hidden="1">
      <c r="I622" s="77"/>
      <c r="J622" s="78"/>
      <c r="K622" s="78"/>
      <c r="L622" t="s" s="79">
        <v>63</v>
      </c>
      <c r="M622" s="80">
        <v>1</v>
      </c>
      <c r="N622" s="81">
        <v>75</v>
      </c>
      <c r="O622" s="81">
        <v>75</v>
      </c>
    </row>
    <row r="623" ht="9" customHeight="1" hidden="1">
      <c r="I623" s="82"/>
      <c r="J623" s="83"/>
      <c r="K623" s="84">
        <v>45108</v>
      </c>
      <c r="L623" s="85"/>
      <c r="M623" s="28">
        <v>13</v>
      </c>
      <c r="N623" s="29">
        <v>975</v>
      </c>
      <c r="O623" s="29">
        <v>5475</v>
      </c>
    </row>
    <row r="624" ht="9" customHeight="1" hidden="1">
      <c r="I624" s="82"/>
      <c r="J624" t="s" s="86">
        <v>4990</v>
      </c>
      <c r="K624" s="87"/>
      <c r="L624" s="85"/>
      <c r="M624" s="28">
        <v>13</v>
      </c>
      <c r="N624" s="29">
        <v>975</v>
      </c>
      <c r="O624" s="29">
        <v>5475</v>
      </c>
    </row>
    <row r="625" ht="9" customHeight="1" hidden="1">
      <c r="I625" s="77"/>
      <c r="J625" s="78"/>
      <c r="K625" s="78"/>
      <c r="L625" t="s" s="79">
        <v>50</v>
      </c>
      <c r="M625" s="80">
        <v>4</v>
      </c>
      <c r="N625" s="81">
        <v>0</v>
      </c>
      <c r="O625" s="81">
        <v>0</v>
      </c>
    </row>
    <row r="626" ht="9" customHeight="1" hidden="1">
      <c r="I626" s="77"/>
      <c r="J626" s="78"/>
      <c r="K626" s="78"/>
      <c r="L626" t="s" s="79">
        <v>1155</v>
      </c>
      <c r="M626" s="80">
        <v>4</v>
      </c>
      <c r="N626" s="81">
        <v>1624.99</v>
      </c>
      <c r="O626" s="81">
        <v>6499.96</v>
      </c>
    </row>
    <row r="627" ht="9" customHeight="1" hidden="1">
      <c r="I627" s="77"/>
      <c r="J627" s="78"/>
      <c r="K627" s="78"/>
      <c r="L627" t="s" s="79">
        <v>59</v>
      </c>
      <c r="M627" s="80">
        <v>1</v>
      </c>
      <c r="N627" s="81">
        <v>899.9924999999999</v>
      </c>
      <c r="O627" s="81">
        <v>899.9924999999999</v>
      </c>
    </row>
    <row r="628" ht="9" customHeight="1" hidden="1">
      <c r="I628" s="77"/>
      <c r="J628" s="78"/>
      <c r="K628" s="78"/>
      <c r="L628" t="s" s="79">
        <v>47</v>
      </c>
      <c r="M628" s="80">
        <v>1</v>
      </c>
      <c r="N628" s="81">
        <v>120</v>
      </c>
      <c r="O628" s="81">
        <v>120</v>
      </c>
    </row>
    <row r="629" ht="9" customHeight="1" hidden="1">
      <c r="I629" s="82"/>
      <c r="J629" s="83"/>
      <c r="K629" s="84">
        <v>45108</v>
      </c>
      <c r="L629" s="85"/>
      <c r="M629" s="28">
        <v>10</v>
      </c>
      <c r="N629" s="29">
        <v>2644.9825</v>
      </c>
      <c r="O629" s="29">
        <v>7519.9525</v>
      </c>
    </row>
    <row r="630" ht="9" customHeight="1" hidden="1">
      <c r="I630" s="82"/>
      <c r="J630" t="s" s="86">
        <v>4921</v>
      </c>
      <c r="K630" s="87"/>
      <c r="L630" s="85"/>
      <c r="M630" s="28">
        <v>10</v>
      </c>
      <c r="N630" s="29">
        <v>2644.9825</v>
      </c>
      <c r="O630" s="29">
        <v>7519.9525</v>
      </c>
    </row>
    <row r="631" ht="9" customHeight="1" hidden="1">
      <c r="I631" s="77"/>
      <c r="J631" s="78"/>
      <c r="K631" s="78"/>
      <c r="L631" t="s" s="79">
        <v>50</v>
      </c>
      <c r="M631" s="80">
        <v>10</v>
      </c>
      <c r="N631" s="81">
        <v>0</v>
      </c>
      <c r="O631" s="81">
        <v>0</v>
      </c>
    </row>
    <row r="632" ht="9" customHeight="1" hidden="1">
      <c r="I632" s="77"/>
      <c r="J632" s="78"/>
      <c r="K632" s="78"/>
      <c r="L632" t="s" s="79">
        <v>998</v>
      </c>
      <c r="M632" s="80">
        <v>7</v>
      </c>
      <c r="N632" s="81">
        <v>974.9924999999999</v>
      </c>
      <c r="O632" s="81">
        <v>6824.9475</v>
      </c>
    </row>
    <row r="633" ht="9" customHeight="1" hidden="1">
      <c r="I633" s="77"/>
      <c r="J633" s="78"/>
      <c r="K633" s="78"/>
      <c r="L633" t="s" s="79">
        <v>1155</v>
      </c>
      <c r="M633" s="80">
        <v>3</v>
      </c>
      <c r="N633" s="81">
        <v>1624.99</v>
      </c>
      <c r="O633" s="81">
        <v>4874.97</v>
      </c>
    </row>
    <row r="634" ht="9" customHeight="1" hidden="1">
      <c r="I634" s="77"/>
      <c r="J634" s="78"/>
      <c r="K634" s="78"/>
      <c r="L634" t="s" s="79">
        <v>59</v>
      </c>
      <c r="M634" s="80">
        <v>1</v>
      </c>
      <c r="N634" s="81">
        <v>899.9924999999999</v>
      </c>
      <c r="O634" s="81">
        <v>899.9924999999999</v>
      </c>
    </row>
    <row r="635" ht="9" customHeight="1" hidden="1">
      <c r="I635" s="77"/>
      <c r="J635" s="78"/>
      <c r="K635" s="78"/>
      <c r="L635" t="s" s="79">
        <v>63</v>
      </c>
      <c r="M635" s="80">
        <v>1</v>
      </c>
      <c r="N635" s="81">
        <v>350</v>
      </c>
      <c r="O635" s="81">
        <v>350</v>
      </c>
    </row>
    <row r="636" ht="9" customHeight="1" hidden="1">
      <c r="I636" s="82"/>
      <c r="J636" s="83"/>
      <c r="K636" s="84">
        <v>45108</v>
      </c>
      <c r="L636" s="85"/>
      <c r="M636" s="28">
        <v>22</v>
      </c>
      <c r="N636" s="29">
        <v>3849.975</v>
      </c>
      <c r="O636" s="29">
        <v>12949.91</v>
      </c>
    </row>
    <row r="637" ht="9" customHeight="1" hidden="1">
      <c r="I637" s="82"/>
      <c r="J637" t="s" s="86">
        <v>4861</v>
      </c>
      <c r="K637" s="87"/>
      <c r="L637" s="85"/>
      <c r="M637" s="28">
        <v>22</v>
      </c>
      <c r="N637" s="29">
        <v>3849.975</v>
      </c>
      <c r="O637" s="29">
        <v>12949.91</v>
      </c>
    </row>
    <row r="638" ht="9" customHeight="1" hidden="1">
      <c r="I638" s="77"/>
      <c r="J638" s="78"/>
      <c r="K638" s="78"/>
      <c r="L638" t="s" s="79">
        <v>50</v>
      </c>
      <c r="M638" s="80">
        <v>3</v>
      </c>
      <c r="N638" s="81">
        <v>0</v>
      </c>
      <c r="O638" s="81">
        <v>0</v>
      </c>
    </row>
    <row r="639" ht="9" customHeight="1" hidden="1">
      <c r="I639" s="77"/>
      <c r="J639" s="78"/>
      <c r="K639" s="78"/>
      <c r="L639" t="s" s="79">
        <v>1155</v>
      </c>
      <c r="M639" s="80">
        <v>3</v>
      </c>
      <c r="N639" s="81">
        <v>1624.99</v>
      </c>
      <c r="O639" s="81">
        <v>4874.97</v>
      </c>
    </row>
    <row r="640" ht="9" customHeight="1" hidden="1">
      <c r="I640" s="77"/>
      <c r="J640" s="78"/>
      <c r="K640" s="78"/>
      <c r="L640" t="s" s="79">
        <v>59</v>
      </c>
      <c r="M640" s="80">
        <v>1</v>
      </c>
      <c r="N640" s="81">
        <v>899.9924999999999</v>
      </c>
      <c r="O640" s="81">
        <v>899.9924999999999</v>
      </c>
    </row>
    <row r="641" ht="9" customHeight="1" hidden="1">
      <c r="I641" s="77"/>
      <c r="J641" s="78"/>
      <c r="K641" s="78"/>
      <c r="L641" t="s" s="79">
        <v>63</v>
      </c>
      <c r="M641" s="80">
        <v>1</v>
      </c>
      <c r="N641" s="81">
        <v>150</v>
      </c>
      <c r="O641" s="81">
        <v>150</v>
      </c>
    </row>
    <row r="642" ht="9" customHeight="1" hidden="1">
      <c r="I642" s="82"/>
      <c r="J642" s="83"/>
      <c r="K642" s="84">
        <v>45108</v>
      </c>
      <c r="L642" s="85"/>
      <c r="M642" s="28">
        <v>8</v>
      </c>
      <c r="N642" s="29">
        <v>2674.9825</v>
      </c>
      <c r="O642" s="29">
        <v>5924.9625</v>
      </c>
    </row>
    <row r="643" ht="9" customHeight="1" hidden="1">
      <c r="I643" s="82"/>
      <c r="J643" t="s" s="86">
        <v>4864</v>
      </c>
      <c r="K643" s="87"/>
      <c r="L643" s="85"/>
      <c r="M643" s="28">
        <v>8</v>
      </c>
      <c r="N643" s="29">
        <v>2674.9825</v>
      </c>
      <c r="O643" s="29">
        <v>5924.9625</v>
      </c>
    </row>
    <row r="644" ht="9" customHeight="1" hidden="1">
      <c r="I644" s="77"/>
      <c r="J644" s="78"/>
      <c r="K644" s="78"/>
      <c r="L644" t="s" s="79">
        <v>722</v>
      </c>
      <c r="M644" s="80">
        <v>2</v>
      </c>
      <c r="N644" s="81">
        <v>652.4924999999999</v>
      </c>
      <c r="O644" s="81">
        <v>1304.985</v>
      </c>
    </row>
    <row r="645" ht="9" customHeight="1" hidden="1">
      <c r="I645" s="77"/>
      <c r="J645" s="78"/>
      <c r="K645" s="78"/>
      <c r="L645" t="s" s="79">
        <v>50</v>
      </c>
      <c r="M645" s="80">
        <v>2</v>
      </c>
      <c r="N645" s="81">
        <v>0</v>
      </c>
      <c r="O645" s="81">
        <v>0</v>
      </c>
    </row>
    <row r="646" ht="9" customHeight="1" hidden="1">
      <c r="I646" s="77"/>
      <c r="J646" s="78"/>
      <c r="K646" s="78"/>
      <c r="L646" t="s" s="79">
        <v>63</v>
      </c>
      <c r="M646" s="80">
        <v>1</v>
      </c>
      <c r="N646" s="81">
        <v>30</v>
      </c>
      <c r="O646" s="81">
        <v>30</v>
      </c>
    </row>
    <row r="647" ht="9" customHeight="1" hidden="1">
      <c r="I647" s="82"/>
      <c r="J647" s="83"/>
      <c r="K647" s="84">
        <v>45108</v>
      </c>
      <c r="L647" s="85"/>
      <c r="M647" s="28">
        <v>5</v>
      </c>
      <c r="N647" s="29">
        <v>682.4924999999999</v>
      </c>
      <c r="O647" s="29">
        <v>1334.985</v>
      </c>
    </row>
    <row r="648" ht="9" customHeight="1" hidden="1">
      <c r="I648" s="82"/>
      <c r="J648" t="s" s="86">
        <v>4844</v>
      </c>
      <c r="K648" s="87"/>
      <c r="L648" s="85"/>
      <c r="M648" s="28">
        <v>5</v>
      </c>
      <c r="N648" s="29">
        <v>682.4924999999999</v>
      </c>
      <c r="O648" s="29">
        <v>1334.985</v>
      </c>
    </row>
    <row r="649" ht="16.1" customHeight="1">
      <c r="I649" t="s" s="126">
        <v>476</v>
      </c>
      <c r="J649" s="127"/>
      <c r="K649" s="127"/>
      <c r="L649" s="128"/>
      <c r="M649" s="129">
        <v>63</v>
      </c>
      <c r="N649" s="142">
        <v>12627.4225</v>
      </c>
      <c r="O649" s="142">
        <v>36629.79</v>
      </c>
    </row>
    <row r="650" ht="9" customHeight="1" hidden="1">
      <c r="I650" s="77"/>
      <c r="J650" s="78"/>
      <c r="K650" s="78"/>
      <c r="L650" t="s" s="79">
        <v>5014</v>
      </c>
      <c r="M650" s="80">
        <v>1</v>
      </c>
      <c r="N650" s="81">
        <v>3000</v>
      </c>
      <c r="O650" s="81">
        <v>3000</v>
      </c>
    </row>
    <row r="651" ht="9" customHeight="1" hidden="1">
      <c r="I651" s="82"/>
      <c r="J651" s="83"/>
      <c r="K651" s="84">
        <v>45108</v>
      </c>
      <c r="L651" s="85"/>
      <c r="M651" s="28">
        <v>1</v>
      </c>
      <c r="N651" s="29">
        <v>3000</v>
      </c>
      <c r="O651" s="29">
        <v>3000</v>
      </c>
    </row>
    <row r="652" ht="9" customHeight="1" hidden="1">
      <c r="I652" s="82"/>
      <c r="J652" t="s" s="86">
        <v>5013</v>
      </c>
      <c r="K652" s="87"/>
      <c r="L652" s="85"/>
      <c r="M652" s="28">
        <v>1</v>
      </c>
      <c r="N652" s="29">
        <v>3000</v>
      </c>
      <c r="O652" s="29">
        <v>3000</v>
      </c>
    </row>
    <row r="653" ht="16.1" customHeight="1">
      <c r="I653" t="s" s="126">
        <v>896</v>
      </c>
      <c r="J653" s="127"/>
      <c r="K653" s="127"/>
      <c r="L653" s="128"/>
      <c r="M653" s="129">
        <v>1</v>
      </c>
      <c r="N653" s="142">
        <v>3000</v>
      </c>
      <c r="O653" s="142">
        <v>3000</v>
      </c>
    </row>
    <row r="654" ht="9" customHeight="1" hidden="1">
      <c r="I654" s="77"/>
      <c r="J654" s="78"/>
      <c r="K654" s="78"/>
      <c r="L654" t="s" s="79">
        <v>73</v>
      </c>
      <c r="M654" s="80">
        <v>1</v>
      </c>
      <c r="N654" s="81">
        <v>399.99</v>
      </c>
      <c r="O654" s="81">
        <v>399.99</v>
      </c>
    </row>
    <row r="655" ht="9" customHeight="1" hidden="1">
      <c r="I655" s="82"/>
      <c r="J655" s="83"/>
      <c r="K655" s="84">
        <v>45108</v>
      </c>
      <c r="L655" s="85"/>
      <c r="M655" s="28">
        <v>1</v>
      </c>
      <c r="N655" s="29">
        <v>399.99</v>
      </c>
      <c r="O655" s="29">
        <v>399.99</v>
      </c>
    </row>
    <row r="656" ht="9" customHeight="1" hidden="1">
      <c r="I656" s="82"/>
      <c r="J656" t="s" s="86">
        <v>4994</v>
      </c>
      <c r="K656" s="87"/>
      <c r="L656" s="85"/>
      <c r="M656" s="28">
        <v>1</v>
      </c>
      <c r="N656" s="29">
        <v>399.99</v>
      </c>
      <c r="O656" s="29">
        <v>399.99</v>
      </c>
    </row>
    <row r="657" ht="16.1" customHeight="1">
      <c r="I657" t="s" s="126">
        <v>4995</v>
      </c>
      <c r="J657" s="127"/>
      <c r="K657" s="127"/>
      <c r="L657" s="128"/>
      <c r="M657" s="129">
        <v>1</v>
      </c>
      <c r="N657" s="142">
        <v>399.99</v>
      </c>
      <c r="O657" s="142">
        <v>399.99</v>
      </c>
    </row>
    <row r="658" ht="9" customHeight="1" hidden="1">
      <c r="I658" s="77"/>
      <c r="J658" s="78"/>
      <c r="K658" s="78"/>
      <c r="L658" t="s" s="79">
        <v>73</v>
      </c>
      <c r="M658" s="80">
        <v>1</v>
      </c>
      <c r="N658" s="81">
        <v>399.99</v>
      </c>
      <c r="O658" s="81">
        <v>399.99</v>
      </c>
    </row>
    <row r="659" ht="9" customHeight="1" hidden="1">
      <c r="I659" s="82"/>
      <c r="J659" s="83"/>
      <c r="K659" s="84">
        <v>45108</v>
      </c>
      <c r="L659" s="85"/>
      <c r="M659" s="28">
        <v>1</v>
      </c>
      <c r="N659" s="29">
        <v>399.99</v>
      </c>
      <c r="O659" s="29">
        <v>399.99</v>
      </c>
    </row>
    <row r="660" ht="9" customHeight="1" hidden="1">
      <c r="I660" s="82"/>
      <c r="J660" t="s" s="86">
        <v>4827</v>
      </c>
      <c r="K660" s="87"/>
      <c r="L660" s="85"/>
      <c r="M660" s="28">
        <v>1</v>
      </c>
      <c r="N660" s="29">
        <v>399.99</v>
      </c>
      <c r="O660" s="29">
        <v>399.99</v>
      </c>
    </row>
    <row r="661" ht="16.1" customHeight="1">
      <c r="I661" t="s" s="126">
        <v>3755</v>
      </c>
      <c r="J661" s="127"/>
      <c r="K661" s="127"/>
      <c r="L661" s="128"/>
      <c r="M661" s="129">
        <v>1</v>
      </c>
      <c r="N661" s="142">
        <v>399.99</v>
      </c>
      <c r="O661" s="142">
        <v>399.99</v>
      </c>
    </row>
    <row r="662" ht="9" customHeight="1" hidden="1">
      <c r="I662" s="77"/>
      <c r="J662" s="78"/>
      <c r="K662" s="78"/>
      <c r="L662" t="s" s="79">
        <v>19</v>
      </c>
      <c r="M662" s="80">
        <v>1</v>
      </c>
      <c r="N662" s="81">
        <v>119.99</v>
      </c>
      <c r="O662" s="81">
        <v>119.99</v>
      </c>
    </row>
    <row r="663" ht="9" customHeight="1" hidden="1">
      <c r="I663" s="77"/>
      <c r="J663" s="78"/>
      <c r="K663" s="78"/>
      <c r="L663" t="s" s="79">
        <v>227</v>
      </c>
      <c r="M663" s="80">
        <v>4</v>
      </c>
      <c r="N663" s="81">
        <v>29.99</v>
      </c>
      <c r="O663" s="81">
        <v>59.98</v>
      </c>
    </row>
    <row r="664" ht="9" customHeight="1" hidden="1">
      <c r="I664" s="77"/>
      <c r="J664" s="78"/>
      <c r="K664" s="78"/>
      <c r="L664" t="s" s="79">
        <v>225</v>
      </c>
      <c r="M664" s="80">
        <v>2</v>
      </c>
      <c r="N664" s="81">
        <v>499.99</v>
      </c>
      <c r="O664" s="81">
        <v>999.98</v>
      </c>
    </row>
    <row r="665" ht="9" customHeight="1" hidden="1">
      <c r="I665" s="77"/>
      <c r="J665" s="78"/>
      <c r="K665" s="78"/>
      <c r="L665" t="s" s="79">
        <v>133</v>
      </c>
      <c r="M665" s="80">
        <v>1</v>
      </c>
      <c r="N665" s="81">
        <v>199.99</v>
      </c>
      <c r="O665" s="81">
        <v>199.99</v>
      </c>
    </row>
    <row r="666" ht="9" customHeight="1" hidden="1">
      <c r="I666" s="77"/>
      <c r="J666" s="78"/>
      <c r="K666" s="78"/>
      <c r="L666" t="s" s="79">
        <v>682</v>
      </c>
      <c r="M666" s="80">
        <v>1</v>
      </c>
      <c r="N666" s="81">
        <v>249.99</v>
      </c>
      <c r="O666" s="81">
        <v>249.99</v>
      </c>
    </row>
    <row r="667" ht="9" customHeight="1" hidden="1">
      <c r="I667" s="77"/>
      <c r="J667" s="78"/>
      <c r="K667" s="78"/>
      <c r="L667" t="s" s="79">
        <v>35</v>
      </c>
      <c r="M667" s="80">
        <v>2</v>
      </c>
      <c r="N667" s="81">
        <v>49.99</v>
      </c>
      <c r="O667" s="81">
        <v>99.98</v>
      </c>
    </row>
    <row r="668" ht="9" customHeight="1" hidden="1">
      <c r="I668" s="77"/>
      <c r="J668" s="78"/>
      <c r="K668" s="78"/>
      <c r="L668" t="s" s="79">
        <v>31</v>
      </c>
      <c r="M668" s="80">
        <v>1</v>
      </c>
      <c r="N668" s="81">
        <v>599.99</v>
      </c>
      <c r="O668" s="81">
        <v>599.99</v>
      </c>
    </row>
    <row r="669" ht="9" customHeight="1" hidden="1">
      <c r="I669" s="77"/>
      <c r="J669" s="78"/>
      <c r="K669" s="78"/>
      <c r="L669" t="s" s="79">
        <v>73</v>
      </c>
      <c r="M669" s="80">
        <v>1</v>
      </c>
      <c r="N669" s="81">
        <v>399.99</v>
      </c>
      <c r="O669" s="81">
        <v>399.99</v>
      </c>
    </row>
    <row r="670" ht="9" customHeight="1" hidden="1">
      <c r="I670" s="77"/>
      <c r="J670" s="78"/>
      <c r="K670" s="78"/>
      <c r="L670" t="s" s="79">
        <v>15</v>
      </c>
      <c r="M670" s="80">
        <v>1</v>
      </c>
      <c r="N670" s="81">
        <v>8.99</v>
      </c>
      <c r="O670" s="81">
        <v>8.99</v>
      </c>
    </row>
    <row r="671" ht="9" customHeight="1" hidden="1">
      <c r="I671" s="82"/>
      <c r="J671" s="83"/>
      <c r="K671" s="84">
        <v>45108</v>
      </c>
      <c r="L671" s="85"/>
      <c r="M671" s="28">
        <v>14</v>
      </c>
      <c r="N671" s="29">
        <v>2158.91</v>
      </c>
      <c r="O671" s="29">
        <v>2738.88</v>
      </c>
    </row>
    <row r="672" ht="9" customHeight="1" hidden="1">
      <c r="I672" s="82"/>
      <c r="J672" t="s" s="86">
        <v>4852</v>
      </c>
      <c r="K672" s="87"/>
      <c r="L672" s="85"/>
      <c r="M672" s="28">
        <v>14</v>
      </c>
      <c r="N672" s="29">
        <v>2158.91</v>
      </c>
      <c r="O672" s="29">
        <v>2738.88</v>
      </c>
    </row>
    <row r="673" ht="9" customHeight="1" hidden="1">
      <c r="I673" s="77"/>
      <c r="J673" s="78"/>
      <c r="K673" s="78"/>
      <c r="L673" t="s" s="79">
        <v>1961</v>
      </c>
      <c r="M673" s="80">
        <v>2</v>
      </c>
      <c r="N673" s="81">
        <v>0</v>
      </c>
      <c r="O673" s="81">
        <v>0</v>
      </c>
    </row>
    <row r="674" ht="9" customHeight="1" hidden="1">
      <c r="I674" s="77"/>
      <c r="J674" s="78"/>
      <c r="K674" s="78"/>
      <c r="L674" t="s" s="79">
        <v>691</v>
      </c>
      <c r="M674" s="80">
        <v>2</v>
      </c>
      <c r="N674" s="81">
        <v>259.99</v>
      </c>
      <c r="O674" s="81">
        <v>519.98</v>
      </c>
    </row>
    <row r="675" ht="9" customHeight="1" hidden="1">
      <c r="I675" s="82"/>
      <c r="J675" s="83"/>
      <c r="K675" s="84">
        <v>45108</v>
      </c>
      <c r="L675" s="85"/>
      <c r="M675" s="28">
        <v>4</v>
      </c>
      <c r="N675" s="29">
        <v>259.99</v>
      </c>
      <c r="O675" s="29">
        <v>519.98</v>
      </c>
    </row>
    <row r="676" ht="9" customHeight="1" hidden="1">
      <c r="I676" s="82"/>
      <c r="J676" t="s" s="86">
        <v>4863</v>
      </c>
      <c r="K676" s="87"/>
      <c r="L676" s="85"/>
      <c r="M676" s="28">
        <v>4</v>
      </c>
      <c r="N676" s="29">
        <v>259.99</v>
      </c>
      <c r="O676" s="29">
        <v>519.98</v>
      </c>
    </row>
    <row r="677" ht="16.1" customHeight="1">
      <c r="I677" t="s" s="126">
        <v>4853</v>
      </c>
      <c r="J677" s="127"/>
      <c r="K677" s="127"/>
      <c r="L677" s="128"/>
      <c r="M677" s="129">
        <v>18</v>
      </c>
      <c r="N677" s="142">
        <v>2418.9</v>
      </c>
      <c r="O677" s="142">
        <v>3258.86</v>
      </c>
    </row>
    <row r="678" ht="9" customHeight="1" hidden="1">
      <c r="I678" s="77"/>
      <c r="J678" s="78"/>
      <c r="K678" s="78"/>
      <c r="L678" t="s" s="79">
        <v>84</v>
      </c>
      <c r="M678" s="80">
        <v>1</v>
      </c>
      <c r="N678" s="81">
        <v>0</v>
      </c>
      <c r="O678" s="81">
        <v>0</v>
      </c>
    </row>
    <row r="679" ht="9" customHeight="1" hidden="1">
      <c r="I679" s="77"/>
      <c r="J679" s="78"/>
      <c r="K679" s="78"/>
      <c r="L679" t="s" s="79">
        <v>23</v>
      </c>
      <c r="M679" s="80">
        <v>1</v>
      </c>
      <c r="N679" s="81">
        <v>0</v>
      </c>
      <c r="O679" s="81">
        <v>0</v>
      </c>
    </row>
    <row r="680" ht="9" customHeight="1" hidden="1">
      <c r="I680" s="77"/>
      <c r="J680" s="78"/>
      <c r="K680" s="78"/>
      <c r="L680" t="s" s="79">
        <v>52</v>
      </c>
      <c r="M680" s="80">
        <v>1</v>
      </c>
      <c r="N680" s="81">
        <v>0</v>
      </c>
      <c r="O680" s="81">
        <v>0</v>
      </c>
    </row>
    <row r="681" ht="9" customHeight="1" hidden="1">
      <c r="I681" s="77"/>
      <c r="J681" s="78"/>
      <c r="K681" s="78"/>
      <c r="L681" t="s" s="79">
        <v>50</v>
      </c>
      <c r="M681" s="80">
        <v>1</v>
      </c>
      <c r="N681" s="81">
        <v>0</v>
      </c>
      <c r="O681" s="81">
        <v>0</v>
      </c>
    </row>
    <row r="682" ht="9" customHeight="1" hidden="1">
      <c r="I682" s="77"/>
      <c r="J682" s="78"/>
      <c r="K682" s="78"/>
      <c r="L682" t="s" s="79">
        <v>48</v>
      </c>
      <c r="M682" s="80">
        <v>1</v>
      </c>
      <c r="N682" s="81">
        <v>1299.99</v>
      </c>
      <c r="O682" s="81">
        <v>1299.99</v>
      </c>
    </row>
    <row r="683" ht="9" customHeight="1" hidden="1">
      <c r="I683" s="82"/>
      <c r="J683" s="83"/>
      <c r="K683" s="84">
        <v>45108</v>
      </c>
      <c r="L683" s="85"/>
      <c r="M683" s="28">
        <v>5</v>
      </c>
      <c r="N683" s="29">
        <v>1299.99</v>
      </c>
      <c r="O683" s="29">
        <v>1299.99</v>
      </c>
    </row>
    <row r="684" ht="9" customHeight="1" hidden="1">
      <c r="I684" s="82"/>
      <c r="J684" t="s" s="86">
        <v>4925</v>
      </c>
      <c r="K684" s="87"/>
      <c r="L684" s="85"/>
      <c r="M684" s="28">
        <v>5</v>
      </c>
      <c r="N684" s="29">
        <v>1299.99</v>
      </c>
      <c r="O684" s="29">
        <v>1299.99</v>
      </c>
    </row>
    <row r="685" ht="16.1" customHeight="1">
      <c r="I685" t="s" s="126">
        <v>2756</v>
      </c>
      <c r="J685" s="127"/>
      <c r="K685" s="127"/>
      <c r="L685" s="128"/>
      <c r="M685" s="129">
        <v>5</v>
      </c>
      <c r="N685" s="142">
        <v>1299.99</v>
      </c>
      <c r="O685" s="142">
        <v>1299.99</v>
      </c>
    </row>
    <row r="686" ht="9" customHeight="1" hidden="1">
      <c r="I686" s="77"/>
      <c r="J686" s="78"/>
      <c r="K686" s="78"/>
      <c r="L686" t="s" s="79">
        <v>73</v>
      </c>
      <c r="M686" s="80">
        <v>1</v>
      </c>
      <c r="N686" s="81">
        <v>399.99</v>
      </c>
      <c r="O686" s="81">
        <v>399.99</v>
      </c>
    </row>
    <row r="687" ht="9" customHeight="1" hidden="1">
      <c r="I687" s="82"/>
      <c r="J687" s="83"/>
      <c r="K687" s="84">
        <v>45108</v>
      </c>
      <c r="L687" s="85"/>
      <c r="M687" s="28">
        <v>1</v>
      </c>
      <c r="N687" s="29">
        <v>399.99</v>
      </c>
      <c r="O687" s="29">
        <v>399.99</v>
      </c>
    </row>
    <row r="688" ht="9" customHeight="1" hidden="1">
      <c r="I688" s="82"/>
      <c r="J688" t="s" s="86">
        <v>4881</v>
      </c>
      <c r="K688" s="87"/>
      <c r="L688" s="85"/>
      <c r="M688" s="28">
        <v>1</v>
      </c>
      <c r="N688" s="29">
        <v>399.99</v>
      </c>
      <c r="O688" s="29">
        <v>399.99</v>
      </c>
    </row>
    <row r="689" ht="16.1" customHeight="1">
      <c r="I689" t="s" s="126">
        <v>4882</v>
      </c>
      <c r="J689" s="127"/>
      <c r="K689" s="127"/>
      <c r="L689" s="128"/>
      <c r="M689" s="129">
        <v>1</v>
      </c>
      <c r="N689" s="142">
        <v>399.99</v>
      </c>
      <c r="O689" s="142">
        <v>399.99</v>
      </c>
    </row>
    <row r="690" ht="9" customHeight="1" hidden="1">
      <c r="I690" s="77"/>
      <c r="J690" s="78"/>
      <c r="K690" s="78"/>
      <c r="L690" t="s" s="79">
        <v>89</v>
      </c>
      <c r="M690" s="80">
        <v>2</v>
      </c>
      <c r="N690" s="81">
        <v>59.99</v>
      </c>
      <c r="O690" s="81">
        <v>119.98</v>
      </c>
    </row>
    <row r="691" ht="9" customHeight="1" hidden="1">
      <c r="I691" s="77"/>
      <c r="J691" s="78"/>
      <c r="K691" s="78"/>
      <c r="L691" t="s" s="79">
        <v>59</v>
      </c>
      <c r="M691" s="80">
        <v>1</v>
      </c>
      <c r="N691" s="81">
        <v>1199.99</v>
      </c>
      <c r="O691" s="81">
        <v>1199.99</v>
      </c>
    </row>
    <row r="692" ht="9" customHeight="1" hidden="1">
      <c r="I692" s="82"/>
      <c r="J692" s="83"/>
      <c r="K692" s="84">
        <v>45108</v>
      </c>
      <c r="L692" s="85"/>
      <c r="M692" s="28">
        <v>3</v>
      </c>
      <c r="N692" s="29">
        <v>1259.98</v>
      </c>
      <c r="O692" s="29">
        <v>1319.97</v>
      </c>
    </row>
    <row r="693" ht="9" customHeight="1" hidden="1">
      <c r="I693" s="82"/>
      <c r="J693" t="s" s="86">
        <v>4851</v>
      </c>
      <c r="K693" s="87"/>
      <c r="L693" s="85"/>
      <c r="M693" s="28">
        <v>3</v>
      </c>
      <c r="N693" s="29">
        <v>1259.98</v>
      </c>
      <c r="O693" s="29">
        <v>1319.97</v>
      </c>
    </row>
    <row r="694" ht="9" customHeight="1" hidden="1">
      <c r="I694" s="77"/>
      <c r="J694" s="78"/>
      <c r="K694" s="78"/>
      <c r="L694" t="s" s="79">
        <v>1695</v>
      </c>
      <c r="M694" s="80">
        <v>2</v>
      </c>
      <c r="N694" s="81">
        <v>49.99</v>
      </c>
      <c r="O694" s="81">
        <v>99.98</v>
      </c>
    </row>
    <row r="695" ht="9" customHeight="1" hidden="1">
      <c r="I695" s="77"/>
      <c r="J695" s="78"/>
      <c r="K695" s="78"/>
      <c r="L695" t="s" s="79">
        <v>4842</v>
      </c>
      <c r="M695" s="80">
        <v>4</v>
      </c>
      <c r="N695" s="81">
        <v>199.99</v>
      </c>
      <c r="O695" s="81">
        <v>799.96</v>
      </c>
    </row>
    <row r="696" ht="9" customHeight="1" hidden="1">
      <c r="I696" s="77"/>
      <c r="J696" s="78"/>
      <c r="K696" s="78"/>
      <c r="L696" t="s" s="79">
        <v>15</v>
      </c>
      <c r="M696" s="80">
        <v>2</v>
      </c>
      <c r="N696" s="81">
        <v>0</v>
      </c>
      <c r="O696" s="81">
        <v>0</v>
      </c>
    </row>
    <row r="697" ht="9" customHeight="1" hidden="1">
      <c r="I697" s="82"/>
      <c r="J697" s="83"/>
      <c r="K697" s="84">
        <v>45108</v>
      </c>
      <c r="L697" s="85"/>
      <c r="M697" s="28">
        <v>8</v>
      </c>
      <c r="N697" s="29">
        <v>249.98</v>
      </c>
      <c r="O697" s="29">
        <v>899.9400000000001</v>
      </c>
    </row>
    <row r="698" ht="9" customHeight="1" hidden="1">
      <c r="I698" s="82"/>
      <c r="J698" t="s" s="86">
        <v>4840</v>
      </c>
      <c r="K698" s="87"/>
      <c r="L698" s="85"/>
      <c r="M698" s="28">
        <v>8</v>
      </c>
      <c r="N698" s="29">
        <v>249.98</v>
      </c>
      <c r="O698" s="29">
        <v>899.9400000000001</v>
      </c>
    </row>
    <row r="699" ht="9" customHeight="1" hidden="1">
      <c r="I699" s="77"/>
      <c r="J699" s="78"/>
      <c r="K699" s="78"/>
      <c r="L699" t="s" s="79">
        <v>54</v>
      </c>
      <c r="M699" s="80">
        <v>6</v>
      </c>
      <c r="N699" s="81">
        <v>0</v>
      </c>
      <c r="O699" s="81">
        <v>0</v>
      </c>
    </row>
    <row r="700" ht="9" customHeight="1" hidden="1">
      <c r="I700" s="77"/>
      <c r="J700" s="78"/>
      <c r="K700" s="78"/>
      <c r="L700" t="s" s="79">
        <v>4842</v>
      </c>
      <c r="M700" s="80">
        <v>2</v>
      </c>
      <c r="N700" s="81">
        <v>199.99</v>
      </c>
      <c r="O700" s="81">
        <v>399.98</v>
      </c>
    </row>
    <row r="701" ht="9" customHeight="1" hidden="1">
      <c r="I701" s="77"/>
      <c r="J701" s="78"/>
      <c r="K701" s="78"/>
      <c r="L701" t="s" s="79">
        <v>15</v>
      </c>
      <c r="M701" s="80">
        <v>2</v>
      </c>
      <c r="N701" s="81">
        <v>0</v>
      </c>
      <c r="O701" s="81">
        <v>0</v>
      </c>
    </row>
    <row r="702" ht="9" customHeight="1" hidden="1">
      <c r="I702" s="82"/>
      <c r="J702" s="83"/>
      <c r="K702" s="84">
        <v>45108</v>
      </c>
      <c r="L702" s="85"/>
      <c r="M702" s="28">
        <v>10</v>
      </c>
      <c r="N702" s="29">
        <v>199.99</v>
      </c>
      <c r="O702" s="29">
        <v>399.98</v>
      </c>
    </row>
    <row r="703" ht="9" customHeight="1" hidden="1">
      <c r="I703" s="82"/>
      <c r="J703" t="s" s="86">
        <v>4846</v>
      </c>
      <c r="K703" s="87"/>
      <c r="L703" s="85"/>
      <c r="M703" s="28">
        <v>10</v>
      </c>
      <c r="N703" s="29">
        <v>199.99</v>
      </c>
      <c r="O703" s="29">
        <v>399.98</v>
      </c>
    </row>
    <row r="704" ht="16.1" customHeight="1">
      <c r="I704" t="s" s="126">
        <v>4841</v>
      </c>
      <c r="J704" s="127"/>
      <c r="K704" s="127"/>
      <c r="L704" s="128"/>
      <c r="M704" s="129">
        <v>21</v>
      </c>
      <c r="N704" s="142">
        <v>1709.95</v>
      </c>
      <c r="O704" s="142">
        <v>2619.89</v>
      </c>
    </row>
    <row r="705" ht="9" customHeight="1" hidden="1">
      <c r="I705" s="77"/>
      <c r="J705" s="78"/>
      <c r="K705" s="78"/>
      <c r="L705" t="s" s="79">
        <v>35</v>
      </c>
      <c r="M705" s="80">
        <v>1</v>
      </c>
      <c r="N705" s="81">
        <v>49.99</v>
      </c>
      <c r="O705" s="81">
        <v>49.99</v>
      </c>
    </row>
    <row r="706" ht="9" customHeight="1" hidden="1">
      <c r="I706" s="82"/>
      <c r="J706" s="83"/>
      <c r="K706" s="84">
        <v>45108</v>
      </c>
      <c r="L706" s="85"/>
      <c r="M706" s="28">
        <v>1</v>
      </c>
      <c r="N706" s="29">
        <v>49.99</v>
      </c>
      <c r="O706" s="29">
        <v>49.99</v>
      </c>
    </row>
    <row r="707" ht="9" customHeight="1" hidden="1">
      <c r="I707" s="82"/>
      <c r="J707" t="s" s="86">
        <v>4963</v>
      </c>
      <c r="K707" s="87"/>
      <c r="L707" s="85"/>
      <c r="M707" s="28">
        <v>1</v>
      </c>
      <c r="N707" s="29">
        <v>49.99</v>
      </c>
      <c r="O707" s="29">
        <v>49.99</v>
      </c>
    </row>
    <row r="708" ht="16.1" customHeight="1">
      <c r="I708" t="s" s="126">
        <v>4964</v>
      </c>
      <c r="J708" s="127"/>
      <c r="K708" s="127"/>
      <c r="L708" s="128"/>
      <c r="M708" s="129">
        <v>1</v>
      </c>
      <c r="N708" s="142">
        <v>49.99</v>
      </c>
      <c r="O708" s="142">
        <v>49.99</v>
      </c>
    </row>
    <row r="709" ht="9" customHeight="1" hidden="1">
      <c r="I709" s="77"/>
      <c r="J709" s="78"/>
      <c r="K709" s="78"/>
      <c r="L709" t="s" s="79">
        <v>1695</v>
      </c>
      <c r="M709" s="80">
        <v>1</v>
      </c>
      <c r="N709" s="81">
        <v>49.99</v>
      </c>
      <c r="O709" s="81">
        <v>49.99</v>
      </c>
    </row>
    <row r="710" ht="9" customHeight="1" hidden="1">
      <c r="I710" s="77"/>
      <c r="J710" s="78"/>
      <c r="K710" s="78"/>
      <c r="L710" t="s" s="79">
        <v>15</v>
      </c>
      <c r="M710" s="80">
        <v>1</v>
      </c>
      <c r="N710" s="81">
        <v>8.99</v>
      </c>
      <c r="O710" s="81">
        <v>8.99</v>
      </c>
    </row>
    <row r="711" ht="9" customHeight="1" hidden="1">
      <c r="I711" s="82"/>
      <c r="J711" s="83"/>
      <c r="K711" s="84">
        <v>45108</v>
      </c>
      <c r="L711" s="85"/>
      <c r="M711" s="28">
        <v>2</v>
      </c>
      <c r="N711" s="29">
        <v>58.98</v>
      </c>
      <c r="O711" s="29">
        <v>58.98</v>
      </c>
    </row>
    <row r="712" ht="9" customHeight="1" hidden="1">
      <c r="I712" s="82"/>
      <c r="J712" t="s" s="86">
        <v>5061</v>
      </c>
      <c r="K712" s="87"/>
      <c r="L712" s="85"/>
      <c r="M712" s="28">
        <v>2</v>
      </c>
      <c r="N712" s="29">
        <v>58.98</v>
      </c>
      <c r="O712" s="29">
        <v>58.98</v>
      </c>
    </row>
    <row r="713" ht="16.1" customHeight="1">
      <c r="I713" t="s" s="126">
        <v>5062</v>
      </c>
      <c r="J713" s="127"/>
      <c r="K713" s="127"/>
      <c r="L713" s="128"/>
      <c r="M713" s="129">
        <v>2</v>
      </c>
      <c r="N713" s="142">
        <v>58.98</v>
      </c>
      <c r="O713" s="142">
        <v>58.98</v>
      </c>
    </row>
    <row r="714" ht="9" customHeight="1" hidden="1">
      <c r="I714" s="77"/>
      <c r="J714" s="78"/>
      <c r="K714" s="78"/>
      <c r="L714" t="s" s="79">
        <v>227</v>
      </c>
      <c r="M714" s="80">
        <v>2</v>
      </c>
      <c r="N714" s="81">
        <v>29.99</v>
      </c>
      <c r="O714" s="81">
        <v>59.98</v>
      </c>
    </row>
    <row r="715" ht="9" customHeight="1" hidden="1">
      <c r="I715" s="77"/>
      <c r="J715" s="78"/>
      <c r="K715" s="78"/>
      <c r="L715" t="s" s="79">
        <v>84</v>
      </c>
      <c r="M715" s="80">
        <v>1</v>
      </c>
      <c r="N715" s="81">
        <v>0</v>
      </c>
      <c r="O715" s="81">
        <v>0</v>
      </c>
    </row>
    <row r="716" ht="9" customHeight="1" hidden="1">
      <c r="I716" s="77"/>
      <c r="J716" s="78"/>
      <c r="K716" s="78"/>
      <c r="L716" t="s" s="79">
        <v>660</v>
      </c>
      <c r="M716" s="80">
        <v>1</v>
      </c>
      <c r="N716" s="81">
        <v>5.99</v>
      </c>
      <c r="O716" s="81">
        <v>5.99</v>
      </c>
    </row>
    <row r="717" ht="9" customHeight="1" hidden="1">
      <c r="I717" s="77"/>
      <c r="J717" s="78"/>
      <c r="K717" s="78"/>
      <c r="L717" t="s" s="79">
        <v>602</v>
      </c>
      <c r="M717" s="80">
        <v>1</v>
      </c>
      <c r="N717" s="81">
        <v>175</v>
      </c>
      <c r="O717" s="81">
        <v>175</v>
      </c>
    </row>
    <row r="718" ht="9" customHeight="1" hidden="1">
      <c r="I718" s="77"/>
      <c r="J718" s="78"/>
      <c r="K718" s="78"/>
      <c r="L718" t="s" s="79">
        <v>81</v>
      </c>
      <c r="M718" s="80">
        <v>1</v>
      </c>
      <c r="N718" s="81">
        <v>849.99</v>
      </c>
      <c r="O718" s="81">
        <v>849.99</v>
      </c>
    </row>
    <row r="719" ht="9" customHeight="1" hidden="1">
      <c r="I719" s="77"/>
      <c r="J719" s="78"/>
      <c r="K719" s="78"/>
      <c r="L719" t="s" s="79">
        <v>50</v>
      </c>
      <c r="M719" s="80">
        <v>1</v>
      </c>
      <c r="N719" s="81">
        <v>0</v>
      </c>
      <c r="O719" s="81">
        <v>0</v>
      </c>
    </row>
    <row r="720" ht="9" customHeight="1" hidden="1">
      <c r="I720" s="82"/>
      <c r="J720" s="83"/>
      <c r="K720" s="84">
        <v>45108</v>
      </c>
      <c r="L720" s="85"/>
      <c r="M720" s="28">
        <v>7</v>
      </c>
      <c r="N720" s="29">
        <v>1060.97</v>
      </c>
      <c r="O720" s="29">
        <v>1090.96</v>
      </c>
    </row>
    <row r="721" ht="9" customHeight="1" hidden="1">
      <c r="I721" s="82"/>
      <c r="J721" t="s" s="86">
        <v>5068</v>
      </c>
      <c r="K721" s="87"/>
      <c r="L721" s="85"/>
      <c r="M721" s="28">
        <v>7</v>
      </c>
      <c r="N721" s="29">
        <v>1060.97</v>
      </c>
      <c r="O721" s="29">
        <v>1090.96</v>
      </c>
    </row>
    <row r="722" ht="9" customHeight="1" hidden="1">
      <c r="I722" s="77"/>
      <c r="J722" s="78"/>
      <c r="K722" s="78"/>
      <c r="L722" t="s" s="79">
        <v>227</v>
      </c>
      <c r="M722" s="80">
        <v>2</v>
      </c>
      <c r="N722" s="81">
        <v>29.99</v>
      </c>
      <c r="O722" s="81">
        <v>59.98</v>
      </c>
    </row>
    <row r="723" ht="9" customHeight="1" hidden="1">
      <c r="I723" s="77"/>
      <c r="J723" s="78"/>
      <c r="K723" s="78"/>
      <c r="L723" t="s" s="79">
        <v>84</v>
      </c>
      <c r="M723" s="80">
        <v>1</v>
      </c>
      <c r="N723" s="81">
        <v>0</v>
      </c>
      <c r="O723" s="81">
        <v>0</v>
      </c>
    </row>
    <row r="724" ht="9" customHeight="1" hidden="1">
      <c r="I724" s="77"/>
      <c r="J724" s="78"/>
      <c r="K724" s="78"/>
      <c r="L724" t="s" s="79">
        <v>660</v>
      </c>
      <c r="M724" s="80">
        <v>1</v>
      </c>
      <c r="N724" s="81">
        <v>5.99</v>
      </c>
      <c r="O724" s="81">
        <v>5.99</v>
      </c>
    </row>
    <row r="725" ht="9" customHeight="1" hidden="1">
      <c r="I725" s="77"/>
      <c r="J725" s="78"/>
      <c r="K725" s="78"/>
      <c r="L725" t="s" s="79">
        <v>133</v>
      </c>
      <c r="M725" s="80">
        <v>1</v>
      </c>
      <c r="N725" s="81">
        <v>50</v>
      </c>
      <c r="O725" s="81">
        <v>50</v>
      </c>
    </row>
    <row r="726" ht="9" customHeight="1" hidden="1">
      <c r="I726" s="77"/>
      <c r="J726" s="78"/>
      <c r="K726" s="78"/>
      <c r="L726" t="s" s="79">
        <v>81</v>
      </c>
      <c r="M726" s="80">
        <v>1</v>
      </c>
      <c r="N726" s="81">
        <v>849.99</v>
      </c>
      <c r="O726" s="81">
        <v>849.99</v>
      </c>
    </row>
    <row r="727" ht="9" customHeight="1" hidden="1">
      <c r="I727" s="77"/>
      <c r="J727" s="78"/>
      <c r="K727" s="78"/>
      <c r="L727" t="s" s="79">
        <v>50</v>
      </c>
      <c r="M727" s="80">
        <v>1</v>
      </c>
      <c r="N727" s="81">
        <v>0</v>
      </c>
      <c r="O727" s="81">
        <v>0</v>
      </c>
    </row>
    <row r="728" ht="9" customHeight="1" hidden="1">
      <c r="I728" s="77"/>
      <c r="J728" s="78"/>
      <c r="K728" s="78"/>
      <c r="L728" t="s" s="79">
        <v>59</v>
      </c>
      <c r="M728" s="80">
        <v>1</v>
      </c>
      <c r="N728" s="81">
        <v>1199.99</v>
      </c>
      <c r="O728" s="81">
        <v>1199.99</v>
      </c>
    </row>
    <row r="729" ht="9" customHeight="1" hidden="1">
      <c r="I729" s="82"/>
      <c r="J729" s="83"/>
      <c r="K729" s="84">
        <v>45108</v>
      </c>
      <c r="L729" s="85"/>
      <c r="M729" s="28">
        <v>8</v>
      </c>
      <c r="N729" s="29">
        <v>2135.96</v>
      </c>
      <c r="O729" s="29">
        <v>2165.95</v>
      </c>
    </row>
    <row r="730" ht="9" customHeight="1" hidden="1">
      <c r="I730" s="82"/>
      <c r="J730" t="s" s="86">
        <v>5064</v>
      </c>
      <c r="K730" s="87"/>
      <c r="L730" s="85"/>
      <c r="M730" s="28">
        <v>8</v>
      </c>
      <c r="N730" s="29">
        <v>2135.96</v>
      </c>
      <c r="O730" s="29">
        <v>2165.95</v>
      </c>
    </row>
    <row r="731" ht="16.1" customHeight="1">
      <c r="I731" t="s" s="126">
        <v>5065</v>
      </c>
      <c r="J731" s="127"/>
      <c r="K731" s="127"/>
      <c r="L731" s="128"/>
      <c r="M731" s="129">
        <v>15</v>
      </c>
      <c r="N731" s="142">
        <v>3196.93</v>
      </c>
      <c r="O731" s="142">
        <v>3256.91</v>
      </c>
    </row>
    <row r="732" ht="9" customHeight="1" hidden="1">
      <c r="I732" s="77"/>
      <c r="J732" s="78"/>
      <c r="K732" s="78"/>
      <c r="L732" t="s" s="79">
        <v>31</v>
      </c>
      <c r="M732" s="80">
        <v>1</v>
      </c>
      <c r="N732" s="81">
        <v>599.99</v>
      </c>
      <c r="O732" s="81">
        <v>599.99</v>
      </c>
    </row>
    <row r="733" ht="9" customHeight="1" hidden="1">
      <c r="I733" s="82"/>
      <c r="J733" s="83"/>
      <c r="K733" s="84">
        <v>45108</v>
      </c>
      <c r="L733" s="85"/>
      <c r="M733" s="28">
        <v>1</v>
      </c>
      <c r="N733" s="29">
        <v>599.99</v>
      </c>
      <c r="O733" s="29">
        <v>599.99</v>
      </c>
    </row>
    <row r="734" ht="9" customHeight="1" hidden="1">
      <c r="I734" s="82"/>
      <c r="J734" t="s" s="86">
        <v>5060</v>
      </c>
      <c r="K734" s="87"/>
      <c r="L734" s="85"/>
      <c r="M734" s="28">
        <v>1</v>
      </c>
      <c r="N734" s="29">
        <v>599.99</v>
      </c>
      <c r="O734" s="29">
        <v>599.99</v>
      </c>
    </row>
    <row r="735" ht="16.1" customHeight="1">
      <c r="I735" t="s" s="126">
        <v>2438</v>
      </c>
      <c r="J735" s="127"/>
      <c r="K735" s="127"/>
      <c r="L735" s="128"/>
      <c r="M735" s="129">
        <v>1</v>
      </c>
      <c r="N735" s="142">
        <v>599.99</v>
      </c>
      <c r="O735" s="142">
        <v>599.99</v>
      </c>
    </row>
    <row r="736" ht="9" customHeight="1" hidden="1">
      <c r="I736" s="77"/>
      <c r="J736" s="78"/>
      <c r="K736" s="78"/>
      <c r="L736" t="s" s="79">
        <v>35</v>
      </c>
      <c r="M736" s="80">
        <v>1</v>
      </c>
      <c r="N736" s="81">
        <v>49.99</v>
      </c>
      <c r="O736" s="81">
        <v>49.99</v>
      </c>
    </row>
    <row r="737" ht="9" customHeight="1" hidden="1">
      <c r="I737" s="82"/>
      <c r="J737" s="83"/>
      <c r="K737" s="84">
        <v>45108</v>
      </c>
      <c r="L737" s="85"/>
      <c r="M737" s="28">
        <v>1</v>
      </c>
      <c r="N737" s="29">
        <v>49.99</v>
      </c>
      <c r="O737" s="29">
        <v>49.99</v>
      </c>
    </row>
    <row r="738" ht="9" customHeight="1" hidden="1">
      <c r="I738" s="82"/>
      <c r="J738" t="s" s="86">
        <v>4904</v>
      </c>
      <c r="K738" s="87"/>
      <c r="L738" s="85"/>
      <c r="M738" s="28">
        <v>1</v>
      </c>
      <c r="N738" s="29">
        <v>49.99</v>
      </c>
      <c r="O738" s="29">
        <v>49.99</v>
      </c>
    </row>
    <row r="739" ht="16.1" customHeight="1">
      <c r="I739" t="s" s="126">
        <v>4905</v>
      </c>
      <c r="J739" s="127"/>
      <c r="K739" s="127"/>
      <c r="L739" s="128"/>
      <c r="M739" s="129">
        <v>1</v>
      </c>
      <c r="N739" s="142">
        <v>49.99</v>
      </c>
      <c r="O739" s="142">
        <v>49.99</v>
      </c>
    </row>
    <row r="740" ht="9" customHeight="1" hidden="1">
      <c r="I740" s="77"/>
      <c r="J740" s="78"/>
      <c r="K740" s="78"/>
      <c r="L740" t="s" s="79">
        <v>487</v>
      </c>
      <c r="M740" s="80">
        <v>4</v>
      </c>
      <c r="N740" s="81">
        <v>109.99</v>
      </c>
      <c r="O740" s="81">
        <v>439.96</v>
      </c>
    </row>
    <row r="741" ht="9" customHeight="1" hidden="1">
      <c r="I741" s="82"/>
      <c r="J741" s="83"/>
      <c r="K741" s="84">
        <v>45108</v>
      </c>
      <c r="L741" s="85"/>
      <c r="M741" s="28">
        <v>4</v>
      </c>
      <c r="N741" s="29">
        <v>109.99</v>
      </c>
      <c r="O741" s="29">
        <v>439.96</v>
      </c>
    </row>
    <row r="742" ht="9" customHeight="1" hidden="1">
      <c r="I742" s="82"/>
      <c r="J742" t="s" s="86">
        <v>4878</v>
      </c>
      <c r="K742" s="87"/>
      <c r="L742" s="85"/>
      <c r="M742" s="28">
        <v>4</v>
      </c>
      <c r="N742" s="29">
        <v>109.99</v>
      </c>
      <c r="O742" s="29">
        <v>439.96</v>
      </c>
    </row>
    <row r="743" ht="16.1" customHeight="1">
      <c r="I743" t="s" s="126">
        <v>4603</v>
      </c>
      <c r="J743" s="127"/>
      <c r="K743" s="127"/>
      <c r="L743" s="128"/>
      <c r="M743" s="129">
        <v>4</v>
      </c>
      <c r="N743" s="142">
        <v>109.99</v>
      </c>
      <c r="O743" s="142">
        <v>439.96</v>
      </c>
    </row>
    <row r="744" ht="9" customHeight="1" hidden="1">
      <c r="I744" s="77"/>
      <c r="J744" s="78"/>
      <c r="K744" s="78"/>
      <c r="L744" t="s" s="79">
        <v>73</v>
      </c>
      <c r="M744" s="80">
        <v>1</v>
      </c>
      <c r="N744" s="81">
        <v>399.99</v>
      </c>
      <c r="O744" s="81">
        <v>399.99</v>
      </c>
    </row>
    <row r="745" ht="9" customHeight="1" hidden="1">
      <c r="I745" s="82"/>
      <c r="J745" s="83"/>
      <c r="K745" s="84">
        <v>45108</v>
      </c>
      <c r="L745" s="85"/>
      <c r="M745" s="28">
        <v>1</v>
      </c>
      <c r="N745" s="29">
        <v>399.99</v>
      </c>
      <c r="O745" s="29">
        <v>399.99</v>
      </c>
    </row>
    <row r="746" ht="9" customHeight="1" hidden="1">
      <c r="I746" s="82"/>
      <c r="J746" t="s" s="86">
        <v>4914</v>
      </c>
      <c r="K746" s="87"/>
      <c r="L746" s="85"/>
      <c r="M746" s="28">
        <v>1</v>
      </c>
      <c r="N746" s="29">
        <v>399.99</v>
      </c>
      <c r="O746" s="29">
        <v>399.99</v>
      </c>
    </row>
    <row r="747" ht="16.1" customHeight="1">
      <c r="I747" t="s" s="126">
        <v>4915</v>
      </c>
      <c r="J747" s="127"/>
      <c r="K747" s="127"/>
      <c r="L747" s="128"/>
      <c r="M747" s="129">
        <v>1</v>
      </c>
      <c r="N747" s="142">
        <v>399.99</v>
      </c>
      <c r="O747" s="142">
        <v>399.99</v>
      </c>
    </row>
    <row r="748" ht="9" customHeight="1" hidden="1">
      <c r="I748" s="77"/>
      <c r="J748" s="78"/>
      <c r="K748" s="78"/>
      <c r="L748" t="s" s="79">
        <v>84</v>
      </c>
      <c r="M748" s="80">
        <v>4</v>
      </c>
      <c r="N748" s="81">
        <v>0</v>
      </c>
      <c r="O748" s="81">
        <v>0</v>
      </c>
    </row>
    <row r="749" ht="9" customHeight="1" hidden="1">
      <c r="I749" s="77"/>
      <c r="J749" s="78"/>
      <c r="K749" s="78"/>
      <c r="L749" t="s" s="79">
        <v>660</v>
      </c>
      <c r="M749" s="80">
        <v>4</v>
      </c>
      <c r="N749" s="81">
        <v>5.99</v>
      </c>
      <c r="O749" s="81">
        <v>23.96</v>
      </c>
    </row>
    <row r="750" ht="9" customHeight="1" hidden="1">
      <c r="I750" s="77"/>
      <c r="J750" s="78"/>
      <c r="K750" s="78"/>
      <c r="L750" t="s" s="79">
        <v>23</v>
      </c>
      <c r="M750" s="80">
        <v>4</v>
      </c>
      <c r="N750" s="81">
        <v>0</v>
      </c>
      <c r="O750" s="81">
        <v>0</v>
      </c>
    </row>
    <row r="751" ht="9" customHeight="1" hidden="1">
      <c r="I751" s="77"/>
      <c r="J751" s="78"/>
      <c r="K751" s="78"/>
      <c r="L751" t="s" s="79">
        <v>81</v>
      </c>
      <c r="M751" s="80">
        <v>4</v>
      </c>
      <c r="N751" s="81">
        <v>849.99</v>
      </c>
      <c r="O751" s="81">
        <v>3399.96</v>
      </c>
    </row>
    <row r="752" ht="9" customHeight="1" hidden="1">
      <c r="I752" s="77"/>
      <c r="J752" s="78"/>
      <c r="K752" s="78"/>
      <c r="L752" t="s" s="79">
        <v>50</v>
      </c>
      <c r="M752" s="80">
        <v>4</v>
      </c>
      <c r="N752" s="81">
        <v>0</v>
      </c>
      <c r="O752" s="81">
        <v>0</v>
      </c>
    </row>
    <row r="753" ht="9" customHeight="1" hidden="1">
      <c r="I753" s="77"/>
      <c r="J753" s="78"/>
      <c r="K753" s="78"/>
      <c r="L753" t="s" s="79">
        <v>73</v>
      </c>
      <c r="M753" s="80">
        <v>3</v>
      </c>
      <c r="N753" s="81">
        <v>399.99</v>
      </c>
      <c r="O753" s="81">
        <v>1199.97</v>
      </c>
    </row>
    <row r="754" ht="9" customHeight="1" hidden="1">
      <c r="I754" s="82"/>
      <c r="J754" s="83"/>
      <c r="K754" s="84">
        <v>45108</v>
      </c>
      <c r="L754" s="85"/>
      <c r="M754" s="28">
        <v>23</v>
      </c>
      <c r="N754" s="29">
        <v>1255.97</v>
      </c>
      <c r="O754" s="29">
        <v>4623.89</v>
      </c>
    </row>
    <row r="755" ht="9" customHeight="1" hidden="1">
      <c r="I755" s="82"/>
      <c r="J755" t="s" s="86">
        <v>5033</v>
      </c>
      <c r="K755" s="87"/>
      <c r="L755" s="85"/>
      <c r="M755" s="28">
        <v>23</v>
      </c>
      <c r="N755" s="29">
        <v>1255.97</v>
      </c>
      <c r="O755" s="29">
        <v>4623.89</v>
      </c>
    </row>
    <row r="756" ht="16.1" customHeight="1">
      <c r="I756" t="s" s="126">
        <v>1064</v>
      </c>
      <c r="J756" s="127"/>
      <c r="K756" s="127"/>
      <c r="L756" s="128"/>
      <c r="M756" s="129">
        <v>23</v>
      </c>
      <c r="N756" s="142">
        <v>1255.97</v>
      </c>
      <c r="O756" s="142">
        <v>4623.89</v>
      </c>
    </row>
    <row r="757" ht="9" customHeight="1" hidden="1">
      <c r="I757" s="77"/>
      <c r="J757" s="78"/>
      <c r="K757" s="78"/>
      <c r="L757" t="s" s="79">
        <v>31</v>
      </c>
      <c r="M757" s="80">
        <v>1</v>
      </c>
      <c r="N757" s="81">
        <v>599.99</v>
      </c>
      <c r="O757" s="81">
        <v>599.99</v>
      </c>
    </row>
    <row r="758" ht="9" customHeight="1" hidden="1">
      <c r="I758" s="82"/>
      <c r="J758" s="83"/>
      <c r="K758" s="84">
        <v>45108</v>
      </c>
      <c r="L758" s="85"/>
      <c r="M758" s="28">
        <v>1</v>
      </c>
      <c r="N758" s="29">
        <v>599.99</v>
      </c>
      <c r="O758" s="29">
        <v>599.99</v>
      </c>
    </row>
    <row r="759" ht="9" customHeight="1" hidden="1">
      <c r="I759" s="82"/>
      <c r="J759" t="s" s="86">
        <v>5049</v>
      </c>
      <c r="K759" s="87"/>
      <c r="L759" s="85"/>
      <c r="M759" s="28">
        <v>1</v>
      </c>
      <c r="N759" s="29">
        <v>599.99</v>
      </c>
      <c r="O759" s="29">
        <v>599.99</v>
      </c>
    </row>
    <row r="760" ht="16.1" customHeight="1">
      <c r="I760" t="s" s="126">
        <v>5050</v>
      </c>
      <c r="J760" s="127"/>
      <c r="K760" s="127"/>
      <c r="L760" s="128"/>
      <c r="M760" s="129">
        <v>1</v>
      </c>
      <c r="N760" s="142">
        <v>599.99</v>
      </c>
      <c r="O760" s="142">
        <v>599.99</v>
      </c>
    </row>
    <row r="761" ht="9" customHeight="1" hidden="1">
      <c r="I761" s="77"/>
      <c r="J761" s="78"/>
      <c r="K761" s="78"/>
      <c r="L761" t="s" s="79">
        <v>258</v>
      </c>
      <c r="M761" s="80">
        <v>1</v>
      </c>
      <c r="N761" s="81">
        <v>0</v>
      </c>
      <c r="O761" s="81">
        <v>0</v>
      </c>
    </row>
    <row r="762" ht="9" customHeight="1" hidden="1">
      <c r="I762" s="77"/>
      <c r="J762" s="78"/>
      <c r="K762" s="78"/>
      <c r="L762" t="s" s="79">
        <v>254</v>
      </c>
      <c r="M762" s="80">
        <v>1</v>
      </c>
      <c r="N762" s="81">
        <v>0</v>
      </c>
      <c r="O762" s="81">
        <v>0</v>
      </c>
    </row>
    <row r="763" ht="9" customHeight="1" hidden="1">
      <c r="I763" s="77"/>
      <c r="J763" s="78"/>
      <c r="K763" s="78"/>
      <c r="L763" t="s" s="79">
        <v>4954</v>
      </c>
      <c r="M763" s="80">
        <v>1</v>
      </c>
      <c r="N763" s="81">
        <v>0</v>
      </c>
      <c r="O763" s="81">
        <v>0</v>
      </c>
    </row>
    <row r="764" ht="9" customHeight="1" hidden="1">
      <c r="I764" s="82"/>
      <c r="J764" s="83"/>
      <c r="K764" s="84">
        <v>45108</v>
      </c>
      <c r="L764" s="85"/>
      <c r="M764" s="28">
        <v>3</v>
      </c>
      <c r="N764" s="29">
        <v>0</v>
      </c>
      <c r="O764" s="29">
        <v>0</v>
      </c>
    </row>
    <row r="765" ht="9" customHeight="1" hidden="1">
      <c r="I765" s="82"/>
      <c r="J765" t="s" s="86">
        <v>4951</v>
      </c>
      <c r="K765" s="87"/>
      <c r="L765" s="85"/>
      <c r="M765" s="28">
        <v>3</v>
      </c>
      <c r="N765" s="29">
        <v>0</v>
      </c>
      <c r="O765" s="29">
        <v>0</v>
      </c>
    </row>
    <row r="766" ht="16.1" customHeight="1">
      <c r="I766" t="s" s="126">
        <v>4952</v>
      </c>
      <c r="J766" s="127"/>
      <c r="K766" s="127"/>
      <c r="L766" s="128"/>
      <c r="M766" s="129">
        <v>3</v>
      </c>
      <c r="N766" s="142">
        <v>0</v>
      </c>
      <c r="O766" s="142">
        <v>0</v>
      </c>
    </row>
    <row r="767" ht="9" customHeight="1" hidden="1">
      <c r="I767" s="77"/>
      <c r="J767" s="78"/>
      <c r="K767" s="78"/>
      <c r="L767" t="s" s="79">
        <v>1731</v>
      </c>
      <c r="M767" s="80">
        <v>1</v>
      </c>
      <c r="N767" s="81">
        <v>24.99</v>
      </c>
      <c r="O767" s="81">
        <v>24.99</v>
      </c>
    </row>
    <row r="768" ht="9" customHeight="1" hidden="1">
      <c r="I768" s="77"/>
      <c r="J768" s="78"/>
      <c r="K768" s="78"/>
      <c r="L768" t="s" s="79">
        <v>1729</v>
      </c>
      <c r="M768" s="80">
        <v>1</v>
      </c>
      <c r="N768" s="81">
        <v>14.99</v>
      </c>
      <c r="O768" s="81">
        <v>14.99</v>
      </c>
    </row>
    <row r="769" ht="9" customHeight="1" hidden="1">
      <c r="I769" s="82"/>
      <c r="J769" s="83"/>
      <c r="K769" s="84">
        <v>45108</v>
      </c>
      <c r="L769" s="85"/>
      <c r="M769" s="28">
        <v>2</v>
      </c>
      <c r="N769" s="29">
        <v>39.98</v>
      </c>
      <c r="O769" s="29">
        <v>39.98</v>
      </c>
    </row>
    <row r="770" ht="9" customHeight="1" hidden="1">
      <c r="I770" s="82"/>
      <c r="J770" t="s" s="86">
        <v>5056</v>
      </c>
      <c r="K770" s="87"/>
      <c r="L770" s="85"/>
      <c r="M770" s="28">
        <v>2</v>
      </c>
      <c r="N770" s="29">
        <v>39.98</v>
      </c>
      <c r="O770" s="29">
        <v>39.98</v>
      </c>
    </row>
    <row r="771" ht="16.1" customHeight="1">
      <c r="I771" t="s" s="126">
        <v>5057</v>
      </c>
      <c r="J771" s="127"/>
      <c r="K771" s="127"/>
      <c r="L771" s="128"/>
      <c r="M771" s="129">
        <v>2</v>
      </c>
      <c r="N771" s="142">
        <v>39.98</v>
      </c>
      <c r="O771" s="142">
        <v>39.98</v>
      </c>
    </row>
    <row r="772" ht="9" customHeight="1" hidden="1">
      <c r="I772" s="77"/>
      <c r="J772" s="78"/>
      <c r="K772" s="78"/>
      <c r="L772" t="s" s="79">
        <v>165</v>
      </c>
      <c r="M772" s="80">
        <v>2</v>
      </c>
      <c r="N772" s="81">
        <v>0</v>
      </c>
      <c r="O772" s="81">
        <v>0</v>
      </c>
    </row>
    <row r="773" ht="9" customHeight="1" hidden="1">
      <c r="I773" s="77"/>
      <c r="J773" s="78"/>
      <c r="K773" s="78"/>
      <c r="L773" t="s" s="79">
        <v>227</v>
      </c>
      <c r="M773" s="80">
        <v>2</v>
      </c>
      <c r="N773" s="81">
        <v>22.4925</v>
      </c>
      <c r="O773" s="81">
        <v>44.985</v>
      </c>
    </row>
    <row r="774" ht="9" customHeight="1" hidden="1">
      <c r="I774" s="77"/>
      <c r="J774" s="78"/>
      <c r="K774" s="78"/>
      <c r="L774" t="s" s="79">
        <v>587</v>
      </c>
      <c r="M774" s="80">
        <v>2</v>
      </c>
      <c r="N774" s="81">
        <v>22.4925</v>
      </c>
      <c r="O774" s="81">
        <v>44.985</v>
      </c>
    </row>
    <row r="775" ht="9" customHeight="1" hidden="1">
      <c r="I775" s="77"/>
      <c r="J775" s="78"/>
      <c r="K775" s="78"/>
      <c r="L775" t="s" s="79">
        <v>4870</v>
      </c>
      <c r="M775" s="80">
        <v>2</v>
      </c>
      <c r="N775" s="81">
        <v>374.9925</v>
      </c>
      <c r="O775" s="81">
        <v>749.985</v>
      </c>
    </row>
    <row r="776" ht="9" customHeight="1" hidden="1">
      <c r="I776" s="77"/>
      <c r="J776" s="78"/>
      <c r="K776" s="78"/>
      <c r="L776" t="s" s="79">
        <v>59</v>
      </c>
      <c r="M776" s="80">
        <v>1</v>
      </c>
      <c r="N776" s="81">
        <v>899.9924999999999</v>
      </c>
      <c r="O776" s="81">
        <v>899.9924999999999</v>
      </c>
    </row>
    <row r="777" ht="9" customHeight="1" hidden="1">
      <c r="I777" s="82"/>
      <c r="J777" s="83"/>
      <c r="K777" s="84">
        <v>45108</v>
      </c>
      <c r="L777" s="85"/>
      <c r="M777" s="28">
        <v>9</v>
      </c>
      <c r="N777" s="29">
        <v>1319.97</v>
      </c>
      <c r="O777" s="29">
        <v>1739.9475</v>
      </c>
    </row>
    <row r="778" ht="9" customHeight="1" hidden="1">
      <c r="I778" s="82"/>
      <c r="J778" t="s" s="86">
        <v>4869</v>
      </c>
      <c r="K778" s="87"/>
      <c r="L778" s="85"/>
      <c r="M778" s="28">
        <v>9</v>
      </c>
      <c r="N778" s="29">
        <v>1319.97</v>
      </c>
      <c r="O778" s="29">
        <v>1739.9475</v>
      </c>
    </row>
    <row r="779" ht="16.1" customHeight="1">
      <c r="I779" t="s" s="126">
        <v>1697</v>
      </c>
      <c r="J779" s="127"/>
      <c r="K779" s="127"/>
      <c r="L779" s="128"/>
      <c r="M779" s="129">
        <v>9</v>
      </c>
      <c r="N779" s="142">
        <v>1319.97</v>
      </c>
      <c r="O779" s="142">
        <v>1739.9475</v>
      </c>
    </row>
    <row r="780" ht="9" customHeight="1" hidden="1">
      <c r="I780" s="77"/>
      <c r="J780" s="78"/>
      <c r="K780" s="78"/>
      <c r="L780" t="s" s="79">
        <v>59</v>
      </c>
      <c r="M780" s="80">
        <v>1</v>
      </c>
      <c r="N780" s="81">
        <v>1199.99</v>
      </c>
      <c r="O780" s="81">
        <v>1199.99</v>
      </c>
    </row>
    <row r="781" ht="9" customHeight="1" hidden="1">
      <c r="I781" s="82"/>
      <c r="J781" s="83"/>
      <c r="K781" s="84">
        <v>45108</v>
      </c>
      <c r="L781" s="85"/>
      <c r="M781" s="28">
        <v>1</v>
      </c>
      <c r="N781" s="29">
        <v>1199.99</v>
      </c>
      <c r="O781" s="29">
        <v>1199.99</v>
      </c>
    </row>
    <row r="782" ht="9" customHeight="1" hidden="1">
      <c r="I782" s="82"/>
      <c r="J782" t="s" s="86">
        <v>4930</v>
      </c>
      <c r="K782" s="87"/>
      <c r="L782" s="85"/>
      <c r="M782" s="28">
        <v>1</v>
      </c>
      <c r="N782" s="29">
        <v>1199.99</v>
      </c>
      <c r="O782" s="29">
        <v>1199.99</v>
      </c>
    </row>
    <row r="783" ht="16.1" customHeight="1">
      <c r="I783" t="s" s="126">
        <v>4931</v>
      </c>
      <c r="J783" s="127"/>
      <c r="K783" s="127"/>
      <c r="L783" s="128"/>
      <c r="M783" s="129">
        <v>1</v>
      </c>
      <c r="N783" s="142">
        <v>1199.99</v>
      </c>
      <c r="O783" s="142">
        <v>1199.99</v>
      </c>
    </row>
    <row r="784" ht="9" customHeight="1" hidden="1">
      <c r="I784" s="77"/>
      <c r="J784" s="78"/>
      <c r="K784" s="78"/>
      <c r="L784" t="s" s="79">
        <v>2961</v>
      </c>
      <c r="M784" s="80">
        <v>120</v>
      </c>
      <c r="N784" s="81">
        <v>13</v>
      </c>
      <c r="O784" s="81">
        <v>1560</v>
      </c>
    </row>
    <row r="785" ht="9" customHeight="1" hidden="1">
      <c r="I785" s="77"/>
      <c r="J785" s="78"/>
      <c r="K785" s="78"/>
      <c r="L785" t="s" s="79">
        <v>4873</v>
      </c>
      <c r="M785" s="80">
        <v>120</v>
      </c>
      <c r="N785" s="81">
        <v>12</v>
      </c>
      <c r="O785" s="81">
        <v>1440</v>
      </c>
    </row>
    <row r="786" ht="9" customHeight="1" hidden="1">
      <c r="I786" s="77"/>
      <c r="J786" s="78"/>
      <c r="K786" s="78"/>
      <c r="L786" t="s" s="79">
        <v>5042</v>
      </c>
      <c r="M786" s="80">
        <v>80</v>
      </c>
      <c r="N786" s="81">
        <v>8.0625</v>
      </c>
      <c r="O786" s="81">
        <v>645</v>
      </c>
    </row>
    <row r="787" ht="9" customHeight="1" hidden="1">
      <c r="I787" s="77"/>
      <c r="J787" s="78"/>
      <c r="K787" s="78"/>
      <c r="L787" t="s" s="79">
        <v>5040</v>
      </c>
      <c r="M787" s="80">
        <v>100</v>
      </c>
      <c r="N787" s="81">
        <v>1</v>
      </c>
      <c r="O787" s="81">
        <v>100</v>
      </c>
    </row>
    <row r="788" ht="9" customHeight="1" hidden="1">
      <c r="I788" s="77"/>
      <c r="J788" s="78"/>
      <c r="K788" s="78"/>
      <c r="L788" t="s" s="79">
        <v>63</v>
      </c>
      <c r="M788" s="80">
        <v>1</v>
      </c>
      <c r="N788" s="81">
        <v>100</v>
      </c>
      <c r="O788" s="81">
        <v>100</v>
      </c>
    </row>
    <row r="789" ht="9" customHeight="1" hidden="1">
      <c r="I789" s="82"/>
      <c r="J789" s="83"/>
      <c r="K789" s="84">
        <v>45108</v>
      </c>
      <c r="L789" s="85"/>
      <c r="M789" s="28">
        <v>421</v>
      </c>
      <c r="N789" s="29">
        <v>134.0625</v>
      </c>
      <c r="O789" s="29">
        <v>3845</v>
      </c>
    </row>
    <row r="790" ht="9" customHeight="1" hidden="1">
      <c r="I790" s="82"/>
      <c r="J790" t="s" s="86">
        <v>5039</v>
      </c>
      <c r="K790" s="87"/>
      <c r="L790" s="85"/>
      <c r="M790" s="28">
        <v>421</v>
      </c>
      <c r="N790" s="29">
        <v>134.0625</v>
      </c>
      <c r="O790" s="29">
        <v>3845</v>
      </c>
    </row>
    <row r="791" ht="9" customHeight="1" hidden="1">
      <c r="I791" s="77"/>
      <c r="J791" s="78"/>
      <c r="K791" s="78"/>
      <c r="L791" t="s" s="79">
        <v>2276</v>
      </c>
      <c r="M791" s="80">
        <v>10</v>
      </c>
      <c r="N791" s="81">
        <v>2.67391275</v>
      </c>
      <c r="O791" s="81">
        <v>26.7391275</v>
      </c>
    </row>
    <row r="792" ht="9" customHeight="1" hidden="1">
      <c r="I792" s="77"/>
      <c r="J792" s="78"/>
      <c r="K792" s="78"/>
      <c r="L792" t="s" s="79">
        <v>4873</v>
      </c>
      <c r="M792" s="80">
        <v>10</v>
      </c>
      <c r="N792" s="81">
        <v>12.09782625</v>
      </c>
      <c r="O792" s="81">
        <v>120.9782625</v>
      </c>
    </row>
    <row r="793" ht="9" customHeight="1" hidden="1">
      <c r="I793" s="77"/>
      <c r="J793" s="78"/>
      <c r="K793" s="78"/>
      <c r="L793" t="s" s="79">
        <v>63</v>
      </c>
      <c r="M793" s="80">
        <v>1</v>
      </c>
      <c r="N793" s="81">
        <v>48.42</v>
      </c>
      <c r="O793" s="81">
        <v>48.42</v>
      </c>
    </row>
    <row r="794" ht="9" customHeight="1" hidden="1">
      <c r="I794" s="82"/>
      <c r="J794" s="83"/>
      <c r="K794" s="84">
        <v>45108</v>
      </c>
      <c r="L794" s="85"/>
      <c r="M794" s="28">
        <v>21</v>
      </c>
      <c r="N794" s="29">
        <v>63.191739</v>
      </c>
      <c r="O794" s="29">
        <v>196.13739</v>
      </c>
    </row>
    <row r="795" ht="9" customHeight="1" hidden="1">
      <c r="I795" s="82"/>
      <c r="J795" t="s" s="86">
        <v>4872</v>
      </c>
      <c r="K795" s="87"/>
      <c r="L795" s="85"/>
      <c r="M795" s="28">
        <v>21</v>
      </c>
      <c r="N795" s="29">
        <v>63.191739</v>
      </c>
      <c r="O795" s="29">
        <v>196.13739</v>
      </c>
    </row>
    <row r="796" ht="16.1" customHeight="1">
      <c r="I796" t="s" s="126">
        <v>1913</v>
      </c>
      <c r="J796" s="127"/>
      <c r="K796" s="127"/>
      <c r="L796" s="128"/>
      <c r="M796" s="129">
        <v>442</v>
      </c>
      <c r="N796" s="142">
        <v>197.254239</v>
      </c>
      <c r="O796" s="142">
        <v>4041.13739</v>
      </c>
    </row>
    <row r="797" ht="9" customHeight="1" hidden="1">
      <c r="I797" s="77"/>
      <c r="J797" s="78"/>
      <c r="K797" s="78"/>
      <c r="L797" t="s" s="79">
        <v>89</v>
      </c>
      <c r="M797" s="80">
        <v>6</v>
      </c>
      <c r="N797" s="81">
        <v>59.99</v>
      </c>
      <c r="O797" s="81">
        <v>359.94</v>
      </c>
    </row>
    <row r="798" ht="9" customHeight="1" hidden="1">
      <c r="I798" s="82"/>
      <c r="J798" s="83"/>
      <c r="K798" s="84">
        <v>45108</v>
      </c>
      <c r="L798" s="85"/>
      <c r="M798" s="28">
        <v>6</v>
      </c>
      <c r="N798" s="29">
        <v>59.99</v>
      </c>
      <c r="O798" s="29">
        <v>359.94</v>
      </c>
    </row>
    <row r="799" ht="9" customHeight="1" hidden="1">
      <c r="I799" s="82"/>
      <c r="J799" t="s" s="86">
        <v>4836</v>
      </c>
      <c r="K799" s="87"/>
      <c r="L799" s="85"/>
      <c r="M799" s="28">
        <v>6</v>
      </c>
      <c r="N799" s="29">
        <v>59.99</v>
      </c>
      <c r="O799" s="29">
        <v>359.94</v>
      </c>
    </row>
    <row r="800" ht="16.1" customHeight="1">
      <c r="I800" t="s" s="126">
        <v>4837</v>
      </c>
      <c r="J800" s="127"/>
      <c r="K800" s="127"/>
      <c r="L800" s="128"/>
      <c r="M800" s="129">
        <v>6</v>
      </c>
      <c r="N800" s="142">
        <v>59.99</v>
      </c>
      <c r="O800" s="142">
        <v>359.94</v>
      </c>
    </row>
    <row r="801" ht="9" customHeight="1" hidden="1">
      <c r="I801" s="77"/>
      <c r="J801" s="78"/>
      <c r="K801" s="78"/>
      <c r="L801" t="s" s="79">
        <v>1731</v>
      </c>
      <c r="M801" s="80">
        <v>12</v>
      </c>
      <c r="N801" s="81">
        <v>0</v>
      </c>
      <c r="O801" s="81">
        <v>0</v>
      </c>
    </row>
    <row r="802" ht="9" customHeight="1" hidden="1">
      <c r="I802" s="82"/>
      <c r="J802" s="83"/>
      <c r="K802" s="84">
        <v>45108</v>
      </c>
      <c r="L802" s="85"/>
      <c r="M802" s="28">
        <v>12</v>
      </c>
      <c r="N802" s="29">
        <v>0</v>
      </c>
      <c r="O802" s="29">
        <v>0</v>
      </c>
    </row>
    <row r="803" ht="9" customHeight="1" hidden="1">
      <c r="I803" s="82"/>
      <c r="J803" t="s" s="86">
        <v>4828</v>
      </c>
      <c r="K803" s="87"/>
      <c r="L803" s="85"/>
      <c r="M803" s="28">
        <v>12</v>
      </c>
      <c r="N803" s="29">
        <v>0</v>
      </c>
      <c r="O803" s="29">
        <v>0</v>
      </c>
    </row>
    <row r="804" ht="16.1" customHeight="1">
      <c r="I804" t="s" s="126">
        <v>2222</v>
      </c>
      <c r="J804" s="127"/>
      <c r="K804" s="127"/>
      <c r="L804" s="128"/>
      <c r="M804" s="129">
        <v>12</v>
      </c>
      <c r="N804" s="142">
        <v>0</v>
      </c>
      <c r="O804" s="142">
        <v>0</v>
      </c>
    </row>
    <row r="805" ht="9" customHeight="1" hidden="1">
      <c r="I805" s="77"/>
      <c r="J805" s="78"/>
      <c r="K805" s="78"/>
      <c r="L805" t="s" s="79">
        <v>73</v>
      </c>
      <c r="M805" s="80">
        <v>2</v>
      </c>
      <c r="N805" s="81">
        <v>399.99</v>
      </c>
      <c r="O805" s="81">
        <v>799.98</v>
      </c>
    </row>
    <row r="806" ht="9" customHeight="1" hidden="1">
      <c r="I806" s="82"/>
      <c r="J806" s="83"/>
      <c r="K806" s="84">
        <v>45108</v>
      </c>
      <c r="L806" s="85"/>
      <c r="M806" s="28">
        <v>2</v>
      </c>
      <c r="N806" s="29">
        <v>399.99</v>
      </c>
      <c r="O806" s="29">
        <v>799.98</v>
      </c>
    </row>
    <row r="807" ht="9" customHeight="1" hidden="1">
      <c r="I807" s="82"/>
      <c r="J807" t="s" s="86">
        <v>4983</v>
      </c>
      <c r="K807" s="87"/>
      <c r="L807" s="85"/>
      <c r="M807" s="28">
        <v>2</v>
      </c>
      <c r="N807" s="29">
        <v>399.99</v>
      </c>
      <c r="O807" s="29">
        <v>799.98</v>
      </c>
    </row>
    <row r="808" ht="16.1" customHeight="1">
      <c r="I808" t="s" s="126">
        <v>4984</v>
      </c>
      <c r="J808" s="127"/>
      <c r="K808" s="127"/>
      <c r="L808" s="128"/>
      <c r="M808" s="129">
        <v>2</v>
      </c>
      <c r="N808" s="142">
        <v>399.99</v>
      </c>
      <c r="O808" s="142">
        <v>799.98</v>
      </c>
    </row>
    <row r="809" ht="9" customHeight="1" hidden="1">
      <c r="I809" s="77"/>
      <c r="J809" s="78"/>
      <c r="K809" s="78"/>
      <c r="L809" t="s" s="79">
        <v>89</v>
      </c>
      <c r="M809" s="80">
        <v>2</v>
      </c>
      <c r="N809" s="81">
        <v>51.66</v>
      </c>
      <c r="O809" s="81">
        <v>103.32</v>
      </c>
    </row>
    <row r="810" ht="9" customHeight="1" hidden="1">
      <c r="I810" s="77"/>
      <c r="J810" s="78"/>
      <c r="K810" s="78"/>
      <c r="L810" t="s" s="79">
        <v>11</v>
      </c>
      <c r="M810" s="80">
        <v>1</v>
      </c>
      <c r="N810" s="81">
        <v>391.65</v>
      </c>
      <c r="O810" s="81">
        <v>391.65</v>
      </c>
    </row>
    <row r="811" ht="9" customHeight="1" hidden="1">
      <c r="I811" s="82"/>
      <c r="J811" s="83"/>
      <c r="K811" s="84">
        <v>45108</v>
      </c>
      <c r="L811" s="85"/>
      <c r="M811" s="28">
        <v>3</v>
      </c>
      <c r="N811" s="29">
        <v>443.31</v>
      </c>
      <c r="O811" s="29">
        <v>494.97</v>
      </c>
    </row>
    <row r="812" ht="9" customHeight="1" hidden="1">
      <c r="I812" s="82"/>
      <c r="J812" t="s" s="86">
        <v>4906</v>
      </c>
      <c r="K812" s="87"/>
      <c r="L812" s="85"/>
      <c r="M812" s="28">
        <v>3</v>
      </c>
      <c r="N812" s="29">
        <v>443.31</v>
      </c>
      <c r="O812" s="29">
        <v>494.97</v>
      </c>
    </row>
    <row r="813" ht="16.1" customHeight="1">
      <c r="I813" t="s" s="126">
        <v>4907</v>
      </c>
      <c r="J813" s="127"/>
      <c r="K813" s="127"/>
      <c r="L813" s="128"/>
      <c r="M813" s="129">
        <v>3</v>
      </c>
      <c r="N813" s="142">
        <v>443.31</v>
      </c>
      <c r="O813" s="142">
        <v>494.97</v>
      </c>
    </row>
    <row r="814" ht="9" customHeight="1" hidden="1">
      <c r="I814" s="77"/>
      <c r="J814" s="78"/>
      <c r="K814" s="78"/>
      <c r="L814" t="s" s="79">
        <v>84</v>
      </c>
      <c r="M814" s="80">
        <v>4</v>
      </c>
      <c r="N814" s="81">
        <v>0</v>
      </c>
      <c r="O814" s="81">
        <v>0</v>
      </c>
    </row>
    <row r="815" ht="9" customHeight="1" hidden="1">
      <c r="I815" s="77"/>
      <c r="J815" s="78"/>
      <c r="K815" s="78"/>
      <c r="L815" t="s" s="79">
        <v>133</v>
      </c>
      <c r="M815" s="80">
        <v>4</v>
      </c>
      <c r="N815" s="81">
        <v>50</v>
      </c>
      <c r="O815" s="81">
        <v>200</v>
      </c>
    </row>
    <row r="816" ht="9" customHeight="1" hidden="1">
      <c r="I816" s="77"/>
      <c r="J816" s="78"/>
      <c r="K816" s="78"/>
      <c r="L816" t="s" s="79">
        <v>52</v>
      </c>
      <c r="M816" s="80">
        <v>4</v>
      </c>
      <c r="N816" s="81">
        <v>0</v>
      </c>
      <c r="O816" s="81">
        <v>0</v>
      </c>
    </row>
    <row r="817" ht="9" customHeight="1" hidden="1">
      <c r="I817" s="77"/>
      <c r="J817" s="78"/>
      <c r="K817" s="78"/>
      <c r="L817" t="s" s="79">
        <v>50</v>
      </c>
      <c r="M817" s="80">
        <v>4</v>
      </c>
      <c r="N817" s="81">
        <v>0</v>
      </c>
      <c r="O817" s="81">
        <v>0</v>
      </c>
    </row>
    <row r="818" ht="9" customHeight="1" hidden="1">
      <c r="I818" s="77"/>
      <c r="J818" s="78"/>
      <c r="K818" s="78"/>
      <c r="L818" t="s" s="79">
        <v>48</v>
      </c>
      <c r="M818" s="80">
        <v>4</v>
      </c>
      <c r="N818" s="81">
        <v>1299.99</v>
      </c>
      <c r="O818" s="81">
        <v>5199.96</v>
      </c>
    </row>
    <row r="819" ht="9" customHeight="1" hidden="1">
      <c r="I819" s="82"/>
      <c r="J819" s="83"/>
      <c r="K819" s="84">
        <v>45108</v>
      </c>
      <c r="L819" s="85"/>
      <c r="M819" s="28">
        <v>20</v>
      </c>
      <c r="N819" s="29">
        <v>1349.99</v>
      </c>
      <c r="O819" s="29">
        <v>5399.96</v>
      </c>
    </row>
    <row r="820" ht="9" customHeight="1" hidden="1">
      <c r="I820" s="82"/>
      <c r="J820" t="s" s="86">
        <v>5048</v>
      </c>
      <c r="K820" s="87"/>
      <c r="L820" s="85"/>
      <c r="M820" s="28">
        <v>20</v>
      </c>
      <c r="N820" s="29">
        <v>1349.99</v>
      </c>
      <c r="O820" s="29">
        <v>5399.96</v>
      </c>
    </row>
    <row r="821" ht="9" customHeight="1" hidden="1">
      <c r="I821" s="77"/>
      <c r="J821" s="78"/>
      <c r="K821" s="78"/>
      <c r="L821" t="s" s="79">
        <v>73</v>
      </c>
      <c r="M821" s="80">
        <v>1</v>
      </c>
      <c r="N821" s="81">
        <v>399.99</v>
      </c>
      <c r="O821" s="81">
        <v>399.99</v>
      </c>
    </row>
    <row r="822" ht="9" customHeight="1" hidden="1">
      <c r="I822" s="82"/>
      <c r="J822" s="83"/>
      <c r="K822" s="84">
        <v>45108</v>
      </c>
      <c r="L822" s="85"/>
      <c r="M822" s="28">
        <v>1</v>
      </c>
      <c r="N822" s="29">
        <v>399.99</v>
      </c>
      <c r="O822" s="29">
        <v>399.99</v>
      </c>
    </row>
    <row r="823" ht="9" customHeight="1" hidden="1">
      <c r="I823" s="82"/>
      <c r="J823" t="s" s="86">
        <v>5005</v>
      </c>
      <c r="K823" s="87"/>
      <c r="L823" s="85"/>
      <c r="M823" s="28">
        <v>1</v>
      </c>
      <c r="N823" s="29">
        <v>399.99</v>
      </c>
      <c r="O823" s="29">
        <v>399.99</v>
      </c>
    </row>
    <row r="824" ht="16.1" customHeight="1">
      <c r="I824" t="s" s="126">
        <v>5006</v>
      </c>
      <c r="J824" s="127"/>
      <c r="K824" s="127"/>
      <c r="L824" s="128"/>
      <c r="M824" s="129">
        <v>21</v>
      </c>
      <c r="N824" s="142">
        <v>1749.98</v>
      </c>
      <c r="O824" s="142">
        <v>5799.95</v>
      </c>
    </row>
    <row r="825" ht="9" customHeight="1" hidden="1">
      <c r="I825" s="77"/>
      <c r="J825" s="78"/>
      <c r="K825" s="78"/>
      <c r="L825" t="s" s="79">
        <v>369</v>
      </c>
      <c r="M825" s="80">
        <v>4</v>
      </c>
      <c r="N825" s="81">
        <v>0</v>
      </c>
      <c r="O825" s="81">
        <v>0</v>
      </c>
    </row>
    <row r="826" ht="9" customHeight="1" hidden="1">
      <c r="I826" s="77"/>
      <c r="J826" s="78"/>
      <c r="K826" s="78"/>
      <c r="L826" t="s" s="79">
        <v>589</v>
      </c>
      <c r="M826" s="80">
        <v>4</v>
      </c>
      <c r="N826" s="81">
        <v>0</v>
      </c>
      <c r="O826" s="81">
        <v>0</v>
      </c>
    </row>
    <row r="827" ht="9" customHeight="1" hidden="1">
      <c r="I827" s="82"/>
      <c r="J827" s="83"/>
      <c r="K827" s="84">
        <v>45108</v>
      </c>
      <c r="L827" s="85"/>
      <c r="M827" s="28">
        <v>8</v>
      </c>
      <c r="N827" s="29">
        <v>0</v>
      </c>
      <c r="O827" s="29">
        <v>0</v>
      </c>
    </row>
    <row r="828" ht="9" customHeight="1" hidden="1">
      <c r="I828" s="82"/>
      <c r="J828" t="s" s="86">
        <v>5023</v>
      </c>
      <c r="K828" s="87"/>
      <c r="L828" s="85"/>
      <c r="M828" s="28">
        <v>8</v>
      </c>
      <c r="N828" s="29">
        <v>0</v>
      </c>
      <c r="O828" s="29">
        <v>0</v>
      </c>
    </row>
    <row r="829" ht="16.1" customHeight="1">
      <c r="I829" t="s" s="126">
        <v>5024</v>
      </c>
      <c r="J829" s="127"/>
      <c r="K829" s="127"/>
      <c r="L829" s="128"/>
      <c r="M829" s="129">
        <v>8</v>
      </c>
      <c r="N829" s="142">
        <v>0</v>
      </c>
      <c r="O829" s="142">
        <v>0</v>
      </c>
    </row>
    <row r="830" ht="9" customHeight="1" hidden="1">
      <c r="I830" s="77"/>
      <c r="J830" s="78"/>
      <c r="K830" s="78"/>
      <c r="L830" t="s" s="79">
        <v>84</v>
      </c>
      <c r="M830" s="80">
        <v>4</v>
      </c>
      <c r="N830" s="81">
        <v>0</v>
      </c>
      <c r="O830" s="81">
        <v>0</v>
      </c>
    </row>
    <row r="831" ht="9" customHeight="1" hidden="1">
      <c r="I831" s="77"/>
      <c r="J831" s="78"/>
      <c r="K831" s="78"/>
      <c r="L831" t="s" s="79">
        <v>225</v>
      </c>
      <c r="M831" s="80">
        <v>4</v>
      </c>
      <c r="N831" s="81">
        <v>499.99</v>
      </c>
      <c r="O831" s="81">
        <v>1999.96</v>
      </c>
    </row>
    <row r="832" ht="9" customHeight="1" hidden="1">
      <c r="I832" s="77"/>
      <c r="J832" s="78"/>
      <c r="K832" s="78"/>
      <c r="L832" t="s" s="79">
        <v>213</v>
      </c>
      <c r="M832" s="80">
        <v>4</v>
      </c>
      <c r="N832" s="81">
        <v>549.99</v>
      </c>
      <c r="O832" s="81">
        <v>2199.96</v>
      </c>
    </row>
    <row r="833" ht="9" customHeight="1" hidden="1">
      <c r="I833" s="82"/>
      <c r="J833" s="83"/>
      <c r="K833" s="84">
        <v>45108</v>
      </c>
      <c r="L833" s="85"/>
      <c r="M833" s="28">
        <v>12</v>
      </c>
      <c r="N833" s="29">
        <v>1049.98</v>
      </c>
      <c r="O833" s="29">
        <v>4199.92</v>
      </c>
    </row>
    <row r="834" ht="9" customHeight="1" hidden="1">
      <c r="I834" s="82"/>
      <c r="J834" t="s" s="86">
        <v>5063</v>
      </c>
      <c r="K834" s="87"/>
      <c r="L834" s="85"/>
      <c r="M834" s="28">
        <v>12</v>
      </c>
      <c r="N834" s="29">
        <v>1049.98</v>
      </c>
      <c r="O834" s="29">
        <v>4199.92</v>
      </c>
    </row>
    <row r="835" ht="9" customHeight="1" hidden="1">
      <c r="I835" s="77"/>
      <c r="J835" s="78"/>
      <c r="K835" s="78"/>
      <c r="L835" t="s" s="79">
        <v>165</v>
      </c>
      <c r="M835" s="80">
        <v>4</v>
      </c>
      <c r="N835" s="81">
        <v>0</v>
      </c>
      <c r="O835" s="81">
        <v>0</v>
      </c>
    </row>
    <row r="836" ht="9" customHeight="1" hidden="1">
      <c r="I836" s="82"/>
      <c r="J836" s="83"/>
      <c r="K836" s="84">
        <v>45108</v>
      </c>
      <c r="L836" s="85"/>
      <c r="M836" s="28">
        <v>4</v>
      </c>
      <c r="N836" s="29">
        <v>0</v>
      </c>
      <c r="O836" s="29">
        <v>0</v>
      </c>
    </row>
    <row r="837" ht="9" customHeight="1" hidden="1">
      <c r="I837" s="82"/>
      <c r="J837" t="s" s="86">
        <v>5025</v>
      </c>
      <c r="K837" s="87"/>
      <c r="L837" s="85"/>
      <c r="M837" s="28">
        <v>4</v>
      </c>
      <c r="N837" s="29">
        <v>0</v>
      </c>
      <c r="O837" s="29">
        <v>0</v>
      </c>
    </row>
    <row r="838" ht="16.1" customHeight="1">
      <c r="I838" t="s" s="126">
        <v>1586</v>
      </c>
      <c r="J838" s="127"/>
      <c r="K838" s="127"/>
      <c r="L838" s="128"/>
      <c r="M838" s="129">
        <v>16</v>
      </c>
      <c r="N838" s="142">
        <v>1049.98</v>
      </c>
      <c r="O838" s="142">
        <v>4199.92</v>
      </c>
    </row>
    <row r="839" ht="9" customHeight="1" hidden="1">
      <c r="I839" s="77"/>
      <c r="J839" s="78"/>
      <c r="K839" s="78"/>
      <c r="L839" t="s" s="79">
        <v>95</v>
      </c>
      <c r="M839" s="80">
        <v>1</v>
      </c>
      <c r="N839" s="81">
        <v>349.99</v>
      </c>
      <c r="O839" s="81">
        <v>349.99</v>
      </c>
    </row>
    <row r="840" ht="9" customHeight="1" hidden="1">
      <c r="I840" s="82"/>
      <c r="J840" s="83"/>
      <c r="K840" s="84">
        <v>45108</v>
      </c>
      <c r="L840" s="85"/>
      <c r="M840" s="28">
        <v>1</v>
      </c>
      <c r="N840" s="29">
        <v>349.99</v>
      </c>
      <c r="O840" s="29">
        <v>349.99</v>
      </c>
    </row>
    <row r="841" ht="9" customHeight="1" hidden="1">
      <c r="I841" s="82"/>
      <c r="J841" t="s" s="86">
        <v>5034</v>
      </c>
      <c r="K841" s="87"/>
      <c r="L841" s="85"/>
      <c r="M841" s="28">
        <v>1</v>
      </c>
      <c r="N841" s="29">
        <v>349.99</v>
      </c>
      <c r="O841" s="29">
        <v>349.99</v>
      </c>
    </row>
    <row r="842" ht="16.1" customHeight="1">
      <c r="I842" t="s" s="126">
        <v>5035</v>
      </c>
      <c r="J842" s="127"/>
      <c r="K842" s="127"/>
      <c r="L842" s="128"/>
      <c r="M842" s="129">
        <v>1</v>
      </c>
      <c r="N842" s="142">
        <v>349.99</v>
      </c>
      <c r="O842" s="142">
        <v>349.99</v>
      </c>
    </row>
    <row r="843" ht="9" customHeight="1" hidden="1">
      <c r="I843" s="77"/>
      <c r="J843" s="78"/>
      <c r="K843" s="78"/>
      <c r="L843" t="s" s="79">
        <v>23</v>
      </c>
      <c r="M843" s="80">
        <v>1</v>
      </c>
      <c r="N843" s="81">
        <v>149.99</v>
      </c>
      <c r="O843" s="81">
        <v>149.99</v>
      </c>
    </row>
    <row r="844" ht="9" customHeight="1" hidden="1">
      <c r="I844" s="82"/>
      <c r="J844" s="83"/>
      <c r="K844" s="84">
        <v>45108</v>
      </c>
      <c r="L844" s="85"/>
      <c r="M844" s="28">
        <v>1</v>
      </c>
      <c r="N844" s="29">
        <v>149.99</v>
      </c>
      <c r="O844" s="29">
        <v>149.99</v>
      </c>
    </row>
    <row r="845" ht="9" customHeight="1" hidden="1">
      <c r="I845" s="82"/>
      <c r="J845" t="s" s="86">
        <v>4926</v>
      </c>
      <c r="K845" s="87"/>
      <c r="L845" s="85"/>
      <c r="M845" s="28">
        <v>1</v>
      </c>
      <c r="N845" s="29">
        <v>149.99</v>
      </c>
      <c r="O845" s="29">
        <v>149.99</v>
      </c>
    </row>
    <row r="846" ht="16.1" customHeight="1">
      <c r="I846" t="s" s="126">
        <v>4927</v>
      </c>
      <c r="J846" s="127"/>
      <c r="K846" s="127"/>
      <c r="L846" s="128"/>
      <c r="M846" s="129">
        <v>1</v>
      </c>
      <c r="N846" s="142">
        <v>149.99</v>
      </c>
      <c r="O846" s="142">
        <v>149.99</v>
      </c>
    </row>
    <row r="847" ht="9" customHeight="1" hidden="1">
      <c r="I847" s="77"/>
      <c r="J847" s="78"/>
      <c r="K847" s="78"/>
      <c r="L847" t="s" s="79">
        <v>345</v>
      </c>
      <c r="M847" s="80">
        <v>1</v>
      </c>
      <c r="N847" s="81">
        <v>164.9925</v>
      </c>
      <c r="O847" s="81">
        <v>164.9925</v>
      </c>
    </row>
    <row r="848" ht="9" customHeight="1" hidden="1">
      <c r="I848" s="82"/>
      <c r="J848" s="83"/>
      <c r="K848" s="84">
        <v>45108</v>
      </c>
      <c r="L848" s="85"/>
      <c r="M848" s="28">
        <v>1</v>
      </c>
      <c r="N848" s="29">
        <v>164.9925</v>
      </c>
      <c r="O848" s="29">
        <v>164.9925</v>
      </c>
    </row>
    <row r="849" ht="9" customHeight="1" hidden="1">
      <c r="I849" s="82"/>
      <c r="J849" t="s" s="86">
        <v>4900</v>
      </c>
      <c r="K849" s="87"/>
      <c r="L849" s="85"/>
      <c r="M849" s="28">
        <v>1</v>
      </c>
      <c r="N849" s="29">
        <v>164.9925</v>
      </c>
      <c r="O849" s="29">
        <v>164.9925</v>
      </c>
    </row>
    <row r="850" ht="16.1" customHeight="1">
      <c r="I850" t="s" s="126">
        <v>704</v>
      </c>
      <c r="J850" s="127"/>
      <c r="K850" s="127"/>
      <c r="L850" s="128"/>
      <c r="M850" s="129">
        <v>1</v>
      </c>
      <c r="N850" s="142">
        <v>164.9925</v>
      </c>
      <c r="O850" s="142">
        <v>164.9925</v>
      </c>
    </row>
    <row r="851" ht="9" customHeight="1" hidden="1">
      <c r="I851" s="77"/>
      <c r="J851" s="78"/>
      <c r="K851" s="78"/>
      <c r="L851" t="s" s="79">
        <v>11</v>
      </c>
      <c r="M851" s="80">
        <v>1</v>
      </c>
      <c r="N851" s="81">
        <v>399.99</v>
      </c>
      <c r="O851" s="81">
        <v>399.99</v>
      </c>
    </row>
    <row r="852" ht="9" customHeight="1" hidden="1">
      <c r="I852" s="82"/>
      <c r="J852" s="83"/>
      <c r="K852" s="84">
        <v>45108</v>
      </c>
      <c r="L852" s="85"/>
      <c r="M852" s="28">
        <v>1</v>
      </c>
      <c r="N852" s="29">
        <v>399.99</v>
      </c>
      <c r="O852" s="29">
        <v>399.99</v>
      </c>
    </row>
    <row r="853" ht="9" customHeight="1" hidden="1">
      <c r="I853" s="82"/>
      <c r="J853" t="s" s="86">
        <v>5007</v>
      </c>
      <c r="K853" s="87"/>
      <c r="L853" s="85"/>
      <c r="M853" s="28">
        <v>1</v>
      </c>
      <c r="N853" s="29">
        <v>399.99</v>
      </c>
      <c r="O853" s="29">
        <v>399.99</v>
      </c>
    </row>
    <row r="854" ht="16.1" customHeight="1">
      <c r="I854" t="s" s="126">
        <v>5008</v>
      </c>
      <c r="J854" s="127"/>
      <c r="K854" s="127"/>
      <c r="L854" s="128"/>
      <c r="M854" s="129">
        <v>1</v>
      </c>
      <c r="N854" s="142">
        <v>399.99</v>
      </c>
      <c r="O854" s="142">
        <v>399.99</v>
      </c>
    </row>
    <row r="855" ht="9" customHeight="1" hidden="1">
      <c r="I855" s="77"/>
      <c r="J855" s="78"/>
      <c r="K855" s="78"/>
      <c r="L855" t="s" s="79">
        <v>11</v>
      </c>
      <c r="M855" s="80">
        <v>2</v>
      </c>
      <c r="N855" s="81">
        <v>399.99</v>
      </c>
      <c r="O855" s="81">
        <v>799.98</v>
      </c>
    </row>
    <row r="856" ht="9" customHeight="1" hidden="1">
      <c r="I856" s="82"/>
      <c r="J856" s="83"/>
      <c r="K856" s="84">
        <v>45108</v>
      </c>
      <c r="L856" s="85"/>
      <c r="M856" s="28">
        <v>2</v>
      </c>
      <c r="N856" s="29">
        <v>399.99</v>
      </c>
      <c r="O856" s="29">
        <v>799.98</v>
      </c>
    </row>
    <row r="857" ht="9" customHeight="1" hidden="1">
      <c r="I857" s="82"/>
      <c r="J857" t="s" s="86">
        <v>4967</v>
      </c>
      <c r="K857" s="87"/>
      <c r="L857" s="85"/>
      <c r="M857" s="28">
        <v>2</v>
      </c>
      <c r="N857" s="29">
        <v>399.99</v>
      </c>
      <c r="O857" s="29">
        <v>799.98</v>
      </c>
    </row>
    <row r="858" ht="16.1" customHeight="1">
      <c r="I858" t="s" s="126">
        <v>4968</v>
      </c>
      <c r="J858" s="127"/>
      <c r="K858" s="127"/>
      <c r="L858" s="128"/>
      <c r="M858" s="129">
        <v>2</v>
      </c>
      <c r="N858" s="142">
        <v>399.99</v>
      </c>
      <c r="O858" s="142">
        <v>799.98</v>
      </c>
    </row>
    <row r="859" ht="9" customHeight="1" hidden="1">
      <c r="I859" s="77"/>
      <c r="J859" s="78"/>
      <c r="K859" s="78"/>
      <c r="L859" t="s" s="79">
        <v>1046</v>
      </c>
      <c r="M859" s="80">
        <v>16</v>
      </c>
      <c r="N859" s="81">
        <v>0</v>
      </c>
      <c r="O859" s="81">
        <v>0</v>
      </c>
    </row>
    <row r="860" ht="9" customHeight="1" hidden="1">
      <c r="I860" s="77"/>
      <c r="J860" s="78"/>
      <c r="K860" s="78"/>
      <c r="L860" t="s" s="79">
        <v>412</v>
      </c>
      <c r="M860" s="80">
        <v>5</v>
      </c>
      <c r="N860" s="81">
        <v>0</v>
      </c>
      <c r="O860" s="81">
        <v>0</v>
      </c>
    </row>
    <row r="861" ht="9" customHeight="1" hidden="1">
      <c r="I861" s="77"/>
      <c r="J861" s="78"/>
      <c r="K861" s="78"/>
      <c r="L861" t="s" s="79">
        <v>1044</v>
      </c>
      <c r="M861" s="80">
        <v>16</v>
      </c>
      <c r="N861" s="81">
        <v>0</v>
      </c>
      <c r="O861" s="81">
        <v>0</v>
      </c>
    </row>
    <row r="862" ht="9" customHeight="1" hidden="1">
      <c r="I862" s="77"/>
      <c r="J862" s="78"/>
      <c r="K862" s="78"/>
      <c r="L862" t="s" s="79">
        <v>1048</v>
      </c>
      <c r="M862" s="80">
        <v>16</v>
      </c>
      <c r="N862" s="81">
        <v>0</v>
      </c>
      <c r="O862" s="81">
        <v>0</v>
      </c>
    </row>
    <row r="863" ht="9" customHeight="1" hidden="1">
      <c r="I863" s="82"/>
      <c r="J863" s="83"/>
      <c r="K863" s="84">
        <v>45108</v>
      </c>
      <c r="L863" s="85"/>
      <c r="M863" s="28">
        <v>53</v>
      </c>
      <c r="N863" s="29">
        <v>0</v>
      </c>
      <c r="O863" s="29">
        <v>0</v>
      </c>
    </row>
    <row r="864" ht="9" customHeight="1" hidden="1">
      <c r="I864" s="82"/>
      <c r="J864" t="s" s="86">
        <v>4859</v>
      </c>
      <c r="K864" s="87"/>
      <c r="L864" s="85"/>
      <c r="M864" s="28">
        <v>53</v>
      </c>
      <c r="N864" s="29">
        <v>0</v>
      </c>
      <c r="O864" s="29">
        <v>0</v>
      </c>
    </row>
    <row r="865" ht="16.1" customHeight="1">
      <c r="I865" t="s" s="126">
        <v>4860</v>
      </c>
      <c r="J865" s="127"/>
      <c r="K865" s="127"/>
      <c r="L865" s="128"/>
      <c r="M865" s="129">
        <v>53</v>
      </c>
      <c r="N865" s="142">
        <v>0</v>
      </c>
      <c r="O865" s="142">
        <v>0</v>
      </c>
    </row>
    <row r="866" ht="9" customHeight="1" hidden="1">
      <c r="I866" s="77"/>
      <c r="J866" s="78"/>
      <c r="K866" s="78"/>
      <c r="L866" t="s" s="79">
        <v>50</v>
      </c>
      <c r="M866" s="80">
        <v>14</v>
      </c>
      <c r="N866" s="81">
        <v>0</v>
      </c>
      <c r="O866" s="81">
        <v>0</v>
      </c>
    </row>
    <row r="867" ht="9" customHeight="1" hidden="1">
      <c r="I867" s="77"/>
      <c r="J867" s="78"/>
      <c r="K867" s="78"/>
      <c r="L867" t="s" s="79">
        <v>468</v>
      </c>
      <c r="M867" s="80">
        <v>14</v>
      </c>
      <c r="N867" s="81">
        <v>1575</v>
      </c>
      <c r="O867" s="81">
        <v>22050</v>
      </c>
    </row>
    <row r="868" ht="9" customHeight="1" hidden="1">
      <c r="I868" s="77"/>
      <c r="J868" s="78"/>
      <c r="K868" s="78"/>
      <c r="L868" t="s" s="79">
        <v>47</v>
      </c>
      <c r="M868" s="80">
        <v>1</v>
      </c>
      <c r="N868" s="81">
        <v>50</v>
      </c>
      <c r="O868" s="81">
        <v>50</v>
      </c>
    </row>
    <row r="869" ht="9" customHeight="1" hidden="1">
      <c r="I869" s="82"/>
      <c r="J869" s="83"/>
      <c r="K869" s="84">
        <v>45108</v>
      </c>
      <c r="L869" s="85"/>
      <c r="M869" s="28">
        <v>29</v>
      </c>
      <c r="N869" s="29">
        <v>1625</v>
      </c>
      <c r="O869" s="29">
        <v>22100</v>
      </c>
    </row>
    <row r="870" ht="9" customHeight="1" hidden="1">
      <c r="I870" s="82"/>
      <c r="J870" t="s" s="86">
        <v>4988</v>
      </c>
      <c r="K870" s="87"/>
      <c r="L870" s="85"/>
      <c r="M870" s="28">
        <v>29</v>
      </c>
      <c r="N870" s="29">
        <v>1625</v>
      </c>
      <c r="O870" s="29">
        <v>22100</v>
      </c>
    </row>
    <row r="871" ht="9" customHeight="1" hidden="1">
      <c r="I871" s="77"/>
      <c r="J871" s="78"/>
      <c r="K871" s="78"/>
      <c r="L871" t="s" s="79">
        <v>359</v>
      </c>
      <c r="M871" s="80">
        <v>56</v>
      </c>
      <c r="N871" s="81">
        <v>22.4925</v>
      </c>
      <c r="O871" s="81">
        <v>1259.58</v>
      </c>
    </row>
    <row r="872" ht="9" customHeight="1" hidden="1">
      <c r="I872" s="77"/>
      <c r="J872" s="78"/>
      <c r="K872" s="78"/>
      <c r="L872" t="s" s="79">
        <v>47</v>
      </c>
      <c r="M872" s="80">
        <v>1</v>
      </c>
      <c r="N872" s="81">
        <v>40</v>
      </c>
      <c r="O872" s="81">
        <v>40</v>
      </c>
    </row>
    <row r="873" ht="9" customHeight="1" hidden="1">
      <c r="I873" s="82"/>
      <c r="J873" s="83"/>
      <c r="K873" s="84">
        <v>45108</v>
      </c>
      <c r="L873" s="85"/>
      <c r="M873" s="28">
        <v>57</v>
      </c>
      <c r="N873" s="29">
        <v>62.4925</v>
      </c>
      <c r="O873" s="29">
        <v>1299.58</v>
      </c>
    </row>
    <row r="874" ht="9" customHeight="1" hidden="1">
      <c r="I874" s="82"/>
      <c r="J874" t="s" s="86">
        <v>4899</v>
      </c>
      <c r="K874" s="87"/>
      <c r="L874" s="85"/>
      <c r="M874" s="28">
        <v>57</v>
      </c>
      <c r="N874" s="29">
        <v>62.4925</v>
      </c>
      <c r="O874" s="29">
        <v>1299.58</v>
      </c>
    </row>
    <row r="875" ht="9" customHeight="1" hidden="1">
      <c r="I875" s="77"/>
      <c r="J875" s="78"/>
      <c r="K875" s="78"/>
      <c r="L875" t="s" s="79">
        <v>359</v>
      </c>
      <c r="M875" s="80">
        <v>5</v>
      </c>
      <c r="N875" s="81">
        <v>22.4925</v>
      </c>
      <c r="O875" s="81">
        <v>112.4625</v>
      </c>
    </row>
    <row r="876" ht="9" customHeight="1" hidden="1">
      <c r="I876" s="77"/>
      <c r="J876" s="78"/>
      <c r="K876" s="78"/>
      <c r="L876" t="s" s="79">
        <v>1705</v>
      </c>
      <c r="M876" s="80">
        <v>5</v>
      </c>
      <c r="N876" s="81">
        <v>18.7425</v>
      </c>
      <c r="O876" s="81">
        <v>93.71250000000001</v>
      </c>
    </row>
    <row r="877" ht="9" customHeight="1" hidden="1">
      <c r="I877" s="77"/>
      <c r="J877" s="78"/>
      <c r="K877" s="78"/>
      <c r="L877" t="s" s="79">
        <v>47</v>
      </c>
      <c r="M877" s="80">
        <v>1</v>
      </c>
      <c r="N877" s="81">
        <v>15</v>
      </c>
      <c r="O877" s="81">
        <v>15</v>
      </c>
    </row>
    <row r="878" ht="9" customHeight="1" hidden="1">
      <c r="I878" s="82"/>
      <c r="J878" s="83"/>
      <c r="K878" s="84">
        <v>45108</v>
      </c>
      <c r="L878" s="85"/>
      <c r="M878" s="28">
        <v>11</v>
      </c>
      <c r="N878" s="29">
        <v>56.235</v>
      </c>
      <c r="O878" s="29">
        <v>221.175</v>
      </c>
    </row>
    <row r="879" ht="9" customHeight="1" hidden="1">
      <c r="I879" s="82"/>
      <c r="J879" t="s" s="86">
        <v>4896</v>
      </c>
      <c r="K879" s="87"/>
      <c r="L879" s="85"/>
      <c r="M879" s="28">
        <v>11</v>
      </c>
      <c r="N879" s="29">
        <v>56.235</v>
      </c>
      <c r="O879" s="29">
        <v>221.175</v>
      </c>
    </row>
    <row r="880" ht="16.1" customHeight="1">
      <c r="I880" t="s" s="126">
        <v>473</v>
      </c>
      <c r="J880" s="127"/>
      <c r="K880" s="127"/>
      <c r="L880" s="128"/>
      <c r="M880" s="129">
        <v>97</v>
      </c>
      <c r="N880" s="142">
        <v>1743.7275</v>
      </c>
      <c r="O880" s="142">
        <v>23620.755</v>
      </c>
    </row>
    <row r="881" ht="9" customHeight="1" hidden="1">
      <c r="I881" s="77"/>
      <c r="J881" s="78"/>
      <c r="K881" s="78"/>
      <c r="L881" t="s" s="79">
        <v>52</v>
      </c>
      <c r="M881" s="80">
        <v>12</v>
      </c>
      <c r="N881" s="81">
        <v>0</v>
      </c>
      <c r="O881" s="81">
        <v>0</v>
      </c>
    </row>
    <row r="882" ht="9" customHeight="1" hidden="1">
      <c r="I882" s="77"/>
      <c r="J882" s="78"/>
      <c r="K882" s="78"/>
      <c r="L882" t="s" s="79">
        <v>607</v>
      </c>
      <c r="M882" s="80">
        <v>24</v>
      </c>
      <c r="N882" s="81">
        <v>22.4925</v>
      </c>
      <c r="O882" s="81">
        <v>539.8200000000001</v>
      </c>
    </row>
    <row r="883" ht="9" customHeight="1" hidden="1">
      <c r="I883" s="77"/>
      <c r="J883" s="78"/>
      <c r="K883" s="78"/>
      <c r="L883" t="s" s="79">
        <v>50</v>
      </c>
      <c r="M883" s="80">
        <v>12</v>
      </c>
      <c r="N883" s="81">
        <v>0</v>
      </c>
      <c r="O883" s="81">
        <v>0</v>
      </c>
    </row>
    <row r="884" ht="9" customHeight="1" hidden="1">
      <c r="I884" s="77"/>
      <c r="J884" s="78"/>
      <c r="K884" s="78"/>
      <c r="L884" t="s" s="79">
        <v>48</v>
      </c>
      <c r="M884" s="80">
        <v>12</v>
      </c>
      <c r="N884" s="81">
        <v>900</v>
      </c>
      <c r="O884" s="81">
        <v>10800</v>
      </c>
    </row>
    <row r="885" ht="9" customHeight="1" hidden="1">
      <c r="I885" s="77"/>
      <c r="J885" s="78"/>
      <c r="K885" s="78"/>
      <c r="L885" t="s" s="79">
        <v>559</v>
      </c>
      <c r="M885" s="80">
        <v>600</v>
      </c>
      <c r="N885" s="81">
        <v>0.1875</v>
      </c>
      <c r="O885" s="81">
        <v>112.5</v>
      </c>
    </row>
    <row r="886" ht="9" customHeight="1" hidden="1">
      <c r="I886" s="77"/>
      <c r="J886" s="78"/>
      <c r="K886" s="78"/>
      <c r="L886" t="s" s="79">
        <v>63</v>
      </c>
      <c r="M886" s="80">
        <v>1</v>
      </c>
      <c r="N886" s="81">
        <v>211.83</v>
      </c>
      <c r="O886" s="81">
        <v>211.83</v>
      </c>
    </row>
    <row r="887" ht="9" customHeight="1" hidden="1">
      <c r="I887" s="82"/>
      <c r="J887" s="83"/>
      <c r="K887" s="84">
        <v>45108</v>
      </c>
      <c r="L887" s="85"/>
      <c r="M887" s="28">
        <v>661</v>
      </c>
      <c r="N887" s="29">
        <v>1134.51</v>
      </c>
      <c r="O887" s="29">
        <v>11664.15</v>
      </c>
    </row>
    <row r="888" ht="9" customHeight="1" hidden="1">
      <c r="I888" s="82"/>
      <c r="J888" t="s" s="86">
        <v>4934</v>
      </c>
      <c r="K888" s="87"/>
      <c r="L888" s="85"/>
      <c r="M888" s="28">
        <v>661</v>
      </c>
      <c r="N888" s="29">
        <v>1134.51</v>
      </c>
      <c r="O888" s="29">
        <v>11664.15</v>
      </c>
    </row>
    <row r="889" ht="9" customHeight="1" hidden="1">
      <c r="I889" s="77"/>
      <c r="J889" s="78"/>
      <c r="K889" s="78"/>
      <c r="L889" t="s" s="79">
        <v>73</v>
      </c>
      <c r="M889" s="80">
        <v>1</v>
      </c>
      <c r="N889" s="81">
        <v>299.9925</v>
      </c>
      <c r="O889" s="81">
        <v>299.9925</v>
      </c>
    </row>
    <row r="890" ht="9" customHeight="1" hidden="1">
      <c r="I890" s="77"/>
      <c r="J890" s="78"/>
      <c r="K890" s="78"/>
      <c r="L890" t="s" s="79">
        <v>559</v>
      </c>
      <c r="M890" s="80">
        <v>3000</v>
      </c>
      <c r="N890" s="81">
        <v>0.1875</v>
      </c>
      <c r="O890" s="81">
        <v>562.5</v>
      </c>
    </row>
    <row r="891" ht="9" customHeight="1" hidden="1">
      <c r="I891" s="77"/>
      <c r="J891" s="78"/>
      <c r="K891" s="78"/>
      <c r="L891" t="s" s="79">
        <v>63</v>
      </c>
      <c r="M891" s="80">
        <v>1</v>
      </c>
      <c r="N891" s="81">
        <v>30</v>
      </c>
      <c r="O891" s="81">
        <v>30</v>
      </c>
    </row>
    <row r="892" ht="9" customHeight="1" hidden="1">
      <c r="I892" s="82"/>
      <c r="J892" s="83"/>
      <c r="K892" s="84">
        <v>45108</v>
      </c>
      <c r="L892" s="85"/>
      <c r="M892" s="28">
        <v>3002</v>
      </c>
      <c r="N892" s="29">
        <v>330.18</v>
      </c>
      <c r="O892" s="29">
        <v>892.4924999999999</v>
      </c>
    </row>
    <row r="893" ht="9" customHeight="1" hidden="1">
      <c r="I893" s="82"/>
      <c r="J893" t="s" s="86">
        <v>4892</v>
      </c>
      <c r="K893" s="87"/>
      <c r="L893" s="85"/>
      <c r="M893" s="28">
        <v>3002</v>
      </c>
      <c r="N893" s="29">
        <v>330.18</v>
      </c>
      <c r="O893" s="29">
        <v>892.4924999999999</v>
      </c>
    </row>
    <row r="894" ht="16.1" customHeight="1">
      <c r="I894" t="s" s="126">
        <v>42</v>
      </c>
      <c r="J894" s="127"/>
      <c r="K894" s="127"/>
      <c r="L894" s="128"/>
      <c r="M894" s="129">
        <v>3663</v>
      </c>
      <c r="N894" s="142">
        <v>1464.69</v>
      </c>
      <c r="O894" s="142">
        <v>12556.6425</v>
      </c>
    </row>
    <row r="895" ht="9" customHeight="1" hidden="1">
      <c r="I895" s="77"/>
      <c r="J895" s="78"/>
      <c r="K895" s="78"/>
      <c r="L895" t="s" s="79">
        <v>11</v>
      </c>
      <c r="M895" s="80">
        <v>2</v>
      </c>
      <c r="N895" s="81">
        <v>399.99</v>
      </c>
      <c r="O895" s="81">
        <v>799.98</v>
      </c>
    </row>
    <row r="896" ht="9" customHeight="1" hidden="1">
      <c r="I896" s="82"/>
      <c r="J896" s="83"/>
      <c r="K896" s="84">
        <v>45108</v>
      </c>
      <c r="L896" s="85"/>
      <c r="M896" s="28">
        <v>2</v>
      </c>
      <c r="N896" s="29">
        <v>399.99</v>
      </c>
      <c r="O896" s="29">
        <v>799.98</v>
      </c>
    </row>
    <row r="897" ht="9" customHeight="1" hidden="1">
      <c r="I897" s="82"/>
      <c r="J897" t="s" s="86">
        <v>4849</v>
      </c>
      <c r="K897" s="87"/>
      <c r="L897" s="85"/>
      <c r="M897" s="28">
        <v>2</v>
      </c>
      <c r="N897" s="29">
        <v>399.99</v>
      </c>
      <c r="O897" s="29">
        <v>799.98</v>
      </c>
    </row>
    <row r="898" ht="16.1" customHeight="1">
      <c r="I898" t="s" s="126">
        <v>4850</v>
      </c>
      <c r="J898" s="127"/>
      <c r="K898" s="127"/>
      <c r="L898" s="128"/>
      <c r="M898" s="129">
        <v>2</v>
      </c>
      <c r="N898" s="142">
        <v>399.99</v>
      </c>
      <c r="O898" s="142">
        <v>799.98</v>
      </c>
    </row>
    <row r="899" ht="9" customHeight="1" hidden="1">
      <c r="I899" s="77"/>
      <c r="J899" s="78"/>
      <c r="K899" s="78"/>
      <c r="L899" t="s" s="79">
        <v>15</v>
      </c>
      <c r="M899" s="80">
        <v>5</v>
      </c>
      <c r="N899" s="81">
        <v>8.99</v>
      </c>
      <c r="O899" s="81">
        <v>44.95</v>
      </c>
    </row>
    <row r="900" ht="9" customHeight="1" hidden="1">
      <c r="I900" s="82"/>
      <c r="J900" s="83"/>
      <c r="K900" s="84">
        <v>45108</v>
      </c>
      <c r="L900" s="85"/>
      <c r="M900" s="28">
        <v>5</v>
      </c>
      <c r="N900" s="29">
        <v>8.99</v>
      </c>
      <c r="O900" s="29">
        <v>44.95</v>
      </c>
    </row>
    <row r="901" ht="9" customHeight="1" hidden="1">
      <c r="I901" s="82"/>
      <c r="J901" t="s" s="86">
        <v>5066</v>
      </c>
      <c r="K901" s="87"/>
      <c r="L901" s="85"/>
      <c r="M901" s="28">
        <v>5</v>
      </c>
      <c r="N901" s="29">
        <v>8.99</v>
      </c>
      <c r="O901" s="29">
        <v>44.95</v>
      </c>
    </row>
    <row r="902" ht="16.1" customHeight="1">
      <c r="I902" t="s" s="126">
        <v>5067</v>
      </c>
      <c r="J902" s="127"/>
      <c r="K902" s="127"/>
      <c r="L902" s="128"/>
      <c r="M902" s="129">
        <v>5</v>
      </c>
      <c r="N902" s="142">
        <v>8.99</v>
      </c>
      <c r="O902" s="142">
        <v>44.95</v>
      </c>
    </row>
    <row r="903" ht="9" customHeight="1" hidden="1">
      <c r="I903" s="77"/>
      <c r="J903" s="78"/>
      <c r="K903" s="78"/>
      <c r="L903" t="s" s="79">
        <v>95</v>
      </c>
      <c r="M903" s="80">
        <v>1</v>
      </c>
      <c r="N903" s="81">
        <v>349.99</v>
      </c>
      <c r="O903" s="81">
        <v>349.99</v>
      </c>
    </row>
    <row r="904" ht="9" customHeight="1" hidden="1">
      <c r="I904" s="82"/>
      <c r="J904" s="83"/>
      <c r="K904" s="84">
        <v>45108</v>
      </c>
      <c r="L904" s="85"/>
      <c r="M904" s="28">
        <v>1</v>
      </c>
      <c r="N904" s="29">
        <v>349.99</v>
      </c>
      <c r="O904" s="29">
        <v>349.99</v>
      </c>
    </row>
    <row r="905" ht="9" customHeight="1" hidden="1">
      <c r="I905" s="82"/>
      <c r="J905" t="s" s="86">
        <v>5046</v>
      </c>
      <c r="K905" s="87"/>
      <c r="L905" s="85"/>
      <c r="M905" s="28">
        <v>1</v>
      </c>
      <c r="N905" s="29">
        <v>349.99</v>
      </c>
      <c r="O905" s="29">
        <v>349.99</v>
      </c>
    </row>
    <row r="906" ht="16.1" customHeight="1">
      <c r="I906" t="s" s="126">
        <v>5047</v>
      </c>
      <c r="J906" s="127"/>
      <c r="K906" s="127"/>
      <c r="L906" s="128"/>
      <c r="M906" s="129">
        <v>1</v>
      </c>
      <c r="N906" s="142">
        <v>349.99</v>
      </c>
      <c r="O906" s="142">
        <v>349.99</v>
      </c>
    </row>
    <row r="907" ht="9" customHeight="1" hidden="1">
      <c r="I907" s="77"/>
      <c r="J907" s="78"/>
      <c r="K907" s="78"/>
      <c r="L907" t="s" s="79">
        <v>11</v>
      </c>
      <c r="M907" s="80">
        <v>1</v>
      </c>
      <c r="N907" s="81">
        <v>399.99</v>
      </c>
      <c r="O907" s="81">
        <v>399.99</v>
      </c>
    </row>
    <row r="908" ht="9" customHeight="1" hidden="1">
      <c r="I908" s="82"/>
      <c r="J908" s="83"/>
      <c r="K908" s="84">
        <v>45108</v>
      </c>
      <c r="L908" s="85"/>
      <c r="M908" s="28">
        <v>1</v>
      </c>
      <c r="N908" s="29">
        <v>399.99</v>
      </c>
      <c r="O908" s="29">
        <v>399.99</v>
      </c>
    </row>
    <row r="909" ht="9" customHeight="1" hidden="1">
      <c r="I909" s="82"/>
      <c r="J909" t="s" s="86">
        <v>4965</v>
      </c>
      <c r="K909" s="87"/>
      <c r="L909" s="85"/>
      <c r="M909" s="28">
        <v>1</v>
      </c>
      <c r="N909" s="29">
        <v>399.99</v>
      </c>
      <c r="O909" s="29">
        <v>399.99</v>
      </c>
    </row>
    <row r="910" ht="16.1" customHeight="1">
      <c r="I910" t="s" s="126">
        <v>4966</v>
      </c>
      <c r="J910" s="127"/>
      <c r="K910" s="127"/>
      <c r="L910" s="128"/>
      <c r="M910" s="129">
        <v>1</v>
      </c>
      <c r="N910" s="142">
        <v>399.99</v>
      </c>
      <c r="O910" s="142">
        <v>399.99</v>
      </c>
    </row>
    <row r="911" ht="9" customHeight="1" hidden="1">
      <c r="I911" s="77"/>
      <c r="J911" s="78"/>
      <c r="K911" s="78"/>
      <c r="L911" t="s" s="79">
        <v>602</v>
      </c>
      <c r="M911" s="80">
        <v>2</v>
      </c>
      <c r="N911" s="81">
        <v>299.99</v>
      </c>
      <c r="O911" s="81">
        <v>599.98</v>
      </c>
    </row>
    <row r="912" ht="9" customHeight="1" hidden="1">
      <c r="I912" s="82"/>
      <c r="J912" s="83"/>
      <c r="K912" s="84">
        <v>45108</v>
      </c>
      <c r="L912" s="85"/>
      <c r="M912" s="28">
        <v>2</v>
      </c>
      <c r="N912" s="29">
        <v>299.99</v>
      </c>
      <c r="O912" s="29">
        <v>599.98</v>
      </c>
    </row>
    <row r="913" ht="9" customHeight="1" hidden="1">
      <c r="I913" s="82"/>
      <c r="J913" t="s" s="86">
        <v>4962</v>
      </c>
      <c r="K913" s="87"/>
      <c r="L913" s="85"/>
      <c r="M913" s="28">
        <v>2</v>
      </c>
      <c r="N913" s="29">
        <v>299.99</v>
      </c>
      <c r="O913" s="29">
        <v>599.98</v>
      </c>
    </row>
    <row r="914" ht="16.1" customHeight="1">
      <c r="I914" t="s" s="126">
        <v>1653</v>
      </c>
      <c r="J914" s="127"/>
      <c r="K914" s="127"/>
      <c r="L914" s="128"/>
      <c r="M914" s="129">
        <v>2</v>
      </c>
      <c r="N914" s="142">
        <v>299.99</v>
      </c>
      <c r="O914" s="142">
        <v>599.98</v>
      </c>
    </row>
    <row r="915" ht="9" customHeight="1" hidden="1">
      <c r="I915" s="77"/>
      <c r="J915" s="78"/>
      <c r="K915" s="78"/>
      <c r="L915" t="s" s="79">
        <v>227</v>
      </c>
      <c r="M915" s="80">
        <v>8</v>
      </c>
      <c r="N915" s="81">
        <v>29.99</v>
      </c>
      <c r="O915" s="81">
        <v>239.92</v>
      </c>
    </row>
    <row r="916" ht="9" customHeight="1" hidden="1">
      <c r="I916" s="77"/>
      <c r="J916" s="78"/>
      <c r="K916" s="78"/>
      <c r="L916" t="s" s="79">
        <v>84</v>
      </c>
      <c r="M916" s="80">
        <v>4</v>
      </c>
      <c r="N916" s="81">
        <v>0</v>
      </c>
      <c r="O916" s="81">
        <v>0</v>
      </c>
    </row>
    <row r="917" ht="9" customHeight="1" hidden="1">
      <c r="I917" s="77"/>
      <c r="J917" s="78"/>
      <c r="K917" s="78"/>
      <c r="L917" t="s" s="79">
        <v>660</v>
      </c>
      <c r="M917" s="80">
        <v>4</v>
      </c>
      <c r="N917" s="81">
        <v>5.99</v>
      </c>
      <c r="O917" s="81">
        <v>23.96</v>
      </c>
    </row>
    <row r="918" ht="9" customHeight="1" hidden="1">
      <c r="I918" s="77"/>
      <c r="J918" s="78"/>
      <c r="K918" s="78"/>
      <c r="L918" t="s" s="79">
        <v>2332</v>
      </c>
      <c r="M918" s="80">
        <v>2</v>
      </c>
      <c r="N918" s="81">
        <v>199.99</v>
      </c>
      <c r="O918" s="81">
        <v>399.98</v>
      </c>
    </row>
    <row r="919" ht="9" customHeight="1" hidden="1">
      <c r="I919" s="77"/>
      <c r="J919" s="78"/>
      <c r="K919" s="78"/>
      <c r="L919" t="s" s="79">
        <v>602</v>
      </c>
      <c r="M919" s="80">
        <v>4</v>
      </c>
      <c r="N919" s="81">
        <v>175</v>
      </c>
      <c r="O919" s="81">
        <v>700</v>
      </c>
    </row>
    <row r="920" ht="9" customHeight="1" hidden="1">
      <c r="I920" s="77"/>
      <c r="J920" s="78"/>
      <c r="K920" s="78"/>
      <c r="L920" t="s" s="79">
        <v>81</v>
      </c>
      <c r="M920" s="80">
        <v>4</v>
      </c>
      <c r="N920" s="81">
        <v>849.99</v>
      </c>
      <c r="O920" s="81">
        <v>3399.96</v>
      </c>
    </row>
    <row r="921" ht="9" customHeight="1" hidden="1">
      <c r="I921" s="77"/>
      <c r="J921" s="78"/>
      <c r="K921" s="78"/>
      <c r="L921" t="s" s="79">
        <v>50</v>
      </c>
      <c r="M921" s="80">
        <v>4</v>
      </c>
      <c r="N921" s="81">
        <v>0</v>
      </c>
      <c r="O921" s="81">
        <v>0</v>
      </c>
    </row>
    <row r="922" ht="9" customHeight="1" hidden="1">
      <c r="I922" s="77"/>
      <c r="J922" s="78"/>
      <c r="K922" s="78"/>
      <c r="L922" t="s" s="79">
        <v>73</v>
      </c>
      <c r="M922" s="80">
        <v>1</v>
      </c>
      <c r="N922" s="81">
        <v>399.99</v>
      </c>
      <c r="O922" s="81">
        <v>399.99</v>
      </c>
    </row>
    <row r="923" ht="9" customHeight="1" hidden="1">
      <c r="I923" s="82"/>
      <c r="J923" s="83"/>
      <c r="K923" s="84">
        <v>45108</v>
      </c>
      <c r="L923" s="85"/>
      <c r="M923" s="28">
        <v>31</v>
      </c>
      <c r="N923" s="29">
        <v>1660.95</v>
      </c>
      <c r="O923" s="29">
        <v>5163.81</v>
      </c>
    </row>
    <row r="924" ht="9" customHeight="1" hidden="1">
      <c r="I924" s="82"/>
      <c r="J924" t="s" s="86">
        <v>4981</v>
      </c>
      <c r="K924" s="87"/>
      <c r="L924" s="85"/>
      <c r="M924" s="28">
        <v>31</v>
      </c>
      <c r="N924" s="29">
        <v>1660.95</v>
      </c>
      <c r="O924" s="29">
        <v>5163.81</v>
      </c>
    </row>
    <row r="925" ht="16.1" customHeight="1">
      <c r="I925" t="s" s="126">
        <v>4982</v>
      </c>
      <c r="J925" s="127"/>
      <c r="K925" s="127"/>
      <c r="L925" s="128"/>
      <c r="M925" s="129">
        <v>31</v>
      </c>
      <c r="N925" s="142">
        <v>1660.95</v>
      </c>
      <c r="O925" s="142">
        <v>5163.81</v>
      </c>
    </row>
    <row r="926" ht="9" customHeight="1" hidden="1">
      <c r="I926" s="77"/>
      <c r="J926" s="78"/>
      <c r="K926" s="78"/>
      <c r="L926" t="s" s="79">
        <v>95</v>
      </c>
      <c r="M926" s="80">
        <v>1</v>
      </c>
      <c r="N926" s="81">
        <v>324.99</v>
      </c>
      <c r="O926" s="81">
        <v>324.99</v>
      </c>
    </row>
    <row r="927" ht="9" customHeight="1" hidden="1">
      <c r="I927" s="82"/>
      <c r="J927" s="83"/>
      <c r="K927" s="84">
        <v>45108</v>
      </c>
      <c r="L927" s="85"/>
      <c r="M927" s="28">
        <v>1</v>
      </c>
      <c r="N927" s="29">
        <v>324.99</v>
      </c>
      <c r="O927" s="29">
        <v>324.99</v>
      </c>
    </row>
    <row r="928" ht="9" customHeight="1" hidden="1">
      <c r="I928" s="82"/>
      <c r="J928" t="s" s="86">
        <v>4975</v>
      </c>
      <c r="K928" s="87"/>
      <c r="L928" s="85"/>
      <c r="M928" s="28">
        <v>1</v>
      </c>
      <c r="N928" s="29">
        <v>324.99</v>
      </c>
      <c r="O928" s="29">
        <v>324.99</v>
      </c>
    </row>
    <row r="929" ht="16.1" customHeight="1">
      <c r="I929" t="s" s="126">
        <v>2852</v>
      </c>
      <c r="J929" s="127"/>
      <c r="K929" s="127"/>
      <c r="L929" s="128"/>
      <c r="M929" s="129">
        <v>1</v>
      </c>
      <c r="N929" s="142">
        <v>324.99</v>
      </c>
      <c r="O929" s="142">
        <v>324.99</v>
      </c>
    </row>
    <row r="930" ht="9" customHeight="1" hidden="1">
      <c r="I930" s="77"/>
      <c r="J930" s="78"/>
      <c r="K930" s="78"/>
      <c r="L930" t="s" s="79">
        <v>11</v>
      </c>
      <c r="M930" s="80">
        <v>2</v>
      </c>
      <c r="N930" s="81">
        <v>399.99</v>
      </c>
      <c r="O930" s="81">
        <v>799.98</v>
      </c>
    </row>
    <row r="931" ht="9" customHeight="1" hidden="1">
      <c r="I931" s="82"/>
      <c r="J931" s="83"/>
      <c r="K931" s="84">
        <v>45108</v>
      </c>
      <c r="L931" s="85"/>
      <c r="M931" s="28">
        <v>2</v>
      </c>
      <c r="N931" s="29">
        <v>399.99</v>
      </c>
      <c r="O931" s="29">
        <v>799.98</v>
      </c>
    </row>
    <row r="932" ht="9" customHeight="1" hidden="1">
      <c r="I932" s="82"/>
      <c r="J932" t="s" s="86">
        <v>5069</v>
      </c>
      <c r="K932" s="87"/>
      <c r="L932" s="85"/>
      <c r="M932" s="28">
        <v>2</v>
      </c>
      <c r="N932" s="29">
        <v>399.99</v>
      </c>
      <c r="O932" s="29">
        <v>799.98</v>
      </c>
    </row>
    <row r="933" ht="16.1" customHeight="1">
      <c r="I933" t="s" s="126">
        <v>5070</v>
      </c>
      <c r="J933" s="127"/>
      <c r="K933" s="127"/>
      <c r="L933" s="128"/>
      <c r="M933" s="129">
        <v>2</v>
      </c>
      <c r="N933" s="142">
        <v>399.99</v>
      </c>
      <c r="O933" s="142">
        <v>799.98</v>
      </c>
    </row>
    <row r="934" ht="9" customHeight="1" hidden="1">
      <c r="I934" s="77"/>
      <c r="J934" s="78"/>
      <c r="K934" s="78"/>
      <c r="L934" t="s" s="79">
        <v>171</v>
      </c>
      <c r="M934" s="80">
        <v>1</v>
      </c>
      <c r="N934" s="81">
        <v>549.99</v>
      </c>
      <c r="O934" s="81">
        <v>549.99</v>
      </c>
    </row>
    <row r="935" ht="9" customHeight="1" hidden="1">
      <c r="I935" s="82"/>
      <c r="J935" s="83"/>
      <c r="K935" s="84">
        <v>45108</v>
      </c>
      <c r="L935" s="85"/>
      <c r="M935" s="28">
        <v>1</v>
      </c>
      <c r="N935" s="29">
        <v>549.99</v>
      </c>
      <c r="O935" s="29">
        <v>549.99</v>
      </c>
    </row>
    <row r="936" ht="9" customHeight="1" hidden="1">
      <c r="I936" s="82"/>
      <c r="J936" t="s" s="86">
        <v>4973</v>
      </c>
      <c r="K936" s="87"/>
      <c r="L936" s="85"/>
      <c r="M936" s="28">
        <v>1</v>
      </c>
      <c r="N936" s="29">
        <v>549.99</v>
      </c>
      <c r="O936" s="29">
        <v>549.99</v>
      </c>
    </row>
    <row r="937" ht="16.1" customHeight="1">
      <c r="I937" t="s" s="126">
        <v>4974</v>
      </c>
      <c r="J937" s="127"/>
      <c r="K937" s="127"/>
      <c r="L937" s="128"/>
      <c r="M937" s="129">
        <v>1</v>
      </c>
      <c r="N937" s="142">
        <v>549.99</v>
      </c>
      <c r="O937" s="142">
        <v>549.99</v>
      </c>
    </row>
    <row r="938" ht="9" customHeight="1" hidden="1">
      <c r="I938" s="77"/>
      <c r="J938" s="78"/>
      <c r="K938" s="78"/>
      <c r="L938" t="s" s="79">
        <v>4180</v>
      </c>
      <c r="M938" s="80">
        <v>12</v>
      </c>
      <c r="N938" s="81">
        <v>111.99999975</v>
      </c>
      <c r="O938" s="81">
        <v>1343.999997</v>
      </c>
    </row>
    <row r="939" ht="9" customHeight="1" hidden="1">
      <c r="I939" s="77"/>
      <c r="J939" s="78"/>
      <c r="K939" s="78"/>
      <c r="L939" t="s" s="79">
        <v>1007</v>
      </c>
      <c r="M939" s="80">
        <v>12</v>
      </c>
      <c r="N939" s="81">
        <v>6.978261</v>
      </c>
      <c r="O939" s="81">
        <v>83.739132</v>
      </c>
    </row>
    <row r="940" ht="9" customHeight="1" hidden="1">
      <c r="I940" s="77"/>
      <c r="J940" s="78"/>
      <c r="K940" s="78"/>
      <c r="L940" t="s" s="79">
        <v>179</v>
      </c>
      <c r="M940" s="80">
        <v>16</v>
      </c>
      <c r="N940" s="81">
        <v>37.4925</v>
      </c>
      <c r="O940" s="81">
        <v>599.88</v>
      </c>
    </row>
    <row r="941" ht="9" customHeight="1" hidden="1">
      <c r="I941" s="77"/>
      <c r="J941" s="78"/>
      <c r="K941" s="78"/>
      <c r="L941" t="s" s="79">
        <v>225</v>
      </c>
      <c r="M941" s="80">
        <v>12</v>
      </c>
      <c r="N941" s="81">
        <v>374.9925</v>
      </c>
      <c r="O941" s="81">
        <v>4499.91</v>
      </c>
    </row>
    <row r="942" ht="9" customHeight="1" hidden="1">
      <c r="I942" s="77"/>
      <c r="J942" s="78"/>
      <c r="K942" s="78"/>
      <c r="L942" t="s" s="79">
        <v>63</v>
      </c>
      <c r="M942" s="80">
        <v>1</v>
      </c>
      <c r="N942" s="81">
        <v>346.64</v>
      </c>
      <c r="O942" s="81">
        <v>346.64</v>
      </c>
    </row>
    <row r="943" ht="9" customHeight="1" hidden="1">
      <c r="I943" s="77"/>
      <c r="J943" s="78"/>
      <c r="K943" s="78"/>
      <c r="L943" t="s" s="79">
        <v>110</v>
      </c>
      <c r="M943" s="80">
        <v>4</v>
      </c>
      <c r="N943" s="81">
        <v>0</v>
      </c>
      <c r="O943" s="81">
        <v>0</v>
      </c>
    </row>
    <row r="944" ht="9" customHeight="1" hidden="1">
      <c r="I944" s="82"/>
      <c r="J944" s="83"/>
      <c r="K944" s="84">
        <v>45108</v>
      </c>
      <c r="L944" s="85"/>
      <c r="M944" s="28">
        <v>57</v>
      </c>
      <c r="N944" s="29">
        <v>878.10326075</v>
      </c>
      <c r="O944" s="29">
        <v>6874.169129</v>
      </c>
    </row>
    <row r="945" ht="9" customHeight="1" hidden="1">
      <c r="I945" s="82"/>
      <c r="J945" t="s" s="86">
        <v>4945</v>
      </c>
      <c r="K945" s="87"/>
      <c r="L945" s="85"/>
      <c r="M945" s="28">
        <v>57</v>
      </c>
      <c r="N945" s="29">
        <v>878.10326075</v>
      </c>
      <c r="O945" s="29">
        <v>6874.169129</v>
      </c>
    </row>
    <row r="946" ht="16.1" customHeight="1">
      <c r="I946" t="s" s="126">
        <v>721</v>
      </c>
      <c r="J946" s="127"/>
      <c r="K946" s="127"/>
      <c r="L946" s="128"/>
      <c r="M946" s="129">
        <v>57</v>
      </c>
      <c r="N946" s="142">
        <v>878.10326075</v>
      </c>
      <c r="O946" s="142">
        <v>6874.169129</v>
      </c>
    </row>
    <row r="947" ht="9" customHeight="1" hidden="1">
      <c r="I947" s="77"/>
      <c r="J947" s="78"/>
      <c r="K947" s="78"/>
      <c r="L947" t="s" s="79">
        <v>133</v>
      </c>
      <c r="M947" s="80">
        <v>1</v>
      </c>
      <c r="N947" s="81">
        <v>199.99</v>
      </c>
      <c r="O947" s="81">
        <v>199.99</v>
      </c>
    </row>
    <row r="948" ht="9" customHeight="1" hidden="1">
      <c r="I948" s="82"/>
      <c r="J948" s="83"/>
      <c r="K948" s="84">
        <v>45108</v>
      </c>
      <c r="L948" s="85"/>
      <c r="M948" s="28">
        <v>1</v>
      </c>
      <c r="N948" s="29">
        <v>199.99</v>
      </c>
      <c r="O948" s="29">
        <v>199.99</v>
      </c>
    </row>
    <row r="949" ht="9" customHeight="1" hidden="1">
      <c r="I949" s="82"/>
      <c r="J949" t="s" s="86">
        <v>5027</v>
      </c>
      <c r="K949" s="87"/>
      <c r="L949" s="85"/>
      <c r="M949" s="28">
        <v>1</v>
      </c>
      <c r="N949" s="29">
        <v>199.99</v>
      </c>
      <c r="O949" s="29">
        <v>199.99</v>
      </c>
    </row>
    <row r="950" ht="16.1" customHeight="1">
      <c r="I950" t="s" s="126">
        <v>1669</v>
      </c>
      <c r="J950" s="127"/>
      <c r="K950" s="127"/>
      <c r="L950" s="128"/>
      <c r="M950" s="129">
        <v>1</v>
      </c>
      <c r="N950" s="142">
        <v>199.99</v>
      </c>
      <c r="O950" s="142">
        <v>199.99</v>
      </c>
    </row>
    <row r="951" ht="9" customHeight="1" hidden="1">
      <c r="I951" s="77"/>
      <c r="J951" s="78"/>
      <c r="K951" s="78"/>
      <c r="L951" t="s" s="79">
        <v>1187</v>
      </c>
      <c r="M951" s="80">
        <v>1</v>
      </c>
      <c r="N951" s="81">
        <v>0</v>
      </c>
      <c r="O951" s="81">
        <v>0</v>
      </c>
    </row>
    <row r="952" ht="9" customHeight="1" hidden="1">
      <c r="I952" s="77"/>
      <c r="J952" s="78"/>
      <c r="K952" s="78"/>
      <c r="L952" t="s" s="79">
        <v>775</v>
      </c>
      <c r="M952" s="80">
        <v>2</v>
      </c>
      <c r="N952" s="81">
        <v>0</v>
      </c>
      <c r="O952" s="81">
        <v>0</v>
      </c>
    </row>
    <row r="953" ht="9" customHeight="1" hidden="1">
      <c r="I953" s="77"/>
      <c r="J953" s="78"/>
      <c r="K953" s="78"/>
      <c r="L953" t="s" s="79">
        <v>4888</v>
      </c>
      <c r="M953" s="80">
        <v>1</v>
      </c>
      <c r="N953" s="81">
        <v>0</v>
      </c>
      <c r="O953" s="81">
        <v>0</v>
      </c>
    </row>
    <row r="954" ht="9" customHeight="1" hidden="1">
      <c r="I954" s="77"/>
      <c r="J954" s="78"/>
      <c r="K954" s="78"/>
      <c r="L954" t="s" s="79">
        <v>1914</v>
      </c>
      <c r="M954" s="80">
        <v>1</v>
      </c>
      <c r="N954" s="81">
        <v>0</v>
      </c>
      <c r="O954" s="81">
        <v>0</v>
      </c>
    </row>
    <row r="955" ht="9" customHeight="1" hidden="1">
      <c r="I955" s="77"/>
      <c r="J955" s="78"/>
      <c r="K955" s="78"/>
      <c r="L955" t="s" s="79">
        <v>4887</v>
      </c>
      <c r="M955" s="80">
        <v>1</v>
      </c>
      <c r="N955" s="81">
        <v>0</v>
      </c>
      <c r="O955" s="81">
        <v>0</v>
      </c>
    </row>
    <row r="956" ht="9" customHeight="1" hidden="1">
      <c r="I956" s="77"/>
      <c r="J956" s="78"/>
      <c r="K956" s="78"/>
      <c r="L956" t="s" s="79">
        <v>3542</v>
      </c>
      <c r="M956" s="80">
        <v>1</v>
      </c>
      <c r="N956" s="81">
        <v>0</v>
      </c>
      <c r="O956" s="81">
        <v>0</v>
      </c>
    </row>
    <row r="957" ht="9" customHeight="1" hidden="1">
      <c r="I957" s="77"/>
      <c r="J957" s="78"/>
      <c r="K957" s="78"/>
      <c r="L957" t="s" s="79">
        <v>3611</v>
      </c>
      <c r="M957" s="80">
        <v>1</v>
      </c>
      <c r="N957" s="81">
        <v>0</v>
      </c>
      <c r="O957" s="81">
        <v>0</v>
      </c>
    </row>
    <row r="958" ht="9" customHeight="1" hidden="1">
      <c r="I958" s="77"/>
      <c r="J958" s="78"/>
      <c r="K958" s="78"/>
      <c r="L958" t="s" s="79">
        <v>254</v>
      </c>
      <c r="M958" s="80">
        <v>3</v>
      </c>
      <c r="N958" s="81">
        <v>0</v>
      </c>
      <c r="O958" s="81">
        <v>0</v>
      </c>
    </row>
    <row r="959" ht="9" customHeight="1" hidden="1">
      <c r="I959" s="82"/>
      <c r="J959" s="83"/>
      <c r="K959" s="84">
        <v>45108</v>
      </c>
      <c r="L959" s="85"/>
      <c r="M959" s="28">
        <v>11</v>
      </c>
      <c r="N959" s="29">
        <v>0</v>
      </c>
      <c r="O959" s="29">
        <v>0</v>
      </c>
    </row>
    <row r="960" ht="9" customHeight="1" hidden="1">
      <c r="I960" s="82"/>
      <c r="J960" t="s" s="86">
        <v>4883</v>
      </c>
      <c r="K960" s="87"/>
      <c r="L960" s="85"/>
      <c r="M960" s="28">
        <v>11</v>
      </c>
      <c r="N960" s="29">
        <v>0</v>
      </c>
      <c r="O960" s="29">
        <v>0</v>
      </c>
    </row>
    <row r="961" ht="16.1" customHeight="1">
      <c r="I961" t="s" s="126">
        <v>2209</v>
      </c>
      <c r="J961" s="127"/>
      <c r="K961" s="127"/>
      <c r="L961" s="128"/>
      <c r="M961" s="129">
        <v>11</v>
      </c>
      <c r="N961" s="142">
        <v>0</v>
      </c>
      <c r="O961" s="142">
        <v>0</v>
      </c>
    </row>
    <row r="962" ht="9" customHeight="1" hidden="1">
      <c r="I962" s="77"/>
      <c r="J962" s="78"/>
      <c r="K962" s="78"/>
      <c r="L962" t="s" s="79">
        <v>2961</v>
      </c>
      <c r="M962" s="80">
        <v>8</v>
      </c>
      <c r="N962" s="81">
        <v>17.2425</v>
      </c>
      <c r="O962" s="81">
        <v>137.94</v>
      </c>
    </row>
    <row r="963" ht="9" customHeight="1" hidden="1">
      <c r="I963" s="77"/>
      <c r="J963" s="78"/>
      <c r="K963" s="78"/>
      <c r="L963" t="s" s="79">
        <v>4998</v>
      </c>
      <c r="M963" s="80">
        <v>2</v>
      </c>
      <c r="N963" s="81">
        <v>4.875</v>
      </c>
      <c r="O963" s="81">
        <v>9.75</v>
      </c>
    </row>
    <row r="964" ht="9" customHeight="1" hidden="1">
      <c r="I964" s="77"/>
      <c r="J964" s="78"/>
      <c r="K964" s="78"/>
      <c r="L964" t="s" s="79">
        <v>299</v>
      </c>
      <c r="M964" s="80">
        <v>6</v>
      </c>
      <c r="N964" s="81">
        <v>52.4925</v>
      </c>
      <c r="O964" s="81">
        <v>314.955</v>
      </c>
    </row>
    <row r="965" ht="9" customHeight="1" hidden="1">
      <c r="I965" s="77"/>
      <c r="J965" s="78"/>
      <c r="K965" s="78"/>
      <c r="L965" t="s" s="79">
        <v>882</v>
      </c>
      <c r="M965" s="80">
        <v>6</v>
      </c>
      <c r="N965" s="81">
        <v>56.2425</v>
      </c>
      <c r="O965" s="81">
        <v>337.455</v>
      </c>
    </row>
    <row r="966" ht="9" customHeight="1" hidden="1">
      <c r="I966" s="77"/>
      <c r="J966" s="78"/>
      <c r="K966" s="78"/>
      <c r="L966" t="s" s="79">
        <v>301</v>
      </c>
      <c r="M966" s="80">
        <v>8</v>
      </c>
      <c r="N966" s="81">
        <v>6</v>
      </c>
      <c r="O966" s="81">
        <v>48</v>
      </c>
    </row>
    <row r="967" ht="9" customHeight="1" hidden="1">
      <c r="I967" s="77"/>
      <c r="J967" s="78"/>
      <c r="K967" s="78"/>
      <c r="L967" t="s" s="79">
        <v>63</v>
      </c>
      <c r="M967" s="80">
        <v>1</v>
      </c>
      <c r="N967" s="81">
        <v>25</v>
      </c>
      <c r="O967" s="81">
        <v>25</v>
      </c>
    </row>
    <row r="968" ht="9" customHeight="1" hidden="1">
      <c r="I968" s="82"/>
      <c r="J968" s="83"/>
      <c r="K968" s="84">
        <v>45108</v>
      </c>
      <c r="L968" s="85"/>
      <c r="M968" s="28">
        <v>31</v>
      </c>
      <c r="N968" s="29">
        <v>161.8525</v>
      </c>
      <c r="O968" s="29">
        <v>873.1</v>
      </c>
    </row>
    <row r="969" ht="9" customHeight="1" hidden="1">
      <c r="I969" s="82"/>
      <c r="J969" t="s" s="86">
        <v>4997</v>
      </c>
      <c r="K969" s="87"/>
      <c r="L969" s="85"/>
      <c r="M969" s="28">
        <v>31</v>
      </c>
      <c r="N969" s="29">
        <v>161.8525</v>
      </c>
      <c r="O969" s="29">
        <v>873.1</v>
      </c>
    </row>
    <row r="970" ht="9" customHeight="1" hidden="1">
      <c r="I970" s="77"/>
      <c r="J970" s="78"/>
      <c r="K970" s="78"/>
      <c r="L970" t="s" s="79">
        <v>125</v>
      </c>
      <c r="M970" s="80">
        <v>2</v>
      </c>
      <c r="N970" s="81">
        <v>48.7425</v>
      </c>
      <c r="O970" s="81">
        <v>97.485</v>
      </c>
    </row>
    <row r="971" ht="9" customHeight="1" hidden="1">
      <c r="I971" s="77"/>
      <c r="J971" s="78"/>
      <c r="K971" s="78"/>
      <c r="L971" t="s" s="79">
        <v>299</v>
      </c>
      <c r="M971" s="80">
        <v>2</v>
      </c>
      <c r="N971" s="81">
        <v>52.4925</v>
      </c>
      <c r="O971" s="81">
        <v>104.985</v>
      </c>
    </row>
    <row r="972" ht="9" customHeight="1" hidden="1">
      <c r="I972" s="77"/>
      <c r="J972" s="78"/>
      <c r="K972" s="78"/>
      <c r="L972" t="s" s="79">
        <v>63</v>
      </c>
      <c r="M972" s="80">
        <v>1</v>
      </c>
      <c r="N972" s="81">
        <v>20</v>
      </c>
      <c r="O972" s="81">
        <v>20</v>
      </c>
    </row>
    <row r="973" ht="9" customHeight="1" hidden="1">
      <c r="I973" s="82"/>
      <c r="J973" s="83"/>
      <c r="K973" s="84">
        <v>45108</v>
      </c>
      <c r="L973" s="85"/>
      <c r="M973" s="28">
        <v>5</v>
      </c>
      <c r="N973" s="29">
        <v>121.235</v>
      </c>
      <c r="O973" s="29">
        <v>222.47</v>
      </c>
    </row>
    <row r="974" ht="9" customHeight="1" hidden="1">
      <c r="I974" s="82"/>
      <c r="J974" t="s" s="86">
        <v>4957</v>
      </c>
      <c r="K974" s="87"/>
      <c r="L974" s="85"/>
      <c r="M974" s="28">
        <v>5</v>
      </c>
      <c r="N974" s="29">
        <v>121.235</v>
      </c>
      <c r="O974" s="29">
        <v>222.47</v>
      </c>
    </row>
    <row r="975" ht="9" customHeight="1" hidden="1">
      <c r="I975" s="77"/>
      <c r="J975" s="78"/>
      <c r="K975" s="78"/>
      <c r="L975" t="s" s="79">
        <v>4960</v>
      </c>
      <c r="M975" s="80">
        <v>8</v>
      </c>
      <c r="N975" s="81">
        <v>1850</v>
      </c>
      <c r="O975" s="81">
        <v>14800</v>
      </c>
    </row>
    <row r="976" ht="9" customHeight="1" hidden="1">
      <c r="I976" s="77"/>
      <c r="J976" s="78"/>
      <c r="K976" s="78"/>
      <c r="L976" t="s" s="79">
        <v>63</v>
      </c>
      <c r="M976" s="80">
        <v>1</v>
      </c>
      <c r="N976" s="81">
        <v>175</v>
      </c>
      <c r="O976" s="81">
        <v>175</v>
      </c>
    </row>
    <row r="977" ht="9" customHeight="1" hidden="1">
      <c r="I977" s="82"/>
      <c r="J977" s="83"/>
      <c r="K977" s="84">
        <v>45108</v>
      </c>
      <c r="L977" s="85"/>
      <c r="M977" s="28">
        <v>9</v>
      </c>
      <c r="N977" s="29">
        <v>2025</v>
      </c>
      <c r="O977" s="29">
        <v>14975</v>
      </c>
    </row>
    <row r="978" ht="9" customHeight="1" hidden="1">
      <c r="I978" s="82"/>
      <c r="J978" t="s" s="86">
        <v>4959</v>
      </c>
      <c r="K978" s="87"/>
      <c r="L978" s="85"/>
      <c r="M978" s="28">
        <v>9</v>
      </c>
      <c r="N978" s="29">
        <v>2025</v>
      </c>
      <c r="O978" s="29">
        <v>14975</v>
      </c>
    </row>
    <row r="979" ht="16.1" customHeight="1">
      <c r="I979" t="s" s="126">
        <v>122</v>
      </c>
      <c r="J979" s="127"/>
      <c r="K979" s="127"/>
      <c r="L979" s="128"/>
      <c r="M979" s="129">
        <v>45</v>
      </c>
      <c r="N979" s="142">
        <v>2308.0875</v>
      </c>
      <c r="O979" s="142">
        <v>16070.57</v>
      </c>
    </row>
    <row r="980" ht="9" customHeight="1" hidden="1">
      <c r="I980" s="77"/>
      <c r="J980" s="78"/>
      <c r="K980" s="78"/>
      <c r="L980" t="s" s="79">
        <v>722</v>
      </c>
      <c r="M980" s="80">
        <v>2</v>
      </c>
      <c r="N980" s="81">
        <v>652.4924999999999</v>
      </c>
      <c r="O980" s="81">
        <v>1304.985</v>
      </c>
    </row>
    <row r="981" ht="9" customHeight="1" hidden="1">
      <c r="I981" s="77"/>
      <c r="J981" s="78"/>
      <c r="K981" s="78"/>
      <c r="L981" t="s" s="79">
        <v>50</v>
      </c>
      <c r="M981" s="80">
        <v>2</v>
      </c>
      <c r="N981" s="81">
        <v>0</v>
      </c>
      <c r="O981" s="81">
        <v>0</v>
      </c>
    </row>
    <row r="982" ht="9" customHeight="1" hidden="1">
      <c r="I982" s="77"/>
      <c r="J982" s="78"/>
      <c r="K982" s="78"/>
      <c r="L982" t="s" s="79">
        <v>1132</v>
      </c>
      <c r="M982" s="80">
        <v>2</v>
      </c>
      <c r="N982" s="81">
        <v>0</v>
      </c>
      <c r="O982" s="81">
        <v>0</v>
      </c>
    </row>
    <row r="983" ht="9" customHeight="1" hidden="1">
      <c r="I983" s="77"/>
      <c r="J983" s="78"/>
      <c r="K983" s="78"/>
      <c r="L983" t="s" s="79">
        <v>63</v>
      </c>
      <c r="M983" s="80">
        <v>1</v>
      </c>
      <c r="N983" s="81">
        <v>40</v>
      </c>
      <c r="O983" s="81">
        <v>40</v>
      </c>
    </row>
    <row r="984" ht="9" customHeight="1" hidden="1">
      <c r="I984" s="82"/>
      <c r="J984" s="83"/>
      <c r="K984" s="84">
        <v>45108</v>
      </c>
      <c r="L984" s="85"/>
      <c r="M984" s="28">
        <v>7</v>
      </c>
      <c r="N984" s="29">
        <v>692.4924999999999</v>
      </c>
      <c r="O984" s="29">
        <v>1344.985</v>
      </c>
    </row>
    <row r="985" ht="9" customHeight="1" hidden="1">
      <c r="I985" s="82"/>
      <c r="J985" t="s" s="86">
        <v>4920</v>
      </c>
      <c r="K985" s="87"/>
      <c r="L985" s="85"/>
      <c r="M985" s="28">
        <v>7</v>
      </c>
      <c r="N985" s="29">
        <v>692.4924999999999</v>
      </c>
      <c r="O985" s="29">
        <v>1344.985</v>
      </c>
    </row>
    <row r="986" ht="16.1" customHeight="1">
      <c r="I986" t="s" s="126">
        <v>1622</v>
      </c>
      <c r="J986" s="127"/>
      <c r="K986" s="127"/>
      <c r="L986" s="128"/>
      <c r="M986" s="129">
        <v>7</v>
      </c>
      <c r="N986" s="142">
        <v>692.4924999999999</v>
      </c>
      <c r="O986" s="142">
        <v>1344.985</v>
      </c>
    </row>
    <row r="987" ht="9" customHeight="1" hidden="1">
      <c r="I987" s="77"/>
      <c r="J987" s="78"/>
      <c r="K987" s="78"/>
      <c r="L987" t="s" s="79">
        <v>19</v>
      </c>
      <c r="M987" s="80">
        <v>2</v>
      </c>
      <c r="N987" s="81">
        <v>119.99</v>
      </c>
      <c r="O987" s="81">
        <v>239.98</v>
      </c>
    </row>
    <row r="988" ht="9" customHeight="1" hidden="1">
      <c r="I988" s="77"/>
      <c r="J988" s="78"/>
      <c r="K988" s="78"/>
      <c r="L988" t="s" s="79">
        <v>89</v>
      </c>
      <c r="M988" s="80">
        <v>4</v>
      </c>
      <c r="N988" s="81">
        <v>59.99</v>
      </c>
      <c r="O988" s="81">
        <v>239.96</v>
      </c>
    </row>
    <row r="989" ht="9" customHeight="1" hidden="1">
      <c r="I989" s="77"/>
      <c r="J989" s="78"/>
      <c r="K989" s="78"/>
      <c r="L989" t="s" s="79">
        <v>73</v>
      </c>
      <c r="M989" s="80">
        <v>1</v>
      </c>
      <c r="N989" s="81">
        <v>399.99</v>
      </c>
      <c r="O989" s="81">
        <v>399.99</v>
      </c>
    </row>
    <row r="990" ht="9" customHeight="1" hidden="1">
      <c r="I990" s="77"/>
      <c r="J990" s="78"/>
      <c r="K990" s="78"/>
      <c r="L990" t="s" s="79">
        <v>15</v>
      </c>
      <c r="M990" s="80">
        <v>2</v>
      </c>
      <c r="N990" s="81">
        <v>8.99</v>
      </c>
      <c r="O990" s="81">
        <v>17.98</v>
      </c>
    </row>
    <row r="991" ht="9" customHeight="1" hidden="1">
      <c r="I991" s="82"/>
      <c r="J991" s="83"/>
      <c r="K991" s="84">
        <v>45108</v>
      </c>
      <c r="L991" s="85"/>
      <c r="M991" s="28">
        <v>9</v>
      </c>
      <c r="N991" s="29">
        <v>588.96</v>
      </c>
      <c r="O991" s="29">
        <v>897.91</v>
      </c>
    </row>
    <row r="992" ht="9" customHeight="1" hidden="1">
      <c r="I992" s="82"/>
      <c r="J992" t="s" s="86">
        <v>4838</v>
      </c>
      <c r="K992" s="87"/>
      <c r="L992" s="85"/>
      <c r="M992" s="28">
        <v>9</v>
      </c>
      <c r="N992" s="29">
        <v>588.96</v>
      </c>
      <c r="O992" s="29">
        <v>897.91</v>
      </c>
    </row>
    <row r="993" ht="16.1" customHeight="1">
      <c r="I993" t="s" s="126">
        <v>4839</v>
      </c>
      <c r="J993" s="127"/>
      <c r="K993" s="127"/>
      <c r="L993" s="128"/>
      <c r="M993" s="129">
        <v>9</v>
      </c>
      <c r="N993" s="142">
        <v>588.96</v>
      </c>
      <c r="O993" s="142">
        <v>897.91</v>
      </c>
    </row>
    <row r="994" ht="9" customHeight="1" hidden="1">
      <c r="I994" s="77"/>
      <c r="J994" s="78"/>
      <c r="K994" s="78"/>
      <c r="L994" t="s" s="79">
        <v>31</v>
      </c>
      <c r="M994" s="80">
        <v>2</v>
      </c>
      <c r="N994" s="81">
        <v>599.99</v>
      </c>
      <c r="O994" s="81">
        <v>1199.98</v>
      </c>
    </row>
    <row r="995" ht="9" customHeight="1" hidden="1">
      <c r="I995" s="82"/>
      <c r="J995" s="83"/>
      <c r="K995" s="84">
        <v>45108</v>
      </c>
      <c r="L995" s="85"/>
      <c r="M995" s="28">
        <v>2</v>
      </c>
      <c r="N995" s="29">
        <v>599.99</v>
      </c>
      <c r="O995" s="29">
        <v>1199.98</v>
      </c>
    </row>
    <row r="996" ht="9" customHeight="1" hidden="1">
      <c r="I996" s="82"/>
      <c r="J996" t="s" s="86">
        <v>5052</v>
      </c>
      <c r="K996" s="87"/>
      <c r="L996" s="85"/>
      <c r="M996" s="28">
        <v>2</v>
      </c>
      <c r="N996" s="29">
        <v>599.99</v>
      </c>
      <c r="O996" s="29">
        <v>1199.98</v>
      </c>
    </row>
    <row r="997" ht="16.1" customHeight="1">
      <c r="I997" t="s" s="126">
        <v>5053</v>
      </c>
      <c r="J997" s="127"/>
      <c r="K997" s="127"/>
      <c r="L997" s="128"/>
      <c r="M997" s="129">
        <v>2</v>
      </c>
      <c r="N997" s="142">
        <v>599.99</v>
      </c>
      <c r="O997" s="142">
        <v>1199.98</v>
      </c>
    </row>
    <row r="998" ht="9" customHeight="1" hidden="1">
      <c r="I998" s="77"/>
      <c r="J998" s="78"/>
      <c r="K998" s="78"/>
      <c r="L998" t="s" s="79">
        <v>146</v>
      </c>
      <c r="M998" s="80">
        <v>1</v>
      </c>
      <c r="N998" s="81">
        <v>19.99</v>
      </c>
      <c r="O998" s="81">
        <v>19.99</v>
      </c>
    </row>
    <row r="999" ht="9" customHeight="1" hidden="1">
      <c r="I999" s="82"/>
      <c r="J999" s="83"/>
      <c r="K999" s="84">
        <v>45108</v>
      </c>
      <c r="L999" s="85"/>
      <c r="M999" s="28">
        <v>1</v>
      </c>
      <c r="N999" s="29">
        <v>19.99</v>
      </c>
      <c r="O999" s="29">
        <v>19.99</v>
      </c>
    </row>
    <row r="1000" ht="9" customHeight="1" hidden="1">
      <c r="I1000" s="82"/>
      <c r="J1000" t="s" s="86">
        <v>4938</v>
      </c>
      <c r="K1000" s="87"/>
      <c r="L1000" s="85"/>
      <c r="M1000" s="28">
        <v>1</v>
      </c>
      <c r="N1000" s="29">
        <v>19.99</v>
      </c>
      <c r="O1000" s="29">
        <v>19.99</v>
      </c>
    </row>
    <row r="1001" ht="16.1" customHeight="1">
      <c r="I1001" t="s" s="126">
        <v>4939</v>
      </c>
      <c r="J1001" s="127"/>
      <c r="K1001" s="127"/>
      <c r="L1001" s="128"/>
      <c r="M1001" s="129">
        <v>1</v>
      </c>
      <c r="N1001" s="142">
        <v>19.99</v>
      </c>
      <c r="O1001" s="142">
        <v>19.99</v>
      </c>
    </row>
    <row r="1002" ht="9" customHeight="1" hidden="1">
      <c r="I1002" s="77"/>
      <c r="J1002" s="78"/>
      <c r="K1002" s="78"/>
      <c r="L1002" t="s" s="79">
        <v>227</v>
      </c>
      <c r="M1002" s="80">
        <v>4</v>
      </c>
      <c r="N1002" s="81">
        <v>29.99</v>
      </c>
      <c r="O1002" s="81">
        <v>119.96</v>
      </c>
    </row>
    <row r="1003" ht="9" customHeight="1" hidden="1">
      <c r="I1003" s="77"/>
      <c r="J1003" s="78"/>
      <c r="K1003" s="78"/>
      <c r="L1003" t="s" s="79">
        <v>84</v>
      </c>
      <c r="M1003" s="80">
        <v>4</v>
      </c>
      <c r="N1003" s="81">
        <v>0</v>
      </c>
      <c r="O1003" s="81">
        <v>0</v>
      </c>
    </row>
    <row r="1004" ht="9" customHeight="1" hidden="1">
      <c r="I1004" s="77"/>
      <c r="J1004" s="78"/>
      <c r="K1004" s="78"/>
      <c r="L1004" t="s" s="79">
        <v>23</v>
      </c>
      <c r="M1004" s="80">
        <v>4</v>
      </c>
      <c r="N1004" s="81">
        <v>0</v>
      </c>
      <c r="O1004" s="81">
        <v>0</v>
      </c>
    </row>
    <row r="1005" ht="9" customHeight="1" hidden="1">
      <c r="I1005" s="77"/>
      <c r="J1005" s="78"/>
      <c r="K1005" s="78"/>
      <c r="L1005" t="s" s="79">
        <v>52</v>
      </c>
      <c r="M1005" s="80">
        <v>4</v>
      </c>
      <c r="N1005" s="81">
        <v>0</v>
      </c>
      <c r="O1005" s="81">
        <v>0</v>
      </c>
    </row>
    <row r="1006" ht="9" customHeight="1" hidden="1">
      <c r="I1006" s="77"/>
      <c r="J1006" s="78"/>
      <c r="K1006" s="78"/>
      <c r="L1006" t="s" s="79">
        <v>50</v>
      </c>
      <c r="M1006" s="80">
        <v>4</v>
      </c>
      <c r="N1006" s="81">
        <v>0</v>
      </c>
      <c r="O1006" s="81">
        <v>0</v>
      </c>
    </row>
    <row r="1007" ht="9" customHeight="1" hidden="1">
      <c r="I1007" s="77"/>
      <c r="J1007" s="78"/>
      <c r="K1007" s="78"/>
      <c r="L1007" t="s" s="79">
        <v>48</v>
      </c>
      <c r="M1007" s="80">
        <v>4</v>
      </c>
      <c r="N1007" s="81">
        <v>1299.99</v>
      </c>
      <c r="O1007" s="81">
        <v>5199.96</v>
      </c>
    </row>
    <row r="1008" ht="9" customHeight="1" hidden="1">
      <c r="I1008" s="77"/>
      <c r="J1008" s="78"/>
      <c r="K1008" s="78"/>
      <c r="L1008" t="s" s="79">
        <v>73</v>
      </c>
      <c r="M1008" s="80">
        <v>2</v>
      </c>
      <c r="N1008" s="81">
        <v>399.99</v>
      </c>
      <c r="O1008" s="81">
        <v>799.98</v>
      </c>
    </row>
    <row r="1009" ht="9" customHeight="1" hidden="1">
      <c r="I1009" s="82"/>
      <c r="J1009" s="83"/>
      <c r="K1009" s="84">
        <v>45108</v>
      </c>
      <c r="L1009" s="85"/>
      <c r="M1009" s="28">
        <v>26</v>
      </c>
      <c r="N1009" s="29">
        <v>1729.97</v>
      </c>
      <c r="O1009" s="29">
        <v>6119.9</v>
      </c>
    </row>
    <row r="1010" ht="9" customHeight="1" hidden="1">
      <c r="I1010" s="82"/>
      <c r="J1010" t="s" s="86">
        <v>4894</v>
      </c>
      <c r="K1010" s="87"/>
      <c r="L1010" s="85"/>
      <c r="M1010" s="28">
        <v>26</v>
      </c>
      <c r="N1010" s="29">
        <v>1729.97</v>
      </c>
      <c r="O1010" s="29">
        <v>6119.9</v>
      </c>
    </row>
    <row r="1011" ht="16.1" customHeight="1">
      <c r="I1011" t="s" s="126">
        <v>4462</v>
      </c>
      <c r="J1011" s="127"/>
      <c r="K1011" s="127"/>
      <c r="L1011" s="128"/>
      <c r="M1011" s="129">
        <v>26</v>
      </c>
      <c r="N1011" s="142">
        <v>1729.97</v>
      </c>
      <c r="O1011" s="142">
        <v>6119.9</v>
      </c>
    </row>
    <row r="1012" ht="9" customHeight="1" hidden="1">
      <c r="I1012" s="77"/>
      <c r="J1012" s="78"/>
      <c r="K1012" s="78"/>
      <c r="L1012" t="s" s="79">
        <v>254</v>
      </c>
      <c r="M1012" s="80">
        <v>1</v>
      </c>
      <c r="N1012" s="81">
        <v>0</v>
      </c>
      <c r="O1012" s="81">
        <v>0</v>
      </c>
    </row>
    <row r="1013" ht="9" customHeight="1" hidden="1">
      <c r="I1013" s="77"/>
      <c r="J1013" s="78"/>
      <c r="K1013" s="78"/>
      <c r="L1013" t="s" s="79">
        <v>726</v>
      </c>
      <c r="M1013" s="80">
        <v>1</v>
      </c>
      <c r="N1013" s="81">
        <v>0</v>
      </c>
      <c r="O1013" s="81">
        <v>0</v>
      </c>
    </row>
    <row r="1014" ht="9" customHeight="1" hidden="1">
      <c r="I1014" s="82"/>
      <c r="J1014" s="83"/>
      <c r="K1014" s="84">
        <v>45108</v>
      </c>
      <c r="L1014" s="85"/>
      <c r="M1014" s="28">
        <v>2</v>
      </c>
      <c r="N1014" s="29">
        <v>0</v>
      </c>
      <c r="O1014" s="29">
        <v>0</v>
      </c>
    </row>
    <row r="1015" ht="9" customHeight="1" hidden="1">
      <c r="I1015" s="82"/>
      <c r="J1015" t="s" s="86">
        <v>5000</v>
      </c>
      <c r="K1015" s="87"/>
      <c r="L1015" s="85"/>
      <c r="M1015" s="28">
        <v>2</v>
      </c>
      <c r="N1015" s="29">
        <v>0</v>
      </c>
      <c r="O1015" s="29">
        <v>0</v>
      </c>
    </row>
    <row r="1016" ht="16.1" customHeight="1">
      <c r="I1016" t="s" s="126">
        <v>5001</v>
      </c>
      <c r="J1016" s="127"/>
      <c r="K1016" s="127"/>
      <c r="L1016" s="128"/>
      <c r="M1016" s="129">
        <v>2</v>
      </c>
      <c r="N1016" s="142">
        <v>0</v>
      </c>
      <c r="O1016" s="142">
        <v>0</v>
      </c>
    </row>
    <row r="1017" ht="9" customHeight="1" hidden="1">
      <c r="I1017" s="77"/>
      <c r="J1017" s="78"/>
      <c r="K1017" s="78"/>
      <c r="L1017" t="s" s="79">
        <v>95</v>
      </c>
      <c r="M1017" s="80">
        <v>1</v>
      </c>
      <c r="N1017" s="81">
        <v>349.99</v>
      </c>
      <c r="O1017" s="81">
        <v>349.99</v>
      </c>
    </row>
    <row r="1018" ht="9" customHeight="1" hidden="1">
      <c r="I1018" s="82"/>
      <c r="J1018" s="83"/>
      <c r="K1018" s="84">
        <v>45108</v>
      </c>
      <c r="L1018" s="85"/>
      <c r="M1018" s="28">
        <v>1</v>
      </c>
      <c r="N1018" s="29">
        <v>349.99</v>
      </c>
      <c r="O1018" s="29">
        <v>349.99</v>
      </c>
    </row>
    <row r="1019" ht="9" customHeight="1" hidden="1">
      <c r="I1019" s="82"/>
      <c r="J1019" t="s" s="86">
        <v>5044</v>
      </c>
      <c r="K1019" s="87"/>
      <c r="L1019" s="85"/>
      <c r="M1019" s="28">
        <v>1</v>
      </c>
      <c r="N1019" s="29">
        <v>349.99</v>
      </c>
      <c r="O1019" s="29">
        <v>349.99</v>
      </c>
    </row>
    <row r="1020" ht="16.1" customHeight="1">
      <c r="I1020" t="s" s="132">
        <v>5045</v>
      </c>
      <c r="J1020" s="133"/>
      <c r="K1020" s="133"/>
      <c r="L1020" s="134"/>
      <c r="M1020" s="135">
        <v>1</v>
      </c>
      <c r="N1020" s="143">
        <v>349.99</v>
      </c>
      <c r="O1020" s="143">
        <v>349.99</v>
      </c>
    </row>
    <row r="1021" ht="16.1" customHeight="1">
      <c r="I1021" t="s" s="33">
        <v>620</v>
      </c>
      <c r="J1021" s="90"/>
      <c r="K1021" s="90"/>
      <c r="L1021" s="91"/>
      <c r="M1021" s="34">
        <v>5678</v>
      </c>
      <c r="N1021" s="35">
        <v>70556.69817395</v>
      </c>
      <c r="O1021" s="35">
        <v>207702.5479936</v>
      </c>
    </row>
    <row r="1023" ht="15.55" customHeight="1">
      <c r="P1023" t="s" s="2">
        <v>5072</v>
      </c>
      <c r="Q1023" s="2"/>
    </row>
    <row r="1024" ht="13.1" customHeight="1">
      <c r="P1024" t="s" s="37">
        <v>4</v>
      </c>
      <c r="Q1024" t="s" s="145">
        <v>617</v>
      </c>
    </row>
    <row r="1025" ht="13.1" customHeight="1">
      <c r="P1025" t="s" s="38">
        <v>559</v>
      </c>
      <c r="Q1025" s="34">
        <v>3880</v>
      </c>
    </row>
    <row r="1026" ht="12.9" customHeight="1">
      <c r="P1026" t="s" s="40">
        <v>2961</v>
      </c>
      <c r="Q1026" s="146">
        <v>228</v>
      </c>
    </row>
    <row r="1027" ht="12.9" customHeight="1">
      <c r="P1027" t="s" s="40">
        <v>4873</v>
      </c>
      <c r="Q1027" s="146">
        <v>130</v>
      </c>
    </row>
    <row r="1028" ht="12.9" customHeight="1">
      <c r="P1028" t="s" s="40">
        <v>5040</v>
      </c>
      <c r="Q1028" s="146">
        <v>100</v>
      </c>
    </row>
    <row r="1029" ht="12.9" customHeight="1">
      <c r="P1029" t="s" s="40">
        <v>50</v>
      </c>
      <c r="Q1029" s="146">
        <v>92</v>
      </c>
    </row>
    <row r="1030" ht="12.9" customHeight="1">
      <c r="P1030" t="s" s="40">
        <v>412</v>
      </c>
      <c r="Q1030" s="146">
        <v>85</v>
      </c>
    </row>
    <row r="1031" ht="12.9" customHeight="1">
      <c r="P1031" t="s" s="40">
        <v>5042</v>
      </c>
      <c r="Q1031" s="146">
        <v>80</v>
      </c>
    </row>
    <row r="1032" ht="12.9" customHeight="1">
      <c r="P1032" t="s" s="40">
        <v>5020</v>
      </c>
      <c r="Q1032" s="146">
        <v>63</v>
      </c>
    </row>
    <row r="1033" ht="12.9" customHeight="1">
      <c r="P1033" t="s" s="40">
        <v>359</v>
      </c>
      <c r="Q1033" s="146">
        <v>61</v>
      </c>
    </row>
    <row r="1034" ht="12.9" customHeight="1">
      <c r="P1034" t="s" s="40">
        <v>109</v>
      </c>
      <c r="Q1034" s="146">
        <v>40</v>
      </c>
    </row>
    <row r="1035" ht="12.9" customHeight="1">
      <c r="P1035" t="s" s="40">
        <v>593</v>
      </c>
      <c r="Q1035" s="146">
        <v>40</v>
      </c>
    </row>
    <row r="1036" ht="12.9" customHeight="1">
      <c r="P1036" t="s" s="40">
        <v>594</v>
      </c>
      <c r="Q1036" s="146">
        <v>40</v>
      </c>
    </row>
    <row r="1037" ht="12.9" customHeight="1">
      <c r="P1037" t="s" s="40">
        <v>15</v>
      </c>
      <c r="Q1037" s="146">
        <v>38</v>
      </c>
    </row>
    <row r="1038" ht="12.9" customHeight="1">
      <c r="P1038" t="s" s="40">
        <v>227</v>
      </c>
      <c r="Q1038" s="146">
        <v>36</v>
      </c>
    </row>
    <row r="1039" ht="12.9" customHeight="1">
      <c r="P1039" t="s" s="40">
        <v>52</v>
      </c>
      <c r="Q1039" s="146">
        <v>31</v>
      </c>
    </row>
    <row r="1040" ht="12.9" customHeight="1">
      <c r="P1040" t="s" s="40">
        <v>48</v>
      </c>
      <c r="Q1040" s="146">
        <v>31</v>
      </c>
    </row>
    <row r="1041" ht="12.9" customHeight="1">
      <c r="P1041" t="s" s="40">
        <v>225</v>
      </c>
      <c r="Q1041" s="146">
        <v>28</v>
      </c>
    </row>
    <row r="1042" ht="12.9" customHeight="1">
      <c r="P1042" t="s" s="40">
        <v>84</v>
      </c>
      <c r="Q1042" s="146">
        <v>27</v>
      </c>
    </row>
    <row r="1043" ht="12.9" customHeight="1">
      <c r="P1043" t="s" s="40">
        <v>73</v>
      </c>
      <c r="Q1043" s="146">
        <v>26</v>
      </c>
    </row>
    <row r="1044" ht="12.9" customHeight="1">
      <c r="P1044" t="s" s="40">
        <v>607</v>
      </c>
      <c r="Q1044" s="146">
        <v>24</v>
      </c>
    </row>
    <row r="1045" ht="12.9" customHeight="1">
      <c r="P1045" t="s" s="40">
        <v>19</v>
      </c>
      <c r="Q1045" s="146">
        <v>22</v>
      </c>
    </row>
    <row r="1046" ht="12.9" customHeight="1">
      <c r="P1046" t="s" s="40">
        <v>35</v>
      </c>
      <c r="Q1046" s="146">
        <v>22</v>
      </c>
    </row>
    <row r="1047" ht="12.9" customHeight="1">
      <c r="P1047" t="s" s="40">
        <v>63</v>
      </c>
      <c r="Q1047" s="146">
        <v>21</v>
      </c>
    </row>
    <row r="1048" ht="12.9" customHeight="1">
      <c r="P1048" t="s" s="40">
        <v>906</v>
      </c>
      <c r="Q1048" s="146">
        <v>20</v>
      </c>
    </row>
    <row r="1049" ht="12.9" customHeight="1">
      <c r="P1049" t="s" s="40">
        <v>1160</v>
      </c>
      <c r="Q1049" s="146">
        <v>20</v>
      </c>
    </row>
    <row r="1050" ht="12.9" customHeight="1">
      <c r="P1050" t="s" s="40">
        <v>179</v>
      </c>
      <c r="Q1050" s="146">
        <v>18</v>
      </c>
    </row>
    <row r="1051" ht="12.9" customHeight="1">
      <c r="P1051" t="s" s="40">
        <v>89</v>
      </c>
      <c r="Q1051" s="146">
        <v>18</v>
      </c>
    </row>
    <row r="1052" ht="12.9" customHeight="1">
      <c r="P1052" t="s" s="40">
        <v>1046</v>
      </c>
      <c r="Q1052" s="146">
        <v>16</v>
      </c>
    </row>
    <row r="1053" ht="12.9" customHeight="1">
      <c r="P1053" t="s" s="40">
        <v>165</v>
      </c>
      <c r="Q1053" s="146">
        <v>16</v>
      </c>
    </row>
    <row r="1054" ht="12.9" customHeight="1">
      <c r="P1054" t="s" s="40">
        <v>468</v>
      </c>
      <c r="Q1054" s="146">
        <v>16</v>
      </c>
    </row>
    <row r="1055" ht="12.9" customHeight="1">
      <c r="P1055" t="s" s="40">
        <v>1044</v>
      </c>
      <c r="Q1055" s="146">
        <v>16</v>
      </c>
    </row>
    <row r="1056" ht="12.9" customHeight="1">
      <c r="P1056" t="s" s="40">
        <v>1048</v>
      </c>
      <c r="Q1056" s="146">
        <v>16</v>
      </c>
    </row>
    <row r="1057" ht="12.9" customHeight="1">
      <c r="P1057" t="s" s="40">
        <v>54</v>
      </c>
      <c r="Q1057" s="146">
        <v>15</v>
      </c>
    </row>
    <row r="1058" ht="12.9" customHeight="1">
      <c r="P1058" t="s" s="40">
        <v>354</v>
      </c>
      <c r="Q1058" s="146">
        <v>15</v>
      </c>
    </row>
    <row r="1059" ht="12.9" customHeight="1">
      <c r="P1059" t="s" s="40">
        <v>23</v>
      </c>
      <c r="Q1059" s="146">
        <v>15</v>
      </c>
    </row>
    <row r="1060" ht="12.9" customHeight="1">
      <c r="P1060" t="s" s="40">
        <v>1155</v>
      </c>
      <c r="Q1060" s="146">
        <v>15</v>
      </c>
    </row>
    <row r="1061" ht="12.9" customHeight="1">
      <c r="P1061" t="s" s="40">
        <v>11</v>
      </c>
      <c r="Q1061" s="146">
        <v>14</v>
      </c>
    </row>
    <row r="1062" ht="12.9" customHeight="1">
      <c r="P1062" t="s" s="40">
        <v>1731</v>
      </c>
      <c r="Q1062" s="146">
        <v>13</v>
      </c>
    </row>
    <row r="1063" ht="12.9" customHeight="1">
      <c r="P1063" t="s" s="40">
        <v>81</v>
      </c>
      <c r="Q1063" s="146">
        <v>13</v>
      </c>
    </row>
    <row r="1064" ht="12.9" customHeight="1">
      <c r="P1064" t="s" s="40">
        <v>998</v>
      </c>
      <c r="Q1064" s="146">
        <v>13</v>
      </c>
    </row>
    <row r="1065" ht="12.9" customHeight="1">
      <c r="P1065" t="s" s="40">
        <v>4180</v>
      </c>
      <c r="Q1065" s="146">
        <v>12</v>
      </c>
    </row>
    <row r="1066" ht="12.9" customHeight="1">
      <c r="P1066" t="s" s="40">
        <v>1007</v>
      </c>
      <c r="Q1066" s="146">
        <v>12</v>
      </c>
    </row>
    <row r="1067" ht="12.9" customHeight="1">
      <c r="P1067" t="s" s="40">
        <v>660</v>
      </c>
      <c r="Q1067" s="146">
        <v>12</v>
      </c>
    </row>
    <row r="1068" ht="12.9" customHeight="1">
      <c r="P1068" t="s" s="40">
        <v>2276</v>
      </c>
      <c r="Q1068" s="146">
        <v>10</v>
      </c>
    </row>
    <row r="1069" ht="12.9" customHeight="1">
      <c r="P1069" t="s" s="40">
        <v>266</v>
      </c>
      <c r="Q1069" s="146">
        <v>10</v>
      </c>
    </row>
    <row r="1070" ht="12.9" customHeight="1">
      <c r="P1070" t="s" s="40">
        <v>133</v>
      </c>
      <c r="Q1070" s="146">
        <v>10</v>
      </c>
    </row>
    <row r="1071" ht="12.9" customHeight="1">
      <c r="P1071" t="s" s="40">
        <v>106</v>
      </c>
      <c r="Q1071" s="146">
        <v>10</v>
      </c>
    </row>
    <row r="1072" ht="12.9" customHeight="1">
      <c r="P1072" t="s" s="40">
        <v>95</v>
      </c>
      <c r="Q1072" s="146">
        <v>9</v>
      </c>
    </row>
    <row r="1073" ht="12.9" customHeight="1">
      <c r="P1073" t="s" s="40">
        <v>1186</v>
      </c>
      <c r="Q1073" s="146">
        <v>8</v>
      </c>
    </row>
    <row r="1074" ht="12.9" customHeight="1">
      <c r="P1074" t="s" s="40">
        <v>1695</v>
      </c>
      <c r="Q1074" s="146">
        <v>8</v>
      </c>
    </row>
    <row r="1075" ht="12.9" customHeight="1">
      <c r="P1075" t="s" s="40">
        <v>299</v>
      </c>
      <c r="Q1075" s="146">
        <v>8</v>
      </c>
    </row>
    <row r="1076" ht="12.9" customHeight="1">
      <c r="P1076" t="s" s="40">
        <v>39</v>
      </c>
      <c r="Q1076" s="146">
        <v>8</v>
      </c>
    </row>
    <row r="1077" ht="12.9" customHeight="1">
      <c r="P1077" t="s" s="40">
        <v>602</v>
      </c>
      <c r="Q1077" s="146">
        <v>8</v>
      </c>
    </row>
    <row r="1078" ht="12.9" customHeight="1">
      <c r="P1078" t="s" s="40">
        <v>301</v>
      </c>
      <c r="Q1078" s="146">
        <v>8</v>
      </c>
    </row>
    <row r="1079" ht="12.9" customHeight="1">
      <c r="P1079" t="s" s="40">
        <v>4960</v>
      </c>
      <c r="Q1079" s="146">
        <v>8</v>
      </c>
    </row>
    <row r="1080" ht="12.9" customHeight="1">
      <c r="P1080" t="s" s="40">
        <v>59</v>
      </c>
      <c r="Q1080" s="146">
        <v>7</v>
      </c>
    </row>
    <row r="1081" ht="12.9" customHeight="1">
      <c r="P1081" t="s" s="40">
        <v>254</v>
      </c>
      <c r="Q1081" s="146">
        <v>7</v>
      </c>
    </row>
    <row r="1082" ht="12.9" customHeight="1">
      <c r="P1082" t="s" s="40">
        <v>882</v>
      </c>
      <c r="Q1082" s="146">
        <v>6</v>
      </c>
    </row>
    <row r="1083" ht="12.9" customHeight="1">
      <c r="P1083" t="s" s="40">
        <v>4842</v>
      </c>
      <c r="Q1083" s="146">
        <v>6</v>
      </c>
    </row>
    <row r="1084" ht="12.9" customHeight="1">
      <c r="P1084" t="s" s="40">
        <v>31</v>
      </c>
      <c r="Q1084" s="146">
        <v>6</v>
      </c>
    </row>
    <row r="1085" ht="12.9" customHeight="1">
      <c r="P1085" t="s" s="40">
        <v>1705</v>
      </c>
      <c r="Q1085" s="146">
        <v>5</v>
      </c>
    </row>
    <row r="1086" ht="12.9" customHeight="1">
      <c r="P1086" t="s" s="40">
        <v>47</v>
      </c>
      <c r="Q1086" s="146">
        <v>5</v>
      </c>
    </row>
    <row r="1087" ht="12.9" customHeight="1">
      <c r="P1087" t="s" s="40">
        <v>369</v>
      </c>
      <c r="Q1087" s="146">
        <v>4</v>
      </c>
    </row>
    <row r="1088" ht="12.9" customHeight="1">
      <c r="P1088" t="s" s="40">
        <v>589</v>
      </c>
      <c r="Q1088" s="146">
        <v>4</v>
      </c>
    </row>
    <row r="1089" ht="12.9" customHeight="1">
      <c r="P1089" t="s" s="40">
        <v>487</v>
      </c>
      <c r="Q1089" s="146">
        <v>4</v>
      </c>
    </row>
    <row r="1090" ht="12.9" customHeight="1">
      <c r="P1090" t="s" s="40">
        <v>213</v>
      </c>
      <c r="Q1090" s="146">
        <v>4</v>
      </c>
    </row>
    <row r="1091" ht="12.9" customHeight="1">
      <c r="P1091" t="s" s="40">
        <v>722</v>
      </c>
      <c r="Q1091" s="146">
        <v>4</v>
      </c>
    </row>
    <row r="1092" ht="12.9" customHeight="1">
      <c r="P1092" t="s" s="40">
        <v>110</v>
      </c>
      <c r="Q1092" s="146">
        <v>4</v>
      </c>
    </row>
    <row r="1093" ht="12.9" customHeight="1">
      <c r="P1093" t="s" s="40">
        <v>1961</v>
      </c>
      <c r="Q1093" s="146">
        <v>3</v>
      </c>
    </row>
    <row r="1094" ht="12.9" customHeight="1">
      <c r="P1094" t="s" s="40">
        <v>3653</v>
      </c>
      <c r="Q1094" s="146">
        <v>3</v>
      </c>
    </row>
    <row r="1095" ht="12.9" customHeight="1">
      <c r="P1095" t="s" s="40">
        <v>775</v>
      </c>
      <c r="Q1095" s="146">
        <v>2</v>
      </c>
    </row>
    <row r="1096" ht="12.9" customHeight="1">
      <c r="P1096" t="s" s="40">
        <v>4998</v>
      </c>
      <c r="Q1096" s="146">
        <v>2</v>
      </c>
    </row>
    <row r="1097" ht="12.9" customHeight="1">
      <c r="P1097" t="s" s="40">
        <v>587</v>
      </c>
      <c r="Q1097" s="146">
        <v>2</v>
      </c>
    </row>
    <row r="1098" ht="12.9" customHeight="1">
      <c r="P1098" t="s" s="40">
        <v>4870</v>
      </c>
      <c r="Q1098" s="146">
        <v>2</v>
      </c>
    </row>
    <row r="1099" ht="12.9" customHeight="1">
      <c r="P1099" t="s" s="40">
        <v>125</v>
      </c>
      <c r="Q1099" s="146">
        <v>2</v>
      </c>
    </row>
    <row r="1100" ht="12.9" customHeight="1">
      <c r="P1100" t="s" s="40">
        <v>1717</v>
      </c>
      <c r="Q1100" s="146">
        <v>2</v>
      </c>
    </row>
    <row r="1101" ht="12.9" customHeight="1">
      <c r="P1101" t="s" s="40">
        <v>2332</v>
      </c>
      <c r="Q1101" s="146">
        <v>2</v>
      </c>
    </row>
    <row r="1102" ht="12.9" customHeight="1">
      <c r="P1102" t="s" s="40">
        <v>1729</v>
      </c>
      <c r="Q1102" s="146">
        <v>2</v>
      </c>
    </row>
    <row r="1103" ht="12.9" customHeight="1">
      <c r="P1103" t="s" s="40">
        <v>171</v>
      </c>
      <c r="Q1103" s="146">
        <v>2</v>
      </c>
    </row>
    <row r="1104" ht="12.9" customHeight="1">
      <c r="P1104" t="s" s="40">
        <v>1896</v>
      </c>
      <c r="Q1104" s="146">
        <v>2</v>
      </c>
    </row>
    <row r="1105" ht="12.9" customHeight="1">
      <c r="P1105" t="s" s="40">
        <v>400</v>
      </c>
      <c r="Q1105" s="146">
        <v>2</v>
      </c>
    </row>
    <row r="1106" ht="12.9" customHeight="1">
      <c r="P1106" t="s" s="40">
        <v>1132</v>
      </c>
      <c r="Q1106" s="146">
        <v>2</v>
      </c>
    </row>
    <row r="1107" ht="12.9" customHeight="1">
      <c r="P1107" t="s" s="40">
        <v>691</v>
      </c>
      <c r="Q1107" s="146">
        <v>2</v>
      </c>
    </row>
    <row r="1108" ht="12.9" customHeight="1">
      <c r="P1108" t="s" s="40">
        <v>2125</v>
      </c>
      <c r="Q1108" s="146">
        <v>2</v>
      </c>
    </row>
    <row r="1109" ht="12.9" customHeight="1">
      <c r="P1109" t="s" s="40">
        <v>5022</v>
      </c>
      <c r="Q1109" s="146">
        <v>2</v>
      </c>
    </row>
    <row r="1110" ht="12.9" customHeight="1">
      <c r="P1110" t="s" s="40">
        <v>2711</v>
      </c>
      <c r="Q1110" s="146">
        <v>2</v>
      </c>
    </row>
    <row r="1111" ht="12.9" customHeight="1">
      <c r="P1111" t="s" s="40">
        <v>1226</v>
      </c>
      <c r="Q1111" s="146">
        <v>1</v>
      </c>
    </row>
    <row r="1112" ht="12.9" customHeight="1">
      <c r="P1112" t="s" s="40">
        <v>1187</v>
      </c>
      <c r="Q1112" s="146">
        <v>1</v>
      </c>
    </row>
    <row r="1113" ht="12.9" customHeight="1">
      <c r="P1113" t="s" s="40">
        <v>345</v>
      </c>
      <c r="Q1113" s="146">
        <v>1</v>
      </c>
    </row>
    <row r="1114" ht="12.9" customHeight="1">
      <c r="P1114" t="s" s="40">
        <v>462</v>
      </c>
      <c r="Q1114" s="146">
        <v>1</v>
      </c>
    </row>
    <row r="1115" ht="12.9" customHeight="1">
      <c r="P1115" t="s" s="40">
        <v>682</v>
      </c>
      <c r="Q1115" s="146">
        <v>1</v>
      </c>
    </row>
    <row r="1116" ht="12.9" customHeight="1">
      <c r="P1116" t="s" s="40">
        <v>470</v>
      </c>
      <c r="Q1116" s="146">
        <v>1</v>
      </c>
    </row>
    <row r="1117" ht="12.9" customHeight="1">
      <c r="P1117" t="s" s="40">
        <v>146</v>
      </c>
      <c r="Q1117" s="146">
        <v>1</v>
      </c>
    </row>
    <row r="1118" ht="12.9" customHeight="1">
      <c r="P1118" t="s" s="40">
        <v>258</v>
      </c>
      <c r="Q1118" s="146">
        <v>1</v>
      </c>
    </row>
    <row r="1119" ht="12.9" customHeight="1">
      <c r="P1119" t="s" s="40">
        <v>4325</v>
      </c>
      <c r="Q1119" s="146">
        <v>1</v>
      </c>
    </row>
    <row r="1120" ht="12.9" customHeight="1">
      <c r="P1120" t="s" s="40">
        <v>207</v>
      </c>
      <c r="Q1120" s="146">
        <v>1</v>
      </c>
    </row>
    <row r="1121" ht="12.9" customHeight="1">
      <c r="P1121" t="s" s="40">
        <v>4888</v>
      </c>
      <c r="Q1121" s="146">
        <v>1</v>
      </c>
    </row>
    <row r="1122" ht="12.9" customHeight="1">
      <c r="P1122" t="s" s="40">
        <v>5014</v>
      </c>
      <c r="Q1122" s="146">
        <v>1</v>
      </c>
    </row>
    <row r="1123" ht="12.9" customHeight="1">
      <c r="P1123" t="s" s="40">
        <v>1914</v>
      </c>
      <c r="Q1123" s="146">
        <v>1</v>
      </c>
    </row>
    <row r="1124" ht="12.9" customHeight="1">
      <c r="P1124" t="s" s="40">
        <v>4887</v>
      </c>
      <c r="Q1124" s="146">
        <v>1</v>
      </c>
    </row>
    <row r="1125" ht="12.9" customHeight="1">
      <c r="P1125" t="s" s="40">
        <v>3542</v>
      </c>
      <c r="Q1125" s="146">
        <v>1</v>
      </c>
    </row>
    <row r="1126" ht="12.9" customHeight="1">
      <c r="P1126" t="s" s="40">
        <v>3611</v>
      </c>
      <c r="Q1126" s="146">
        <v>1</v>
      </c>
    </row>
    <row r="1127" ht="12.9" customHeight="1">
      <c r="P1127" t="s" s="40">
        <v>762</v>
      </c>
      <c r="Q1127" s="146">
        <v>1</v>
      </c>
    </row>
    <row r="1128" ht="12.9" customHeight="1">
      <c r="P1128" t="s" s="40">
        <v>726</v>
      </c>
      <c r="Q1128" s="146">
        <v>1</v>
      </c>
    </row>
    <row r="1129" ht="13.1" customHeight="1">
      <c r="P1129" t="s" s="42">
        <v>4954</v>
      </c>
      <c r="Q1129" s="147">
        <v>1</v>
      </c>
    </row>
    <row r="1130" ht="13.1" customHeight="1">
      <c r="P1130" t="s" s="44">
        <v>620</v>
      </c>
      <c r="Q1130" s="34">
        <v>5678</v>
      </c>
    </row>
    <row r="1132" ht="15.55" customHeight="1">
      <c r="R1132" t="s" s="2">
        <v>5073</v>
      </c>
      <c r="S1132" s="2"/>
    </row>
    <row r="1133" ht="13.1" customHeight="1">
      <c r="R1133" t="s" s="37">
        <v>4</v>
      </c>
      <c r="S1133" t="s" s="145">
        <v>619</v>
      </c>
    </row>
    <row r="1134" ht="13.1" customHeight="1">
      <c r="R1134" t="s" s="38">
        <v>48</v>
      </c>
      <c r="S1134" s="50">
        <v>32249.835</v>
      </c>
    </row>
    <row r="1135" ht="12.9" customHeight="1">
      <c r="R1135" t="s" s="40">
        <v>468</v>
      </c>
      <c r="S1135" s="150">
        <v>25799.985</v>
      </c>
    </row>
    <row r="1136" ht="12.9" customHeight="1">
      <c r="R1136" t="s" s="40">
        <v>1155</v>
      </c>
      <c r="S1136" s="150">
        <v>24224.85</v>
      </c>
    </row>
    <row r="1137" ht="12.9" customHeight="1">
      <c r="R1137" t="s" s="40">
        <v>4960</v>
      </c>
      <c r="S1137" s="150">
        <v>14800</v>
      </c>
    </row>
    <row r="1138" ht="12.9" customHeight="1">
      <c r="R1138" t="s" s="40">
        <v>998</v>
      </c>
      <c r="S1138" s="150">
        <v>12224.9475</v>
      </c>
    </row>
    <row r="1139" ht="12.9" customHeight="1">
      <c r="R1139" t="s" s="40">
        <v>225</v>
      </c>
      <c r="S1139" s="150">
        <v>11499.77</v>
      </c>
    </row>
    <row r="1140" ht="12.9" customHeight="1">
      <c r="R1140" t="s" s="40">
        <v>81</v>
      </c>
      <c r="S1140" s="150">
        <v>11049.87</v>
      </c>
    </row>
    <row r="1141" ht="12.9" customHeight="1">
      <c r="R1141" t="s" s="40">
        <v>73</v>
      </c>
      <c r="S1141" s="150">
        <v>9899.752500000001</v>
      </c>
    </row>
    <row r="1142" ht="12.9" customHeight="1">
      <c r="R1142" t="s" s="40">
        <v>59</v>
      </c>
      <c r="S1142" s="150">
        <v>7199.94</v>
      </c>
    </row>
    <row r="1143" ht="12.9" customHeight="1">
      <c r="R1143" t="s" s="40">
        <v>11</v>
      </c>
      <c r="S1143" s="150">
        <v>5591.52</v>
      </c>
    </row>
    <row r="1144" ht="12.9" customHeight="1">
      <c r="R1144" t="s" s="40">
        <v>109</v>
      </c>
      <c r="S1144" s="150">
        <v>4000</v>
      </c>
    </row>
    <row r="1145" ht="12.9" customHeight="1">
      <c r="R1145" t="s" s="40">
        <v>31</v>
      </c>
      <c r="S1145" s="150">
        <v>3599.94</v>
      </c>
    </row>
    <row r="1146" ht="12.9" customHeight="1">
      <c r="R1146" t="s" s="40">
        <v>2961</v>
      </c>
      <c r="S1146" s="150">
        <v>3097.94</v>
      </c>
    </row>
    <row r="1147" ht="12.9" customHeight="1">
      <c r="R1147" t="s" s="40">
        <v>95</v>
      </c>
      <c r="S1147" s="150">
        <v>3054.912</v>
      </c>
    </row>
    <row r="1148" ht="12.9" customHeight="1">
      <c r="R1148" t="s" s="40">
        <v>5014</v>
      </c>
      <c r="S1148" s="150">
        <v>3000</v>
      </c>
    </row>
    <row r="1149" ht="12.9" customHeight="1">
      <c r="R1149" t="s" s="40">
        <v>19</v>
      </c>
      <c r="S1149" s="150">
        <v>2639.78</v>
      </c>
    </row>
    <row r="1150" ht="12.9" customHeight="1">
      <c r="R1150" t="s" s="40">
        <v>722</v>
      </c>
      <c r="S1150" s="150">
        <v>2609.97</v>
      </c>
    </row>
    <row r="1151" ht="12.9" customHeight="1">
      <c r="R1151" t="s" s="40">
        <v>63</v>
      </c>
      <c r="S1151" s="150">
        <v>2301.89</v>
      </c>
    </row>
    <row r="1152" ht="12.9" customHeight="1">
      <c r="R1152" t="s" s="40">
        <v>213</v>
      </c>
      <c r="S1152" s="150">
        <v>2199.96</v>
      </c>
    </row>
    <row r="1153" ht="12.9" customHeight="1">
      <c r="R1153" t="s" s="40">
        <v>602</v>
      </c>
      <c r="S1153" s="150">
        <v>1774.97</v>
      </c>
    </row>
    <row r="1154" ht="12.9" customHeight="1">
      <c r="R1154" t="s" s="40">
        <v>593</v>
      </c>
      <c r="S1154" s="150">
        <v>1600</v>
      </c>
    </row>
    <row r="1155" ht="12.9" customHeight="1">
      <c r="R1155" t="s" s="40">
        <v>4873</v>
      </c>
      <c r="S1155" s="150">
        <v>1560.9782625</v>
      </c>
    </row>
    <row r="1156" ht="12.9" customHeight="1">
      <c r="R1156" t="s" s="40">
        <v>359</v>
      </c>
      <c r="S1156" s="150">
        <v>1372.0425</v>
      </c>
    </row>
    <row r="1157" ht="12.9" customHeight="1">
      <c r="R1157" t="s" s="40">
        <v>4180</v>
      </c>
      <c r="S1157" s="150">
        <v>1343.999997</v>
      </c>
    </row>
    <row r="1158" ht="12.9" customHeight="1">
      <c r="R1158" t="s" s="40">
        <v>133</v>
      </c>
      <c r="S1158" s="150">
        <v>1249.95</v>
      </c>
    </row>
    <row r="1159" ht="12.9" customHeight="1">
      <c r="R1159" t="s" s="40">
        <v>4842</v>
      </c>
      <c r="S1159" s="150">
        <v>1199.94</v>
      </c>
    </row>
    <row r="1160" ht="12.9" customHeight="1">
      <c r="R1160" t="s" s="40">
        <v>171</v>
      </c>
      <c r="S1160" s="150">
        <v>1099.98</v>
      </c>
    </row>
    <row r="1161" ht="12.9" customHeight="1">
      <c r="R1161" t="s" s="40">
        <v>89</v>
      </c>
      <c r="S1161" s="150">
        <v>1060.02</v>
      </c>
    </row>
    <row r="1162" ht="12.9" customHeight="1">
      <c r="R1162" t="s" s="40">
        <v>1160</v>
      </c>
      <c r="S1162" s="150">
        <v>974.85</v>
      </c>
    </row>
    <row r="1163" ht="12.9" customHeight="1">
      <c r="R1163" t="s" s="40">
        <v>35</v>
      </c>
      <c r="S1163" s="150">
        <v>946.67</v>
      </c>
    </row>
    <row r="1164" ht="12.9" customHeight="1">
      <c r="R1164" t="s" s="40">
        <v>227</v>
      </c>
      <c r="S1164" s="150">
        <v>944.6849999999999</v>
      </c>
    </row>
    <row r="1165" ht="12.9" customHeight="1">
      <c r="R1165" t="s" s="40">
        <v>594</v>
      </c>
      <c r="S1165" s="150">
        <v>800</v>
      </c>
    </row>
    <row r="1166" ht="12.9" customHeight="1">
      <c r="R1166" t="s" s="40">
        <v>4870</v>
      </c>
      <c r="S1166" s="150">
        <v>749.985</v>
      </c>
    </row>
    <row r="1167" ht="12.9" customHeight="1">
      <c r="R1167" t="s" s="40">
        <v>179</v>
      </c>
      <c r="S1167" s="150">
        <v>696.74</v>
      </c>
    </row>
    <row r="1168" ht="12.9" customHeight="1">
      <c r="R1168" t="s" s="40">
        <v>559</v>
      </c>
      <c r="S1168" s="150">
        <v>675</v>
      </c>
    </row>
    <row r="1169" ht="12.9" customHeight="1">
      <c r="R1169" t="s" s="40">
        <v>5042</v>
      </c>
      <c r="S1169" s="150">
        <v>645</v>
      </c>
    </row>
    <row r="1170" ht="12.9" customHeight="1">
      <c r="R1170" t="s" s="40">
        <v>47</v>
      </c>
      <c r="S1170" s="150">
        <v>640</v>
      </c>
    </row>
    <row r="1171" ht="12.9" customHeight="1">
      <c r="R1171" t="s" s="40">
        <v>354</v>
      </c>
      <c r="S1171" s="150">
        <v>562.4625</v>
      </c>
    </row>
    <row r="1172" ht="12.9" customHeight="1">
      <c r="R1172" t="s" s="40">
        <v>607</v>
      </c>
      <c r="S1172" s="150">
        <v>539.8200000000001</v>
      </c>
    </row>
    <row r="1173" ht="12.9" customHeight="1">
      <c r="R1173" t="s" s="40">
        <v>691</v>
      </c>
      <c r="S1173" s="150">
        <v>519.98</v>
      </c>
    </row>
    <row r="1174" ht="12.9" customHeight="1">
      <c r="R1174" t="s" s="40">
        <v>106</v>
      </c>
      <c r="S1174" s="150">
        <v>487.425</v>
      </c>
    </row>
    <row r="1175" ht="12.9" customHeight="1">
      <c r="R1175" t="s" s="40">
        <v>23</v>
      </c>
      <c r="S1175" s="150">
        <v>449.97</v>
      </c>
    </row>
    <row r="1176" ht="12.9" customHeight="1">
      <c r="R1176" t="s" s="40">
        <v>487</v>
      </c>
      <c r="S1176" s="150">
        <v>439.96</v>
      </c>
    </row>
    <row r="1177" ht="12.9" customHeight="1">
      <c r="R1177" t="s" s="40">
        <v>299</v>
      </c>
      <c r="S1177" s="150">
        <v>419.94</v>
      </c>
    </row>
    <row r="1178" ht="12.9" customHeight="1">
      <c r="R1178" t="s" s="40">
        <v>2332</v>
      </c>
      <c r="S1178" s="150">
        <v>399.98</v>
      </c>
    </row>
    <row r="1179" ht="12.9" customHeight="1">
      <c r="R1179" t="s" s="40">
        <v>1695</v>
      </c>
      <c r="S1179" s="150">
        <v>349.93</v>
      </c>
    </row>
    <row r="1180" ht="12.9" customHeight="1">
      <c r="R1180" t="s" s="40">
        <v>882</v>
      </c>
      <c r="S1180" s="150">
        <v>337.455</v>
      </c>
    </row>
    <row r="1181" ht="12.9" customHeight="1">
      <c r="R1181" t="s" s="40">
        <v>15</v>
      </c>
      <c r="S1181" s="150">
        <v>300.66</v>
      </c>
    </row>
    <row r="1182" ht="12.9" customHeight="1">
      <c r="R1182" t="s" s="40">
        <v>5020</v>
      </c>
      <c r="S1182" s="150">
        <v>267.8869746</v>
      </c>
    </row>
    <row r="1183" ht="12.9" customHeight="1">
      <c r="R1183" t="s" s="40">
        <v>470</v>
      </c>
      <c r="S1183" s="150">
        <v>249.99</v>
      </c>
    </row>
    <row r="1184" ht="12.9" customHeight="1">
      <c r="R1184" t="s" s="40">
        <v>682</v>
      </c>
      <c r="S1184" s="150">
        <v>249.99</v>
      </c>
    </row>
    <row r="1185" ht="12.9" customHeight="1">
      <c r="R1185" t="s" s="40">
        <v>462</v>
      </c>
      <c r="S1185" s="150">
        <v>199.99</v>
      </c>
    </row>
    <row r="1186" ht="12.9" customHeight="1">
      <c r="R1186" t="s" s="40">
        <v>1717</v>
      </c>
      <c r="S1186" s="150">
        <v>199.98</v>
      </c>
    </row>
    <row r="1187" ht="12.9" customHeight="1">
      <c r="R1187" t="s" s="40">
        <v>345</v>
      </c>
      <c r="S1187" s="150">
        <v>164.9925</v>
      </c>
    </row>
    <row r="1188" ht="12.9" customHeight="1">
      <c r="R1188" t="s" s="40">
        <v>1896</v>
      </c>
      <c r="S1188" s="150">
        <v>129.98</v>
      </c>
    </row>
    <row r="1189" ht="12.9" customHeight="1">
      <c r="R1189" t="s" s="40">
        <v>906</v>
      </c>
      <c r="S1189" s="150">
        <v>112.5</v>
      </c>
    </row>
    <row r="1190" ht="12.9" customHeight="1">
      <c r="R1190" t="s" s="40">
        <v>1961</v>
      </c>
      <c r="S1190" s="150">
        <v>109.99</v>
      </c>
    </row>
    <row r="1191" ht="12.9" customHeight="1">
      <c r="R1191" t="s" s="40">
        <v>5040</v>
      </c>
      <c r="S1191" s="150">
        <v>100</v>
      </c>
    </row>
    <row r="1192" ht="12.9" customHeight="1">
      <c r="R1192" t="s" s="40">
        <v>125</v>
      </c>
      <c r="S1192" s="150">
        <v>97.485</v>
      </c>
    </row>
    <row r="1193" ht="12.9" customHeight="1">
      <c r="R1193" t="s" s="40">
        <v>1705</v>
      </c>
      <c r="S1193" s="150">
        <v>93.71250000000001</v>
      </c>
    </row>
    <row r="1194" ht="12.9" customHeight="1">
      <c r="R1194" t="s" s="40">
        <v>50</v>
      </c>
      <c r="S1194" s="150">
        <v>89.97</v>
      </c>
    </row>
    <row r="1195" ht="12.9" customHeight="1">
      <c r="R1195" t="s" s="40">
        <v>1007</v>
      </c>
      <c r="S1195" s="150">
        <v>83.739132</v>
      </c>
    </row>
    <row r="1196" ht="12.9" customHeight="1">
      <c r="R1196" t="s" s="40">
        <v>660</v>
      </c>
      <c r="S1196" s="150">
        <v>71.88</v>
      </c>
    </row>
    <row r="1197" ht="12.9" customHeight="1">
      <c r="R1197" t="s" s="40">
        <v>4325</v>
      </c>
      <c r="S1197" s="150">
        <v>54.99</v>
      </c>
    </row>
    <row r="1198" ht="12.9" customHeight="1">
      <c r="R1198" t="s" s="40">
        <v>301</v>
      </c>
      <c r="S1198" s="150">
        <v>48</v>
      </c>
    </row>
    <row r="1199" ht="12.9" customHeight="1">
      <c r="R1199" t="s" s="40">
        <v>587</v>
      </c>
      <c r="S1199" s="150">
        <v>44.985</v>
      </c>
    </row>
    <row r="1200" ht="12.9" customHeight="1">
      <c r="R1200" t="s" s="40">
        <v>1729</v>
      </c>
      <c r="S1200" s="150">
        <v>29.98</v>
      </c>
    </row>
    <row r="1201" ht="12.9" customHeight="1">
      <c r="R1201" t="s" s="40">
        <v>2276</v>
      </c>
      <c r="S1201" s="150">
        <v>26.7391275</v>
      </c>
    </row>
    <row r="1202" ht="12.9" customHeight="1">
      <c r="R1202" t="s" s="40">
        <v>1731</v>
      </c>
      <c r="S1202" s="150">
        <v>24.99</v>
      </c>
    </row>
    <row r="1203" ht="12.9" customHeight="1">
      <c r="R1203" t="s" s="40">
        <v>146</v>
      </c>
      <c r="S1203" s="150">
        <v>19.99</v>
      </c>
    </row>
    <row r="1204" ht="12.9" customHeight="1">
      <c r="R1204" t="s" s="40">
        <v>84</v>
      </c>
      <c r="S1204" s="150">
        <v>15</v>
      </c>
    </row>
    <row r="1205" ht="12.9" customHeight="1">
      <c r="R1205" t="s" s="40">
        <v>54</v>
      </c>
      <c r="S1205" s="150">
        <v>9.99</v>
      </c>
    </row>
    <row r="1206" ht="12.9" customHeight="1">
      <c r="R1206" t="s" s="40">
        <v>4998</v>
      </c>
      <c r="S1206" s="150">
        <v>9.75</v>
      </c>
    </row>
    <row r="1207" ht="12.9" customHeight="1">
      <c r="R1207" t="s" s="40">
        <v>1226</v>
      </c>
      <c r="S1207" s="150">
        <v>4.4925</v>
      </c>
    </row>
    <row r="1208" ht="12.9" customHeight="1">
      <c r="R1208" t="s" s="40">
        <v>412</v>
      </c>
      <c r="S1208" s="150">
        <v>4.3</v>
      </c>
    </row>
    <row r="1209" ht="12.9" customHeight="1">
      <c r="R1209" t="s" s="40">
        <v>4954</v>
      </c>
      <c r="S1209" s="149">
        <v>0</v>
      </c>
    </row>
    <row r="1210" ht="12.9" customHeight="1">
      <c r="R1210" t="s" s="40">
        <v>726</v>
      </c>
      <c r="S1210" s="149">
        <v>0</v>
      </c>
    </row>
    <row r="1211" ht="12.9" customHeight="1">
      <c r="R1211" t="s" s="40">
        <v>2711</v>
      </c>
      <c r="S1211" s="149">
        <v>0</v>
      </c>
    </row>
    <row r="1212" ht="12.9" customHeight="1">
      <c r="R1212" t="s" s="40">
        <v>762</v>
      </c>
      <c r="S1212" s="149">
        <v>0</v>
      </c>
    </row>
    <row r="1213" ht="12.9" customHeight="1">
      <c r="R1213" t="s" s="40">
        <v>5022</v>
      </c>
      <c r="S1213" s="149">
        <v>0</v>
      </c>
    </row>
    <row r="1214" ht="12.9" customHeight="1">
      <c r="R1214" t="s" s="40">
        <v>2125</v>
      </c>
      <c r="S1214" s="149">
        <v>0</v>
      </c>
    </row>
    <row r="1215" ht="12.9" customHeight="1">
      <c r="R1215" t="s" s="40">
        <v>110</v>
      </c>
      <c r="S1215" s="149">
        <v>0</v>
      </c>
    </row>
    <row r="1216" ht="12.9" customHeight="1">
      <c r="R1216" t="s" s="40">
        <v>254</v>
      </c>
      <c r="S1216" s="149">
        <v>0</v>
      </c>
    </row>
    <row r="1217" ht="12.9" customHeight="1">
      <c r="R1217" t="s" s="40">
        <v>3611</v>
      </c>
      <c r="S1217" s="149">
        <v>0</v>
      </c>
    </row>
    <row r="1218" ht="12.9" customHeight="1">
      <c r="R1218" t="s" s="40">
        <v>3542</v>
      </c>
      <c r="S1218" s="149">
        <v>0</v>
      </c>
    </row>
    <row r="1219" ht="12.9" customHeight="1">
      <c r="R1219" t="s" s="40">
        <v>4887</v>
      </c>
      <c r="S1219" s="149">
        <v>0</v>
      </c>
    </row>
    <row r="1220" ht="12.9" customHeight="1">
      <c r="R1220" t="s" s="40">
        <v>1048</v>
      </c>
      <c r="S1220" s="149">
        <v>0</v>
      </c>
    </row>
    <row r="1221" ht="12.9" customHeight="1">
      <c r="R1221" t="s" s="40">
        <v>1914</v>
      </c>
      <c r="S1221" s="149">
        <v>0</v>
      </c>
    </row>
    <row r="1222" ht="12.9" customHeight="1">
      <c r="R1222" t="s" s="40">
        <v>1132</v>
      </c>
      <c r="S1222" s="149">
        <v>0</v>
      </c>
    </row>
    <row r="1223" ht="12.9" customHeight="1">
      <c r="R1223" t="s" s="40">
        <v>4888</v>
      </c>
      <c r="S1223" s="149">
        <v>0</v>
      </c>
    </row>
    <row r="1224" ht="12.9" customHeight="1">
      <c r="R1224" t="s" s="40">
        <v>3653</v>
      </c>
      <c r="S1224" s="149">
        <v>0</v>
      </c>
    </row>
    <row r="1225" ht="12.9" customHeight="1">
      <c r="R1225" t="s" s="40">
        <v>400</v>
      </c>
      <c r="S1225" s="149">
        <v>0</v>
      </c>
    </row>
    <row r="1226" ht="12.9" customHeight="1">
      <c r="R1226" t="s" s="40">
        <v>1044</v>
      </c>
      <c r="S1226" s="149">
        <v>0</v>
      </c>
    </row>
    <row r="1227" ht="12.9" customHeight="1">
      <c r="R1227" t="s" s="40">
        <v>207</v>
      </c>
      <c r="S1227" s="149">
        <v>0</v>
      </c>
    </row>
    <row r="1228" ht="12.9" customHeight="1">
      <c r="R1228" t="s" s="40">
        <v>258</v>
      </c>
      <c r="S1228" s="149">
        <v>0</v>
      </c>
    </row>
    <row r="1229" ht="12.9" customHeight="1">
      <c r="R1229" t="s" s="40">
        <v>52</v>
      </c>
      <c r="S1229" s="149">
        <v>0</v>
      </c>
    </row>
    <row r="1230" ht="12.9" customHeight="1">
      <c r="R1230" t="s" s="40">
        <v>39</v>
      </c>
      <c r="S1230" s="149">
        <v>0</v>
      </c>
    </row>
    <row r="1231" ht="12.9" customHeight="1">
      <c r="R1231" t="s" s="40">
        <v>589</v>
      </c>
      <c r="S1231" s="149">
        <v>0</v>
      </c>
    </row>
    <row r="1232" ht="12.9" customHeight="1">
      <c r="R1232" t="s" s="40">
        <v>369</v>
      </c>
      <c r="S1232" s="149">
        <v>0</v>
      </c>
    </row>
    <row r="1233" ht="12.9" customHeight="1">
      <c r="R1233" t="s" s="40">
        <v>165</v>
      </c>
      <c r="S1233" s="149">
        <v>0</v>
      </c>
    </row>
    <row r="1234" ht="12.9" customHeight="1">
      <c r="R1234" t="s" s="40">
        <v>266</v>
      </c>
      <c r="S1234" s="149">
        <v>0</v>
      </c>
    </row>
    <row r="1235" ht="12.9" customHeight="1">
      <c r="R1235" t="s" s="40">
        <v>775</v>
      </c>
      <c r="S1235" s="149">
        <v>0</v>
      </c>
    </row>
    <row r="1236" ht="12.9" customHeight="1">
      <c r="R1236" t="s" s="40">
        <v>1187</v>
      </c>
      <c r="S1236" s="149">
        <v>0</v>
      </c>
    </row>
    <row r="1237" ht="12.9" customHeight="1">
      <c r="R1237" t="s" s="40">
        <v>1186</v>
      </c>
      <c r="S1237" s="149">
        <v>0</v>
      </c>
    </row>
    <row r="1238" ht="13.1" customHeight="1">
      <c r="R1238" t="s" s="42">
        <v>1046</v>
      </c>
      <c r="S1238" s="151">
        <v>0</v>
      </c>
    </row>
    <row r="1239" ht="13.1" customHeight="1">
      <c r="R1239" t="s" s="44">
        <v>620</v>
      </c>
      <c r="S1239" s="50">
        <v>207702.5479936</v>
      </c>
    </row>
  </sheetData>
  <mergeCells count="4">
    <mergeCell ref="A1:H1"/>
    <mergeCell ref="I330:O330"/>
    <mergeCell ref="P1023:Q1023"/>
    <mergeCell ref="R1132:S113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126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41" customWidth="1"/>
    <col min="6" max="6" width="12.4062" style="341" customWidth="1"/>
    <col min="7" max="8" width="16.3516" style="341" customWidth="1"/>
    <col min="9" max="9" width="28.4453" style="342" customWidth="1"/>
    <col min="10" max="15" width="13.3516" style="342" customWidth="1"/>
    <col min="16" max="16" width="42.125" style="343" customWidth="1"/>
    <col min="17" max="17" width="13.3516" style="343" customWidth="1"/>
    <col min="18" max="18" width="33.7031" style="344" customWidth="1"/>
    <col min="19" max="19" width="13.3516" style="344" customWidth="1"/>
    <col min="20" max="16384" width="16.3516" style="344" customWidth="1"/>
  </cols>
  <sheetData>
    <row r="1" ht="15.55" customHeight="1">
      <c r="A1" t="s" s="2">
        <v>5074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5075</v>
      </c>
      <c r="B3" t="s" s="5">
        <v>5076</v>
      </c>
      <c r="C3" s="6">
        <v>45107.639611041668</v>
      </c>
      <c r="D3" t="s" s="7">
        <v>602</v>
      </c>
      <c r="E3" t="s" s="7">
        <v>828</v>
      </c>
      <c r="F3" s="8">
        <v>2</v>
      </c>
      <c r="G3" s="9">
        <v>299.99</v>
      </c>
      <c r="H3" s="9">
        <v>599.98</v>
      </c>
    </row>
    <row r="4" ht="12.9" customHeight="1">
      <c r="A4" t="s" s="10">
        <v>5075</v>
      </c>
      <c r="B4" t="s" s="11">
        <v>5076</v>
      </c>
      <c r="C4" s="12">
        <v>45107.639611041668</v>
      </c>
      <c r="D4" t="s" s="13">
        <v>470</v>
      </c>
      <c r="E4" t="s" s="13">
        <v>828</v>
      </c>
      <c r="F4" s="14">
        <v>2</v>
      </c>
      <c r="G4" s="15">
        <v>249.99</v>
      </c>
      <c r="H4" s="15">
        <v>499.98</v>
      </c>
    </row>
    <row r="5" ht="12.9" customHeight="1">
      <c r="A5" t="s" s="10">
        <v>5075</v>
      </c>
      <c r="B5" t="s" s="11">
        <v>5076</v>
      </c>
      <c r="C5" s="12">
        <v>45107.639611041668</v>
      </c>
      <c r="D5" t="s" s="13">
        <v>487</v>
      </c>
      <c r="E5" t="s" s="13">
        <v>828</v>
      </c>
      <c r="F5" s="14">
        <v>3</v>
      </c>
      <c r="G5" s="15">
        <v>109.99</v>
      </c>
      <c r="H5" s="15">
        <v>329.97</v>
      </c>
    </row>
    <row r="6" ht="12.9" customHeight="1">
      <c r="A6" t="s" s="10">
        <v>5077</v>
      </c>
      <c r="B6" t="s" s="11">
        <v>5078</v>
      </c>
      <c r="C6" s="12">
        <v>45107.390783449075</v>
      </c>
      <c r="D6" t="s" s="13">
        <v>89</v>
      </c>
      <c r="E6" t="s" s="13">
        <v>90</v>
      </c>
      <c r="F6" s="14">
        <v>1</v>
      </c>
      <c r="G6" s="15">
        <v>59.99</v>
      </c>
      <c r="H6" s="15">
        <v>59.99</v>
      </c>
    </row>
    <row r="7" ht="12.9" customHeight="1">
      <c r="A7" t="s" s="10">
        <v>5079</v>
      </c>
      <c r="B7" t="s" s="11">
        <v>5080</v>
      </c>
      <c r="C7" s="12">
        <v>45107.0815015625</v>
      </c>
      <c r="D7" t="s" s="13">
        <v>95</v>
      </c>
      <c r="E7" t="s" s="13">
        <v>12</v>
      </c>
      <c r="F7" s="14">
        <v>1</v>
      </c>
      <c r="G7" s="15">
        <v>349.99</v>
      </c>
      <c r="H7" s="15">
        <v>349.99</v>
      </c>
    </row>
    <row r="8" ht="12.9" customHeight="1">
      <c r="A8" t="s" s="10">
        <v>5081</v>
      </c>
      <c r="B8" t="s" s="11">
        <v>1913</v>
      </c>
      <c r="C8" s="12">
        <v>45107</v>
      </c>
      <c r="D8" t="s" s="13">
        <v>4960</v>
      </c>
      <c r="E8" t="s" s="13">
        <v>4961</v>
      </c>
      <c r="F8" s="14">
        <v>10</v>
      </c>
      <c r="G8" s="15">
        <v>1700</v>
      </c>
      <c r="H8" s="15">
        <v>17000</v>
      </c>
    </row>
    <row r="9" ht="12.9" customHeight="1">
      <c r="A9" t="s" s="10">
        <v>5081</v>
      </c>
      <c r="B9" t="s" s="11">
        <v>1913</v>
      </c>
      <c r="C9" s="12">
        <v>45107</v>
      </c>
      <c r="D9" t="s" s="13">
        <v>63</v>
      </c>
      <c r="E9" s="16"/>
      <c r="F9" s="14">
        <v>1</v>
      </c>
      <c r="G9" s="15">
        <v>300</v>
      </c>
      <c r="H9" s="15">
        <v>300</v>
      </c>
    </row>
    <row r="10" ht="12.9" customHeight="1">
      <c r="A10" t="s" s="10">
        <v>5082</v>
      </c>
      <c r="B10" t="s" s="11">
        <v>5083</v>
      </c>
      <c r="C10" s="12">
        <v>45106.809057152779</v>
      </c>
      <c r="D10" t="s" s="13">
        <v>143</v>
      </c>
      <c r="E10" t="s" s="13">
        <v>144</v>
      </c>
      <c r="F10" s="14">
        <v>1</v>
      </c>
      <c r="G10" s="15">
        <v>3199.99</v>
      </c>
      <c r="H10" s="15">
        <v>3199.99</v>
      </c>
    </row>
    <row r="11" ht="12.9" customHeight="1">
      <c r="A11" t="s" s="10">
        <v>5084</v>
      </c>
      <c r="B11" t="s" s="11">
        <v>5085</v>
      </c>
      <c r="C11" s="12">
        <v>45105.917734583330</v>
      </c>
      <c r="D11" t="s" s="13">
        <v>81</v>
      </c>
      <c r="E11" t="s" s="13">
        <v>82</v>
      </c>
      <c r="F11" s="14">
        <v>2</v>
      </c>
      <c r="G11" s="15">
        <v>849.99</v>
      </c>
      <c r="H11" s="15">
        <v>1699.98</v>
      </c>
    </row>
    <row r="12" ht="12.9" customHeight="1">
      <c r="A12" t="s" s="10">
        <v>5084</v>
      </c>
      <c r="B12" t="s" s="11">
        <v>5085</v>
      </c>
      <c r="C12" s="12">
        <v>45105.917734583330</v>
      </c>
      <c r="D12" t="s" s="13">
        <v>133</v>
      </c>
      <c r="E12" t="s" s="13">
        <v>4835</v>
      </c>
      <c r="F12" s="14">
        <v>2</v>
      </c>
      <c r="G12" s="15">
        <v>50</v>
      </c>
      <c r="H12" s="15">
        <v>100</v>
      </c>
    </row>
    <row r="13" ht="12.9" customHeight="1">
      <c r="A13" t="s" s="10">
        <v>5084</v>
      </c>
      <c r="B13" t="s" s="11">
        <v>5085</v>
      </c>
      <c r="C13" s="12">
        <v>45105.917734583330</v>
      </c>
      <c r="D13" t="s" s="13">
        <v>227</v>
      </c>
      <c r="E13" t="s" s="13">
        <v>228</v>
      </c>
      <c r="F13" s="14">
        <v>4</v>
      </c>
      <c r="G13" s="15">
        <v>29.99</v>
      </c>
      <c r="H13" s="15">
        <v>119.96</v>
      </c>
    </row>
    <row r="14" ht="12.9" customHeight="1">
      <c r="A14" t="s" s="10">
        <v>5084</v>
      </c>
      <c r="B14" t="s" s="11">
        <v>5085</v>
      </c>
      <c r="C14" s="12">
        <v>45105.917734583330</v>
      </c>
      <c r="D14" t="s" s="13">
        <v>660</v>
      </c>
      <c r="E14" t="s" s="13">
        <v>661</v>
      </c>
      <c r="F14" s="14">
        <v>2</v>
      </c>
      <c r="G14" s="15">
        <v>5.99</v>
      </c>
      <c r="H14" s="15">
        <v>11.98</v>
      </c>
    </row>
    <row r="15" ht="12.9" customHeight="1">
      <c r="A15" t="s" s="10">
        <v>5084</v>
      </c>
      <c r="B15" t="s" s="11">
        <v>5085</v>
      </c>
      <c r="C15" s="12">
        <v>45105.917734583330</v>
      </c>
      <c r="D15" t="s" s="13">
        <v>50</v>
      </c>
      <c r="E15" t="s" s="13">
        <v>83</v>
      </c>
      <c r="F15" s="14">
        <v>2</v>
      </c>
      <c r="G15" s="15">
        <v>0</v>
      </c>
      <c r="H15" s="15">
        <v>0</v>
      </c>
    </row>
    <row r="16" ht="12.9" customHeight="1">
      <c r="A16" t="s" s="10">
        <v>5084</v>
      </c>
      <c r="B16" t="s" s="11">
        <v>5085</v>
      </c>
      <c r="C16" s="12">
        <v>45105.917734583330</v>
      </c>
      <c r="D16" t="s" s="13">
        <v>84</v>
      </c>
      <c r="E16" t="s" s="13">
        <v>4225</v>
      </c>
      <c r="F16" s="14">
        <v>2</v>
      </c>
      <c r="G16" s="15">
        <v>0</v>
      </c>
      <c r="H16" s="15">
        <v>0</v>
      </c>
    </row>
    <row r="17" ht="12.9" customHeight="1">
      <c r="A17" t="s" s="10">
        <v>5086</v>
      </c>
      <c r="B17" t="s" s="11">
        <v>5087</v>
      </c>
      <c r="C17" s="12">
        <v>45105.915339768515</v>
      </c>
      <c r="D17" t="s" s="13">
        <v>73</v>
      </c>
      <c r="E17" t="s" s="13">
        <v>74</v>
      </c>
      <c r="F17" s="14">
        <v>1</v>
      </c>
      <c r="G17" s="15">
        <v>399.99</v>
      </c>
      <c r="H17" s="15">
        <v>399.99</v>
      </c>
    </row>
    <row r="18" ht="12.9" customHeight="1">
      <c r="A18" t="s" s="10">
        <v>5088</v>
      </c>
      <c r="B18" t="s" s="11">
        <v>5089</v>
      </c>
      <c r="C18" s="12">
        <v>45105.813597951390</v>
      </c>
      <c r="D18" t="s" s="13">
        <v>39</v>
      </c>
      <c r="E18" t="s" s="13">
        <v>828</v>
      </c>
      <c r="F18" s="14">
        <v>2</v>
      </c>
      <c r="G18" s="15">
        <v>109.99</v>
      </c>
      <c r="H18" s="15">
        <v>219.98</v>
      </c>
    </row>
    <row r="19" ht="12.9" customHeight="1">
      <c r="A19" t="s" s="10">
        <v>5088</v>
      </c>
      <c r="B19" t="s" s="11">
        <v>5089</v>
      </c>
      <c r="C19" s="12">
        <v>45105.813597951390</v>
      </c>
      <c r="D19" t="s" s="13">
        <v>225</v>
      </c>
      <c r="E19" t="s" s="13">
        <v>226</v>
      </c>
      <c r="F19" s="14">
        <v>2</v>
      </c>
      <c r="G19" s="15">
        <v>499.99</v>
      </c>
      <c r="H19" s="15">
        <v>999.98</v>
      </c>
    </row>
    <row r="20" ht="12.9" customHeight="1">
      <c r="A20" t="s" s="10">
        <v>5088</v>
      </c>
      <c r="B20" t="s" s="11">
        <v>5089</v>
      </c>
      <c r="C20" s="12">
        <v>45105.813597951390</v>
      </c>
      <c r="D20" t="s" s="13">
        <v>165</v>
      </c>
      <c r="E20" t="s" s="13">
        <v>392</v>
      </c>
      <c r="F20" s="14">
        <v>2</v>
      </c>
      <c r="G20" s="15">
        <v>0</v>
      </c>
      <c r="H20" s="15">
        <v>0</v>
      </c>
    </row>
    <row r="21" ht="12.9" customHeight="1">
      <c r="A21" t="s" s="10">
        <v>5090</v>
      </c>
      <c r="B21" t="s" s="11">
        <v>5091</v>
      </c>
      <c r="C21" s="12">
        <v>45105.719585219907</v>
      </c>
      <c r="D21" t="s" s="13">
        <v>171</v>
      </c>
      <c r="E21" t="s" s="13">
        <v>172</v>
      </c>
      <c r="F21" s="14">
        <v>2</v>
      </c>
      <c r="G21" s="15">
        <v>549.99</v>
      </c>
      <c r="H21" s="15">
        <v>1099.98</v>
      </c>
    </row>
    <row r="22" ht="12.9" customHeight="1">
      <c r="A22" t="s" s="10">
        <v>5092</v>
      </c>
      <c r="B22" t="s" s="11">
        <v>5093</v>
      </c>
      <c r="C22" s="12">
        <v>45105.352695439811</v>
      </c>
      <c r="D22" t="s" s="13">
        <v>31</v>
      </c>
      <c r="E22" t="s" s="13">
        <v>32</v>
      </c>
      <c r="F22" s="14">
        <v>1</v>
      </c>
      <c r="G22" s="15">
        <v>599.99</v>
      </c>
      <c r="H22" s="15">
        <v>599.99</v>
      </c>
    </row>
    <row r="23" ht="12.9" customHeight="1">
      <c r="A23" t="s" s="10">
        <v>5094</v>
      </c>
      <c r="B23" t="s" s="11">
        <v>4237</v>
      </c>
      <c r="C23" s="12">
        <v>45105.334100069442</v>
      </c>
      <c r="D23" t="s" s="13">
        <v>5095</v>
      </c>
      <c r="E23" t="s" s="13">
        <v>49</v>
      </c>
      <c r="F23" s="14">
        <v>2</v>
      </c>
      <c r="G23" s="15">
        <v>1299.99</v>
      </c>
      <c r="H23" s="15">
        <v>2599.98</v>
      </c>
    </row>
    <row r="24" ht="12.9" customHeight="1">
      <c r="A24" t="s" s="10">
        <v>5094</v>
      </c>
      <c r="B24" t="s" s="11">
        <v>4237</v>
      </c>
      <c r="C24" s="12">
        <v>45105.334100069442</v>
      </c>
      <c r="D24" t="s" s="13">
        <v>50</v>
      </c>
      <c r="E24" t="s" s="13">
        <v>83</v>
      </c>
      <c r="F24" s="14">
        <v>2</v>
      </c>
      <c r="G24" s="15">
        <v>0</v>
      </c>
      <c r="H24" s="15">
        <v>0</v>
      </c>
    </row>
    <row r="25" ht="12.9" customHeight="1">
      <c r="A25" t="s" s="10">
        <v>5094</v>
      </c>
      <c r="B25" t="s" s="11">
        <v>4237</v>
      </c>
      <c r="C25" s="12">
        <v>45105.334100069442</v>
      </c>
      <c r="D25" t="s" s="13">
        <v>52</v>
      </c>
      <c r="E25" t="s" s="13">
        <v>4287</v>
      </c>
      <c r="F25" s="14">
        <v>2</v>
      </c>
      <c r="G25" s="15">
        <v>0</v>
      </c>
      <c r="H25" s="15">
        <v>0</v>
      </c>
    </row>
    <row r="26" ht="12.9" customHeight="1">
      <c r="A26" t="s" s="10">
        <v>5094</v>
      </c>
      <c r="B26" t="s" s="11">
        <v>4237</v>
      </c>
      <c r="C26" s="12">
        <v>45105.334100069442</v>
      </c>
      <c r="D26" t="s" s="13">
        <v>84</v>
      </c>
      <c r="E26" t="s" s="13">
        <v>4225</v>
      </c>
      <c r="F26" s="14">
        <v>2</v>
      </c>
      <c r="G26" s="15">
        <v>0</v>
      </c>
      <c r="H26" s="15">
        <v>0</v>
      </c>
    </row>
    <row r="27" ht="12.9" customHeight="1">
      <c r="A27" t="s" s="10">
        <v>5094</v>
      </c>
      <c r="B27" t="s" s="11">
        <v>4237</v>
      </c>
      <c r="C27" s="12">
        <v>45105.334100069442</v>
      </c>
      <c r="D27" t="s" s="13">
        <v>602</v>
      </c>
      <c r="E27" t="s" s="13">
        <v>828</v>
      </c>
      <c r="F27" s="14">
        <v>2</v>
      </c>
      <c r="G27" s="15">
        <v>175</v>
      </c>
      <c r="H27" s="15">
        <v>350</v>
      </c>
    </row>
    <row r="28" ht="12.9" customHeight="1">
      <c r="A28" t="s" s="10">
        <v>5094</v>
      </c>
      <c r="B28" t="s" s="11">
        <v>4237</v>
      </c>
      <c r="C28" s="12">
        <v>45105.334100069442</v>
      </c>
      <c r="D28" t="s" s="13">
        <v>1054</v>
      </c>
      <c r="E28" t="s" s="13">
        <v>828</v>
      </c>
      <c r="F28" s="14">
        <v>2</v>
      </c>
      <c r="G28" s="15">
        <v>149.99</v>
      </c>
      <c r="H28" s="15">
        <v>299.98</v>
      </c>
    </row>
    <row r="29" ht="12.9" customHeight="1">
      <c r="A29" t="s" s="10">
        <v>5096</v>
      </c>
      <c r="B29" t="s" s="11">
        <v>5097</v>
      </c>
      <c r="C29" s="12">
        <v>45105.3243659375</v>
      </c>
      <c r="D29" t="s" s="13">
        <v>54</v>
      </c>
      <c r="E29" t="s" s="13">
        <v>93</v>
      </c>
      <c r="F29" s="14">
        <v>2</v>
      </c>
      <c r="G29" s="15">
        <v>9.99</v>
      </c>
      <c r="H29" s="15">
        <v>19.98</v>
      </c>
    </row>
    <row r="30" ht="12.9" customHeight="1">
      <c r="A30" t="s" s="10">
        <v>5098</v>
      </c>
      <c r="B30" t="s" s="11">
        <v>5099</v>
      </c>
      <c r="C30" s="12">
        <v>45105.275789826388</v>
      </c>
      <c r="D30" t="s" s="13">
        <v>39</v>
      </c>
      <c r="E30" t="s" s="13">
        <v>828</v>
      </c>
      <c r="F30" s="14">
        <v>1</v>
      </c>
      <c r="G30" s="15">
        <v>109.99</v>
      </c>
      <c r="H30" s="15">
        <v>109.99</v>
      </c>
    </row>
    <row r="31" ht="12.9" customHeight="1">
      <c r="A31" t="s" s="10">
        <v>5098</v>
      </c>
      <c r="B31" t="s" s="11">
        <v>5099</v>
      </c>
      <c r="C31" s="12">
        <v>45105.275789826388</v>
      </c>
      <c r="D31" t="s" s="13">
        <v>84</v>
      </c>
      <c r="E31" t="s" s="13">
        <v>4225</v>
      </c>
      <c r="F31" s="14">
        <v>1</v>
      </c>
      <c r="G31" s="15">
        <v>15</v>
      </c>
      <c r="H31" s="15">
        <v>15</v>
      </c>
    </row>
    <row r="32" ht="12.9" customHeight="1">
      <c r="A32" t="s" s="10">
        <v>5100</v>
      </c>
      <c r="B32" t="s" s="11">
        <v>896</v>
      </c>
      <c r="C32" s="12">
        <v>45105</v>
      </c>
      <c r="D32" t="s" s="13">
        <v>645</v>
      </c>
      <c r="E32" t="s" s="13">
        <v>646</v>
      </c>
      <c r="F32" s="14">
        <v>2</v>
      </c>
      <c r="G32" s="15">
        <v>675</v>
      </c>
      <c r="H32" s="15">
        <v>1350</v>
      </c>
    </row>
    <row r="33" ht="12.9" customHeight="1">
      <c r="A33" t="s" s="10">
        <v>5100</v>
      </c>
      <c r="B33" t="s" s="11">
        <v>896</v>
      </c>
      <c r="C33" s="12">
        <v>45105</v>
      </c>
      <c r="D33" t="s" s="13">
        <v>4654</v>
      </c>
      <c r="E33" t="s" s="13">
        <v>4655</v>
      </c>
      <c r="F33" s="14">
        <v>4</v>
      </c>
      <c r="G33" s="15">
        <v>0</v>
      </c>
      <c r="H33" s="15">
        <v>0</v>
      </c>
    </row>
    <row r="34" ht="12.9" customHeight="1">
      <c r="A34" t="s" s="10">
        <v>5100</v>
      </c>
      <c r="B34" t="s" s="11">
        <v>896</v>
      </c>
      <c r="C34" s="12">
        <v>45105</v>
      </c>
      <c r="D34" t="s" s="13">
        <v>2359</v>
      </c>
      <c r="E34" t="s" s="13">
        <v>4653</v>
      </c>
      <c r="F34" s="14">
        <v>4</v>
      </c>
      <c r="G34" s="15">
        <v>0</v>
      </c>
      <c r="H34" s="15">
        <v>0</v>
      </c>
    </row>
    <row r="35" ht="12.9" customHeight="1">
      <c r="A35" t="s" s="10">
        <v>5100</v>
      </c>
      <c r="B35" t="s" s="11">
        <v>896</v>
      </c>
      <c r="C35" s="12">
        <v>45105</v>
      </c>
      <c r="D35" t="s" s="13">
        <v>4800</v>
      </c>
      <c r="E35" t="s" s="13">
        <v>5101</v>
      </c>
      <c r="F35" s="14">
        <v>4</v>
      </c>
      <c r="G35" s="15">
        <v>375</v>
      </c>
      <c r="H35" s="15">
        <v>1500</v>
      </c>
    </row>
    <row r="36" ht="12.9" customHeight="1">
      <c r="A36" t="s" s="10">
        <v>5100</v>
      </c>
      <c r="B36" t="s" s="11">
        <v>896</v>
      </c>
      <c r="C36" s="12">
        <v>45105</v>
      </c>
      <c r="D36" t="s" s="13">
        <v>63</v>
      </c>
      <c r="E36" s="16"/>
      <c r="F36" s="14">
        <v>1</v>
      </c>
      <c r="G36" s="15">
        <v>30</v>
      </c>
      <c r="H36" s="15">
        <v>30</v>
      </c>
    </row>
    <row r="37" ht="12.9" customHeight="1">
      <c r="A37" t="s" s="10">
        <v>5102</v>
      </c>
      <c r="B37" t="s" s="11">
        <v>3609</v>
      </c>
      <c r="C37" s="12">
        <v>45105</v>
      </c>
      <c r="D37" t="s" s="13">
        <v>48</v>
      </c>
      <c r="E37" t="s" s="13">
        <v>49</v>
      </c>
      <c r="F37" s="14">
        <v>6</v>
      </c>
      <c r="G37" s="15">
        <v>1169.991</v>
      </c>
      <c r="H37" s="15">
        <v>7019.946</v>
      </c>
    </row>
    <row r="38" ht="12.9" customHeight="1">
      <c r="A38" t="s" s="10">
        <v>5102</v>
      </c>
      <c r="B38" t="s" s="11">
        <v>3609</v>
      </c>
      <c r="C38" s="12">
        <v>45105</v>
      </c>
      <c r="D38" t="s" s="13">
        <v>50</v>
      </c>
      <c r="E38" t="s" s="13">
        <v>83</v>
      </c>
      <c r="F38" s="14">
        <v>6</v>
      </c>
      <c r="G38" s="15">
        <v>0</v>
      </c>
      <c r="H38" s="15">
        <v>0</v>
      </c>
    </row>
    <row r="39" ht="12.9" customHeight="1">
      <c r="A39" t="s" s="10">
        <v>5102</v>
      </c>
      <c r="B39" t="s" s="11">
        <v>3609</v>
      </c>
      <c r="C39" s="12">
        <v>45105</v>
      </c>
      <c r="D39" t="s" s="13">
        <v>52</v>
      </c>
      <c r="E39" t="s" s="13">
        <v>4287</v>
      </c>
      <c r="F39" s="14">
        <v>6</v>
      </c>
      <c r="G39" s="15">
        <v>0</v>
      </c>
      <c r="H39" s="15">
        <v>0</v>
      </c>
    </row>
    <row r="40" ht="12.9" customHeight="1">
      <c r="A40" t="s" s="10">
        <v>5102</v>
      </c>
      <c r="B40" t="s" s="11">
        <v>3609</v>
      </c>
      <c r="C40" s="12">
        <v>45105</v>
      </c>
      <c r="D40" t="s" s="13">
        <v>23</v>
      </c>
      <c r="E40" t="s" s="13">
        <v>828</v>
      </c>
      <c r="F40" s="14">
        <v>6</v>
      </c>
      <c r="G40" s="15">
        <v>0</v>
      </c>
      <c r="H40" s="15">
        <v>0</v>
      </c>
    </row>
    <row r="41" ht="12.9" customHeight="1">
      <c r="A41" t="s" s="10">
        <v>5102</v>
      </c>
      <c r="B41" t="s" s="11">
        <v>3609</v>
      </c>
      <c r="C41" s="12">
        <v>45105</v>
      </c>
      <c r="D41" t="s" s="13">
        <v>84</v>
      </c>
      <c r="E41" t="s" s="13">
        <v>4225</v>
      </c>
      <c r="F41" s="14">
        <v>6</v>
      </c>
      <c r="G41" s="15">
        <v>0</v>
      </c>
      <c r="H41" s="15">
        <v>0</v>
      </c>
    </row>
    <row r="42" ht="12.9" customHeight="1">
      <c r="A42" t="s" s="10">
        <v>5103</v>
      </c>
      <c r="B42" t="s" s="11">
        <v>1209</v>
      </c>
      <c r="C42" s="12">
        <v>45104.864065277776</v>
      </c>
      <c r="D42" t="s" s="13">
        <v>95</v>
      </c>
      <c r="E42" t="s" s="13">
        <v>12</v>
      </c>
      <c r="F42" s="14">
        <v>1</v>
      </c>
      <c r="G42" s="15">
        <v>349.99</v>
      </c>
      <c r="H42" s="15">
        <v>349.99</v>
      </c>
    </row>
    <row r="43" ht="12.9" customHeight="1">
      <c r="A43" t="s" s="10">
        <v>5104</v>
      </c>
      <c r="B43" t="s" s="11">
        <v>5105</v>
      </c>
      <c r="C43" s="12">
        <v>45104.822219907408</v>
      </c>
      <c r="D43" t="s" s="13">
        <v>35</v>
      </c>
      <c r="E43" t="s" s="13">
        <v>36</v>
      </c>
      <c r="F43" s="14">
        <v>1</v>
      </c>
      <c r="G43" s="15">
        <v>49.99</v>
      </c>
      <c r="H43" s="15">
        <v>49.99</v>
      </c>
    </row>
    <row r="44" ht="12.9" customHeight="1">
      <c r="A44" t="s" s="10">
        <v>5106</v>
      </c>
      <c r="B44" t="s" s="11">
        <v>5107</v>
      </c>
      <c r="C44" s="12">
        <v>45104.591495625</v>
      </c>
      <c r="D44" t="s" s="13">
        <v>35</v>
      </c>
      <c r="E44" t="s" s="13">
        <v>36</v>
      </c>
      <c r="F44" s="14">
        <v>2</v>
      </c>
      <c r="G44" s="15">
        <v>49.99</v>
      </c>
      <c r="H44" s="15">
        <v>99.98</v>
      </c>
    </row>
    <row r="45" ht="12.9" customHeight="1">
      <c r="A45" t="s" s="10">
        <v>5108</v>
      </c>
      <c r="B45" t="s" s="11">
        <v>5109</v>
      </c>
      <c r="C45" s="12">
        <v>45104.535618981485</v>
      </c>
      <c r="D45" t="s" s="13">
        <v>81</v>
      </c>
      <c r="E45" t="s" s="13">
        <v>82</v>
      </c>
      <c r="F45" s="14">
        <v>1</v>
      </c>
      <c r="G45" s="15">
        <v>849.99</v>
      </c>
      <c r="H45" s="15">
        <v>849.99</v>
      </c>
    </row>
    <row r="46" ht="12.9" customHeight="1">
      <c r="A46" t="s" s="10">
        <v>5108</v>
      </c>
      <c r="B46" t="s" s="11">
        <v>5109</v>
      </c>
      <c r="C46" s="12">
        <v>45104.535618981485</v>
      </c>
      <c r="D46" t="s" s="13">
        <v>23</v>
      </c>
      <c r="E46" t="s" s="13">
        <v>828</v>
      </c>
      <c r="F46" s="14">
        <v>1</v>
      </c>
      <c r="G46" s="15">
        <v>0</v>
      </c>
      <c r="H46" s="15">
        <v>0</v>
      </c>
    </row>
    <row r="47" ht="12.9" customHeight="1">
      <c r="A47" t="s" s="10">
        <v>5108</v>
      </c>
      <c r="B47" t="s" s="11">
        <v>5109</v>
      </c>
      <c r="C47" s="12">
        <v>45104.535618981485</v>
      </c>
      <c r="D47" t="s" s="13">
        <v>660</v>
      </c>
      <c r="E47" t="s" s="13">
        <v>661</v>
      </c>
      <c r="F47" s="14">
        <v>1</v>
      </c>
      <c r="G47" s="15">
        <v>5.99</v>
      </c>
      <c r="H47" s="15">
        <v>5.99</v>
      </c>
    </row>
    <row r="48" ht="12.9" customHeight="1">
      <c r="A48" t="s" s="10">
        <v>5108</v>
      </c>
      <c r="B48" t="s" s="11">
        <v>5109</v>
      </c>
      <c r="C48" s="12">
        <v>45104.535618981485</v>
      </c>
      <c r="D48" t="s" s="13">
        <v>50</v>
      </c>
      <c r="E48" t="s" s="13">
        <v>83</v>
      </c>
      <c r="F48" s="14">
        <v>1</v>
      </c>
      <c r="G48" s="15">
        <v>0</v>
      </c>
      <c r="H48" s="15">
        <v>0</v>
      </c>
    </row>
    <row r="49" ht="12.9" customHeight="1">
      <c r="A49" t="s" s="10">
        <v>5108</v>
      </c>
      <c r="B49" t="s" s="11">
        <v>5109</v>
      </c>
      <c r="C49" s="12">
        <v>45104.535618981485</v>
      </c>
      <c r="D49" t="s" s="13">
        <v>84</v>
      </c>
      <c r="E49" t="s" s="13">
        <v>4225</v>
      </c>
      <c r="F49" s="14">
        <v>1</v>
      </c>
      <c r="G49" s="15">
        <v>0</v>
      </c>
      <c r="H49" s="15">
        <v>0</v>
      </c>
    </row>
    <row r="50" ht="12.9" customHeight="1">
      <c r="A50" t="s" s="10">
        <v>5110</v>
      </c>
      <c r="B50" t="s" s="11">
        <v>5111</v>
      </c>
      <c r="C50" s="12">
        <v>45104.292361307867</v>
      </c>
      <c r="D50" t="s" s="13">
        <v>95</v>
      </c>
      <c r="E50" t="s" s="13">
        <v>12</v>
      </c>
      <c r="F50" s="14">
        <v>1</v>
      </c>
      <c r="G50" s="15">
        <v>349.99</v>
      </c>
      <c r="H50" s="15">
        <v>349.99</v>
      </c>
    </row>
    <row r="51" ht="12.9" customHeight="1">
      <c r="A51" t="s" s="10">
        <v>5112</v>
      </c>
      <c r="B51" t="s" s="11">
        <v>3792</v>
      </c>
      <c r="C51" s="12">
        <v>45104.185755833336</v>
      </c>
      <c r="D51" t="s" s="13">
        <v>470</v>
      </c>
      <c r="E51" t="s" s="13">
        <v>828</v>
      </c>
      <c r="F51" s="14">
        <v>1</v>
      </c>
      <c r="G51" s="15">
        <v>249.99</v>
      </c>
      <c r="H51" s="15">
        <v>249.99</v>
      </c>
    </row>
    <row r="52" ht="12.9" customHeight="1">
      <c r="A52" t="s" s="10">
        <v>5113</v>
      </c>
      <c r="B52" t="s" s="11">
        <v>5114</v>
      </c>
      <c r="C52" s="12">
        <v>45104.177907962963</v>
      </c>
      <c r="D52" t="s" s="13">
        <v>15</v>
      </c>
      <c r="E52" t="s" s="13">
        <v>4757</v>
      </c>
      <c r="F52" s="14">
        <v>1</v>
      </c>
      <c r="G52" s="15">
        <v>8.99</v>
      </c>
      <c r="H52" s="15">
        <v>8.99</v>
      </c>
    </row>
    <row r="53" ht="12.9" customHeight="1">
      <c r="A53" t="s" s="10">
        <v>5113</v>
      </c>
      <c r="B53" t="s" s="11">
        <v>5114</v>
      </c>
      <c r="C53" s="12">
        <v>45104.177907962963</v>
      </c>
      <c r="D53" t="s" s="13">
        <v>1695</v>
      </c>
      <c r="E53" t="s" s="13">
        <v>140</v>
      </c>
      <c r="F53" s="14">
        <v>1</v>
      </c>
      <c r="G53" s="15">
        <v>49.99</v>
      </c>
      <c r="H53" s="15">
        <v>49.99</v>
      </c>
    </row>
    <row r="54" ht="12.9" customHeight="1">
      <c r="A54" t="s" s="10">
        <v>5113</v>
      </c>
      <c r="B54" t="s" s="11">
        <v>5114</v>
      </c>
      <c r="C54" s="12">
        <v>45104.177907962963</v>
      </c>
      <c r="D54" t="s" s="13">
        <v>15</v>
      </c>
      <c r="E54" t="s" s="13">
        <v>4757</v>
      </c>
      <c r="F54" s="14">
        <v>1</v>
      </c>
      <c r="G54" s="15">
        <v>8.99</v>
      </c>
      <c r="H54" s="15">
        <v>8.99</v>
      </c>
    </row>
    <row r="55" ht="12.9" customHeight="1">
      <c r="A55" t="s" s="10">
        <v>5115</v>
      </c>
      <c r="B55" t="s" s="11">
        <v>831</v>
      </c>
      <c r="C55" s="12">
        <v>45104</v>
      </c>
      <c r="D55" t="s" s="13">
        <v>4800</v>
      </c>
      <c r="E55" t="s" s="13">
        <v>5116</v>
      </c>
      <c r="F55" s="14">
        <v>4</v>
      </c>
      <c r="G55" s="15">
        <v>0</v>
      </c>
      <c r="H55" s="15">
        <v>0</v>
      </c>
    </row>
    <row r="56" ht="12.9" customHeight="1">
      <c r="A56" t="s" s="10">
        <v>5115</v>
      </c>
      <c r="B56" t="s" s="11">
        <v>831</v>
      </c>
      <c r="C56" s="12">
        <v>45104</v>
      </c>
      <c r="D56" t="s" s="13">
        <v>2359</v>
      </c>
      <c r="E56" t="s" s="13">
        <v>4653</v>
      </c>
      <c r="F56" s="14">
        <v>4</v>
      </c>
      <c r="G56" s="15">
        <v>0</v>
      </c>
      <c r="H56" s="15">
        <v>0</v>
      </c>
    </row>
    <row r="57" ht="12.9" customHeight="1">
      <c r="A57" t="s" s="10">
        <v>5115</v>
      </c>
      <c r="B57" t="s" s="11">
        <v>831</v>
      </c>
      <c r="C57" s="12">
        <v>45104</v>
      </c>
      <c r="D57" t="s" s="13">
        <v>4654</v>
      </c>
      <c r="E57" t="s" s="13">
        <v>4655</v>
      </c>
      <c r="F57" s="14">
        <v>4</v>
      </c>
      <c r="G57" s="15">
        <v>0</v>
      </c>
      <c r="H57" s="15">
        <v>0</v>
      </c>
    </row>
    <row r="58" ht="12.9" customHeight="1">
      <c r="A58" t="s" s="10">
        <v>5117</v>
      </c>
      <c r="B58" t="s" s="11">
        <v>4179</v>
      </c>
      <c r="C58" s="12">
        <v>45104</v>
      </c>
      <c r="D58" t="s" s="13">
        <v>95</v>
      </c>
      <c r="E58" t="s" s="13">
        <v>12</v>
      </c>
      <c r="F58" s="14">
        <v>1</v>
      </c>
      <c r="G58" s="15">
        <v>349.99</v>
      </c>
      <c r="H58" s="15">
        <v>349.99</v>
      </c>
    </row>
    <row r="59" ht="12.9" customHeight="1">
      <c r="A59" t="s" s="10">
        <v>5117</v>
      </c>
      <c r="B59" t="s" s="11">
        <v>4179</v>
      </c>
      <c r="C59" s="12">
        <v>45104</v>
      </c>
      <c r="D59" t="s" s="13">
        <v>1731</v>
      </c>
      <c r="E59" t="s" s="13">
        <v>4657</v>
      </c>
      <c r="F59" s="14">
        <v>1</v>
      </c>
      <c r="G59" s="15">
        <v>0</v>
      </c>
      <c r="H59" s="15">
        <v>0</v>
      </c>
    </row>
    <row r="60" ht="12.9" customHeight="1">
      <c r="A60" t="s" s="10">
        <v>5117</v>
      </c>
      <c r="B60" t="s" s="11">
        <v>4179</v>
      </c>
      <c r="C60" s="12">
        <v>45104</v>
      </c>
      <c r="D60" t="s" s="13">
        <v>77</v>
      </c>
      <c r="E60" t="s" s="13">
        <v>4224</v>
      </c>
      <c r="F60" s="14">
        <v>1</v>
      </c>
      <c r="G60" s="15">
        <v>19.99</v>
      </c>
      <c r="H60" s="15">
        <v>19.99</v>
      </c>
    </row>
    <row r="61" ht="12.9" customHeight="1">
      <c r="A61" t="s" s="10">
        <v>5117</v>
      </c>
      <c r="B61" t="s" s="11">
        <v>4179</v>
      </c>
      <c r="C61" s="12">
        <v>45104</v>
      </c>
      <c r="D61" t="s" s="13">
        <v>19</v>
      </c>
      <c r="E61" t="s" s="13">
        <v>20</v>
      </c>
      <c r="F61" s="14">
        <v>1</v>
      </c>
      <c r="G61" s="15">
        <v>119.99</v>
      </c>
      <c r="H61" s="15">
        <v>119.99</v>
      </c>
    </row>
    <row r="62" ht="12.9" customHeight="1">
      <c r="A62" t="s" s="10">
        <v>5117</v>
      </c>
      <c r="B62" t="s" s="11">
        <v>4179</v>
      </c>
      <c r="C62" s="12">
        <v>45104</v>
      </c>
      <c r="D62" t="s" s="13">
        <v>1961</v>
      </c>
      <c r="E62" t="s" s="13">
        <v>1962</v>
      </c>
      <c r="F62" s="14">
        <v>1</v>
      </c>
      <c r="G62" s="15">
        <v>109.99</v>
      </c>
      <c r="H62" s="15">
        <v>109.99</v>
      </c>
    </row>
    <row r="63" ht="12.9" customHeight="1">
      <c r="A63" t="s" s="10">
        <v>5117</v>
      </c>
      <c r="B63" t="s" s="11">
        <v>4179</v>
      </c>
      <c r="C63" s="12">
        <v>45104</v>
      </c>
      <c r="D63" t="s" s="13">
        <v>35</v>
      </c>
      <c r="E63" t="s" s="13">
        <v>36</v>
      </c>
      <c r="F63" s="14">
        <v>2</v>
      </c>
      <c r="G63" s="15">
        <v>49.99</v>
      </c>
      <c r="H63" s="15">
        <v>99.98</v>
      </c>
    </row>
    <row r="64" ht="12.9" customHeight="1">
      <c r="A64" t="s" s="10">
        <v>5118</v>
      </c>
      <c r="B64" t="s" s="11">
        <v>473</v>
      </c>
      <c r="C64" s="12">
        <v>45104</v>
      </c>
      <c r="D64" t="s" s="13">
        <v>250</v>
      </c>
      <c r="E64" t="s" s="13">
        <v>5119</v>
      </c>
      <c r="F64" s="14">
        <v>1</v>
      </c>
      <c r="G64" s="15">
        <v>0</v>
      </c>
      <c r="H64" s="15">
        <v>0</v>
      </c>
    </row>
    <row r="65" ht="12.9" customHeight="1">
      <c r="A65" t="s" s="10">
        <v>5118</v>
      </c>
      <c r="B65" t="s" s="11">
        <v>473</v>
      </c>
      <c r="C65" s="12">
        <v>45104</v>
      </c>
      <c r="D65" t="s" s="13">
        <v>892</v>
      </c>
      <c r="E65" t="s" s="13">
        <v>893</v>
      </c>
      <c r="F65" s="14">
        <v>2</v>
      </c>
      <c r="G65" s="15">
        <v>22.4925</v>
      </c>
      <c r="H65" s="15">
        <v>44.985</v>
      </c>
    </row>
    <row r="66" ht="12.9" customHeight="1">
      <c r="A66" t="s" s="10">
        <v>5118</v>
      </c>
      <c r="B66" t="s" s="11">
        <v>473</v>
      </c>
      <c r="C66" s="12">
        <v>45104</v>
      </c>
      <c r="D66" t="s" s="13">
        <v>3889</v>
      </c>
      <c r="E66" t="s" s="13">
        <v>5120</v>
      </c>
      <c r="F66" s="14">
        <v>5</v>
      </c>
      <c r="G66" s="15">
        <v>18.7425</v>
      </c>
      <c r="H66" s="15">
        <v>93.71250000000001</v>
      </c>
    </row>
    <row r="67" ht="12.9" customHeight="1">
      <c r="A67" t="s" s="10">
        <v>5118</v>
      </c>
      <c r="B67" t="s" s="11">
        <v>473</v>
      </c>
      <c r="C67" s="12">
        <v>45104</v>
      </c>
      <c r="D67" t="s" s="13">
        <v>63</v>
      </c>
      <c r="E67" s="16"/>
      <c r="F67" s="14">
        <v>1</v>
      </c>
      <c r="G67" s="15">
        <v>25</v>
      </c>
      <c r="H67" s="15">
        <v>25</v>
      </c>
    </row>
    <row r="68" ht="12.9" customHeight="1">
      <c r="A68" t="s" s="10">
        <v>5121</v>
      </c>
      <c r="B68" t="s" s="11">
        <v>5122</v>
      </c>
      <c r="C68" s="12">
        <v>45103.581610613423</v>
      </c>
      <c r="D68" t="s" s="13">
        <v>589</v>
      </c>
      <c r="E68" t="s" s="13">
        <v>590</v>
      </c>
      <c r="F68" s="14">
        <v>1</v>
      </c>
      <c r="G68" s="15">
        <v>7.49</v>
      </c>
      <c r="H68" s="15">
        <v>7.49</v>
      </c>
    </row>
    <row r="69" ht="12.9" customHeight="1">
      <c r="A69" t="s" s="10">
        <v>5123</v>
      </c>
      <c r="B69" t="s" s="11">
        <v>2940</v>
      </c>
      <c r="C69" s="12">
        <v>45103</v>
      </c>
      <c r="D69" t="s" s="13">
        <v>11</v>
      </c>
      <c r="E69" t="s" s="13">
        <v>12</v>
      </c>
      <c r="F69" s="14">
        <v>1</v>
      </c>
      <c r="G69" s="15">
        <v>359.991</v>
      </c>
      <c r="H69" s="15">
        <v>359.991</v>
      </c>
    </row>
    <row r="70" ht="12.9" customHeight="1">
      <c r="A70" t="s" s="10">
        <v>5124</v>
      </c>
      <c r="B70" t="s" s="11">
        <v>5125</v>
      </c>
      <c r="C70" s="12">
        <v>45101.162951793980</v>
      </c>
      <c r="D70" t="s" s="13">
        <v>11</v>
      </c>
      <c r="E70" t="s" s="13">
        <v>12</v>
      </c>
      <c r="F70" s="14">
        <v>1</v>
      </c>
      <c r="G70" s="15">
        <v>374.99</v>
      </c>
      <c r="H70" s="15">
        <v>374.99</v>
      </c>
    </row>
    <row r="71" ht="12.9" customHeight="1">
      <c r="A71" t="s" s="10">
        <v>5126</v>
      </c>
      <c r="B71" t="s" s="11">
        <v>1653</v>
      </c>
      <c r="C71" s="12">
        <v>45100.883458692129</v>
      </c>
      <c r="D71" t="s" s="13">
        <v>81</v>
      </c>
      <c r="E71" t="s" s="13">
        <v>82</v>
      </c>
      <c r="F71" s="14">
        <v>5</v>
      </c>
      <c r="G71" s="15">
        <v>849.99</v>
      </c>
      <c r="H71" s="15">
        <v>4249.95</v>
      </c>
    </row>
    <row r="72" ht="12.9" customHeight="1">
      <c r="A72" t="s" s="10">
        <v>5126</v>
      </c>
      <c r="B72" t="s" s="11">
        <v>1653</v>
      </c>
      <c r="C72" s="12">
        <v>45100.883458692129</v>
      </c>
      <c r="D72" t="s" s="13">
        <v>133</v>
      </c>
      <c r="E72" t="s" s="13">
        <v>4835</v>
      </c>
      <c r="F72" s="14">
        <v>5</v>
      </c>
      <c r="G72" s="15">
        <v>50</v>
      </c>
      <c r="H72" s="15">
        <v>250</v>
      </c>
    </row>
    <row r="73" ht="12.9" customHeight="1">
      <c r="A73" t="s" s="10">
        <v>5126</v>
      </c>
      <c r="B73" t="s" s="11">
        <v>1653</v>
      </c>
      <c r="C73" s="12">
        <v>45100.883458692129</v>
      </c>
      <c r="D73" t="s" s="13">
        <v>50</v>
      </c>
      <c r="E73" t="s" s="13">
        <v>83</v>
      </c>
      <c r="F73" s="14">
        <v>5</v>
      </c>
      <c r="G73" s="15">
        <v>0</v>
      </c>
      <c r="H73" s="15">
        <v>0</v>
      </c>
    </row>
    <row r="74" ht="12.9" customHeight="1">
      <c r="A74" t="s" s="10">
        <v>5126</v>
      </c>
      <c r="B74" t="s" s="11">
        <v>1653</v>
      </c>
      <c r="C74" s="12">
        <v>45100.883458692129</v>
      </c>
      <c r="D74" t="s" s="13">
        <v>84</v>
      </c>
      <c r="E74" t="s" s="13">
        <v>4225</v>
      </c>
      <c r="F74" s="14">
        <v>5</v>
      </c>
      <c r="G74" s="15">
        <v>0</v>
      </c>
      <c r="H74" s="15">
        <v>0</v>
      </c>
    </row>
    <row r="75" ht="12.9" customHeight="1">
      <c r="A75" t="s" s="10">
        <v>5126</v>
      </c>
      <c r="B75" t="s" s="11">
        <v>1653</v>
      </c>
      <c r="C75" s="12">
        <v>45100.883458692129</v>
      </c>
      <c r="D75" t="s" s="13">
        <v>73</v>
      </c>
      <c r="E75" t="s" s="13">
        <v>74</v>
      </c>
      <c r="F75" s="14">
        <v>1</v>
      </c>
      <c r="G75" s="15">
        <v>399.99</v>
      </c>
      <c r="H75" s="15">
        <v>399.99</v>
      </c>
    </row>
    <row r="76" ht="12.9" customHeight="1">
      <c r="A76" t="s" s="10">
        <v>5126</v>
      </c>
      <c r="B76" t="s" s="11">
        <v>1653</v>
      </c>
      <c r="C76" s="12">
        <v>45100.883458692129</v>
      </c>
      <c r="D76" t="s" s="13">
        <v>19</v>
      </c>
      <c r="E76" t="s" s="13">
        <v>20</v>
      </c>
      <c r="F76" s="14">
        <v>5</v>
      </c>
      <c r="G76" s="15">
        <v>119.99</v>
      </c>
      <c r="H76" s="15">
        <v>599.95</v>
      </c>
    </row>
    <row r="77" ht="12.9" customHeight="1">
      <c r="A77" t="s" s="10">
        <v>5126</v>
      </c>
      <c r="B77" t="s" s="11">
        <v>1653</v>
      </c>
      <c r="C77" s="12">
        <v>45100.883458692129</v>
      </c>
      <c r="D77" t="s" s="13">
        <v>15</v>
      </c>
      <c r="E77" t="s" s="13">
        <v>4757</v>
      </c>
      <c r="F77" s="14">
        <v>5</v>
      </c>
      <c r="G77" s="15">
        <v>8.99</v>
      </c>
      <c r="H77" s="15">
        <v>44.95</v>
      </c>
    </row>
    <row r="78" ht="12.9" customHeight="1">
      <c r="A78" t="s" s="10">
        <v>5126</v>
      </c>
      <c r="B78" t="s" s="11">
        <v>1653</v>
      </c>
      <c r="C78" s="12">
        <v>45100.883458692129</v>
      </c>
      <c r="D78" t="s" s="13">
        <v>179</v>
      </c>
      <c r="E78" t="s" s="13">
        <v>180</v>
      </c>
      <c r="F78" s="14">
        <v>5</v>
      </c>
      <c r="G78" s="15">
        <v>49.99</v>
      </c>
      <c r="H78" s="15">
        <v>249.95</v>
      </c>
    </row>
    <row r="79" ht="12.9" customHeight="1">
      <c r="A79" t="s" s="10">
        <v>5126</v>
      </c>
      <c r="B79" t="s" s="11">
        <v>1653</v>
      </c>
      <c r="C79" s="12">
        <v>45100.883458692129</v>
      </c>
      <c r="D79" t="s" s="13">
        <v>54</v>
      </c>
      <c r="E79" t="s" s="13">
        <v>93</v>
      </c>
      <c r="F79" s="14">
        <v>4</v>
      </c>
      <c r="G79" s="15">
        <v>9.99</v>
      </c>
      <c r="H79" s="15">
        <v>39.96</v>
      </c>
    </row>
    <row r="80" ht="12.9" customHeight="1">
      <c r="A80" t="s" s="10">
        <v>5126</v>
      </c>
      <c r="B80" t="s" s="11">
        <v>1653</v>
      </c>
      <c r="C80" s="12">
        <v>45100.883458692129</v>
      </c>
      <c r="D80" t="s" s="13">
        <v>412</v>
      </c>
      <c r="E80" t="s" s="13">
        <v>413</v>
      </c>
      <c r="F80" s="14">
        <v>5</v>
      </c>
      <c r="G80" s="15">
        <v>1.99</v>
      </c>
      <c r="H80" s="15">
        <v>9.949999999999999</v>
      </c>
    </row>
    <row r="81" ht="12.9" customHeight="1">
      <c r="A81" t="s" s="10">
        <v>5127</v>
      </c>
      <c r="B81" t="s" s="11">
        <v>5128</v>
      </c>
      <c r="C81" s="12">
        <v>45100.416153333332</v>
      </c>
      <c r="D81" t="s" s="13">
        <v>1593</v>
      </c>
      <c r="E81" t="s" s="13">
        <v>828</v>
      </c>
      <c r="F81" s="14">
        <v>2</v>
      </c>
      <c r="G81" s="15">
        <v>99.98999999999999</v>
      </c>
      <c r="H81" s="15">
        <v>199.98</v>
      </c>
    </row>
    <row r="82" ht="12.9" customHeight="1">
      <c r="A82" t="s" s="10">
        <v>5127</v>
      </c>
      <c r="B82" t="s" s="11">
        <v>5128</v>
      </c>
      <c r="C82" s="12">
        <v>45100.416153333332</v>
      </c>
      <c r="D82" t="s" s="13">
        <v>84</v>
      </c>
      <c r="E82" t="s" s="13">
        <v>4225</v>
      </c>
      <c r="F82" s="14">
        <v>2</v>
      </c>
      <c r="G82" s="15">
        <v>15</v>
      </c>
      <c r="H82" s="15">
        <v>30</v>
      </c>
    </row>
    <row r="83" ht="12.9" customHeight="1">
      <c r="A83" t="s" s="10">
        <v>5127</v>
      </c>
      <c r="B83" t="s" s="11">
        <v>5128</v>
      </c>
      <c r="C83" s="12">
        <v>45100.416153333332</v>
      </c>
      <c r="D83" t="s" s="13">
        <v>1729</v>
      </c>
      <c r="E83" t="s" s="13">
        <v>4639</v>
      </c>
      <c r="F83" s="14">
        <v>2</v>
      </c>
      <c r="G83" s="15">
        <v>14.99</v>
      </c>
      <c r="H83" s="15">
        <v>29.98</v>
      </c>
    </row>
    <row r="84" ht="12.9" customHeight="1">
      <c r="A84" t="s" s="10">
        <v>5127</v>
      </c>
      <c r="B84" t="s" s="11">
        <v>5128</v>
      </c>
      <c r="C84" s="12">
        <v>45100.416153333332</v>
      </c>
      <c r="D84" t="s" s="13">
        <v>77</v>
      </c>
      <c r="E84" t="s" s="13">
        <v>4224</v>
      </c>
      <c r="F84" s="14">
        <v>2</v>
      </c>
      <c r="G84" s="15">
        <v>19.99</v>
      </c>
      <c r="H84" s="15">
        <v>39.98</v>
      </c>
    </row>
    <row r="85" ht="12.9" customHeight="1">
      <c r="A85" t="s" s="10">
        <v>5129</v>
      </c>
      <c r="B85" t="s" s="11">
        <v>5130</v>
      </c>
      <c r="C85" s="12">
        <v>45100.011869166665</v>
      </c>
      <c r="D85" t="s" s="13">
        <v>2332</v>
      </c>
      <c r="E85" t="s" s="13">
        <v>828</v>
      </c>
      <c r="F85" s="14">
        <v>1</v>
      </c>
      <c r="G85" s="15">
        <v>199.99</v>
      </c>
      <c r="H85" s="15">
        <v>199.99</v>
      </c>
    </row>
    <row r="86" ht="12.9" customHeight="1">
      <c r="A86" t="s" s="10">
        <v>5131</v>
      </c>
      <c r="B86" t="s" s="11">
        <v>704</v>
      </c>
      <c r="C86" s="12">
        <v>45100</v>
      </c>
      <c r="D86" t="s" s="13">
        <v>11</v>
      </c>
      <c r="E86" t="s" s="13">
        <v>12</v>
      </c>
      <c r="F86" s="14">
        <v>1</v>
      </c>
      <c r="G86" s="15">
        <v>299.9925</v>
      </c>
      <c r="H86" s="15">
        <v>299.9925</v>
      </c>
    </row>
    <row r="87" ht="12.9" customHeight="1">
      <c r="A87" t="s" s="10">
        <v>5131</v>
      </c>
      <c r="B87" t="s" s="11">
        <v>704</v>
      </c>
      <c r="C87" s="12">
        <v>45100</v>
      </c>
      <c r="D87" t="s" s="13">
        <v>1479</v>
      </c>
      <c r="E87" t="s" s="13">
        <v>828</v>
      </c>
      <c r="F87" s="14">
        <v>2</v>
      </c>
      <c r="G87" s="15">
        <v>224.9925</v>
      </c>
      <c r="H87" s="15">
        <v>449.985</v>
      </c>
    </row>
    <row r="88" ht="12.9" customHeight="1">
      <c r="A88" t="s" s="10">
        <v>5131</v>
      </c>
      <c r="B88" t="s" s="11">
        <v>704</v>
      </c>
      <c r="C88" s="12">
        <v>45100</v>
      </c>
      <c r="D88" t="s" s="13">
        <v>3914</v>
      </c>
      <c r="E88" t="s" s="13">
        <v>3915</v>
      </c>
      <c r="F88" s="14">
        <v>1</v>
      </c>
      <c r="G88" s="15">
        <v>0</v>
      </c>
      <c r="H88" s="15">
        <v>0</v>
      </c>
    </row>
    <row r="89" ht="12.9" customHeight="1">
      <c r="A89" t="s" s="10">
        <v>5132</v>
      </c>
      <c r="B89" t="s" s="11">
        <v>5133</v>
      </c>
      <c r="C89" s="12">
        <v>45099.9083733912</v>
      </c>
      <c r="D89" t="s" s="13">
        <v>31</v>
      </c>
      <c r="E89" t="s" s="13">
        <v>32</v>
      </c>
      <c r="F89" s="14">
        <v>1</v>
      </c>
      <c r="G89" s="15">
        <v>599.99</v>
      </c>
      <c r="H89" s="15">
        <v>599.99</v>
      </c>
    </row>
    <row r="90" ht="12.9" customHeight="1">
      <c r="A90" t="s" s="10">
        <v>5134</v>
      </c>
      <c r="B90" t="s" s="11">
        <v>5135</v>
      </c>
      <c r="C90" s="12">
        <v>45099.730750416667</v>
      </c>
      <c r="D90" t="s" s="13">
        <v>589</v>
      </c>
      <c r="E90" t="s" s="13">
        <v>590</v>
      </c>
      <c r="F90" s="14">
        <v>1</v>
      </c>
      <c r="G90" s="15">
        <v>7.49</v>
      </c>
      <c r="H90" s="15">
        <v>7.49</v>
      </c>
    </row>
    <row r="91" ht="12.9" customHeight="1">
      <c r="A91" t="s" s="10">
        <v>5136</v>
      </c>
      <c r="B91" t="s" s="11">
        <v>4789</v>
      </c>
      <c r="C91" s="12">
        <v>45099</v>
      </c>
      <c r="D91" t="s" s="13">
        <v>933</v>
      </c>
      <c r="E91" t="s" s="13">
        <v>934</v>
      </c>
      <c r="F91" s="14">
        <v>2</v>
      </c>
      <c r="G91" s="15">
        <v>1299.99</v>
      </c>
      <c r="H91" s="15">
        <v>2599.98</v>
      </c>
    </row>
    <row r="92" ht="12.9" customHeight="1">
      <c r="A92" t="s" s="10">
        <v>5136</v>
      </c>
      <c r="B92" t="s" s="11">
        <v>4789</v>
      </c>
      <c r="C92" s="12">
        <v>45099</v>
      </c>
      <c r="D92" t="s" s="13">
        <v>23</v>
      </c>
      <c r="E92" t="s" s="13">
        <v>5137</v>
      </c>
      <c r="F92" s="14">
        <v>2</v>
      </c>
      <c r="G92" s="15">
        <v>0</v>
      </c>
      <c r="H92" s="15">
        <v>0</v>
      </c>
    </row>
    <row r="93" ht="12.9" customHeight="1">
      <c r="A93" t="s" s="10">
        <v>5136</v>
      </c>
      <c r="B93" t="s" s="11">
        <v>4789</v>
      </c>
      <c r="C93" s="12">
        <v>45099</v>
      </c>
      <c r="D93" t="s" s="13">
        <v>52</v>
      </c>
      <c r="E93" t="s" s="13">
        <v>4287</v>
      </c>
      <c r="F93" s="14">
        <v>2</v>
      </c>
      <c r="G93" s="15">
        <v>0</v>
      </c>
      <c r="H93" s="15">
        <v>0</v>
      </c>
    </row>
    <row r="94" ht="12.9" customHeight="1">
      <c r="A94" t="s" s="10">
        <v>5136</v>
      </c>
      <c r="B94" t="s" s="11">
        <v>4789</v>
      </c>
      <c r="C94" s="12">
        <v>45099</v>
      </c>
      <c r="D94" t="s" s="13">
        <v>5138</v>
      </c>
      <c r="E94" t="s" s="13">
        <v>5139</v>
      </c>
      <c r="F94" s="14">
        <v>2</v>
      </c>
      <c r="G94" s="15">
        <v>0</v>
      </c>
      <c r="H94" s="15">
        <v>0</v>
      </c>
    </row>
    <row r="95" ht="12.9" customHeight="1">
      <c r="A95" t="s" s="10">
        <v>5136</v>
      </c>
      <c r="B95" t="s" s="11">
        <v>4789</v>
      </c>
      <c r="C95" s="12">
        <v>45099</v>
      </c>
      <c r="D95" t="s" s="13">
        <v>50</v>
      </c>
      <c r="E95" t="s" s="13">
        <v>83</v>
      </c>
      <c r="F95" s="14">
        <v>2</v>
      </c>
      <c r="G95" s="15">
        <v>0</v>
      </c>
      <c r="H95" s="15">
        <v>0</v>
      </c>
    </row>
    <row r="96" ht="12.9" customHeight="1">
      <c r="A96" t="s" s="10">
        <v>5136</v>
      </c>
      <c r="B96" t="s" s="11">
        <v>4789</v>
      </c>
      <c r="C96" s="12">
        <v>45099</v>
      </c>
      <c r="D96" t="s" s="13">
        <v>63</v>
      </c>
      <c r="E96" s="16"/>
      <c r="F96" s="14">
        <v>1</v>
      </c>
      <c r="G96" s="15">
        <v>158.13</v>
      </c>
      <c r="H96" s="15">
        <v>158.13</v>
      </c>
    </row>
    <row r="97" ht="12.9" customHeight="1">
      <c r="A97" t="s" s="10">
        <v>5140</v>
      </c>
      <c r="B97" t="s" s="11">
        <v>4789</v>
      </c>
      <c r="C97" s="12">
        <v>45099</v>
      </c>
      <c r="D97" t="s" s="13">
        <v>52</v>
      </c>
      <c r="E97" t="s" s="13">
        <v>4287</v>
      </c>
      <c r="F97" s="14">
        <v>2</v>
      </c>
      <c r="G97" s="15">
        <v>0</v>
      </c>
      <c r="H97" s="15">
        <v>0</v>
      </c>
    </row>
    <row r="98" ht="12.9" customHeight="1">
      <c r="A98" t="s" s="10">
        <v>5140</v>
      </c>
      <c r="B98" t="s" s="11">
        <v>4789</v>
      </c>
      <c r="C98" s="12">
        <v>45099</v>
      </c>
      <c r="D98" t="s" s="13">
        <v>50</v>
      </c>
      <c r="E98" t="s" s="13">
        <v>83</v>
      </c>
      <c r="F98" s="14">
        <v>2</v>
      </c>
      <c r="G98" s="15">
        <v>0</v>
      </c>
      <c r="H98" s="15">
        <v>0</v>
      </c>
    </row>
    <row r="99" ht="12.9" customHeight="1">
      <c r="A99" t="s" s="10">
        <v>5140</v>
      </c>
      <c r="B99" t="s" s="11">
        <v>4789</v>
      </c>
      <c r="C99" s="12">
        <v>45099</v>
      </c>
      <c r="D99" t="s" s="13">
        <v>48</v>
      </c>
      <c r="E99" t="s" s="13">
        <v>49</v>
      </c>
      <c r="F99" s="14">
        <v>2</v>
      </c>
      <c r="G99" s="15">
        <v>1299.99</v>
      </c>
      <c r="H99" s="15">
        <v>2599.98</v>
      </c>
    </row>
    <row r="100" ht="12.9" customHeight="1">
      <c r="A100" t="s" s="10">
        <v>5140</v>
      </c>
      <c r="B100" t="s" s="11">
        <v>4789</v>
      </c>
      <c r="C100" s="12">
        <v>45099</v>
      </c>
      <c r="D100" t="s" s="13">
        <v>133</v>
      </c>
      <c r="E100" t="s" s="13">
        <v>134</v>
      </c>
      <c r="F100" s="14">
        <v>2</v>
      </c>
      <c r="G100" s="15">
        <v>50</v>
      </c>
      <c r="H100" s="15">
        <v>100</v>
      </c>
    </row>
    <row r="101" ht="12.9" customHeight="1">
      <c r="A101" t="s" s="10">
        <v>5140</v>
      </c>
      <c r="B101" t="s" s="11">
        <v>4789</v>
      </c>
      <c r="C101" s="12">
        <v>45099</v>
      </c>
      <c r="D101" t="s" s="13">
        <v>84</v>
      </c>
      <c r="E101" t="s" s="13">
        <v>4225</v>
      </c>
      <c r="F101" s="14">
        <v>2</v>
      </c>
      <c r="G101" s="15">
        <v>0</v>
      </c>
      <c r="H101" s="15">
        <v>0</v>
      </c>
    </row>
    <row r="102" ht="12.9" customHeight="1">
      <c r="A102" t="s" s="10">
        <v>5141</v>
      </c>
      <c r="B102" t="s" s="11">
        <v>69</v>
      </c>
      <c r="C102" s="12">
        <v>45099</v>
      </c>
      <c r="D102" t="s" s="13">
        <v>123</v>
      </c>
      <c r="E102" t="s" s="13">
        <v>124</v>
      </c>
      <c r="F102" s="14">
        <v>5</v>
      </c>
      <c r="G102" s="15">
        <v>134.9925</v>
      </c>
      <c r="H102" s="15">
        <v>674.9625</v>
      </c>
    </row>
    <row r="103" ht="12.9" customHeight="1">
      <c r="A103" t="s" s="10">
        <v>5141</v>
      </c>
      <c r="B103" t="s" s="11">
        <v>69</v>
      </c>
      <c r="C103" s="12">
        <v>45099</v>
      </c>
      <c r="D103" t="s" s="13">
        <v>1707</v>
      </c>
      <c r="E103" t="s" s="13">
        <v>1708</v>
      </c>
      <c r="F103" s="14">
        <v>5</v>
      </c>
      <c r="G103" s="15">
        <v>7.4925</v>
      </c>
      <c r="H103" s="15">
        <v>37.4625</v>
      </c>
    </row>
    <row r="104" ht="12.9" customHeight="1">
      <c r="A104" t="s" s="10">
        <v>5141</v>
      </c>
      <c r="B104" t="s" s="11">
        <v>69</v>
      </c>
      <c r="C104" s="12">
        <v>45099</v>
      </c>
      <c r="D104" t="s" s="13">
        <v>497</v>
      </c>
      <c r="E104" t="s" s="13">
        <v>498</v>
      </c>
      <c r="F104" s="14">
        <v>5</v>
      </c>
      <c r="G104" s="15">
        <v>14.9925</v>
      </c>
      <c r="H104" s="15">
        <v>74.96250000000001</v>
      </c>
    </row>
    <row r="105" ht="12.9" customHeight="1">
      <c r="A105" t="s" s="10">
        <v>5141</v>
      </c>
      <c r="B105" t="s" s="11">
        <v>69</v>
      </c>
      <c r="C105" s="12">
        <v>45099</v>
      </c>
      <c r="D105" t="s" s="13">
        <v>780</v>
      </c>
      <c r="E105" t="s" s="13">
        <v>780</v>
      </c>
      <c r="F105" s="14">
        <v>5</v>
      </c>
      <c r="G105" s="15">
        <v>1.125</v>
      </c>
      <c r="H105" s="15">
        <v>5.625</v>
      </c>
    </row>
    <row r="106" ht="12.9" customHeight="1">
      <c r="A106" t="s" s="10">
        <v>5141</v>
      </c>
      <c r="B106" t="s" s="11">
        <v>69</v>
      </c>
      <c r="C106" s="12">
        <v>45099</v>
      </c>
      <c r="D106" t="s" s="13">
        <v>63</v>
      </c>
      <c r="E106" s="16"/>
      <c r="F106" s="14">
        <v>1</v>
      </c>
      <c r="G106" s="15">
        <v>48</v>
      </c>
      <c r="H106" s="15">
        <v>48</v>
      </c>
    </row>
    <row r="107" ht="12.9" customHeight="1">
      <c r="A107" t="s" s="10">
        <v>5142</v>
      </c>
      <c r="B107" t="s" s="11">
        <v>1697</v>
      </c>
      <c r="C107" s="12">
        <v>45098</v>
      </c>
      <c r="D107" t="s" s="13">
        <v>95</v>
      </c>
      <c r="E107" t="s" s="13">
        <v>5143</v>
      </c>
      <c r="F107" s="14">
        <v>12</v>
      </c>
      <c r="G107" s="15">
        <v>262.4925</v>
      </c>
      <c r="H107" s="15">
        <v>3149.91</v>
      </c>
    </row>
    <row r="108" ht="12.9" customHeight="1">
      <c r="A108" t="s" s="10">
        <v>5142</v>
      </c>
      <c r="B108" t="s" s="11">
        <v>1697</v>
      </c>
      <c r="C108" s="12">
        <v>45098</v>
      </c>
      <c r="D108" t="s" s="13">
        <v>5144</v>
      </c>
      <c r="E108" t="s" s="13">
        <v>5145</v>
      </c>
      <c r="F108" s="14">
        <v>2</v>
      </c>
      <c r="G108" s="15">
        <v>18</v>
      </c>
      <c r="H108" s="15">
        <v>36</v>
      </c>
    </row>
    <row r="109" ht="12.9" customHeight="1">
      <c r="A109" t="s" s="10">
        <v>5146</v>
      </c>
      <c r="B109" t="s" s="11">
        <v>5147</v>
      </c>
      <c r="C109" s="12">
        <v>45097.994701817130</v>
      </c>
      <c r="D109" t="s" s="13">
        <v>31</v>
      </c>
      <c r="E109" t="s" s="13">
        <v>32</v>
      </c>
      <c r="F109" s="14">
        <v>1</v>
      </c>
      <c r="G109" s="15">
        <v>599.99</v>
      </c>
      <c r="H109" s="15">
        <v>599.99</v>
      </c>
    </row>
    <row r="110" ht="12.9" customHeight="1">
      <c r="A110" t="s" s="10">
        <v>5148</v>
      </c>
      <c r="B110" t="s" s="11">
        <v>5149</v>
      </c>
      <c r="C110" s="12">
        <v>45097.847519710645</v>
      </c>
      <c r="D110" t="s" s="13">
        <v>1695</v>
      </c>
      <c r="E110" t="s" s="13">
        <v>140</v>
      </c>
      <c r="F110" s="14">
        <v>1</v>
      </c>
      <c r="G110" s="15">
        <v>49.99</v>
      </c>
      <c r="H110" s="15">
        <v>49.99</v>
      </c>
    </row>
    <row r="111" ht="12.9" customHeight="1">
      <c r="A111" t="s" s="10">
        <v>5148</v>
      </c>
      <c r="B111" t="s" s="11">
        <v>5149</v>
      </c>
      <c r="C111" s="12">
        <v>45097.847519710645</v>
      </c>
      <c r="D111" t="s" s="13">
        <v>15</v>
      </c>
      <c r="E111" t="s" s="13">
        <v>4757</v>
      </c>
      <c r="F111" s="14">
        <v>1</v>
      </c>
      <c r="G111" s="15">
        <v>8.99</v>
      </c>
      <c r="H111" s="15">
        <v>8.99</v>
      </c>
    </row>
    <row r="112" ht="12.9" customHeight="1">
      <c r="A112" t="s" s="10">
        <v>5148</v>
      </c>
      <c r="B112" t="s" s="11">
        <v>5149</v>
      </c>
      <c r="C112" s="12">
        <v>45097.847519710645</v>
      </c>
      <c r="D112" t="s" s="13">
        <v>54</v>
      </c>
      <c r="E112" t="s" s="13">
        <v>93</v>
      </c>
      <c r="F112" s="14">
        <v>4</v>
      </c>
      <c r="G112" s="15">
        <v>9.99</v>
      </c>
      <c r="H112" s="15">
        <v>39.96</v>
      </c>
    </row>
    <row r="113" ht="12.9" customHeight="1">
      <c r="A113" t="s" s="10">
        <v>5150</v>
      </c>
      <c r="B113" t="s" s="11">
        <v>2152</v>
      </c>
      <c r="C113" s="12">
        <v>45097.812250925926</v>
      </c>
      <c r="D113" t="s" s="13">
        <v>73</v>
      </c>
      <c r="E113" t="s" s="13">
        <v>74</v>
      </c>
      <c r="F113" s="14">
        <v>1</v>
      </c>
      <c r="G113" s="15">
        <v>399.99</v>
      </c>
      <c r="H113" s="15">
        <v>399.99</v>
      </c>
    </row>
    <row r="114" ht="12.9" customHeight="1">
      <c r="A114" t="s" s="10">
        <v>5151</v>
      </c>
      <c r="B114" t="s" s="11">
        <v>5152</v>
      </c>
      <c r="C114" s="12">
        <v>45097.7788984375</v>
      </c>
      <c r="D114" t="s" s="13">
        <v>48</v>
      </c>
      <c r="E114" t="s" s="13">
        <v>49</v>
      </c>
      <c r="F114" s="14">
        <v>1</v>
      </c>
      <c r="G114" s="15">
        <v>1299.99</v>
      </c>
      <c r="H114" s="15">
        <v>1299.99</v>
      </c>
    </row>
    <row r="115" ht="12.9" customHeight="1">
      <c r="A115" t="s" s="10">
        <v>5151</v>
      </c>
      <c r="B115" t="s" s="11">
        <v>5152</v>
      </c>
      <c r="C115" s="12">
        <v>45097.7788984375</v>
      </c>
      <c r="D115" t="s" s="13">
        <v>50</v>
      </c>
      <c r="E115" t="s" s="13">
        <v>83</v>
      </c>
      <c r="F115" s="14">
        <v>1</v>
      </c>
      <c r="G115" s="15">
        <v>0</v>
      </c>
      <c r="H115" s="15">
        <v>0</v>
      </c>
    </row>
    <row r="116" ht="12.9" customHeight="1">
      <c r="A116" t="s" s="10">
        <v>5151</v>
      </c>
      <c r="B116" t="s" s="11">
        <v>5152</v>
      </c>
      <c r="C116" s="12">
        <v>45097.7788984375</v>
      </c>
      <c r="D116" t="s" s="13">
        <v>52</v>
      </c>
      <c r="E116" t="s" s="13">
        <v>4287</v>
      </c>
      <c r="F116" s="14">
        <v>1</v>
      </c>
      <c r="G116" s="15">
        <v>0</v>
      </c>
      <c r="H116" s="15">
        <v>0</v>
      </c>
    </row>
    <row r="117" ht="12.9" customHeight="1">
      <c r="A117" t="s" s="10">
        <v>5151</v>
      </c>
      <c r="B117" t="s" s="11">
        <v>5152</v>
      </c>
      <c r="C117" s="12">
        <v>45097.7788984375</v>
      </c>
      <c r="D117" t="s" s="13">
        <v>84</v>
      </c>
      <c r="E117" t="s" s="13">
        <v>4225</v>
      </c>
      <c r="F117" s="14">
        <v>1</v>
      </c>
      <c r="G117" s="15">
        <v>0</v>
      </c>
      <c r="H117" s="15">
        <v>0</v>
      </c>
    </row>
    <row r="118" ht="12.9" customHeight="1">
      <c r="A118" t="s" s="10">
        <v>5151</v>
      </c>
      <c r="B118" t="s" s="11">
        <v>5152</v>
      </c>
      <c r="C118" s="12">
        <v>45097.7788984375</v>
      </c>
      <c r="D118" t="s" s="13">
        <v>23</v>
      </c>
      <c r="E118" t="s" s="13">
        <v>828</v>
      </c>
      <c r="F118" s="14">
        <v>1</v>
      </c>
      <c r="G118" s="15">
        <v>0</v>
      </c>
      <c r="H118" s="15">
        <v>0</v>
      </c>
    </row>
    <row r="119" ht="12.9" customHeight="1">
      <c r="A119" t="s" s="10">
        <v>5151</v>
      </c>
      <c r="B119" t="s" s="11">
        <v>5152</v>
      </c>
      <c r="C119" s="12">
        <v>45097.7788984375</v>
      </c>
      <c r="D119" t="s" s="13">
        <v>487</v>
      </c>
      <c r="E119" t="s" s="13">
        <v>828</v>
      </c>
      <c r="F119" s="14">
        <v>1</v>
      </c>
      <c r="G119" s="15">
        <v>109.99</v>
      </c>
      <c r="H119" s="15">
        <v>109.99</v>
      </c>
    </row>
    <row r="120" ht="12.9" customHeight="1">
      <c r="A120" t="s" s="10">
        <v>5151</v>
      </c>
      <c r="B120" t="s" s="11">
        <v>5152</v>
      </c>
      <c r="C120" s="12">
        <v>45097.7788984375</v>
      </c>
      <c r="D120" t="s" s="13">
        <v>48</v>
      </c>
      <c r="E120" t="s" s="13">
        <v>49</v>
      </c>
      <c r="F120" s="14">
        <v>1</v>
      </c>
      <c r="G120" s="15">
        <v>1299.99</v>
      </c>
      <c r="H120" s="15">
        <v>1299.99</v>
      </c>
    </row>
    <row r="121" ht="12.9" customHeight="1">
      <c r="A121" t="s" s="10">
        <v>5151</v>
      </c>
      <c r="B121" t="s" s="11">
        <v>5152</v>
      </c>
      <c r="C121" s="12">
        <v>45097.7788984375</v>
      </c>
      <c r="D121" t="s" s="13">
        <v>50</v>
      </c>
      <c r="E121" t="s" s="13">
        <v>83</v>
      </c>
      <c r="F121" s="14">
        <v>1</v>
      </c>
      <c r="G121" s="15">
        <v>0</v>
      </c>
      <c r="H121" s="15">
        <v>0</v>
      </c>
    </row>
    <row r="122" ht="12.9" customHeight="1">
      <c r="A122" t="s" s="10">
        <v>5151</v>
      </c>
      <c r="B122" t="s" s="11">
        <v>5152</v>
      </c>
      <c r="C122" s="12">
        <v>45097.7788984375</v>
      </c>
      <c r="D122" t="s" s="13">
        <v>52</v>
      </c>
      <c r="E122" t="s" s="13">
        <v>4287</v>
      </c>
      <c r="F122" s="14">
        <v>1</v>
      </c>
      <c r="G122" s="15">
        <v>0</v>
      </c>
      <c r="H122" s="15">
        <v>0</v>
      </c>
    </row>
    <row r="123" ht="12.9" customHeight="1">
      <c r="A123" t="s" s="10">
        <v>5151</v>
      </c>
      <c r="B123" t="s" s="11">
        <v>5152</v>
      </c>
      <c r="C123" s="12">
        <v>45097.7788984375</v>
      </c>
      <c r="D123" t="s" s="13">
        <v>84</v>
      </c>
      <c r="E123" t="s" s="13">
        <v>4225</v>
      </c>
      <c r="F123" s="14">
        <v>1</v>
      </c>
      <c r="G123" s="15">
        <v>0</v>
      </c>
      <c r="H123" s="15">
        <v>0</v>
      </c>
    </row>
    <row r="124" ht="12.9" customHeight="1">
      <c r="A124" t="s" s="10">
        <v>5151</v>
      </c>
      <c r="B124" t="s" s="11">
        <v>5152</v>
      </c>
      <c r="C124" s="12">
        <v>45097.7788984375</v>
      </c>
      <c r="D124" t="s" s="13">
        <v>23</v>
      </c>
      <c r="E124" t="s" s="13">
        <v>828</v>
      </c>
      <c r="F124" s="14">
        <v>1</v>
      </c>
      <c r="G124" s="15">
        <v>0</v>
      </c>
      <c r="H124" s="15">
        <v>0</v>
      </c>
    </row>
    <row r="125" ht="12.9" customHeight="1">
      <c r="A125" t="s" s="10">
        <v>5151</v>
      </c>
      <c r="B125" t="s" s="11">
        <v>5152</v>
      </c>
      <c r="C125" s="12">
        <v>45097.7788984375</v>
      </c>
      <c r="D125" t="s" s="13">
        <v>73</v>
      </c>
      <c r="E125" t="s" s="13">
        <v>74</v>
      </c>
      <c r="F125" s="14">
        <v>1</v>
      </c>
      <c r="G125" s="15">
        <v>399.99</v>
      </c>
      <c r="H125" s="15">
        <v>399.99</v>
      </c>
    </row>
    <row r="126" ht="12.9" customHeight="1">
      <c r="A126" t="s" s="10">
        <v>5153</v>
      </c>
      <c r="B126" t="s" s="11">
        <v>5154</v>
      </c>
      <c r="C126" s="12">
        <v>45097.664511423609</v>
      </c>
      <c r="D126" t="s" s="13">
        <v>95</v>
      </c>
      <c r="E126" t="s" s="13">
        <v>12</v>
      </c>
      <c r="F126" s="14">
        <v>2</v>
      </c>
      <c r="G126" s="15">
        <v>349.99</v>
      </c>
      <c r="H126" s="15">
        <v>699.98</v>
      </c>
    </row>
    <row r="127" ht="12.9" customHeight="1">
      <c r="A127" t="s" s="10">
        <v>5155</v>
      </c>
      <c r="B127" t="s" s="11">
        <v>896</v>
      </c>
      <c r="C127" s="12">
        <v>45097</v>
      </c>
      <c r="D127" t="s" s="13">
        <v>5156</v>
      </c>
      <c r="E127" t="s" s="13">
        <v>5157</v>
      </c>
      <c r="F127" s="14">
        <v>1</v>
      </c>
      <c r="G127" s="15">
        <v>0</v>
      </c>
      <c r="H127" s="15">
        <v>0</v>
      </c>
    </row>
    <row r="128" ht="12.9" customHeight="1">
      <c r="A128" t="s" s="10">
        <v>5155</v>
      </c>
      <c r="B128" t="s" s="11">
        <v>896</v>
      </c>
      <c r="C128" s="12">
        <v>45097</v>
      </c>
      <c r="D128" t="s" s="13">
        <v>5158</v>
      </c>
      <c r="E128" t="s" s="13">
        <v>5159</v>
      </c>
      <c r="F128" s="14">
        <v>1</v>
      </c>
      <c r="G128" s="15">
        <v>0</v>
      </c>
      <c r="H128" s="15">
        <v>0</v>
      </c>
    </row>
    <row r="129" ht="12.9" customHeight="1">
      <c r="A129" t="s" s="10">
        <v>5155</v>
      </c>
      <c r="B129" t="s" s="11">
        <v>896</v>
      </c>
      <c r="C129" s="12">
        <v>45097</v>
      </c>
      <c r="D129" t="s" s="13">
        <v>5160</v>
      </c>
      <c r="E129" t="s" s="13">
        <v>5161</v>
      </c>
      <c r="F129" s="14">
        <v>1</v>
      </c>
      <c r="G129" s="15">
        <v>0</v>
      </c>
      <c r="H129" s="15">
        <v>0</v>
      </c>
    </row>
    <row r="130" ht="12.9" customHeight="1">
      <c r="A130" t="s" s="10">
        <v>5155</v>
      </c>
      <c r="B130" t="s" s="11">
        <v>896</v>
      </c>
      <c r="C130" s="12">
        <v>45097</v>
      </c>
      <c r="D130" t="s" s="13">
        <v>5162</v>
      </c>
      <c r="E130" t="s" s="13">
        <v>5163</v>
      </c>
      <c r="F130" s="14">
        <v>12</v>
      </c>
      <c r="G130" s="15">
        <v>0</v>
      </c>
      <c r="H130" s="15">
        <v>0</v>
      </c>
    </row>
    <row r="131" ht="12.9" customHeight="1">
      <c r="A131" t="s" s="10">
        <v>5164</v>
      </c>
      <c r="B131" t="s" s="11">
        <v>2931</v>
      </c>
      <c r="C131" s="12">
        <v>45097</v>
      </c>
      <c r="D131" t="s" s="13">
        <v>4800</v>
      </c>
      <c r="E131" t="s" s="13">
        <v>5165</v>
      </c>
      <c r="F131" s="14">
        <v>4</v>
      </c>
      <c r="G131" s="15">
        <v>0</v>
      </c>
      <c r="H131" s="15">
        <v>0</v>
      </c>
    </row>
    <row r="132" ht="12.9" customHeight="1">
      <c r="A132" t="s" s="10">
        <v>5166</v>
      </c>
      <c r="B132" t="s" s="11">
        <v>2931</v>
      </c>
      <c r="C132" s="12">
        <v>45097</v>
      </c>
      <c r="D132" t="s" s="13">
        <v>4800</v>
      </c>
      <c r="E132" t="s" s="13">
        <v>5165</v>
      </c>
      <c r="F132" s="14">
        <v>2</v>
      </c>
      <c r="G132" s="15">
        <v>0</v>
      </c>
      <c r="H132" s="15">
        <v>0</v>
      </c>
    </row>
    <row r="133" ht="12.9" customHeight="1">
      <c r="A133" t="s" s="10">
        <v>5166</v>
      </c>
      <c r="B133" t="s" s="11">
        <v>2931</v>
      </c>
      <c r="C133" s="12">
        <v>45097</v>
      </c>
      <c r="D133" t="s" s="13">
        <v>2359</v>
      </c>
      <c r="E133" t="s" s="13">
        <v>4653</v>
      </c>
      <c r="F133" s="14">
        <v>2</v>
      </c>
      <c r="G133" s="15">
        <v>0</v>
      </c>
      <c r="H133" s="15">
        <v>0</v>
      </c>
    </row>
    <row r="134" ht="12.9" customHeight="1">
      <c r="A134" t="s" s="10">
        <v>5166</v>
      </c>
      <c r="B134" t="s" s="11">
        <v>2931</v>
      </c>
      <c r="C134" s="12">
        <v>45097</v>
      </c>
      <c r="D134" t="s" s="13">
        <v>4654</v>
      </c>
      <c r="E134" t="s" s="13">
        <v>4655</v>
      </c>
      <c r="F134" s="14">
        <v>2</v>
      </c>
      <c r="G134" s="15">
        <v>0</v>
      </c>
      <c r="H134" s="15">
        <v>0</v>
      </c>
    </row>
    <row r="135" ht="12.9" customHeight="1">
      <c r="A135" t="s" s="10">
        <v>5167</v>
      </c>
      <c r="B135" t="s" s="11">
        <v>2931</v>
      </c>
      <c r="C135" s="12">
        <v>45097</v>
      </c>
      <c r="D135" t="s" s="13">
        <v>5168</v>
      </c>
      <c r="E135" t="s" s="13">
        <v>5169</v>
      </c>
      <c r="F135" s="14">
        <v>1</v>
      </c>
      <c r="G135" s="15">
        <v>0</v>
      </c>
      <c r="H135" s="15">
        <v>0</v>
      </c>
    </row>
    <row r="136" ht="12.9" customHeight="1">
      <c r="A136" t="s" s="10">
        <v>5167</v>
      </c>
      <c r="B136" t="s" s="11">
        <v>2931</v>
      </c>
      <c r="C136" s="12">
        <v>45097</v>
      </c>
      <c r="D136" t="s" s="13">
        <v>5170</v>
      </c>
      <c r="E136" t="s" s="13">
        <v>5171</v>
      </c>
      <c r="F136" s="14">
        <v>1</v>
      </c>
      <c r="G136" s="15">
        <v>150</v>
      </c>
      <c r="H136" s="15">
        <v>150</v>
      </c>
    </row>
    <row r="137" ht="12.9" customHeight="1">
      <c r="A137" t="s" s="10">
        <v>5167</v>
      </c>
      <c r="B137" t="s" s="11">
        <v>2931</v>
      </c>
      <c r="C137" s="12">
        <v>45097</v>
      </c>
      <c r="D137" t="s" s="13">
        <v>63</v>
      </c>
      <c r="E137" s="16"/>
      <c r="F137" s="14">
        <v>1</v>
      </c>
      <c r="G137" s="15">
        <v>15</v>
      </c>
      <c r="H137" s="15">
        <v>15</v>
      </c>
    </row>
    <row r="138" ht="12.9" customHeight="1">
      <c r="A138" t="s" s="10">
        <v>5172</v>
      </c>
      <c r="B138" t="s" s="11">
        <v>4320</v>
      </c>
      <c r="C138" s="12">
        <v>45096.673356655090</v>
      </c>
      <c r="D138" t="s" s="13">
        <v>602</v>
      </c>
      <c r="E138" t="s" s="13">
        <v>828</v>
      </c>
      <c r="F138" s="14">
        <v>1</v>
      </c>
      <c r="G138" s="15">
        <v>299.99</v>
      </c>
      <c r="H138" s="15">
        <v>299.99</v>
      </c>
    </row>
    <row r="139" ht="12.9" customHeight="1">
      <c r="A139" t="s" s="10">
        <v>5172</v>
      </c>
      <c r="B139" t="s" s="11">
        <v>4320</v>
      </c>
      <c r="C139" s="12">
        <v>45096.673356655090</v>
      </c>
      <c r="D139" t="s" s="13">
        <v>470</v>
      </c>
      <c r="E139" t="s" s="13">
        <v>828</v>
      </c>
      <c r="F139" s="14">
        <v>1</v>
      </c>
      <c r="G139" s="15">
        <v>249.99</v>
      </c>
      <c r="H139" s="15">
        <v>249.99</v>
      </c>
    </row>
    <row r="140" ht="12.9" customHeight="1">
      <c r="A140" t="s" s="10">
        <v>5172</v>
      </c>
      <c r="B140" t="s" s="11">
        <v>4320</v>
      </c>
      <c r="C140" s="12">
        <v>45096.673356655090</v>
      </c>
      <c r="D140" t="s" s="13">
        <v>225</v>
      </c>
      <c r="E140" t="s" s="13">
        <v>226</v>
      </c>
      <c r="F140" s="14">
        <v>2</v>
      </c>
      <c r="G140" s="15">
        <v>499.99</v>
      </c>
      <c r="H140" s="15">
        <v>999.98</v>
      </c>
    </row>
    <row r="141" ht="12.9" customHeight="1">
      <c r="A141" t="s" s="10">
        <v>5172</v>
      </c>
      <c r="B141" t="s" s="11">
        <v>4320</v>
      </c>
      <c r="C141" s="12">
        <v>45096.673356655090</v>
      </c>
      <c r="D141" t="s" s="13">
        <v>165</v>
      </c>
      <c r="E141" t="s" s="13">
        <v>392</v>
      </c>
      <c r="F141" s="14">
        <v>2</v>
      </c>
      <c r="G141" s="15">
        <v>0</v>
      </c>
      <c r="H141" s="15">
        <v>0</v>
      </c>
    </row>
    <row r="142" ht="12.9" customHeight="1">
      <c r="A142" t="s" s="10">
        <v>5172</v>
      </c>
      <c r="B142" t="s" s="11">
        <v>4320</v>
      </c>
      <c r="C142" s="12">
        <v>45096.673356655090</v>
      </c>
      <c r="D142" t="s" s="13">
        <v>1695</v>
      </c>
      <c r="E142" t="s" s="13">
        <v>140</v>
      </c>
      <c r="F142" s="14">
        <v>1</v>
      </c>
      <c r="G142" s="15">
        <v>49.99</v>
      </c>
      <c r="H142" s="15">
        <v>49.99</v>
      </c>
    </row>
    <row r="143" ht="12.9" customHeight="1">
      <c r="A143" t="s" s="10">
        <v>5172</v>
      </c>
      <c r="B143" t="s" s="11">
        <v>4320</v>
      </c>
      <c r="C143" s="12">
        <v>45096.673356655090</v>
      </c>
      <c r="D143" t="s" s="13">
        <v>15</v>
      </c>
      <c r="E143" t="s" s="13">
        <v>4757</v>
      </c>
      <c r="F143" s="14">
        <v>1</v>
      </c>
      <c r="G143" s="15">
        <v>8.99</v>
      </c>
      <c r="H143" s="15">
        <v>8.99</v>
      </c>
    </row>
    <row r="144" ht="12.9" customHeight="1">
      <c r="A144" t="s" s="10">
        <v>5173</v>
      </c>
      <c r="B144" t="s" s="11">
        <v>5174</v>
      </c>
      <c r="C144" s="12">
        <v>45096.021716319447</v>
      </c>
      <c r="D144" t="s" s="13">
        <v>31</v>
      </c>
      <c r="E144" t="s" s="13">
        <v>32</v>
      </c>
      <c r="F144" s="14">
        <v>1</v>
      </c>
      <c r="G144" s="15">
        <v>574.99</v>
      </c>
      <c r="H144" s="15">
        <v>574.99</v>
      </c>
    </row>
    <row r="145" ht="12.9" customHeight="1">
      <c r="A145" t="s" s="10">
        <v>5175</v>
      </c>
      <c r="B145" t="s" s="11">
        <v>5130</v>
      </c>
      <c r="C145" s="12">
        <v>45096</v>
      </c>
      <c r="D145" t="s" s="13">
        <v>146</v>
      </c>
      <c r="E145" t="s" s="13">
        <v>147</v>
      </c>
      <c r="F145" s="14">
        <v>4</v>
      </c>
      <c r="G145" s="15">
        <v>19.99</v>
      </c>
      <c r="H145" s="15">
        <v>79.95999999999999</v>
      </c>
    </row>
    <row r="146" ht="12.9" customHeight="1">
      <c r="A146" t="s" s="10">
        <v>5175</v>
      </c>
      <c r="B146" t="s" s="11">
        <v>5130</v>
      </c>
      <c r="C146" s="12">
        <v>45096</v>
      </c>
      <c r="D146" t="s" s="13">
        <v>54</v>
      </c>
      <c r="E146" t="s" s="13">
        <v>93</v>
      </c>
      <c r="F146" s="14">
        <v>4</v>
      </c>
      <c r="G146" s="15">
        <v>9.99</v>
      </c>
      <c r="H146" s="15">
        <v>39.96</v>
      </c>
    </row>
    <row r="147" ht="12.9" customHeight="1">
      <c r="A147" t="s" s="10">
        <v>5175</v>
      </c>
      <c r="B147" t="s" s="11">
        <v>5130</v>
      </c>
      <c r="C147" s="12">
        <v>45096</v>
      </c>
      <c r="D147" t="s" s="13">
        <v>77</v>
      </c>
      <c r="E147" t="s" s="13">
        <v>4224</v>
      </c>
      <c r="F147" s="14">
        <v>1</v>
      </c>
      <c r="G147" s="15">
        <v>19.99</v>
      </c>
      <c r="H147" s="15">
        <v>19.99</v>
      </c>
    </row>
    <row r="148" ht="12.9" customHeight="1">
      <c r="A148" t="s" s="10">
        <v>5175</v>
      </c>
      <c r="B148" t="s" s="11">
        <v>5130</v>
      </c>
      <c r="C148" s="12">
        <v>45096</v>
      </c>
      <c r="D148" t="s" s="13">
        <v>497</v>
      </c>
      <c r="E148" t="s" s="13">
        <v>498</v>
      </c>
      <c r="F148" s="14">
        <v>1</v>
      </c>
      <c r="G148" s="15">
        <v>24.99</v>
      </c>
      <c r="H148" s="15">
        <v>24.99</v>
      </c>
    </row>
    <row r="149" ht="12.9" customHeight="1">
      <c r="A149" t="s" s="10">
        <v>5175</v>
      </c>
      <c r="B149" t="s" s="11">
        <v>5130</v>
      </c>
      <c r="C149" s="12">
        <v>45096</v>
      </c>
      <c r="D149" t="s" s="13">
        <v>1707</v>
      </c>
      <c r="E149" t="s" s="13">
        <v>1708</v>
      </c>
      <c r="F149" s="14">
        <v>1</v>
      </c>
      <c r="G149" s="15">
        <v>7.49</v>
      </c>
      <c r="H149" s="15">
        <v>7.49</v>
      </c>
    </row>
    <row r="150" ht="12.9" customHeight="1">
      <c r="A150" t="s" s="10">
        <v>5176</v>
      </c>
      <c r="B150" t="s" s="11">
        <v>391</v>
      </c>
      <c r="C150" s="12">
        <v>45096</v>
      </c>
      <c r="D150" t="s" s="13">
        <v>73</v>
      </c>
      <c r="E150" t="s" s="13">
        <v>74</v>
      </c>
      <c r="F150" s="14">
        <v>1</v>
      </c>
      <c r="G150" s="15">
        <v>299.9925</v>
      </c>
      <c r="H150" s="15">
        <v>299.9925</v>
      </c>
    </row>
    <row r="151" ht="12.9" customHeight="1">
      <c r="A151" t="s" s="10">
        <v>5176</v>
      </c>
      <c r="B151" t="s" s="11">
        <v>391</v>
      </c>
      <c r="C151" s="12">
        <v>45096</v>
      </c>
      <c r="D151" t="s" s="13">
        <v>63</v>
      </c>
      <c r="E151" s="16"/>
      <c r="F151" s="14">
        <v>1</v>
      </c>
      <c r="G151" s="15">
        <v>15</v>
      </c>
      <c r="H151" s="15">
        <v>15</v>
      </c>
    </row>
    <row r="152" ht="12.9" customHeight="1">
      <c r="A152" t="s" s="10">
        <v>5177</v>
      </c>
      <c r="B152" t="s" s="11">
        <v>831</v>
      </c>
      <c r="C152" s="12">
        <v>45096</v>
      </c>
      <c r="D152" t="s" s="13">
        <v>412</v>
      </c>
      <c r="E152" t="s" s="13">
        <v>413</v>
      </c>
      <c r="F152" s="14">
        <v>50</v>
      </c>
      <c r="G152" s="15">
        <v>0</v>
      </c>
      <c r="H152" s="15">
        <v>0</v>
      </c>
    </row>
    <row r="153" ht="12.9" customHeight="1">
      <c r="A153" t="s" s="10">
        <v>5178</v>
      </c>
      <c r="B153" t="s" s="11">
        <v>5179</v>
      </c>
      <c r="C153" s="12">
        <v>45096</v>
      </c>
      <c r="D153" t="s" s="13">
        <v>73</v>
      </c>
      <c r="E153" t="s" s="13">
        <v>74</v>
      </c>
      <c r="F153" s="14">
        <v>6</v>
      </c>
      <c r="G153" s="15">
        <v>299.9925</v>
      </c>
      <c r="H153" s="15">
        <v>1799.955</v>
      </c>
    </row>
    <row r="154" ht="12.9" customHeight="1">
      <c r="A154" t="s" s="10">
        <v>5178</v>
      </c>
      <c r="B154" t="s" s="11">
        <v>5179</v>
      </c>
      <c r="C154" s="12">
        <v>45096</v>
      </c>
      <c r="D154" t="s" s="13">
        <v>63</v>
      </c>
      <c r="E154" s="16"/>
      <c r="F154" s="14">
        <v>1</v>
      </c>
      <c r="G154" s="15">
        <v>40</v>
      </c>
      <c r="H154" s="15">
        <v>40</v>
      </c>
    </row>
    <row r="155" ht="12.9" customHeight="1">
      <c r="A155" t="s" s="10">
        <v>5180</v>
      </c>
      <c r="B155" t="s" s="11">
        <v>5181</v>
      </c>
      <c r="C155" s="12">
        <v>45094.756082164349</v>
      </c>
      <c r="D155" t="s" s="13">
        <v>1695</v>
      </c>
      <c r="E155" t="s" s="13">
        <v>140</v>
      </c>
      <c r="F155" s="14">
        <v>1</v>
      </c>
      <c r="G155" s="15">
        <v>49.99</v>
      </c>
      <c r="H155" s="15">
        <v>49.99</v>
      </c>
    </row>
    <row r="156" ht="12.9" customHeight="1">
      <c r="A156" t="s" s="10">
        <v>5180</v>
      </c>
      <c r="B156" t="s" s="11">
        <v>5181</v>
      </c>
      <c r="C156" s="12">
        <v>45094.756082164349</v>
      </c>
      <c r="D156" t="s" s="13">
        <v>15</v>
      </c>
      <c r="E156" t="s" s="13">
        <v>4757</v>
      </c>
      <c r="F156" s="14">
        <v>1</v>
      </c>
      <c r="G156" s="15">
        <v>8.99</v>
      </c>
      <c r="H156" s="15">
        <v>8.99</v>
      </c>
    </row>
    <row r="157" ht="12.9" customHeight="1">
      <c r="A157" t="s" s="10">
        <v>5182</v>
      </c>
      <c r="B157" t="s" s="11">
        <v>1269</v>
      </c>
      <c r="C157" s="12">
        <v>45094.618470763889</v>
      </c>
      <c r="D157" t="s" s="13">
        <v>11</v>
      </c>
      <c r="E157" t="s" s="13">
        <v>12</v>
      </c>
      <c r="F157" s="14">
        <v>1</v>
      </c>
      <c r="G157" s="15">
        <v>399.99</v>
      </c>
      <c r="H157" s="15">
        <v>399.99</v>
      </c>
    </row>
    <row r="158" ht="12.9" customHeight="1">
      <c r="A158" t="s" s="10">
        <v>5183</v>
      </c>
      <c r="B158" t="s" s="11">
        <v>3715</v>
      </c>
      <c r="C158" s="12">
        <v>45094.602132442131</v>
      </c>
      <c r="D158" t="s" s="13">
        <v>133</v>
      </c>
      <c r="E158" t="s" s="13">
        <v>4835</v>
      </c>
      <c r="F158" s="14">
        <v>1</v>
      </c>
      <c r="G158" s="15">
        <v>199.99</v>
      </c>
      <c r="H158" s="15">
        <v>199.99</v>
      </c>
    </row>
    <row r="159" ht="12.9" customHeight="1">
      <c r="A159" t="s" s="10">
        <v>5183</v>
      </c>
      <c r="B159" t="s" s="11">
        <v>3715</v>
      </c>
      <c r="C159" s="12">
        <v>45094.602132442131</v>
      </c>
      <c r="D159" t="s" s="13">
        <v>84</v>
      </c>
      <c r="E159" t="s" s="13">
        <v>4225</v>
      </c>
      <c r="F159" s="14">
        <v>1</v>
      </c>
      <c r="G159" s="15">
        <v>15</v>
      </c>
      <c r="H159" s="15">
        <v>15</v>
      </c>
    </row>
    <row r="160" ht="12.9" customHeight="1">
      <c r="A160" t="s" s="10">
        <v>5184</v>
      </c>
      <c r="B160" t="s" s="11">
        <v>2710</v>
      </c>
      <c r="C160" s="12">
        <v>45094.176233946760</v>
      </c>
      <c r="D160" t="s" s="13">
        <v>73</v>
      </c>
      <c r="E160" t="s" s="13">
        <v>74</v>
      </c>
      <c r="F160" s="14">
        <v>1</v>
      </c>
      <c r="G160" s="15">
        <v>399.99</v>
      </c>
      <c r="H160" s="15">
        <v>399.99</v>
      </c>
    </row>
    <row r="161" ht="12.9" customHeight="1">
      <c r="A161" t="s" s="10">
        <v>5185</v>
      </c>
      <c r="B161" t="s" s="11">
        <v>5186</v>
      </c>
      <c r="C161" s="12">
        <v>45093.854237048610</v>
      </c>
      <c r="D161" t="s" s="13">
        <v>31</v>
      </c>
      <c r="E161" t="s" s="13">
        <v>32</v>
      </c>
      <c r="F161" s="14">
        <v>1</v>
      </c>
      <c r="G161" s="15">
        <v>599.99</v>
      </c>
      <c r="H161" s="15">
        <v>599.99</v>
      </c>
    </row>
    <row r="162" ht="12.9" customHeight="1">
      <c r="A162" t="s" s="10">
        <v>5187</v>
      </c>
      <c r="B162" t="s" s="11">
        <v>5188</v>
      </c>
      <c r="C162" s="12">
        <v>45093.845941192129</v>
      </c>
      <c r="D162" t="s" s="13">
        <v>470</v>
      </c>
      <c r="E162" t="s" s="13">
        <v>828</v>
      </c>
      <c r="F162" s="14">
        <v>2</v>
      </c>
      <c r="G162" s="15">
        <v>249.99</v>
      </c>
      <c r="H162" s="15">
        <v>499.98</v>
      </c>
    </row>
    <row r="163" ht="12.9" customHeight="1">
      <c r="A163" t="s" s="10">
        <v>5189</v>
      </c>
      <c r="B163" t="s" s="11">
        <v>5190</v>
      </c>
      <c r="C163" s="12">
        <v>45093.682846956021</v>
      </c>
      <c r="D163" t="s" s="13">
        <v>123</v>
      </c>
      <c r="E163" t="s" s="13">
        <v>124</v>
      </c>
      <c r="F163" s="14">
        <v>2</v>
      </c>
      <c r="G163" s="15">
        <v>179.99</v>
      </c>
      <c r="H163" s="15">
        <v>359.98</v>
      </c>
    </row>
    <row r="164" ht="12.9" customHeight="1">
      <c r="A164" t="s" s="10">
        <v>5189</v>
      </c>
      <c r="B164" t="s" s="11">
        <v>5190</v>
      </c>
      <c r="C164" s="12">
        <v>45093.682846956021</v>
      </c>
      <c r="D164" t="s" s="13">
        <v>125</v>
      </c>
      <c r="E164" t="s" s="13">
        <v>126</v>
      </c>
      <c r="F164" s="14">
        <v>6</v>
      </c>
      <c r="G164" s="15">
        <v>64.98999999999999</v>
      </c>
      <c r="H164" s="15">
        <v>389.94</v>
      </c>
    </row>
    <row r="165" ht="12.9" customHeight="1">
      <c r="A165" t="s" s="10">
        <v>5191</v>
      </c>
      <c r="B165" t="s" s="11">
        <v>3410</v>
      </c>
      <c r="C165" s="12">
        <v>45093.667355740741</v>
      </c>
      <c r="D165" t="s" s="13">
        <v>31</v>
      </c>
      <c r="E165" t="s" s="13">
        <v>32</v>
      </c>
      <c r="F165" s="14">
        <v>1</v>
      </c>
      <c r="G165" s="15">
        <v>599.99</v>
      </c>
      <c r="H165" s="15">
        <v>599.99</v>
      </c>
    </row>
    <row r="166" ht="12.9" customHeight="1">
      <c r="A166" t="s" s="10">
        <v>5191</v>
      </c>
      <c r="B166" t="s" s="11">
        <v>3410</v>
      </c>
      <c r="C166" s="12">
        <v>45093.667355740741</v>
      </c>
      <c r="D166" t="s" s="13">
        <v>35</v>
      </c>
      <c r="E166" t="s" s="13">
        <v>36</v>
      </c>
      <c r="F166" s="14">
        <v>1</v>
      </c>
      <c r="G166" s="15">
        <v>49.99</v>
      </c>
      <c r="H166" s="15">
        <v>49.99</v>
      </c>
    </row>
    <row r="167" ht="12.9" customHeight="1">
      <c r="A167" t="s" s="10">
        <v>5191</v>
      </c>
      <c r="B167" t="s" s="11">
        <v>3410</v>
      </c>
      <c r="C167" s="12">
        <v>45093.667355740741</v>
      </c>
      <c r="D167" t="s" s="13">
        <v>15</v>
      </c>
      <c r="E167" t="s" s="13">
        <v>4757</v>
      </c>
      <c r="F167" s="14">
        <v>1</v>
      </c>
      <c r="G167" s="15">
        <v>8.99</v>
      </c>
      <c r="H167" s="15">
        <v>8.99</v>
      </c>
    </row>
    <row r="168" ht="12.9" customHeight="1">
      <c r="A168" t="s" s="10">
        <v>5191</v>
      </c>
      <c r="B168" t="s" s="11">
        <v>3410</v>
      </c>
      <c r="C168" s="12">
        <v>45093.667355740741</v>
      </c>
      <c r="D168" t="s" s="13">
        <v>412</v>
      </c>
      <c r="E168" t="s" s="13">
        <v>413</v>
      </c>
      <c r="F168" s="14">
        <v>5</v>
      </c>
      <c r="G168" s="15">
        <v>1.99</v>
      </c>
      <c r="H168" s="15">
        <v>9.949999999999999</v>
      </c>
    </row>
    <row r="169" ht="12.9" customHeight="1">
      <c r="A169" t="s" s="10">
        <v>5192</v>
      </c>
      <c r="B169" t="s" s="11">
        <v>2829</v>
      </c>
      <c r="C169" s="12">
        <v>45093</v>
      </c>
      <c r="D169" t="s" s="13">
        <v>81</v>
      </c>
      <c r="E169" t="s" s="13">
        <v>82</v>
      </c>
      <c r="F169" s="14">
        <v>4</v>
      </c>
      <c r="G169" s="15">
        <v>637.4924999999999</v>
      </c>
      <c r="H169" s="15">
        <v>2549.97</v>
      </c>
    </row>
    <row r="170" ht="12.9" customHeight="1">
      <c r="A170" t="s" s="10">
        <v>5192</v>
      </c>
      <c r="B170" t="s" s="11">
        <v>2829</v>
      </c>
      <c r="C170" s="12">
        <v>45093</v>
      </c>
      <c r="D170" t="s" s="13">
        <v>133</v>
      </c>
      <c r="E170" t="s" s="13">
        <v>4835</v>
      </c>
      <c r="F170" s="14">
        <v>4</v>
      </c>
      <c r="G170" s="15">
        <v>37.5</v>
      </c>
      <c r="H170" s="15">
        <v>150</v>
      </c>
    </row>
    <row r="171" ht="12.9" customHeight="1">
      <c r="A171" t="s" s="10">
        <v>5192</v>
      </c>
      <c r="B171" t="s" s="11">
        <v>2829</v>
      </c>
      <c r="C171" s="12">
        <v>45093</v>
      </c>
      <c r="D171" t="s" s="13">
        <v>50</v>
      </c>
      <c r="E171" t="s" s="13">
        <v>83</v>
      </c>
      <c r="F171" s="14">
        <v>4</v>
      </c>
      <c r="G171" s="15">
        <v>0</v>
      </c>
      <c r="H171" s="15">
        <v>0</v>
      </c>
    </row>
    <row r="172" ht="12.9" customHeight="1">
      <c r="A172" t="s" s="10">
        <v>5192</v>
      </c>
      <c r="B172" t="s" s="11">
        <v>2829</v>
      </c>
      <c r="C172" s="12">
        <v>45093</v>
      </c>
      <c r="D172" t="s" s="13">
        <v>54</v>
      </c>
      <c r="E172" t="s" s="13">
        <v>93</v>
      </c>
      <c r="F172" s="14">
        <v>4</v>
      </c>
      <c r="G172" s="15">
        <v>0</v>
      </c>
      <c r="H172" s="15">
        <v>0</v>
      </c>
    </row>
    <row r="173" ht="12.9" customHeight="1">
      <c r="A173" t="s" s="10">
        <v>5192</v>
      </c>
      <c r="B173" t="s" s="11">
        <v>2829</v>
      </c>
      <c r="C173" s="12">
        <v>45093</v>
      </c>
      <c r="D173" t="s" s="13">
        <v>15</v>
      </c>
      <c r="E173" t="s" s="13">
        <v>4757</v>
      </c>
      <c r="F173" s="14">
        <v>11</v>
      </c>
      <c r="G173" s="15">
        <v>0</v>
      </c>
      <c r="H173" s="15">
        <v>0</v>
      </c>
    </row>
    <row r="174" ht="12.9" customHeight="1">
      <c r="A174" t="s" s="10">
        <v>5192</v>
      </c>
      <c r="B174" t="s" s="11">
        <v>2829</v>
      </c>
      <c r="C174" s="12">
        <v>45093</v>
      </c>
      <c r="D174" t="s" s="13">
        <v>171</v>
      </c>
      <c r="E174" t="s" s="13">
        <v>172</v>
      </c>
      <c r="F174" s="14">
        <v>1</v>
      </c>
      <c r="G174" s="15">
        <v>412.4925</v>
      </c>
      <c r="H174" s="15">
        <v>412.4925</v>
      </c>
    </row>
    <row r="175" ht="12.9" customHeight="1">
      <c r="A175" t="s" s="10">
        <v>5192</v>
      </c>
      <c r="B175" t="s" s="11">
        <v>2829</v>
      </c>
      <c r="C175" s="12">
        <v>45093</v>
      </c>
      <c r="D175" t="s" s="13">
        <v>63</v>
      </c>
      <c r="E175" s="16"/>
      <c r="F175" s="14">
        <v>1</v>
      </c>
      <c r="G175" s="15">
        <v>60</v>
      </c>
      <c r="H175" s="15">
        <v>60</v>
      </c>
    </row>
    <row r="176" ht="12.9" customHeight="1">
      <c r="A176" t="s" s="10">
        <v>5193</v>
      </c>
      <c r="B176" t="s" s="11">
        <v>5109</v>
      </c>
      <c r="C176" s="12">
        <v>45091.808662291667</v>
      </c>
      <c r="D176" t="s" s="13">
        <v>81</v>
      </c>
      <c r="E176" t="s" s="13">
        <v>82</v>
      </c>
      <c r="F176" s="14">
        <v>1</v>
      </c>
      <c r="G176" s="15">
        <v>849.99</v>
      </c>
      <c r="H176" s="15">
        <v>849.99</v>
      </c>
    </row>
    <row r="177" ht="12.9" customHeight="1">
      <c r="A177" t="s" s="10">
        <v>5193</v>
      </c>
      <c r="B177" t="s" s="11">
        <v>5109</v>
      </c>
      <c r="C177" s="12">
        <v>45091.808662291667</v>
      </c>
      <c r="D177" t="s" s="13">
        <v>23</v>
      </c>
      <c r="E177" t="s" s="13">
        <v>828</v>
      </c>
      <c r="F177" s="14">
        <v>1</v>
      </c>
      <c r="G177" s="15">
        <v>0</v>
      </c>
      <c r="H177" s="15">
        <v>0</v>
      </c>
    </row>
    <row r="178" ht="12.9" customHeight="1">
      <c r="A178" t="s" s="10">
        <v>5193</v>
      </c>
      <c r="B178" t="s" s="11">
        <v>5109</v>
      </c>
      <c r="C178" s="12">
        <v>45091.808662291667</v>
      </c>
      <c r="D178" t="s" s="13">
        <v>660</v>
      </c>
      <c r="E178" t="s" s="13">
        <v>661</v>
      </c>
      <c r="F178" s="14">
        <v>1</v>
      </c>
      <c r="G178" s="15">
        <v>5.99</v>
      </c>
      <c r="H178" s="15">
        <v>5.99</v>
      </c>
    </row>
    <row r="179" ht="12.9" customHeight="1">
      <c r="A179" t="s" s="10">
        <v>5193</v>
      </c>
      <c r="B179" t="s" s="11">
        <v>5109</v>
      </c>
      <c r="C179" s="12">
        <v>45091.808662291667</v>
      </c>
      <c r="D179" t="s" s="13">
        <v>50</v>
      </c>
      <c r="E179" t="s" s="13">
        <v>83</v>
      </c>
      <c r="F179" s="14">
        <v>1</v>
      </c>
      <c r="G179" s="15">
        <v>0</v>
      </c>
      <c r="H179" s="15">
        <v>0</v>
      </c>
    </row>
    <row r="180" ht="12.9" customHeight="1">
      <c r="A180" t="s" s="10">
        <v>5193</v>
      </c>
      <c r="B180" t="s" s="11">
        <v>5109</v>
      </c>
      <c r="C180" s="12">
        <v>45091.808662291667</v>
      </c>
      <c r="D180" t="s" s="13">
        <v>84</v>
      </c>
      <c r="E180" t="s" s="13">
        <v>4225</v>
      </c>
      <c r="F180" s="14">
        <v>1</v>
      </c>
      <c r="G180" s="15">
        <v>0</v>
      </c>
      <c r="H180" s="15">
        <v>0</v>
      </c>
    </row>
    <row r="181" ht="12.9" customHeight="1">
      <c r="A181" t="s" s="10">
        <v>5194</v>
      </c>
      <c r="B181" t="s" s="11">
        <v>5195</v>
      </c>
      <c r="C181" s="12">
        <v>45091.7676281713</v>
      </c>
      <c r="D181" t="s" s="13">
        <v>73</v>
      </c>
      <c r="E181" t="s" s="13">
        <v>74</v>
      </c>
      <c r="F181" s="14">
        <v>1</v>
      </c>
      <c r="G181" s="15">
        <v>399.99</v>
      </c>
      <c r="H181" s="15">
        <v>399.99</v>
      </c>
    </row>
    <row r="182" ht="12.9" customHeight="1">
      <c r="A182" t="s" s="10">
        <v>5196</v>
      </c>
      <c r="B182" t="s" s="11">
        <v>5197</v>
      </c>
      <c r="C182" s="12">
        <v>45091.682572013888</v>
      </c>
      <c r="D182" t="s" s="13">
        <v>35</v>
      </c>
      <c r="E182" t="s" s="13">
        <v>36</v>
      </c>
      <c r="F182" s="14">
        <v>1</v>
      </c>
      <c r="G182" s="15">
        <v>49.99</v>
      </c>
      <c r="H182" s="15">
        <v>49.99</v>
      </c>
    </row>
    <row r="183" ht="12.9" customHeight="1">
      <c r="A183" t="s" s="10">
        <v>5198</v>
      </c>
      <c r="B183" t="s" s="11">
        <v>5199</v>
      </c>
      <c r="C183" s="12">
        <v>45091.670299768521</v>
      </c>
      <c r="D183" t="s" s="13">
        <v>35</v>
      </c>
      <c r="E183" t="s" s="13">
        <v>36</v>
      </c>
      <c r="F183" s="14">
        <v>1</v>
      </c>
      <c r="G183" s="15">
        <v>49.99</v>
      </c>
      <c r="H183" s="15">
        <v>49.99</v>
      </c>
    </row>
    <row r="184" ht="12.9" customHeight="1">
      <c r="A184" t="s" s="10">
        <v>5200</v>
      </c>
      <c r="B184" t="s" s="11">
        <v>5201</v>
      </c>
      <c r="C184" s="12">
        <v>45091.448684004630</v>
      </c>
      <c r="D184" t="s" s="13">
        <v>1695</v>
      </c>
      <c r="E184" t="s" s="13">
        <v>140</v>
      </c>
      <c r="F184" s="14">
        <v>1</v>
      </c>
      <c r="G184" s="15">
        <v>49.99</v>
      </c>
      <c r="H184" s="15">
        <v>49.99</v>
      </c>
    </row>
    <row r="185" ht="12.9" customHeight="1">
      <c r="A185" t="s" s="10">
        <v>5200</v>
      </c>
      <c r="B185" t="s" s="11">
        <v>5201</v>
      </c>
      <c r="C185" s="12">
        <v>45091.448684004630</v>
      </c>
      <c r="D185" t="s" s="13">
        <v>15</v>
      </c>
      <c r="E185" t="s" s="13">
        <v>4757</v>
      </c>
      <c r="F185" s="14">
        <v>1</v>
      </c>
      <c r="G185" s="15">
        <v>8.99</v>
      </c>
      <c r="H185" s="15">
        <v>8.99</v>
      </c>
    </row>
    <row r="186" ht="12.9" customHeight="1">
      <c r="A186" t="s" s="10">
        <v>5200</v>
      </c>
      <c r="B186" t="s" s="11">
        <v>5201</v>
      </c>
      <c r="C186" s="12">
        <v>45091.448684004630</v>
      </c>
      <c r="D186" t="s" s="13">
        <v>15</v>
      </c>
      <c r="E186" t="s" s="13">
        <v>4757</v>
      </c>
      <c r="F186" s="14">
        <v>2</v>
      </c>
      <c r="G186" s="15">
        <v>8.99</v>
      </c>
      <c r="H186" s="15">
        <v>17.98</v>
      </c>
    </row>
    <row r="187" ht="12.9" customHeight="1">
      <c r="A187" t="s" s="10">
        <v>5202</v>
      </c>
      <c r="B187" t="s" s="11">
        <v>1536</v>
      </c>
      <c r="C187" s="12">
        <v>45091</v>
      </c>
      <c r="D187" t="s" s="13">
        <v>48</v>
      </c>
      <c r="E187" t="s" s="13">
        <v>49</v>
      </c>
      <c r="F187" s="14">
        <v>10</v>
      </c>
      <c r="G187" s="15">
        <v>1299.99</v>
      </c>
      <c r="H187" s="15">
        <v>12999.9</v>
      </c>
    </row>
    <row r="188" ht="12.9" customHeight="1">
      <c r="A188" t="s" s="10">
        <v>5202</v>
      </c>
      <c r="B188" t="s" s="11">
        <v>1536</v>
      </c>
      <c r="C188" s="12">
        <v>45091</v>
      </c>
      <c r="D188" t="s" s="13">
        <v>52</v>
      </c>
      <c r="E188" t="s" s="13">
        <v>4287</v>
      </c>
      <c r="F188" s="14">
        <v>10</v>
      </c>
      <c r="G188" s="15">
        <v>0</v>
      </c>
      <c r="H188" s="15">
        <v>0</v>
      </c>
    </row>
    <row r="189" ht="12.9" customHeight="1">
      <c r="A189" t="s" s="10">
        <v>5202</v>
      </c>
      <c r="B189" t="s" s="11">
        <v>1536</v>
      </c>
      <c r="C189" s="12">
        <v>45091</v>
      </c>
      <c r="D189" t="s" s="13">
        <v>227</v>
      </c>
      <c r="E189" t="s" s="13">
        <v>228</v>
      </c>
      <c r="F189" s="14">
        <v>10</v>
      </c>
      <c r="G189" s="15">
        <v>29.99</v>
      </c>
      <c r="H189" s="15">
        <v>299.9</v>
      </c>
    </row>
    <row r="190" ht="12.9" customHeight="1">
      <c r="A190" t="s" s="10">
        <v>5202</v>
      </c>
      <c r="B190" t="s" s="11">
        <v>1536</v>
      </c>
      <c r="C190" s="12">
        <v>45091</v>
      </c>
      <c r="D190" t="s" s="13">
        <v>470</v>
      </c>
      <c r="E190" t="s" s="13">
        <v>828</v>
      </c>
      <c r="F190" s="14">
        <v>2</v>
      </c>
      <c r="G190" s="15">
        <v>249.99</v>
      </c>
      <c r="H190" s="15">
        <v>499.98</v>
      </c>
    </row>
    <row r="191" ht="12.9" customHeight="1">
      <c r="A191" t="s" s="10">
        <v>5202</v>
      </c>
      <c r="B191" t="s" s="11">
        <v>1536</v>
      </c>
      <c r="C191" s="12">
        <v>45091</v>
      </c>
      <c r="D191" t="s" s="13">
        <v>1054</v>
      </c>
      <c r="E191" t="s" s="13">
        <v>828</v>
      </c>
      <c r="F191" s="14">
        <v>7</v>
      </c>
      <c r="G191" s="15">
        <v>0</v>
      </c>
      <c r="H191" s="15">
        <v>0</v>
      </c>
    </row>
    <row r="192" ht="12.9" customHeight="1">
      <c r="A192" t="s" s="10">
        <v>5202</v>
      </c>
      <c r="B192" t="s" s="11">
        <v>1536</v>
      </c>
      <c r="C192" s="12">
        <v>45091</v>
      </c>
      <c r="D192" t="s" s="13">
        <v>2332</v>
      </c>
      <c r="E192" t="s" s="13">
        <v>828</v>
      </c>
      <c r="F192" s="14">
        <v>2</v>
      </c>
      <c r="G192" s="15">
        <v>199.99</v>
      </c>
      <c r="H192" s="15">
        <v>399.98</v>
      </c>
    </row>
    <row r="193" ht="12.9" customHeight="1">
      <c r="A193" t="s" s="10">
        <v>5202</v>
      </c>
      <c r="B193" t="s" s="11">
        <v>1536</v>
      </c>
      <c r="C193" s="12">
        <v>45091</v>
      </c>
      <c r="D193" t="s" s="13">
        <v>1695</v>
      </c>
      <c r="E193" t="s" s="13">
        <v>140</v>
      </c>
      <c r="F193" s="14">
        <v>2</v>
      </c>
      <c r="G193" s="15">
        <v>49.99</v>
      </c>
      <c r="H193" s="15">
        <v>99.98</v>
      </c>
    </row>
    <row r="194" ht="12.9" customHeight="1">
      <c r="A194" t="s" s="10">
        <v>5202</v>
      </c>
      <c r="B194" t="s" s="11">
        <v>1536</v>
      </c>
      <c r="C194" s="12">
        <v>45091</v>
      </c>
      <c r="D194" t="s" s="13">
        <v>15</v>
      </c>
      <c r="E194" t="s" s="13">
        <v>4757</v>
      </c>
      <c r="F194" s="14">
        <v>20</v>
      </c>
      <c r="G194" s="15">
        <v>0</v>
      </c>
      <c r="H194" s="15">
        <v>0</v>
      </c>
    </row>
    <row r="195" ht="12.9" customHeight="1">
      <c r="A195" t="s" s="10">
        <v>5202</v>
      </c>
      <c r="B195" t="s" s="11">
        <v>1536</v>
      </c>
      <c r="C195" s="12">
        <v>45091</v>
      </c>
      <c r="D195" t="s" s="13">
        <v>123</v>
      </c>
      <c r="E195" t="s" s="13">
        <v>124</v>
      </c>
      <c r="F195" s="14">
        <v>2</v>
      </c>
      <c r="G195" s="15">
        <v>179.99</v>
      </c>
      <c r="H195" s="15">
        <v>359.98</v>
      </c>
    </row>
    <row r="196" ht="12.9" customHeight="1">
      <c r="A196" t="s" s="10">
        <v>5202</v>
      </c>
      <c r="B196" t="s" s="11">
        <v>1536</v>
      </c>
      <c r="C196" s="12">
        <v>45091</v>
      </c>
      <c r="D196" t="s" s="13">
        <v>125</v>
      </c>
      <c r="E196" t="s" s="13">
        <v>126</v>
      </c>
      <c r="F196" s="14">
        <v>4</v>
      </c>
      <c r="G196" s="15">
        <v>64.98999999999999</v>
      </c>
      <c r="H196" s="15">
        <v>259.96</v>
      </c>
    </row>
    <row r="197" ht="12.9" customHeight="1">
      <c r="A197" t="s" s="10">
        <v>5202</v>
      </c>
      <c r="B197" t="s" s="11">
        <v>1536</v>
      </c>
      <c r="C197" s="12">
        <v>45091</v>
      </c>
      <c r="D197" t="s" s="13">
        <v>299</v>
      </c>
      <c r="E197" t="s" s="13">
        <v>300</v>
      </c>
      <c r="F197" s="14">
        <v>2</v>
      </c>
      <c r="G197" s="15">
        <v>69.98999999999999</v>
      </c>
      <c r="H197" s="15">
        <v>139.98</v>
      </c>
    </row>
    <row r="198" ht="12.9" customHeight="1">
      <c r="A198" t="s" s="10">
        <v>5202</v>
      </c>
      <c r="B198" t="s" s="11">
        <v>1536</v>
      </c>
      <c r="C198" s="12">
        <v>45091</v>
      </c>
      <c r="D198" t="s" s="13">
        <v>146</v>
      </c>
      <c r="E198" t="s" s="13">
        <v>147</v>
      </c>
      <c r="F198" s="14">
        <v>8</v>
      </c>
      <c r="G198" s="15">
        <v>19.99</v>
      </c>
      <c r="H198" s="15">
        <v>159.92</v>
      </c>
    </row>
    <row r="199" ht="12.9" customHeight="1">
      <c r="A199" t="s" s="10">
        <v>5202</v>
      </c>
      <c r="B199" t="s" s="11">
        <v>1536</v>
      </c>
      <c r="C199" s="12">
        <v>45091</v>
      </c>
      <c r="D199" t="s" s="13">
        <v>468</v>
      </c>
      <c r="E199" t="s" s="13">
        <v>469</v>
      </c>
      <c r="F199" s="14">
        <v>2</v>
      </c>
      <c r="G199" s="15">
        <v>2499.99</v>
      </c>
      <c r="H199" s="15">
        <v>4999.98</v>
      </c>
    </row>
    <row r="200" ht="12.9" customHeight="1">
      <c r="A200" t="s" s="10">
        <v>5202</v>
      </c>
      <c r="B200" t="s" s="11">
        <v>1536</v>
      </c>
      <c r="C200" s="12">
        <v>45091</v>
      </c>
      <c r="D200" t="s" s="13">
        <v>23</v>
      </c>
      <c r="E200" t="s" s="13">
        <v>828</v>
      </c>
      <c r="F200" s="14">
        <v>8</v>
      </c>
      <c r="G200" s="15">
        <v>149.99</v>
      </c>
      <c r="H200" s="15">
        <v>1199.92</v>
      </c>
    </row>
    <row r="201" ht="12.9" customHeight="1">
      <c r="A201" t="s" s="10">
        <v>5202</v>
      </c>
      <c r="B201" t="s" s="11">
        <v>1536</v>
      </c>
      <c r="C201" s="12">
        <v>45091</v>
      </c>
      <c r="D201" t="s" s="13">
        <v>50</v>
      </c>
      <c r="E201" t="s" s="13">
        <v>83</v>
      </c>
      <c r="F201" s="14">
        <v>12</v>
      </c>
      <c r="G201" s="15">
        <v>0</v>
      </c>
      <c r="H201" s="15">
        <v>0</v>
      </c>
    </row>
    <row r="202" ht="12.9" customHeight="1">
      <c r="A202" t="s" s="10">
        <v>5202</v>
      </c>
      <c r="B202" t="s" s="11">
        <v>1536</v>
      </c>
      <c r="C202" s="12">
        <v>45091</v>
      </c>
      <c r="D202" t="s" s="13">
        <v>54</v>
      </c>
      <c r="E202" t="s" s="13">
        <v>93</v>
      </c>
      <c r="F202" s="14">
        <v>18</v>
      </c>
      <c r="G202" s="15">
        <v>0</v>
      </c>
      <c r="H202" s="15">
        <v>0</v>
      </c>
    </row>
    <row r="203" ht="12.9" customHeight="1">
      <c r="A203" t="s" s="10">
        <v>5202</v>
      </c>
      <c r="B203" t="s" s="11">
        <v>1536</v>
      </c>
      <c r="C203" s="12">
        <v>45091</v>
      </c>
      <c r="D203" t="s" s="13">
        <v>442</v>
      </c>
      <c r="E203" s="16"/>
      <c r="F203" s="14">
        <v>1</v>
      </c>
      <c r="G203" s="15">
        <v>-1419.48</v>
      </c>
      <c r="H203" s="15">
        <v>-1419.48</v>
      </c>
    </row>
    <row r="204" ht="12.9" customHeight="1">
      <c r="A204" t="s" s="10">
        <v>5203</v>
      </c>
      <c r="B204" t="s" s="11">
        <v>1536</v>
      </c>
      <c r="C204" s="12">
        <v>45091</v>
      </c>
      <c r="D204" t="s" s="13">
        <v>213</v>
      </c>
      <c r="E204" t="s" s="13">
        <v>5204</v>
      </c>
      <c r="F204" s="14">
        <v>2</v>
      </c>
      <c r="G204" s="15">
        <v>412.4925</v>
      </c>
      <c r="H204" s="15">
        <v>824.985</v>
      </c>
    </row>
    <row r="205" ht="12.9" customHeight="1">
      <c r="A205" t="s" s="10">
        <v>5203</v>
      </c>
      <c r="B205" t="s" s="11">
        <v>1536</v>
      </c>
      <c r="C205" s="12">
        <v>45091</v>
      </c>
      <c r="D205" t="s" s="13">
        <v>301</v>
      </c>
      <c r="E205" t="s" s="13">
        <v>5205</v>
      </c>
      <c r="F205" s="14">
        <v>2</v>
      </c>
      <c r="G205" s="15">
        <v>0</v>
      </c>
      <c r="H205" s="15">
        <v>0</v>
      </c>
    </row>
    <row r="206" ht="12.9" customHeight="1">
      <c r="A206" t="s" s="10">
        <v>5203</v>
      </c>
      <c r="B206" t="s" s="11">
        <v>1536</v>
      </c>
      <c r="C206" s="12">
        <v>45091</v>
      </c>
      <c r="D206" t="s" s="13">
        <v>299</v>
      </c>
      <c r="E206" t="s" s="13">
        <v>300</v>
      </c>
      <c r="F206" s="14">
        <v>2</v>
      </c>
      <c r="G206" s="15">
        <v>0</v>
      </c>
      <c r="H206" s="15">
        <v>0</v>
      </c>
    </row>
    <row r="207" ht="12.9" customHeight="1">
      <c r="A207" t="s" s="10">
        <v>5203</v>
      </c>
      <c r="B207" t="s" s="11">
        <v>1536</v>
      </c>
      <c r="C207" s="12">
        <v>45091</v>
      </c>
      <c r="D207" t="s" s="13">
        <v>63</v>
      </c>
      <c r="E207" s="16"/>
      <c r="F207" s="14">
        <v>1</v>
      </c>
      <c r="G207" s="15">
        <v>822.66</v>
      </c>
      <c r="H207" s="15">
        <v>822.66</v>
      </c>
    </row>
    <row r="208" ht="12.9" customHeight="1">
      <c r="A208" t="s" s="10">
        <v>5206</v>
      </c>
      <c r="B208" t="s" s="11">
        <v>5207</v>
      </c>
      <c r="C208" s="12">
        <v>45090.977831342592</v>
      </c>
      <c r="D208" t="s" s="13">
        <v>95</v>
      </c>
      <c r="E208" t="s" s="13">
        <v>12</v>
      </c>
      <c r="F208" s="14">
        <v>1</v>
      </c>
      <c r="G208" s="15">
        <v>349.99</v>
      </c>
      <c r="H208" s="15">
        <v>349.99</v>
      </c>
    </row>
    <row r="209" ht="12.9" customHeight="1">
      <c r="A209" t="s" s="10">
        <v>5208</v>
      </c>
      <c r="B209" t="s" s="11">
        <v>5099</v>
      </c>
      <c r="C209" s="12">
        <v>45090.709614571759</v>
      </c>
      <c r="D209" t="s" s="13">
        <v>31</v>
      </c>
      <c r="E209" t="s" s="13">
        <v>32</v>
      </c>
      <c r="F209" s="14">
        <v>1</v>
      </c>
      <c r="G209" s="15">
        <v>599.99</v>
      </c>
      <c r="H209" s="15">
        <v>599.99</v>
      </c>
    </row>
    <row r="210" ht="12.9" customHeight="1">
      <c r="A210" t="s" s="10">
        <v>5209</v>
      </c>
      <c r="B210" t="s" s="11">
        <v>5210</v>
      </c>
      <c r="C210" s="12">
        <v>45090.626560509256</v>
      </c>
      <c r="D210" t="s" s="13">
        <v>95</v>
      </c>
      <c r="E210" t="s" s="13">
        <v>12</v>
      </c>
      <c r="F210" s="14">
        <v>1</v>
      </c>
      <c r="G210" s="15">
        <v>349.99</v>
      </c>
      <c r="H210" s="15">
        <v>349.99</v>
      </c>
    </row>
    <row r="211" ht="12.9" customHeight="1">
      <c r="A211" t="s" s="10">
        <v>5211</v>
      </c>
      <c r="B211" t="s" s="11">
        <v>5212</v>
      </c>
      <c r="C211" s="12">
        <v>45090.225783912036</v>
      </c>
      <c r="D211" t="s" s="13">
        <v>89</v>
      </c>
      <c r="E211" t="s" s="13">
        <v>90</v>
      </c>
      <c r="F211" s="14">
        <v>2</v>
      </c>
      <c r="G211" s="15">
        <v>59.99</v>
      </c>
      <c r="H211" s="15">
        <v>119.98</v>
      </c>
    </row>
    <row r="212" ht="12.9" customHeight="1">
      <c r="A212" t="s" s="10">
        <v>5211</v>
      </c>
      <c r="B212" t="s" s="11">
        <v>5212</v>
      </c>
      <c r="C212" s="12">
        <v>45090.225783912036</v>
      </c>
      <c r="D212" t="s" s="13">
        <v>15</v>
      </c>
      <c r="E212" t="s" s="13">
        <v>4757</v>
      </c>
      <c r="F212" s="14">
        <v>1</v>
      </c>
      <c r="G212" s="15">
        <v>8.99</v>
      </c>
      <c r="H212" s="15">
        <v>8.99</v>
      </c>
    </row>
    <row r="213" ht="12.9" customHeight="1">
      <c r="A213" t="s" s="10">
        <v>5211</v>
      </c>
      <c r="B213" t="s" s="11">
        <v>5212</v>
      </c>
      <c r="C213" s="12">
        <v>45090.225783912036</v>
      </c>
      <c r="D213" t="s" s="13">
        <v>54</v>
      </c>
      <c r="E213" t="s" s="13">
        <v>93</v>
      </c>
      <c r="F213" s="14">
        <v>2</v>
      </c>
      <c r="G213" s="15">
        <v>9.99</v>
      </c>
      <c r="H213" s="15">
        <v>19.98</v>
      </c>
    </row>
    <row r="214" ht="12.9" customHeight="1">
      <c r="A214" t="s" s="10">
        <v>5213</v>
      </c>
      <c r="B214" t="s" s="11">
        <v>5214</v>
      </c>
      <c r="C214" s="12">
        <v>45090.136973865738</v>
      </c>
      <c r="D214" t="s" s="13">
        <v>95</v>
      </c>
      <c r="E214" t="s" s="13">
        <v>12</v>
      </c>
      <c r="F214" s="14">
        <v>1</v>
      </c>
      <c r="G214" s="15">
        <v>349.99</v>
      </c>
      <c r="H214" s="15">
        <v>349.99</v>
      </c>
    </row>
    <row r="215" ht="12.9" customHeight="1">
      <c r="A215" t="s" s="10">
        <v>5215</v>
      </c>
      <c r="B215" t="s" s="11">
        <v>704</v>
      </c>
      <c r="C215" s="12">
        <v>45090</v>
      </c>
      <c r="D215" t="s" s="13">
        <v>19</v>
      </c>
      <c r="E215" t="s" s="13">
        <v>20</v>
      </c>
      <c r="F215" s="14">
        <v>17</v>
      </c>
      <c r="G215" s="15">
        <v>89.99250000000001</v>
      </c>
      <c r="H215" s="15">
        <v>1529.8725</v>
      </c>
    </row>
    <row r="216" ht="12.9" customHeight="1">
      <c r="A216" t="s" s="10">
        <v>5215</v>
      </c>
      <c r="B216" t="s" s="11">
        <v>704</v>
      </c>
      <c r="C216" s="12">
        <v>45090</v>
      </c>
      <c r="D216" t="s" s="13">
        <v>15</v>
      </c>
      <c r="E216" t="s" s="13">
        <v>4757</v>
      </c>
      <c r="F216" s="14">
        <v>17</v>
      </c>
      <c r="G216" s="15">
        <v>0</v>
      </c>
      <c r="H216" s="15">
        <v>0</v>
      </c>
    </row>
    <row r="217" ht="12.9" customHeight="1">
      <c r="A217" t="s" s="10">
        <v>5216</v>
      </c>
      <c r="B217" t="s" s="11">
        <v>2940</v>
      </c>
      <c r="C217" s="12">
        <v>45090</v>
      </c>
      <c r="D217" t="s" s="13">
        <v>95</v>
      </c>
      <c r="E217" t="s" s="13">
        <v>12</v>
      </c>
      <c r="F217" s="14">
        <v>1</v>
      </c>
      <c r="G217" s="15">
        <v>314.991</v>
      </c>
      <c r="H217" s="15">
        <v>314.991</v>
      </c>
    </row>
    <row r="218" ht="12.9" customHeight="1">
      <c r="A218" t="s" s="10">
        <v>5217</v>
      </c>
      <c r="B218" t="s" s="11">
        <v>69</v>
      </c>
      <c r="C218" s="12">
        <v>45090</v>
      </c>
      <c r="D218" t="s" s="13">
        <v>2949</v>
      </c>
      <c r="E218" t="s" s="13">
        <v>5218</v>
      </c>
      <c r="F218" s="14">
        <v>10</v>
      </c>
      <c r="G218" s="15">
        <v>0</v>
      </c>
      <c r="H218" s="15">
        <v>0</v>
      </c>
    </row>
    <row r="219" ht="12.9" customHeight="1">
      <c r="A219" t="s" s="10">
        <v>5219</v>
      </c>
      <c r="B219" t="s" s="11">
        <v>2931</v>
      </c>
      <c r="C219" s="12">
        <v>45090</v>
      </c>
      <c r="D219" t="s" s="13">
        <v>698</v>
      </c>
      <c r="E219" t="s" s="13">
        <v>699</v>
      </c>
      <c r="F219" s="14">
        <v>12</v>
      </c>
      <c r="G219" s="15">
        <v>14.9925</v>
      </c>
      <c r="H219" s="15">
        <v>179.91</v>
      </c>
    </row>
    <row r="220" ht="12.9" customHeight="1">
      <c r="A220" t="s" s="10">
        <v>5219</v>
      </c>
      <c r="B220" t="s" s="11">
        <v>2931</v>
      </c>
      <c r="C220" s="12">
        <v>45090</v>
      </c>
      <c r="D220" t="s" s="13">
        <v>63</v>
      </c>
      <c r="E220" s="16"/>
      <c r="F220" s="14">
        <v>1</v>
      </c>
      <c r="G220" s="15">
        <v>15</v>
      </c>
      <c r="H220" s="15">
        <v>15</v>
      </c>
    </row>
    <row r="221" ht="12.9" customHeight="1">
      <c r="A221" t="s" s="10">
        <v>5220</v>
      </c>
      <c r="B221" t="s" s="11">
        <v>5221</v>
      </c>
      <c r="C221" s="12">
        <v>45089.932142997684</v>
      </c>
      <c r="D221" t="s" s="13">
        <v>19</v>
      </c>
      <c r="E221" t="s" s="13">
        <v>20</v>
      </c>
      <c r="F221" s="14">
        <v>1</v>
      </c>
      <c r="G221" s="15">
        <v>119.99</v>
      </c>
      <c r="H221" s="15">
        <v>119.99</v>
      </c>
    </row>
    <row r="222" ht="12.9" customHeight="1">
      <c r="A222" t="s" s="10">
        <v>5220</v>
      </c>
      <c r="B222" t="s" s="11">
        <v>5221</v>
      </c>
      <c r="C222" s="12">
        <v>45089.932142997684</v>
      </c>
      <c r="D222" t="s" s="13">
        <v>15</v>
      </c>
      <c r="E222" t="s" s="13">
        <v>4757</v>
      </c>
      <c r="F222" s="14">
        <v>1</v>
      </c>
      <c r="G222" s="15">
        <v>8.99</v>
      </c>
      <c r="H222" s="15">
        <v>8.99</v>
      </c>
    </row>
    <row r="223" ht="12.9" customHeight="1">
      <c r="A223" t="s" s="10">
        <v>5222</v>
      </c>
      <c r="B223" t="s" s="11">
        <v>5223</v>
      </c>
      <c r="C223" s="12">
        <v>45089.7590584838</v>
      </c>
      <c r="D223" t="s" s="13">
        <v>39</v>
      </c>
      <c r="E223" t="s" s="13">
        <v>828</v>
      </c>
      <c r="F223" s="14">
        <v>2</v>
      </c>
      <c r="G223" s="15">
        <v>109.99</v>
      </c>
      <c r="H223" s="15">
        <v>219.98</v>
      </c>
    </row>
    <row r="224" ht="12.9" customHeight="1">
      <c r="A224" t="s" s="10">
        <v>5222</v>
      </c>
      <c r="B224" t="s" s="11">
        <v>5223</v>
      </c>
      <c r="C224" s="12">
        <v>45089.7590584838</v>
      </c>
      <c r="D224" t="s" s="13">
        <v>84</v>
      </c>
      <c r="E224" t="s" s="13">
        <v>4225</v>
      </c>
      <c r="F224" s="14">
        <v>2</v>
      </c>
      <c r="G224" s="15">
        <v>15</v>
      </c>
      <c r="H224" s="15">
        <v>30</v>
      </c>
    </row>
    <row r="225" ht="12.9" customHeight="1">
      <c r="A225" t="s" s="10">
        <v>5224</v>
      </c>
      <c r="B225" t="s" s="11">
        <v>5225</v>
      </c>
      <c r="C225" s="12">
        <v>45089.701565509262</v>
      </c>
      <c r="D225" t="s" s="13">
        <v>81</v>
      </c>
      <c r="E225" t="s" s="13">
        <v>82</v>
      </c>
      <c r="F225" s="14">
        <v>1</v>
      </c>
      <c r="G225" s="15">
        <v>849.99</v>
      </c>
      <c r="H225" s="15">
        <v>849.99</v>
      </c>
    </row>
    <row r="226" ht="12.9" customHeight="1">
      <c r="A226" t="s" s="10">
        <v>5224</v>
      </c>
      <c r="B226" t="s" s="11">
        <v>5225</v>
      </c>
      <c r="C226" s="12">
        <v>45089.701565509262</v>
      </c>
      <c r="D226" t="s" s="13">
        <v>23</v>
      </c>
      <c r="E226" t="s" s="13">
        <v>828</v>
      </c>
      <c r="F226" s="14">
        <v>1</v>
      </c>
      <c r="G226" s="15">
        <v>0</v>
      </c>
      <c r="H226" s="15">
        <v>0</v>
      </c>
    </row>
    <row r="227" ht="12.9" customHeight="1">
      <c r="A227" t="s" s="10">
        <v>5224</v>
      </c>
      <c r="B227" t="s" s="11">
        <v>5225</v>
      </c>
      <c r="C227" s="12">
        <v>45089.701565509262</v>
      </c>
      <c r="D227" t="s" s="13">
        <v>50</v>
      </c>
      <c r="E227" t="s" s="13">
        <v>83</v>
      </c>
      <c r="F227" s="14">
        <v>1</v>
      </c>
      <c r="G227" s="15">
        <v>0</v>
      </c>
      <c r="H227" s="15">
        <v>0</v>
      </c>
    </row>
    <row r="228" ht="12.9" customHeight="1">
      <c r="A228" t="s" s="10">
        <v>5224</v>
      </c>
      <c r="B228" t="s" s="11">
        <v>5225</v>
      </c>
      <c r="C228" s="12">
        <v>45089.701565509262</v>
      </c>
      <c r="D228" t="s" s="13">
        <v>84</v>
      </c>
      <c r="E228" t="s" s="13">
        <v>4225</v>
      </c>
      <c r="F228" s="14">
        <v>1</v>
      </c>
      <c r="G228" s="15">
        <v>0</v>
      </c>
      <c r="H228" s="15">
        <v>0</v>
      </c>
    </row>
    <row r="229" ht="12.9" customHeight="1">
      <c r="A229" t="s" s="10">
        <v>5226</v>
      </c>
      <c r="B229" t="s" s="11">
        <v>5227</v>
      </c>
      <c r="C229" s="12">
        <v>45089.634073912035</v>
      </c>
      <c r="D229" t="s" s="13">
        <v>48</v>
      </c>
      <c r="E229" t="s" s="13">
        <v>49</v>
      </c>
      <c r="F229" s="14">
        <v>2</v>
      </c>
      <c r="G229" s="15">
        <v>1299.99</v>
      </c>
      <c r="H229" s="15">
        <v>2599.98</v>
      </c>
    </row>
    <row r="230" ht="12.9" customHeight="1">
      <c r="A230" t="s" s="10">
        <v>5226</v>
      </c>
      <c r="B230" t="s" s="11">
        <v>5227</v>
      </c>
      <c r="C230" s="12">
        <v>45089.634073912035</v>
      </c>
      <c r="D230" t="s" s="13">
        <v>50</v>
      </c>
      <c r="E230" t="s" s="13">
        <v>83</v>
      </c>
      <c r="F230" s="14">
        <v>2</v>
      </c>
      <c r="G230" s="15">
        <v>0</v>
      </c>
      <c r="H230" s="15">
        <v>0</v>
      </c>
    </row>
    <row r="231" ht="12.9" customHeight="1">
      <c r="A231" t="s" s="10">
        <v>5226</v>
      </c>
      <c r="B231" t="s" s="11">
        <v>5227</v>
      </c>
      <c r="C231" s="12">
        <v>45089.634073912035</v>
      </c>
      <c r="D231" t="s" s="13">
        <v>52</v>
      </c>
      <c r="E231" t="s" s="13">
        <v>4287</v>
      </c>
      <c r="F231" s="14">
        <v>2</v>
      </c>
      <c r="G231" s="15">
        <v>0</v>
      </c>
      <c r="H231" s="15">
        <v>0</v>
      </c>
    </row>
    <row r="232" ht="12.9" customHeight="1">
      <c r="A232" t="s" s="10">
        <v>5226</v>
      </c>
      <c r="B232" t="s" s="11">
        <v>5227</v>
      </c>
      <c r="C232" s="12">
        <v>45089.634073912035</v>
      </c>
      <c r="D232" t="s" s="13">
        <v>84</v>
      </c>
      <c r="E232" t="s" s="13">
        <v>4225</v>
      </c>
      <c r="F232" s="14">
        <v>2</v>
      </c>
      <c r="G232" s="15">
        <v>0</v>
      </c>
      <c r="H232" s="15">
        <v>0</v>
      </c>
    </row>
    <row r="233" ht="12.9" customHeight="1">
      <c r="A233" t="s" s="10">
        <v>5226</v>
      </c>
      <c r="B233" t="s" s="11">
        <v>5227</v>
      </c>
      <c r="C233" s="12">
        <v>45089.634073912035</v>
      </c>
      <c r="D233" t="s" s="13">
        <v>23</v>
      </c>
      <c r="E233" t="s" s="13">
        <v>828</v>
      </c>
      <c r="F233" s="14">
        <v>2</v>
      </c>
      <c r="G233" s="15">
        <v>0</v>
      </c>
      <c r="H233" s="15">
        <v>0</v>
      </c>
    </row>
    <row r="234" ht="12.9" customHeight="1">
      <c r="A234" t="s" s="10">
        <v>5226</v>
      </c>
      <c r="B234" t="s" s="11">
        <v>5227</v>
      </c>
      <c r="C234" s="12">
        <v>45089.634073912035</v>
      </c>
      <c r="D234" t="s" s="13">
        <v>73</v>
      </c>
      <c r="E234" t="s" s="13">
        <v>74</v>
      </c>
      <c r="F234" s="14">
        <v>1</v>
      </c>
      <c r="G234" s="15">
        <v>399.99</v>
      </c>
      <c r="H234" s="15">
        <v>399.99</v>
      </c>
    </row>
    <row r="235" ht="12.9" customHeight="1">
      <c r="A235" t="s" s="10">
        <v>5228</v>
      </c>
      <c r="B235" t="s" s="11">
        <v>4041</v>
      </c>
      <c r="C235" s="12">
        <v>45089.248558344909</v>
      </c>
      <c r="D235" t="s" s="13">
        <v>31</v>
      </c>
      <c r="E235" t="s" s="13">
        <v>32</v>
      </c>
      <c r="F235" s="14">
        <v>1</v>
      </c>
      <c r="G235" s="15">
        <v>599.99</v>
      </c>
      <c r="H235" s="15">
        <v>599.99</v>
      </c>
    </row>
    <row r="236" ht="12.9" customHeight="1">
      <c r="A236" t="s" s="10">
        <v>5228</v>
      </c>
      <c r="B236" t="s" s="11">
        <v>4041</v>
      </c>
      <c r="C236" s="12">
        <v>45089.248558344909</v>
      </c>
      <c r="D236" t="s" s="13">
        <v>35</v>
      </c>
      <c r="E236" t="s" s="13">
        <v>36</v>
      </c>
      <c r="F236" s="14">
        <v>1</v>
      </c>
      <c r="G236" s="15">
        <v>49.99</v>
      </c>
      <c r="H236" s="15">
        <v>49.99</v>
      </c>
    </row>
    <row r="237" ht="12.9" customHeight="1">
      <c r="A237" t="s" s="10">
        <v>5228</v>
      </c>
      <c r="B237" t="s" s="11">
        <v>4041</v>
      </c>
      <c r="C237" s="12">
        <v>45089.248558344909</v>
      </c>
      <c r="D237" t="s" s="13">
        <v>54</v>
      </c>
      <c r="E237" t="s" s="13">
        <v>93</v>
      </c>
      <c r="F237" s="14">
        <v>1</v>
      </c>
      <c r="G237" s="15">
        <v>9.99</v>
      </c>
      <c r="H237" s="15">
        <v>9.99</v>
      </c>
    </row>
    <row r="238" ht="12.9" customHeight="1">
      <c r="A238" t="s" s="10">
        <v>5229</v>
      </c>
      <c r="B238" t="s" s="11">
        <v>5230</v>
      </c>
      <c r="C238" s="12">
        <v>45089.243648425923</v>
      </c>
      <c r="D238" t="s" s="13">
        <v>89</v>
      </c>
      <c r="E238" t="s" s="13">
        <v>90</v>
      </c>
      <c r="F238" s="14">
        <v>2</v>
      </c>
      <c r="G238" s="15">
        <v>59.99</v>
      </c>
      <c r="H238" s="15">
        <v>119.98</v>
      </c>
    </row>
    <row r="239" ht="12.9" customHeight="1">
      <c r="A239" t="s" s="10">
        <v>5231</v>
      </c>
      <c r="B239" t="s" s="11">
        <v>721</v>
      </c>
      <c r="C239" s="12">
        <v>45089</v>
      </c>
      <c r="D239" t="s" s="13">
        <v>225</v>
      </c>
      <c r="E239" t="s" s="13">
        <v>226</v>
      </c>
      <c r="F239" s="14">
        <v>4</v>
      </c>
      <c r="G239" s="15">
        <v>374.9925</v>
      </c>
      <c r="H239" s="15">
        <v>1499.97</v>
      </c>
    </row>
    <row r="240" ht="12.9" customHeight="1">
      <c r="A240" t="s" s="10">
        <v>5231</v>
      </c>
      <c r="B240" t="s" s="11">
        <v>721</v>
      </c>
      <c r="C240" s="12">
        <v>45089</v>
      </c>
      <c r="D240" t="s" s="13">
        <v>400</v>
      </c>
      <c r="E240" t="s" s="13">
        <v>5232</v>
      </c>
      <c r="F240" s="14">
        <v>1</v>
      </c>
      <c r="G240" s="15">
        <v>22.5</v>
      </c>
      <c r="H240" s="15">
        <v>22.5</v>
      </c>
    </row>
    <row r="241" ht="12.9" customHeight="1">
      <c r="A241" t="s" s="10">
        <v>5231</v>
      </c>
      <c r="B241" t="s" s="11">
        <v>721</v>
      </c>
      <c r="C241" s="12">
        <v>45089</v>
      </c>
      <c r="D241" t="s" s="13">
        <v>52</v>
      </c>
      <c r="E241" t="s" s="13">
        <v>4287</v>
      </c>
      <c r="F241" s="14">
        <v>24</v>
      </c>
      <c r="G241" s="15">
        <v>14.9925</v>
      </c>
      <c r="H241" s="15">
        <v>359.82</v>
      </c>
    </row>
    <row r="242" ht="12.9" customHeight="1">
      <c r="A242" t="s" s="10">
        <v>5231</v>
      </c>
      <c r="B242" t="s" s="11">
        <v>721</v>
      </c>
      <c r="C242" s="12">
        <v>45089</v>
      </c>
      <c r="D242" t="s" s="13">
        <v>559</v>
      </c>
      <c r="E242" t="s" s="13">
        <v>560</v>
      </c>
      <c r="F242" s="14">
        <v>1000</v>
      </c>
      <c r="G242" s="15">
        <v>0.225</v>
      </c>
      <c r="H242" s="15">
        <v>225</v>
      </c>
    </row>
    <row r="243" ht="12.9" customHeight="1">
      <c r="A243" t="s" s="10">
        <v>5231</v>
      </c>
      <c r="B243" t="s" s="11">
        <v>721</v>
      </c>
      <c r="C243" s="12">
        <v>45089</v>
      </c>
      <c r="D243" t="s" s="13">
        <v>2276</v>
      </c>
      <c r="E243" t="s" s="13">
        <v>2276</v>
      </c>
      <c r="F243" s="14">
        <v>84</v>
      </c>
      <c r="G243" s="15">
        <v>2.25</v>
      </c>
      <c r="H243" s="15">
        <v>189</v>
      </c>
    </row>
    <row r="244" ht="12.9" customHeight="1">
      <c r="A244" t="s" s="10">
        <v>5231</v>
      </c>
      <c r="B244" t="s" s="11">
        <v>721</v>
      </c>
      <c r="C244" s="12">
        <v>45089</v>
      </c>
      <c r="D244" t="s" s="13">
        <v>5233</v>
      </c>
      <c r="E244" t="s" s="13">
        <v>5234</v>
      </c>
      <c r="F244" s="14">
        <v>84</v>
      </c>
      <c r="G244" s="15">
        <v>0.9375</v>
      </c>
      <c r="H244" s="15">
        <v>78.75</v>
      </c>
    </row>
    <row r="245" ht="12.9" customHeight="1">
      <c r="A245" t="s" s="10">
        <v>5231</v>
      </c>
      <c r="B245" t="s" s="11">
        <v>721</v>
      </c>
      <c r="C245" s="12">
        <v>45089</v>
      </c>
      <c r="D245" t="s" s="13">
        <v>2968</v>
      </c>
      <c r="E245" t="s" s="13">
        <v>2968</v>
      </c>
      <c r="F245" s="14">
        <v>2</v>
      </c>
      <c r="G245" s="15">
        <v>48.75</v>
      </c>
      <c r="H245" s="15">
        <v>97.5</v>
      </c>
    </row>
    <row r="246" ht="12.9" customHeight="1">
      <c r="A246" t="s" s="10">
        <v>5231</v>
      </c>
      <c r="B246" t="s" s="11">
        <v>721</v>
      </c>
      <c r="C246" s="12">
        <v>45089</v>
      </c>
      <c r="D246" t="s" s="13">
        <v>4127</v>
      </c>
      <c r="E246" t="s" s="13">
        <v>4128</v>
      </c>
      <c r="F246" s="14">
        <v>12</v>
      </c>
      <c r="G246" s="15">
        <v>73.125</v>
      </c>
      <c r="H246" s="15">
        <v>877.5</v>
      </c>
    </row>
    <row r="247" ht="12.9" customHeight="1">
      <c r="A247" t="s" s="10">
        <v>5231</v>
      </c>
      <c r="B247" t="s" s="11">
        <v>721</v>
      </c>
      <c r="C247" s="12">
        <v>45089</v>
      </c>
      <c r="D247" t="s" s="13">
        <v>1007</v>
      </c>
      <c r="E247" t="s" s="13">
        <v>1008</v>
      </c>
      <c r="F247" s="14">
        <v>12</v>
      </c>
      <c r="G247" s="15">
        <v>5.25</v>
      </c>
      <c r="H247" s="15">
        <v>63</v>
      </c>
    </row>
    <row r="248" ht="12.9" customHeight="1">
      <c r="A248" t="s" s="10">
        <v>5231</v>
      </c>
      <c r="B248" t="s" s="11">
        <v>721</v>
      </c>
      <c r="C248" s="12">
        <v>45089</v>
      </c>
      <c r="D248" t="s" s="13">
        <v>47</v>
      </c>
      <c r="E248" s="16"/>
      <c r="F248" s="14">
        <v>1</v>
      </c>
      <c r="G248" s="15">
        <v>225</v>
      </c>
      <c r="H248" s="15">
        <v>225</v>
      </c>
    </row>
    <row r="249" ht="12.9" customHeight="1">
      <c r="A249" t="s" s="10">
        <v>5235</v>
      </c>
      <c r="B249" t="s" s="11">
        <v>1913</v>
      </c>
      <c r="C249" s="12">
        <v>45089</v>
      </c>
      <c r="D249" t="s" s="13">
        <v>775</v>
      </c>
      <c r="E249" t="s" s="13">
        <v>775</v>
      </c>
      <c r="F249" s="14">
        <v>1</v>
      </c>
      <c r="G249" s="15">
        <v>30</v>
      </c>
      <c r="H249" s="15">
        <v>30</v>
      </c>
    </row>
    <row r="250" ht="12.9" customHeight="1">
      <c r="A250" t="s" s="10">
        <v>5235</v>
      </c>
      <c r="B250" t="s" s="11">
        <v>1913</v>
      </c>
      <c r="C250" s="12">
        <v>45089</v>
      </c>
      <c r="D250" t="s" s="13">
        <v>109</v>
      </c>
      <c r="E250" t="s" s="13">
        <v>109</v>
      </c>
      <c r="F250" s="14">
        <v>1</v>
      </c>
      <c r="G250" s="15">
        <v>112.5</v>
      </c>
      <c r="H250" s="15">
        <v>112.5</v>
      </c>
    </row>
    <row r="251" ht="12.9" customHeight="1">
      <c r="A251" t="s" s="10">
        <v>5235</v>
      </c>
      <c r="B251" t="s" s="11">
        <v>1913</v>
      </c>
      <c r="C251" s="12">
        <v>45089</v>
      </c>
      <c r="D251" t="s" s="13">
        <v>3587</v>
      </c>
      <c r="E251" t="s" s="13">
        <v>3588</v>
      </c>
      <c r="F251" s="14">
        <v>10</v>
      </c>
      <c r="G251" s="15">
        <v>1.875</v>
      </c>
      <c r="H251" s="15">
        <v>18.75</v>
      </c>
    </row>
    <row r="252" ht="12.9" customHeight="1">
      <c r="A252" t="s" s="10">
        <v>5235</v>
      </c>
      <c r="B252" t="s" s="11">
        <v>1913</v>
      </c>
      <c r="C252" s="12">
        <v>45089</v>
      </c>
      <c r="D252" t="s" s="13">
        <v>2947</v>
      </c>
      <c r="E252" t="s" s="13">
        <v>2948</v>
      </c>
      <c r="F252" s="14">
        <v>10</v>
      </c>
      <c r="G252" s="15">
        <v>0.75</v>
      </c>
      <c r="H252" s="15">
        <v>7.5</v>
      </c>
    </row>
    <row r="253" ht="12.9" customHeight="1">
      <c r="A253" t="s" s="10">
        <v>5235</v>
      </c>
      <c r="B253" t="s" s="11">
        <v>1913</v>
      </c>
      <c r="C253" s="12">
        <v>45089</v>
      </c>
      <c r="D253" t="s" s="13">
        <v>1914</v>
      </c>
      <c r="E253" t="s" s="13">
        <v>1915</v>
      </c>
      <c r="F253" s="14">
        <v>3</v>
      </c>
      <c r="G253" s="15">
        <v>24.375</v>
      </c>
      <c r="H253" s="15">
        <v>73.125</v>
      </c>
    </row>
    <row r="254" ht="12.9" customHeight="1">
      <c r="A254" t="s" s="10">
        <v>5235</v>
      </c>
      <c r="B254" t="s" s="11">
        <v>1913</v>
      </c>
      <c r="C254" s="12">
        <v>45089</v>
      </c>
      <c r="D254" t="s" s="13">
        <v>266</v>
      </c>
      <c r="E254" t="s" s="13">
        <v>267</v>
      </c>
      <c r="F254" s="14">
        <v>38</v>
      </c>
      <c r="G254" s="15">
        <v>0.1125</v>
      </c>
      <c r="H254" s="15">
        <v>4.275</v>
      </c>
    </row>
    <row r="255" ht="12.9" customHeight="1">
      <c r="A255" t="s" s="10">
        <v>5235</v>
      </c>
      <c r="B255" t="s" s="11">
        <v>1913</v>
      </c>
      <c r="C255" s="12">
        <v>45089</v>
      </c>
      <c r="D255" t="s" s="13">
        <v>207</v>
      </c>
      <c r="E255" t="s" s="13">
        <v>208</v>
      </c>
      <c r="F255" s="14">
        <v>1</v>
      </c>
      <c r="G255" s="15">
        <v>7.5</v>
      </c>
      <c r="H255" s="15">
        <v>7.5</v>
      </c>
    </row>
    <row r="256" ht="12.9" customHeight="1">
      <c r="A256" t="s" s="10">
        <v>5235</v>
      </c>
      <c r="B256" t="s" s="11">
        <v>1913</v>
      </c>
      <c r="C256" s="12">
        <v>45089</v>
      </c>
      <c r="D256" t="s" s="13">
        <v>2433</v>
      </c>
      <c r="E256" t="s" s="13">
        <v>2434</v>
      </c>
      <c r="F256" s="14">
        <v>1</v>
      </c>
      <c r="G256" s="15">
        <v>0.375</v>
      </c>
      <c r="H256" s="15">
        <v>0.375</v>
      </c>
    </row>
    <row r="257" ht="12.9" customHeight="1">
      <c r="A257" t="s" s="10">
        <v>5235</v>
      </c>
      <c r="B257" t="s" s="11">
        <v>1913</v>
      </c>
      <c r="C257" s="12">
        <v>45089</v>
      </c>
      <c r="D257" t="s" s="13">
        <v>3912</v>
      </c>
      <c r="E257" t="s" s="13">
        <v>3912</v>
      </c>
      <c r="F257" s="14">
        <v>1</v>
      </c>
      <c r="G257" s="15">
        <v>3.75</v>
      </c>
      <c r="H257" s="15">
        <v>3.75</v>
      </c>
    </row>
    <row r="258" ht="12.9" customHeight="1">
      <c r="A258" t="s" s="10">
        <v>5235</v>
      </c>
      <c r="B258" t="s" s="11">
        <v>1913</v>
      </c>
      <c r="C258" s="12">
        <v>45089</v>
      </c>
      <c r="D258" t="s" s="13">
        <v>254</v>
      </c>
      <c r="E258" t="s" s="13">
        <v>5236</v>
      </c>
      <c r="F258" s="14">
        <v>1</v>
      </c>
      <c r="G258" s="15">
        <v>0</v>
      </c>
      <c r="H258" s="15">
        <v>0</v>
      </c>
    </row>
    <row r="259" ht="12.9" customHeight="1">
      <c r="A259" t="s" s="10">
        <v>5235</v>
      </c>
      <c r="B259" t="s" s="11">
        <v>1913</v>
      </c>
      <c r="C259" s="12">
        <v>45089</v>
      </c>
      <c r="D259" t="s" s="13">
        <v>254</v>
      </c>
      <c r="E259" t="s" s="13">
        <v>5237</v>
      </c>
      <c r="F259" s="14">
        <v>1</v>
      </c>
      <c r="G259" s="15">
        <v>0</v>
      </c>
      <c r="H259" s="15">
        <v>0</v>
      </c>
    </row>
    <row r="260" ht="12.9" customHeight="1">
      <c r="A260" t="s" s="10">
        <v>5235</v>
      </c>
      <c r="B260" t="s" s="11">
        <v>1913</v>
      </c>
      <c r="C260" s="12">
        <v>45089</v>
      </c>
      <c r="D260" t="s" s="13">
        <v>254</v>
      </c>
      <c r="E260" t="s" s="13">
        <v>5238</v>
      </c>
      <c r="F260" s="14">
        <v>1</v>
      </c>
      <c r="G260" s="15">
        <v>0</v>
      </c>
      <c r="H260" s="15">
        <v>0</v>
      </c>
    </row>
    <row r="261" ht="12.9" customHeight="1">
      <c r="A261" t="s" s="10">
        <v>5235</v>
      </c>
      <c r="B261" t="s" s="11">
        <v>1913</v>
      </c>
      <c r="C261" s="12">
        <v>45089</v>
      </c>
      <c r="D261" t="s" s="13">
        <v>254</v>
      </c>
      <c r="E261" t="s" s="13">
        <v>5239</v>
      </c>
      <c r="F261" s="14">
        <v>1</v>
      </c>
      <c r="G261" s="15">
        <v>0</v>
      </c>
      <c r="H261" s="15">
        <v>0</v>
      </c>
    </row>
    <row r="262" ht="12.9" customHeight="1">
      <c r="A262" t="s" s="10">
        <v>5235</v>
      </c>
      <c r="B262" t="s" s="11">
        <v>1913</v>
      </c>
      <c r="C262" s="12">
        <v>45089</v>
      </c>
      <c r="D262" t="s" s="13">
        <v>254</v>
      </c>
      <c r="E262" t="s" s="13">
        <v>5240</v>
      </c>
      <c r="F262" s="14">
        <v>1</v>
      </c>
      <c r="G262" s="15">
        <v>0</v>
      </c>
      <c r="H262" s="15">
        <v>0</v>
      </c>
    </row>
    <row r="263" ht="12.9" customHeight="1">
      <c r="A263" t="s" s="10">
        <v>5235</v>
      </c>
      <c r="B263" t="s" s="11">
        <v>1913</v>
      </c>
      <c r="C263" s="12">
        <v>45089</v>
      </c>
      <c r="D263" t="s" s="13">
        <v>254</v>
      </c>
      <c r="E263" t="s" s="13">
        <v>5241</v>
      </c>
      <c r="F263" s="14">
        <v>1</v>
      </c>
      <c r="G263" s="15">
        <v>0</v>
      </c>
      <c r="H263" s="15">
        <v>0</v>
      </c>
    </row>
    <row r="264" ht="12.9" customHeight="1">
      <c r="A264" t="s" s="10">
        <v>5235</v>
      </c>
      <c r="B264" t="s" s="11">
        <v>1913</v>
      </c>
      <c r="C264" s="12">
        <v>45089</v>
      </c>
      <c r="D264" t="s" s="13">
        <v>254</v>
      </c>
      <c r="E264" t="s" s="13">
        <v>5242</v>
      </c>
      <c r="F264" s="14">
        <v>1</v>
      </c>
      <c r="G264" s="15">
        <v>0</v>
      </c>
      <c r="H264" s="15">
        <v>0</v>
      </c>
    </row>
    <row r="265" ht="12.9" customHeight="1">
      <c r="A265" t="s" s="10">
        <v>5235</v>
      </c>
      <c r="B265" t="s" s="11">
        <v>1913</v>
      </c>
      <c r="C265" s="12">
        <v>45089</v>
      </c>
      <c r="D265" t="s" s="13">
        <v>254</v>
      </c>
      <c r="E265" t="s" s="13">
        <v>5243</v>
      </c>
      <c r="F265" s="14">
        <v>1</v>
      </c>
      <c r="G265" s="15">
        <v>0</v>
      </c>
      <c r="H265" s="15">
        <v>0</v>
      </c>
    </row>
    <row r="266" ht="12.9" customHeight="1">
      <c r="A266" t="s" s="10">
        <v>5235</v>
      </c>
      <c r="B266" t="s" s="11">
        <v>1913</v>
      </c>
      <c r="C266" s="12">
        <v>45089</v>
      </c>
      <c r="D266" t="s" s="13">
        <v>254</v>
      </c>
      <c r="E266" t="s" s="13">
        <v>5244</v>
      </c>
      <c r="F266" s="14">
        <v>1</v>
      </c>
      <c r="G266" s="15">
        <v>0</v>
      </c>
      <c r="H266" s="15">
        <v>0</v>
      </c>
    </row>
    <row r="267" ht="12.9" customHeight="1">
      <c r="A267" t="s" s="10">
        <v>5235</v>
      </c>
      <c r="B267" t="s" s="11">
        <v>1913</v>
      </c>
      <c r="C267" s="12">
        <v>45089</v>
      </c>
      <c r="D267" t="s" s="13">
        <v>254</v>
      </c>
      <c r="E267" t="s" s="13">
        <v>5245</v>
      </c>
      <c r="F267" s="14">
        <v>1</v>
      </c>
      <c r="G267" s="15">
        <v>0</v>
      </c>
      <c r="H267" s="15">
        <v>0</v>
      </c>
    </row>
    <row r="268" ht="12.9" customHeight="1">
      <c r="A268" t="s" s="10">
        <v>5235</v>
      </c>
      <c r="B268" t="s" s="11">
        <v>1913</v>
      </c>
      <c r="C268" s="12">
        <v>45089</v>
      </c>
      <c r="D268" t="s" s="13">
        <v>5246</v>
      </c>
      <c r="E268" s="16"/>
      <c r="F268" s="14">
        <v>8</v>
      </c>
      <c r="G268" s="15">
        <v>75</v>
      </c>
      <c r="H268" s="15">
        <v>600</v>
      </c>
    </row>
    <row r="269" ht="12.9" customHeight="1">
      <c r="A269" t="s" s="10">
        <v>5235</v>
      </c>
      <c r="B269" t="s" s="11">
        <v>1913</v>
      </c>
      <c r="C269" s="12">
        <v>45089</v>
      </c>
      <c r="D269" t="s" s="13">
        <v>63</v>
      </c>
      <c r="E269" s="16"/>
      <c r="F269" s="14">
        <v>1</v>
      </c>
      <c r="G269" s="15">
        <v>100</v>
      </c>
      <c r="H269" s="15">
        <v>100</v>
      </c>
    </row>
    <row r="270" ht="12.9" customHeight="1">
      <c r="A270" t="s" s="10">
        <v>5247</v>
      </c>
      <c r="B270" t="s" s="11">
        <v>5248</v>
      </c>
      <c r="C270" s="12">
        <v>45088.846083171295</v>
      </c>
      <c r="D270" t="s" s="13">
        <v>1695</v>
      </c>
      <c r="E270" t="s" s="13">
        <v>140</v>
      </c>
      <c r="F270" s="14">
        <v>2</v>
      </c>
      <c r="G270" s="15">
        <v>49.99</v>
      </c>
      <c r="H270" s="15">
        <v>99.98</v>
      </c>
    </row>
    <row r="271" ht="12.9" customHeight="1">
      <c r="A271" t="s" s="10">
        <v>5247</v>
      </c>
      <c r="B271" t="s" s="11">
        <v>5248</v>
      </c>
      <c r="C271" s="12">
        <v>45088.846083171295</v>
      </c>
      <c r="D271" t="s" s="13">
        <v>15</v>
      </c>
      <c r="E271" t="s" s="13">
        <v>4757</v>
      </c>
      <c r="F271" s="14">
        <v>2</v>
      </c>
      <c r="G271" s="15">
        <v>8.99</v>
      </c>
      <c r="H271" s="15">
        <v>17.98</v>
      </c>
    </row>
    <row r="272" ht="12.9" customHeight="1">
      <c r="A272" t="s" s="10">
        <v>5249</v>
      </c>
      <c r="B272" t="s" s="11">
        <v>391</v>
      </c>
      <c r="C272" s="12">
        <v>45088</v>
      </c>
      <c r="D272" t="s" s="13">
        <v>95</v>
      </c>
      <c r="E272" t="s" s="13">
        <v>12</v>
      </c>
      <c r="F272" s="14">
        <v>2</v>
      </c>
      <c r="G272" s="15">
        <v>262.4925</v>
      </c>
      <c r="H272" s="15">
        <v>524.985</v>
      </c>
    </row>
    <row r="273" ht="12.9" customHeight="1">
      <c r="A273" t="s" s="10">
        <v>5249</v>
      </c>
      <c r="B273" t="s" s="11">
        <v>391</v>
      </c>
      <c r="C273" s="12">
        <v>45088</v>
      </c>
      <c r="D273" t="s" s="13">
        <v>63</v>
      </c>
      <c r="E273" s="16"/>
      <c r="F273" s="14">
        <v>1</v>
      </c>
      <c r="G273" s="15">
        <v>35</v>
      </c>
      <c r="H273" s="15">
        <v>35</v>
      </c>
    </row>
    <row r="274" ht="12.9" customHeight="1">
      <c r="A274" t="s" s="10">
        <v>5250</v>
      </c>
      <c r="B274" t="s" s="11">
        <v>5251</v>
      </c>
      <c r="C274" s="12">
        <v>45086.950226030094</v>
      </c>
      <c r="D274" t="s" s="13">
        <v>171</v>
      </c>
      <c r="E274" t="s" s="13">
        <v>172</v>
      </c>
      <c r="F274" s="14">
        <v>1</v>
      </c>
      <c r="G274" s="15">
        <v>549.99</v>
      </c>
      <c r="H274" s="15">
        <v>549.99</v>
      </c>
    </row>
    <row r="275" ht="12.9" customHeight="1">
      <c r="A275" t="s" s="10">
        <v>5252</v>
      </c>
      <c r="B275" t="s" s="11">
        <v>5253</v>
      </c>
      <c r="C275" s="12">
        <v>45086</v>
      </c>
      <c r="D275" t="s" s="13">
        <v>1482</v>
      </c>
      <c r="E275" t="s" s="13">
        <v>5254</v>
      </c>
      <c r="F275" s="14">
        <v>1</v>
      </c>
      <c r="G275" s="15">
        <v>0</v>
      </c>
      <c r="H275" s="15">
        <v>0</v>
      </c>
    </row>
    <row r="276" ht="12.9" customHeight="1">
      <c r="A276" t="s" s="10">
        <v>5255</v>
      </c>
      <c r="B276" t="s" s="11">
        <v>5256</v>
      </c>
      <c r="C276" s="12">
        <v>45085.924129652776</v>
      </c>
      <c r="D276" t="s" s="13">
        <v>470</v>
      </c>
      <c r="E276" t="s" s="13">
        <v>828</v>
      </c>
      <c r="F276" s="14">
        <v>1</v>
      </c>
      <c r="G276" s="15">
        <v>249.99</v>
      </c>
      <c r="H276" s="15">
        <v>249.99</v>
      </c>
    </row>
    <row r="277" ht="12.9" customHeight="1">
      <c r="A277" t="s" s="10">
        <v>5255</v>
      </c>
      <c r="B277" t="s" s="11">
        <v>5256</v>
      </c>
      <c r="C277" s="12">
        <v>45085.924129652776</v>
      </c>
      <c r="D277" t="s" s="13">
        <v>1729</v>
      </c>
      <c r="E277" t="s" s="13">
        <v>4639</v>
      </c>
      <c r="F277" s="14">
        <v>1</v>
      </c>
      <c r="G277" s="15">
        <v>14.99</v>
      </c>
      <c r="H277" s="15">
        <v>14.99</v>
      </c>
    </row>
    <row r="278" ht="12.9" customHeight="1">
      <c r="A278" t="s" s="10">
        <v>5255</v>
      </c>
      <c r="B278" t="s" s="11">
        <v>5256</v>
      </c>
      <c r="C278" s="12">
        <v>45085.924129652776</v>
      </c>
      <c r="D278" t="s" s="13">
        <v>77</v>
      </c>
      <c r="E278" t="s" s="13">
        <v>4224</v>
      </c>
      <c r="F278" s="14">
        <v>1</v>
      </c>
      <c r="G278" s="15">
        <v>19.99</v>
      </c>
      <c r="H278" s="15">
        <v>19.99</v>
      </c>
    </row>
    <row r="279" ht="12.9" customHeight="1">
      <c r="A279" t="s" s="10">
        <v>5257</v>
      </c>
      <c r="B279" t="s" s="11">
        <v>4111</v>
      </c>
      <c r="C279" s="12">
        <v>45085.622312881947</v>
      </c>
      <c r="D279" t="s" s="13">
        <v>35</v>
      </c>
      <c r="E279" t="s" s="13">
        <v>36</v>
      </c>
      <c r="F279" s="14">
        <v>1</v>
      </c>
      <c r="G279" s="15">
        <v>49.99</v>
      </c>
      <c r="H279" s="15">
        <v>49.99</v>
      </c>
    </row>
    <row r="280" ht="12.9" customHeight="1">
      <c r="A280" t="s" s="10">
        <v>5258</v>
      </c>
      <c r="B280" t="s" s="11">
        <v>5259</v>
      </c>
      <c r="C280" s="12">
        <v>45085.606272152778</v>
      </c>
      <c r="D280" t="s" s="13">
        <v>1729</v>
      </c>
      <c r="E280" t="s" s="13">
        <v>4639</v>
      </c>
      <c r="F280" s="14">
        <v>1</v>
      </c>
      <c r="G280" s="15">
        <v>14.99</v>
      </c>
      <c r="H280" s="15">
        <v>14.99</v>
      </c>
    </row>
    <row r="281" ht="12.9" customHeight="1">
      <c r="A281" t="s" s="10">
        <v>5260</v>
      </c>
      <c r="B281" t="s" s="11">
        <v>5261</v>
      </c>
      <c r="C281" s="12">
        <v>45085.467206273148</v>
      </c>
      <c r="D281" t="s" s="13">
        <v>1695</v>
      </c>
      <c r="E281" t="s" s="13">
        <v>140</v>
      </c>
      <c r="F281" s="14">
        <v>2</v>
      </c>
      <c r="G281" s="15">
        <v>49.99</v>
      </c>
      <c r="H281" s="15">
        <v>99.98</v>
      </c>
    </row>
    <row r="282" ht="12.9" customHeight="1">
      <c r="A282" t="s" s="10">
        <v>5260</v>
      </c>
      <c r="B282" t="s" s="11">
        <v>5261</v>
      </c>
      <c r="C282" s="12">
        <v>45085.467206273148</v>
      </c>
      <c r="D282" t="s" s="13">
        <v>15</v>
      </c>
      <c r="E282" t="s" s="13">
        <v>4757</v>
      </c>
      <c r="F282" s="14">
        <v>2</v>
      </c>
      <c r="G282" s="15">
        <v>8.99</v>
      </c>
      <c r="H282" s="15">
        <v>17.98</v>
      </c>
    </row>
    <row r="283" ht="12.9" customHeight="1">
      <c r="A283" t="s" s="10">
        <v>5262</v>
      </c>
      <c r="B283" t="s" s="11">
        <v>5263</v>
      </c>
      <c r="C283" s="12">
        <v>45085.0214974074</v>
      </c>
      <c r="D283" t="s" s="13">
        <v>95</v>
      </c>
      <c r="E283" t="s" s="13">
        <v>12</v>
      </c>
      <c r="F283" s="14">
        <v>1</v>
      </c>
      <c r="G283" s="15">
        <v>349.99</v>
      </c>
      <c r="H283" s="15">
        <v>349.99</v>
      </c>
    </row>
    <row r="284" ht="12.9" customHeight="1">
      <c r="A284" t="s" s="10">
        <v>5264</v>
      </c>
      <c r="B284" t="s" s="11">
        <v>2931</v>
      </c>
      <c r="C284" s="12">
        <v>45085</v>
      </c>
      <c r="D284" t="s" s="13">
        <v>691</v>
      </c>
      <c r="E284" t="s" s="13">
        <v>692</v>
      </c>
      <c r="F284" s="14">
        <v>6</v>
      </c>
      <c r="G284" s="15">
        <v>251.2425</v>
      </c>
      <c r="H284" s="15">
        <v>1507.455</v>
      </c>
    </row>
    <row r="285" ht="12.9" customHeight="1">
      <c r="A285" t="s" s="10">
        <v>5264</v>
      </c>
      <c r="B285" t="s" s="11">
        <v>2931</v>
      </c>
      <c r="C285" s="12">
        <v>45085</v>
      </c>
      <c r="D285" t="s" s="13">
        <v>63</v>
      </c>
      <c r="E285" s="16"/>
      <c r="F285" s="14">
        <v>1</v>
      </c>
      <c r="G285" s="15">
        <v>95.84999999999999</v>
      </c>
      <c r="H285" s="15">
        <v>95.84999999999999</v>
      </c>
    </row>
    <row r="286" ht="12.9" customHeight="1">
      <c r="A286" t="s" s="10">
        <v>5265</v>
      </c>
      <c r="B286" t="s" s="11">
        <v>3792</v>
      </c>
      <c r="C286" s="12">
        <v>45084.964751805557</v>
      </c>
      <c r="D286" t="s" s="13">
        <v>225</v>
      </c>
      <c r="E286" t="s" s="13">
        <v>226</v>
      </c>
      <c r="F286" s="14">
        <v>1</v>
      </c>
      <c r="G286" s="15">
        <v>499.99</v>
      </c>
      <c r="H286" s="15">
        <v>499.99</v>
      </c>
    </row>
    <row r="287" ht="12.9" customHeight="1">
      <c r="A287" t="s" s="10">
        <v>5265</v>
      </c>
      <c r="B287" t="s" s="11">
        <v>3792</v>
      </c>
      <c r="C287" s="12">
        <v>45084.964751805557</v>
      </c>
      <c r="D287" t="s" s="13">
        <v>165</v>
      </c>
      <c r="E287" t="s" s="13">
        <v>392</v>
      </c>
      <c r="F287" s="14">
        <v>1</v>
      </c>
      <c r="G287" s="15">
        <v>0</v>
      </c>
      <c r="H287" s="15">
        <v>0</v>
      </c>
    </row>
    <row r="288" ht="12.9" customHeight="1">
      <c r="A288" t="s" s="10">
        <v>5266</v>
      </c>
      <c r="B288" t="s" s="11">
        <v>5267</v>
      </c>
      <c r="C288" s="12">
        <v>45084.767619166669</v>
      </c>
      <c r="D288" t="s" s="13">
        <v>89</v>
      </c>
      <c r="E288" t="s" s="13">
        <v>90</v>
      </c>
      <c r="F288" s="14">
        <v>1</v>
      </c>
      <c r="G288" s="15">
        <v>59.99</v>
      </c>
      <c r="H288" s="15">
        <v>59.99</v>
      </c>
    </row>
    <row r="289" ht="12.9" customHeight="1">
      <c r="A289" t="s" s="10">
        <v>5266</v>
      </c>
      <c r="B289" t="s" s="11">
        <v>5267</v>
      </c>
      <c r="C289" s="12">
        <v>45084.767619166669</v>
      </c>
      <c r="D289" t="s" s="13">
        <v>1729</v>
      </c>
      <c r="E289" t="s" s="13">
        <v>4639</v>
      </c>
      <c r="F289" s="14">
        <v>1</v>
      </c>
      <c r="G289" s="15">
        <v>14.99</v>
      </c>
      <c r="H289" s="15">
        <v>14.99</v>
      </c>
    </row>
    <row r="290" ht="12.9" customHeight="1">
      <c r="A290" t="s" s="10">
        <v>5266</v>
      </c>
      <c r="B290" t="s" s="11">
        <v>5267</v>
      </c>
      <c r="C290" s="12">
        <v>45084.767619166669</v>
      </c>
      <c r="D290" t="s" s="13">
        <v>133</v>
      </c>
      <c r="E290" t="s" s="13">
        <v>4835</v>
      </c>
      <c r="F290" s="14">
        <v>1</v>
      </c>
      <c r="G290" s="15">
        <v>199.99</v>
      </c>
      <c r="H290" s="15">
        <v>199.99</v>
      </c>
    </row>
    <row r="291" ht="12.9" customHeight="1">
      <c r="A291" t="s" s="10">
        <v>5268</v>
      </c>
      <c r="B291" t="s" s="11">
        <v>5269</v>
      </c>
      <c r="C291" s="12">
        <v>45084.688642719906</v>
      </c>
      <c r="D291" t="s" s="13">
        <v>95</v>
      </c>
      <c r="E291" t="s" s="13">
        <v>12</v>
      </c>
      <c r="F291" s="14">
        <v>1</v>
      </c>
      <c r="G291" s="15">
        <v>349.99</v>
      </c>
      <c r="H291" s="15">
        <v>349.99</v>
      </c>
    </row>
    <row r="292" ht="12.9" customHeight="1">
      <c r="A292" t="s" s="10">
        <v>5270</v>
      </c>
      <c r="B292" t="s" s="11">
        <v>2940</v>
      </c>
      <c r="C292" s="12">
        <v>45084</v>
      </c>
      <c r="D292" t="s" s="13">
        <v>95</v>
      </c>
      <c r="E292" t="s" s="13">
        <v>12</v>
      </c>
      <c r="F292" s="14">
        <v>1</v>
      </c>
      <c r="G292" s="15">
        <v>314.991</v>
      </c>
      <c r="H292" s="15">
        <v>314.991</v>
      </c>
    </row>
    <row r="293" ht="12.9" customHeight="1">
      <c r="A293" t="s" s="10">
        <v>5271</v>
      </c>
      <c r="B293" t="s" s="11">
        <v>210</v>
      </c>
      <c r="C293" s="12">
        <v>45084</v>
      </c>
      <c r="D293" t="s" s="13">
        <v>73</v>
      </c>
      <c r="E293" t="s" s="13">
        <v>74</v>
      </c>
      <c r="F293" s="14">
        <v>1</v>
      </c>
      <c r="G293" s="15">
        <v>330</v>
      </c>
      <c r="H293" s="15">
        <v>330</v>
      </c>
    </row>
    <row r="294" ht="12.9" customHeight="1">
      <c r="A294" t="s" s="10">
        <v>5272</v>
      </c>
      <c r="B294" t="s" s="11">
        <v>122</v>
      </c>
      <c r="C294" s="12">
        <v>45084</v>
      </c>
      <c r="D294" t="s" s="13">
        <v>2332</v>
      </c>
      <c r="E294" t="s" s="13">
        <v>828</v>
      </c>
      <c r="F294" s="14">
        <v>6</v>
      </c>
      <c r="G294" s="15">
        <v>149.9925</v>
      </c>
      <c r="H294" s="15">
        <v>899.955</v>
      </c>
    </row>
    <row r="295" ht="12.9" customHeight="1">
      <c r="A295" t="s" s="10">
        <v>5272</v>
      </c>
      <c r="B295" t="s" s="11">
        <v>122</v>
      </c>
      <c r="C295" s="12">
        <v>45084</v>
      </c>
      <c r="D295" t="s" s="13">
        <v>63</v>
      </c>
      <c r="E295" s="16"/>
      <c r="F295" s="14">
        <v>1</v>
      </c>
      <c r="G295" s="15">
        <v>87.40000000000001</v>
      </c>
      <c r="H295" s="15">
        <v>87.40000000000001</v>
      </c>
    </row>
    <row r="296" ht="12.9" customHeight="1">
      <c r="A296" t="s" s="10">
        <v>5273</v>
      </c>
      <c r="B296" t="s" s="11">
        <v>4817</v>
      </c>
      <c r="C296" s="12">
        <v>45084</v>
      </c>
      <c r="D296" t="s" s="13">
        <v>73</v>
      </c>
      <c r="E296" t="s" s="13">
        <v>74</v>
      </c>
      <c r="F296" s="14">
        <v>1</v>
      </c>
      <c r="G296" s="15">
        <v>299.9925</v>
      </c>
      <c r="H296" s="15">
        <v>299.9925</v>
      </c>
    </row>
    <row r="297" ht="12.9" customHeight="1">
      <c r="A297" t="s" s="10">
        <v>5273</v>
      </c>
      <c r="B297" t="s" s="11">
        <v>4817</v>
      </c>
      <c r="C297" s="12">
        <v>45084</v>
      </c>
      <c r="D297" t="s" s="13">
        <v>5274</v>
      </c>
      <c r="E297" s="16"/>
      <c r="F297" s="14">
        <v>1</v>
      </c>
      <c r="G297" s="15">
        <v>9</v>
      </c>
      <c r="H297" s="15">
        <v>9</v>
      </c>
    </row>
    <row r="298" ht="12.9" customHeight="1">
      <c r="A298" t="s" s="10">
        <v>5275</v>
      </c>
      <c r="B298" t="s" s="11">
        <v>5001</v>
      </c>
      <c r="C298" s="12">
        <v>45083.894486979167</v>
      </c>
      <c r="D298" t="s" s="13">
        <v>59</v>
      </c>
      <c r="E298" t="s" s="13">
        <v>60</v>
      </c>
      <c r="F298" s="14">
        <v>1</v>
      </c>
      <c r="G298" s="15">
        <v>1199.99</v>
      </c>
      <c r="H298" s="15">
        <v>1199.99</v>
      </c>
    </row>
    <row r="299" ht="12.9" customHeight="1">
      <c r="A299" t="s" s="10">
        <v>5276</v>
      </c>
      <c r="B299" t="s" s="11">
        <v>5277</v>
      </c>
      <c r="C299" s="12">
        <v>45083.749214293981</v>
      </c>
      <c r="D299" t="s" s="13">
        <v>15</v>
      </c>
      <c r="E299" t="s" s="13">
        <v>4757</v>
      </c>
      <c r="F299" s="14">
        <v>4</v>
      </c>
      <c r="G299" s="15">
        <v>8.99</v>
      </c>
      <c r="H299" s="15">
        <v>35.96</v>
      </c>
    </row>
    <row r="300" ht="12.9" customHeight="1">
      <c r="A300" t="s" s="10">
        <v>5278</v>
      </c>
      <c r="B300" t="s" s="11">
        <v>5279</v>
      </c>
      <c r="C300" s="12">
        <v>45083.7064062037</v>
      </c>
      <c r="D300" t="s" s="13">
        <v>19</v>
      </c>
      <c r="E300" t="s" s="13">
        <v>20</v>
      </c>
      <c r="F300" s="14">
        <v>2</v>
      </c>
      <c r="G300" s="15">
        <v>119.99</v>
      </c>
      <c r="H300" s="15">
        <v>239.98</v>
      </c>
    </row>
    <row r="301" ht="12.9" customHeight="1">
      <c r="A301" t="s" s="10">
        <v>5278</v>
      </c>
      <c r="B301" t="s" s="11">
        <v>5279</v>
      </c>
      <c r="C301" s="12">
        <v>45083.7064062037</v>
      </c>
      <c r="D301" t="s" s="13">
        <v>15</v>
      </c>
      <c r="E301" t="s" s="13">
        <v>4757</v>
      </c>
      <c r="F301" s="14">
        <v>2</v>
      </c>
      <c r="G301" s="15">
        <v>8.99</v>
      </c>
      <c r="H301" s="15">
        <v>17.98</v>
      </c>
    </row>
    <row r="302" ht="12.9" customHeight="1">
      <c r="A302" t="s" s="10">
        <v>5278</v>
      </c>
      <c r="B302" t="s" s="11">
        <v>5279</v>
      </c>
      <c r="C302" s="12">
        <v>45083.7064062037</v>
      </c>
      <c r="D302" t="s" s="13">
        <v>412</v>
      </c>
      <c r="E302" t="s" s="13">
        <v>413</v>
      </c>
      <c r="F302" s="14">
        <v>5</v>
      </c>
      <c r="G302" s="15">
        <v>1.99</v>
      </c>
      <c r="H302" s="15">
        <v>9.949999999999999</v>
      </c>
    </row>
    <row r="303" ht="12.9" customHeight="1">
      <c r="A303" t="s" s="10">
        <v>5280</v>
      </c>
      <c r="B303" t="s" s="11">
        <v>5281</v>
      </c>
      <c r="C303" s="12">
        <v>45083.649969212966</v>
      </c>
      <c r="D303" t="s" s="13">
        <v>31</v>
      </c>
      <c r="E303" t="s" s="13">
        <v>32</v>
      </c>
      <c r="F303" s="14">
        <v>1</v>
      </c>
      <c r="G303" s="15">
        <v>599.99</v>
      </c>
      <c r="H303" s="15">
        <v>599.99</v>
      </c>
    </row>
    <row r="304" ht="12.9" customHeight="1">
      <c r="A304" t="s" s="10">
        <v>5282</v>
      </c>
      <c r="B304" t="s" s="11">
        <v>5283</v>
      </c>
      <c r="C304" s="12">
        <v>45083.632867071756</v>
      </c>
      <c r="D304" t="s" s="13">
        <v>19</v>
      </c>
      <c r="E304" t="s" s="13">
        <v>20</v>
      </c>
      <c r="F304" s="14">
        <v>8</v>
      </c>
      <c r="G304" s="15">
        <v>119.99</v>
      </c>
      <c r="H304" s="15">
        <v>959.92</v>
      </c>
    </row>
    <row r="305" ht="12.9" customHeight="1">
      <c r="A305" t="s" s="10">
        <v>5282</v>
      </c>
      <c r="B305" t="s" s="11">
        <v>5283</v>
      </c>
      <c r="C305" s="12">
        <v>45083.632867071756</v>
      </c>
      <c r="D305" t="s" s="13">
        <v>15</v>
      </c>
      <c r="E305" t="s" s="13">
        <v>4757</v>
      </c>
      <c r="F305" s="14">
        <v>8</v>
      </c>
      <c r="G305" s="15">
        <v>8.99</v>
      </c>
      <c r="H305" s="15">
        <v>71.92</v>
      </c>
    </row>
    <row r="306" ht="12.9" customHeight="1">
      <c r="A306" t="s" s="10">
        <v>5282</v>
      </c>
      <c r="B306" t="s" s="11">
        <v>5283</v>
      </c>
      <c r="C306" s="12">
        <v>45083.632867071756</v>
      </c>
      <c r="D306" t="s" s="13">
        <v>133</v>
      </c>
      <c r="E306" t="s" s="13">
        <v>4835</v>
      </c>
      <c r="F306" s="14">
        <v>4</v>
      </c>
      <c r="G306" s="15">
        <v>199.99</v>
      </c>
      <c r="H306" s="15">
        <v>799.96</v>
      </c>
    </row>
    <row r="307" ht="12.9" customHeight="1">
      <c r="A307" t="s" s="10">
        <v>5284</v>
      </c>
      <c r="B307" t="s" s="11">
        <v>4817</v>
      </c>
      <c r="C307" s="12">
        <v>45083</v>
      </c>
      <c r="D307" t="s" s="13">
        <v>225</v>
      </c>
      <c r="E307" t="s" s="13">
        <v>226</v>
      </c>
      <c r="F307" s="14">
        <v>6</v>
      </c>
      <c r="G307" s="15">
        <v>374.9925</v>
      </c>
      <c r="H307" s="15">
        <v>2249.955</v>
      </c>
    </row>
    <row r="308" ht="12.9" customHeight="1">
      <c r="A308" t="s" s="10">
        <v>5284</v>
      </c>
      <c r="B308" t="s" s="11">
        <v>4817</v>
      </c>
      <c r="C308" s="12">
        <v>45083</v>
      </c>
      <c r="D308" t="s" s="13">
        <v>227</v>
      </c>
      <c r="E308" t="s" s="13">
        <v>5285</v>
      </c>
      <c r="F308" s="14">
        <v>6</v>
      </c>
      <c r="G308" s="15">
        <v>0</v>
      </c>
      <c r="H308" s="15">
        <v>0</v>
      </c>
    </row>
    <row r="309" ht="12.9" customHeight="1">
      <c r="A309" t="s" s="10">
        <v>5284</v>
      </c>
      <c r="B309" t="s" s="11">
        <v>4817</v>
      </c>
      <c r="C309" s="12">
        <v>45083</v>
      </c>
      <c r="D309" t="s" s="13">
        <v>50</v>
      </c>
      <c r="E309" t="s" s="13">
        <v>83</v>
      </c>
      <c r="F309" s="14">
        <v>6</v>
      </c>
      <c r="G309" s="15">
        <v>22.4925</v>
      </c>
      <c r="H309" s="15">
        <v>134.955</v>
      </c>
    </row>
    <row r="310" ht="12.9" customHeight="1">
      <c r="A310" t="s" s="10">
        <v>5284</v>
      </c>
      <c r="B310" t="s" s="11">
        <v>4817</v>
      </c>
      <c r="C310" s="12">
        <v>45083</v>
      </c>
      <c r="D310" t="s" s="13">
        <v>23</v>
      </c>
      <c r="E310" t="s" s="13">
        <v>828</v>
      </c>
      <c r="F310" s="14">
        <v>6</v>
      </c>
      <c r="G310" s="15">
        <v>112.4925</v>
      </c>
      <c r="H310" s="15">
        <v>674.955</v>
      </c>
    </row>
    <row r="311" ht="12.9" customHeight="1">
      <c r="A311" t="s" s="10">
        <v>5284</v>
      </c>
      <c r="B311" t="s" s="11">
        <v>4817</v>
      </c>
      <c r="C311" s="12">
        <v>45083</v>
      </c>
      <c r="D311" t="s" s="13">
        <v>54</v>
      </c>
      <c r="E311" t="s" s="13">
        <v>93</v>
      </c>
      <c r="F311" s="14">
        <v>6</v>
      </c>
      <c r="G311" s="15">
        <v>0</v>
      </c>
      <c r="H311" s="15">
        <v>0</v>
      </c>
    </row>
    <row r="312" ht="12.9" customHeight="1">
      <c r="A312" t="s" s="10">
        <v>5284</v>
      </c>
      <c r="B312" t="s" s="11">
        <v>4817</v>
      </c>
      <c r="C312" s="12">
        <v>45083</v>
      </c>
      <c r="D312" t="s" s="13">
        <v>15</v>
      </c>
      <c r="E312" t="s" s="13">
        <v>4757</v>
      </c>
      <c r="F312" s="14">
        <v>6</v>
      </c>
      <c r="G312" s="15">
        <v>0</v>
      </c>
      <c r="H312" s="15">
        <v>0</v>
      </c>
    </row>
    <row r="313" ht="12.9" customHeight="1">
      <c r="A313" t="s" s="10">
        <v>5284</v>
      </c>
      <c r="B313" t="s" s="11">
        <v>4817</v>
      </c>
      <c r="C313" s="12">
        <v>45083</v>
      </c>
      <c r="D313" t="s" s="13">
        <v>63</v>
      </c>
      <c r="E313" s="16"/>
      <c r="F313" s="14">
        <v>1</v>
      </c>
      <c r="G313" s="15">
        <v>175</v>
      </c>
      <c r="H313" s="15">
        <v>175</v>
      </c>
    </row>
    <row r="314" ht="12.9" customHeight="1">
      <c r="A314" t="s" s="10">
        <v>5286</v>
      </c>
      <c r="B314" t="s" s="11">
        <v>827</v>
      </c>
      <c r="C314" s="12">
        <v>45083</v>
      </c>
      <c r="D314" t="s" s="13">
        <v>81</v>
      </c>
      <c r="E314" t="s" s="13">
        <v>82</v>
      </c>
      <c r="F314" s="14">
        <v>4</v>
      </c>
      <c r="G314" s="15">
        <v>849.99</v>
      </c>
      <c r="H314" s="15">
        <v>3399.96</v>
      </c>
    </row>
    <row r="315" ht="12.9" customHeight="1">
      <c r="A315" t="s" s="10">
        <v>5286</v>
      </c>
      <c r="B315" t="s" s="11">
        <v>827</v>
      </c>
      <c r="C315" s="12">
        <v>45083</v>
      </c>
      <c r="D315" t="s" s="13">
        <v>470</v>
      </c>
      <c r="E315" t="s" s="13">
        <v>828</v>
      </c>
      <c r="F315" s="14">
        <v>4</v>
      </c>
      <c r="G315" s="15">
        <v>100</v>
      </c>
      <c r="H315" s="15">
        <v>400</v>
      </c>
    </row>
    <row r="316" ht="12.9" customHeight="1">
      <c r="A316" t="s" s="10">
        <v>5286</v>
      </c>
      <c r="B316" t="s" s="11">
        <v>827</v>
      </c>
      <c r="C316" s="12">
        <v>45083</v>
      </c>
      <c r="D316" t="s" s="13">
        <v>660</v>
      </c>
      <c r="E316" t="s" s="13">
        <v>661</v>
      </c>
      <c r="F316" s="14">
        <v>24</v>
      </c>
      <c r="G316" s="15">
        <v>5.99</v>
      </c>
      <c r="H316" s="15">
        <v>143.76</v>
      </c>
    </row>
    <row r="317" ht="12.9" customHeight="1">
      <c r="A317" t="s" s="10">
        <v>5286</v>
      </c>
      <c r="B317" t="s" s="11">
        <v>827</v>
      </c>
      <c r="C317" s="12">
        <v>45083</v>
      </c>
      <c r="D317" t="s" s="13">
        <v>50</v>
      </c>
      <c r="E317" t="s" s="13">
        <v>83</v>
      </c>
      <c r="F317" s="14">
        <v>4</v>
      </c>
      <c r="G317" s="15">
        <v>0</v>
      </c>
      <c r="H317" s="15">
        <v>0</v>
      </c>
    </row>
    <row r="318" ht="12.9" customHeight="1">
      <c r="A318" t="s" s="10">
        <v>5286</v>
      </c>
      <c r="B318" t="s" s="11">
        <v>827</v>
      </c>
      <c r="C318" s="12">
        <v>45083</v>
      </c>
      <c r="D318" t="s" s="13">
        <v>84</v>
      </c>
      <c r="E318" t="s" s="13">
        <v>829</v>
      </c>
      <c r="F318" s="14">
        <v>4</v>
      </c>
      <c r="G318" s="15">
        <v>0</v>
      </c>
      <c r="H318" s="15">
        <v>0</v>
      </c>
    </row>
    <row r="319" ht="12.9" customHeight="1">
      <c r="A319" t="s" s="10">
        <v>5286</v>
      </c>
      <c r="B319" t="s" s="11">
        <v>827</v>
      </c>
      <c r="C319" s="12">
        <v>45083</v>
      </c>
      <c r="D319" t="s" s="13">
        <v>47</v>
      </c>
      <c r="E319" s="16"/>
      <c r="F319" s="14">
        <v>1</v>
      </c>
      <c r="G319" s="15">
        <v>225</v>
      </c>
      <c r="H319" s="15">
        <v>225</v>
      </c>
    </row>
    <row r="320" ht="12.9" customHeight="1">
      <c r="A320" t="s" s="10">
        <v>5287</v>
      </c>
      <c r="B320" t="s" s="11">
        <v>69</v>
      </c>
      <c r="C320" s="12">
        <v>45083</v>
      </c>
      <c r="D320" t="s" s="13">
        <v>179</v>
      </c>
      <c r="E320" t="s" s="13">
        <v>180</v>
      </c>
      <c r="F320" s="14">
        <v>22</v>
      </c>
      <c r="G320" s="15">
        <v>37.4925</v>
      </c>
      <c r="H320" s="15">
        <v>824.835</v>
      </c>
    </row>
    <row r="321" ht="12.9" customHeight="1">
      <c r="A321" t="s" s="10">
        <v>5287</v>
      </c>
      <c r="B321" t="s" s="11">
        <v>69</v>
      </c>
      <c r="C321" s="12">
        <v>45083</v>
      </c>
      <c r="D321" t="s" s="13">
        <v>63</v>
      </c>
      <c r="E321" s="16"/>
      <c r="F321" s="14">
        <v>1</v>
      </c>
      <c r="G321" s="15">
        <v>30</v>
      </c>
      <c r="H321" s="15">
        <v>30</v>
      </c>
    </row>
    <row r="322" ht="12.9" customHeight="1">
      <c r="A322" t="s" s="10">
        <v>5288</v>
      </c>
      <c r="B322" t="s" s="11">
        <v>5289</v>
      </c>
      <c r="C322" s="12">
        <v>45082.945764618053</v>
      </c>
      <c r="D322" t="s" s="13">
        <v>1695</v>
      </c>
      <c r="E322" t="s" s="13">
        <v>140</v>
      </c>
      <c r="F322" s="14">
        <v>2</v>
      </c>
      <c r="G322" s="15">
        <v>49.99</v>
      </c>
      <c r="H322" s="15">
        <v>99.98</v>
      </c>
    </row>
    <row r="323" ht="12.9" customHeight="1">
      <c r="A323" t="s" s="10">
        <v>5288</v>
      </c>
      <c r="B323" t="s" s="11">
        <v>5289</v>
      </c>
      <c r="C323" s="12">
        <v>45082.945764618053</v>
      </c>
      <c r="D323" t="s" s="13">
        <v>15</v>
      </c>
      <c r="E323" t="s" s="13">
        <v>4757</v>
      </c>
      <c r="F323" s="14">
        <v>2</v>
      </c>
      <c r="G323" s="15">
        <v>8.99</v>
      </c>
      <c r="H323" s="15">
        <v>17.98</v>
      </c>
    </row>
    <row r="324" ht="12.9" customHeight="1">
      <c r="A324" t="s" s="10">
        <v>5290</v>
      </c>
      <c r="B324" t="s" s="11">
        <v>5291</v>
      </c>
      <c r="C324" s="12">
        <v>45082.903282893516</v>
      </c>
      <c r="D324" t="s" s="13">
        <v>1731</v>
      </c>
      <c r="E324" t="s" s="13">
        <v>4657</v>
      </c>
      <c r="F324" s="14">
        <v>2</v>
      </c>
      <c r="G324" s="15">
        <v>24.99</v>
      </c>
      <c r="H324" s="15">
        <v>49.98</v>
      </c>
    </row>
    <row r="325" ht="12.9" customHeight="1">
      <c r="A325" t="s" s="10">
        <v>5292</v>
      </c>
      <c r="B325" t="s" s="11">
        <v>5293</v>
      </c>
      <c r="C325" s="12">
        <v>45082.774206053240</v>
      </c>
      <c r="D325" t="s" s="13">
        <v>31</v>
      </c>
      <c r="E325" t="s" s="13">
        <v>32</v>
      </c>
      <c r="F325" s="14">
        <v>1</v>
      </c>
      <c r="G325" s="15">
        <v>599.99</v>
      </c>
      <c r="H325" s="15">
        <v>599.99</v>
      </c>
    </row>
    <row r="326" ht="12.9" customHeight="1">
      <c r="A326" t="s" s="10">
        <v>5294</v>
      </c>
      <c r="B326" t="s" s="11">
        <v>5197</v>
      </c>
      <c r="C326" s="12">
        <v>45082.742482962960</v>
      </c>
      <c r="D326" t="s" s="13">
        <v>171</v>
      </c>
      <c r="E326" t="s" s="13">
        <v>172</v>
      </c>
      <c r="F326" s="14">
        <v>1</v>
      </c>
      <c r="G326" s="15">
        <v>549.99</v>
      </c>
      <c r="H326" s="15">
        <v>549.99</v>
      </c>
    </row>
    <row r="327" ht="12.9" customHeight="1">
      <c r="A327" t="s" s="10">
        <v>5295</v>
      </c>
      <c r="B327" t="s" s="11">
        <v>3072</v>
      </c>
      <c r="C327" s="12">
        <v>45082.465406053241</v>
      </c>
      <c r="D327" t="s" s="13">
        <v>54</v>
      </c>
      <c r="E327" t="s" s="13">
        <v>93</v>
      </c>
      <c r="F327" s="14">
        <v>3</v>
      </c>
      <c r="G327" s="15">
        <v>9.99</v>
      </c>
      <c r="H327" s="15">
        <v>29.97</v>
      </c>
    </row>
    <row r="328" ht="12.9" customHeight="1">
      <c r="A328" t="s" s="10">
        <v>5295</v>
      </c>
      <c r="B328" t="s" s="11">
        <v>3072</v>
      </c>
      <c r="C328" s="12">
        <v>45082.465406053241</v>
      </c>
      <c r="D328" t="s" s="13">
        <v>487</v>
      </c>
      <c r="E328" t="s" s="13">
        <v>828</v>
      </c>
      <c r="F328" s="14">
        <v>2</v>
      </c>
      <c r="G328" s="15">
        <v>109.99</v>
      </c>
      <c r="H328" s="15">
        <v>219.98</v>
      </c>
    </row>
    <row r="329" ht="12.9" customHeight="1">
      <c r="A329" t="s" s="10">
        <v>5295</v>
      </c>
      <c r="B329" t="s" s="11">
        <v>3072</v>
      </c>
      <c r="C329" s="12">
        <v>45082.465406053241</v>
      </c>
      <c r="D329" t="s" s="13">
        <v>84</v>
      </c>
      <c r="E329" t="s" s="13">
        <v>4225</v>
      </c>
      <c r="F329" s="14">
        <v>2</v>
      </c>
      <c r="G329" s="15">
        <v>15</v>
      </c>
      <c r="H329" s="15">
        <v>30</v>
      </c>
    </row>
    <row r="330" ht="12.9" customHeight="1">
      <c r="A330" t="s" s="10">
        <v>5295</v>
      </c>
      <c r="B330" t="s" s="11">
        <v>3072</v>
      </c>
      <c r="C330" s="12">
        <v>45082.465406053241</v>
      </c>
      <c r="D330" t="s" s="13">
        <v>35</v>
      </c>
      <c r="E330" t="s" s="13">
        <v>36</v>
      </c>
      <c r="F330" s="14">
        <v>2</v>
      </c>
      <c r="G330" s="15">
        <v>49.99</v>
      </c>
      <c r="H330" s="15">
        <v>99.98</v>
      </c>
    </row>
    <row r="331" ht="12.9" customHeight="1">
      <c r="A331" t="s" s="10">
        <v>5296</v>
      </c>
      <c r="B331" t="s" s="11">
        <v>69</v>
      </c>
      <c r="C331" s="12">
        <v>45082</v>
      </c>
      <c r="D331" t="s" s="13">
        <v>1048</v>
      </c>
      <c r="E331" t="s" s="13">
        <v>1048</v>
      </c>
      <c r="F331" s="14">
        <v>4</v>
      </c>
      <c r="G331" s="15">
        <v>0</v>
      </c>
      <c r="H331" s="15">
        <v>0</v>
      </c>
    </row>
    <row r="332" ht="12.9" customHeight="1">
      <c r="A332" t="s" s="10">
        <v>5296</v>
      </c>
      <c r="B332" t="s" s="11">
        <v>69</v>
      </c>
      <c r="C332" s="12">
        <v>45082</v>
      </c>
      <c r="D332" t="s" s="13">
        <v>1044</v>
      </c>
      <c r="E332" t="s" s="13">
        <v>1044</v>
      </c>
      <c r="F332" s="14">
        <v>4</v>
      </c>
      <c r="G332" s="15">
        <v>0</v>
      </c>
      <c r="H332" s="15">
        <v>0</v>
      </c>
    </row>
    <row r="333" ht="12.9" customHeight="1">
      <c r="A333" t="s" s="10">
        <v>5296</v>
      </c>
      <c r="B333" t="s" s="11">
        <v>69</v>
      </c>
      <c r="C333" s="12">
        <v>45082</v>
      </c>
      <c r="D333" t="s" s="13">
        <v>1046</v>
      </c>
      <c r="E333" t="s" s="13">
        <v>1047</v>
      </c>
      <c r="F333" s="14">
        <v>4</v>
      </c>
      <c r="G333" s="15">
        <v>0</v>
      </c>
      <c r="H333" s="15">
        <v>0</v>
      </c>
    </row>
    <row r="334" ht="12.9" customHeight="1">
      <c r="A334" t="s" s="10">
        <v>5296</v>
      </c>
      <c r="B334" t="s" s="11">
        <v>69</v>
      </c>
      <c r="C334" s="12">
        <v>45082</v>
      </c>
      <c r="D334" t="s" s="13">
        <v>1186</v>
      </c>
      <c r="E334" t="s" s="13">
        <v>1186</v>
      </c>
      <c r="F334" s="14">
        <v>1</v>
      </c>
      <c r="G334" s="15">
        <v>0</v>
      </c>
      <c r="H334" s="15">
        <v>0</v>
      </c>
    </row>
    <row r="335" ht="12.9" customHeight="1">
      <c r="A335" t="s" s="10">
        <v>5296</v>
      </c>
      <c r="B335" t="s" s="11">
        <v>69</v>
      </c>
      <c r="C335" s="12">
        <v>45082</v>
      </c>
      <c r="D335" t="s" s="13">
        <v>1187</v>
      </c>
      <c r="E335" t="s" s="13">
        <v>1187</v>
      </c>
      <c r="F335" s="14">
        <v>1</v>
      </c>
      <c r="G335" s="15">
        <v>0</v>
      </c>
      <c r="H335" s="15">
        <v>0</v>
      </c>
    </row>
    <row r="336" ht="12.9" customHeight="1">
      <c r="A336" t="s" s="10">
        <v>5296</v>
      </c>
      <c r="B336" t="s" s="11">
        <v>69</v>
      </c>
      <c r="C336" s="12">
        <v>45082</v>
      </c>
      <c r="D336" t="s" s="13">
        <v>2512</v>
      </c>
      <c r="E336" t="s" s="13">
        <v>2512</v>
      </c>
      <c r="F336" s="14">
        <v>2</v>
      </c>
      <c r="G336" s="15">
        <v>0</v>
      </c>
      <c r="H336" s="15">
        <v>0</v>
      </c>
    </row>
    <row r="337" ht="12.9" customHeight="1">
      <c r="A337" t="s" s="10">
        <v>5296</v>
      </c>
      <c r="B337" t="s" s="11">
        <v>69</v>
      </c>
      <c r="C337" s="12">
        <v>45082</v>
      </c>
      <c r="D337" t="s" s="13">
        <v>1892</v>
      </c>
      <c r="E337" t="s" s="13">
        <v>1892</v>
      </c>
      <c r="F337" s="14">
        <v>2</v>
      </c>
      <c r="G337" s="15">
        <v>0</v>
      </c>
      <c r="H337" s="15">
        <v>0</v>
      </c>
    </row>
    <row r="338" ht="12.9" customHeight="1">
      <c r="A338" t="s" s="10">
        <v>5297</v>
      </c>
      <c r="B338" t="s" s="11">
        <v>5298</v>
      </c>
      <c r="C338" s="12">
        <v>45082</v>
      </c>
      <c r="D338" t="s" s="13">
        <v>95</v>
      </c>
      <c r="E338" t="s" s="13">
        <v>12</v>
      </c>
      <c r="F338" s="14">
        <v>2</v>
      </c>
      <c r="G338" s="15">
        <v>297.4915</v>
      </c>
      <c r="H338" s="15">
        <v>594.9829999999999</v>
      </c>
    </row>
    <row r="339" ht="12.9" customHeight="1">
      <c r="A339" t="s" s="10">
        <v>5297</v>
      </c>
      <c r="B339" t="s" s="11">
        <v>5298</v>
      </c>
      <c r="C339" s="12">
        <v>45082</v>
      </c>
      <c r="D339" t="s" s="13">
        <v>63</v>
      </c>
      <c r="E339" s="16"/>
      <c r="F339" s="14">
        <v>1</v>
      </c>
      <c r="G339" s="15">
        <v>35</v>
      </c>
      <c r="H339" s="15">
        <v>35</v>
      </c>
    </row>
    <row r="340" ht="12.9" customHeight="1">
      <c r="A340" t="s" s="10">
        <v>5299</v>
      </c>
      <c r="B340" t="s" s="11">
        <v>704</v>
      </c>
      <c r="C340" s="12">
        <v>45082</v>
      </c>
      <c r="D340" t="s" s="13">
        <v>258</v>
      </c>
      <c r="E340" t="s" s="13">
        <v>3592</v>
      </c>
      <c r="F340" s="14">
        <v>12</v>
      </c>
      <c r="G340" s="15">
        <v>11.2425</v>
      </c>
      <c r="H340" s="15">
        <v>134.91</v>
      </c>
    </row>
    <row r="341" ht="12.9" customHeight="1">
      <c r="A341" t="s" s="10">
        <v>5299</v>
      </c>
      <c r="B341" t="s" s="11">
        <v>704</v>
      </c>
      <c r="C341" s="12">
        <v>45082</v>
      </c>
      <c r="D341" t="s" s="13">
        <v>3950</v>
      </c>
      <c r="E341" t="s" s="13">
        <v>3951</v>
      </c>
      <c r="F341" s="14">
        <v>12</v>
      </c>
      <c r="G341" s="15">
        <v>5.6175</v>
      </c>
      <c r="H341" s="15">
        <v>67.41</v>
      </c>
    </row>
    <row r="342" ht="12.9" customHeight="1">
      <c r="A342" t="s" s="10">
        <v>5300</v>
      </c>
      <c r="B342" t="s" s="11">
        <v>5301</v>
      </c>
      <c r="C342" s="12">
        <v>45081.701068981478</v>
      </c>
      <c r="D342" t="s" s="13">
        <v>359</v>
      </c>
      <c r="E342" t="s" s="13">
        <v>4199</v>
      </c>
      <c r="F342" s="14">
        <v>2</v>
      </c>
      <c r="G342" s="15">
        <v>29.99</v>
      </c>
      <c r="H342" s="15">
        <v>59.98</v>
      </c>
    </row>
    <row r="343" ht="12.9" customHeight="1">
      <c r="A343" t="s" s="10">
        <v>5300</v>
      </c>
      <c r="B343" t="s" s="11">
        <v>5301</v>
      </c>
      <c r="C343" s="12">
        <v>45081.701068981478</v>
      </c>
      <c r="D343" t="s" s="13">
        <v>179</v>
      </c>
      <c r="E343" t="s" s="13">
        <v>180</v>
      </c>
      <c r="F343" s="14">
        <v>2</v>
      </c>
      <c r="G343" s="15">
        <v>49.99</v>
      </c>
      <c r="H343" s="15">
        <v>99.98</v>
      </c>
    </row>
    <row r="344" ht="12.9" customHeight="1">
      <c r="A344" t="s" s="10">
        <v>5302</v>
      </c>
      <c r="B344" t="s" s="11">
        <v>1566</v>
      </c>
      <c r="C344" s="12">
        <v>45081.6119969213</v>
      </c>
      <c r="D344" t="s" s="13">
        <v>11</v>
      </c>
      <c r="E344" t="s" s="13">
        <v>12</v>
      </c>
      <c r="F344" s="14">
        <v>1</v>
      </c>
      <c r="G344" s="15">
        <v>399.99</v>
      </c>
      <c r="H344" s="15">
        <v>399.99</v>
      </c>
    </row>
    <row r="345" ht="12.9" customHeight="1">
      <c r="A345" t="s" s="10">
        <v>5303</v>
      </c>
      <c r="B345" t="s" s="11">
        <v>122</v>
      </c>
      <c r="C345" s="12">
        <v>45081</v>
      </c>
      <c r="D345" t="s" s="13">
        <v>48</v>
      </c>
      <c r="E345" t="s" s="13">
        <v>49</v>
      </c>
      <c r="F345" s="14">
        <v>4</v>
      </c>
      <c r="G345" s="15">
        <v>974.9924999999999</v>
      </c>
      <c r="H345" s="15">
        <v>3899.97</v>
      </c>
    </row>
    <row r="346" ht="12.9" customHeight="1">
      <c r="A346" t="s" s="10">
        <v>5303</v>
      </c>
      <c r="B346" t="s" s="11">
        <v>122</v>
      </c>
      <c r="C346" s="12">
        <v>45081</v>
      </c>
      <c r="D346" t="s" s="13">
        <v>487</v>
      </c>
      <c r="E346" t="s" s="13">
        <v>828</v>
      </c>
      <c r="F346" s="14">
        <v>4</v>
      </c>
      <c r="G346" s="15">
        <v>0</v>
      </c>
      <c r="H346" s="15">
        <v>0</v>
      </c>
    </row>
    <row r="347" ht="12.9" customHeight="1">
      <c r="A347" t="s" s="10">
        <v>5303</v>
      </c>
      <c r="B347" t="s" s="11">
        <v>122</v>
      </c>
      <c r="C347" s="12">
        <v>45081</v>
      </c>
      <c r="D347" t="s" s="13">
        <v>470</v>
      </c>
      <c r="E347" t="s" s="13">
        <v>828</v>
      </c>
      <c r="F347" s="14">
        <v>2</v>
      </c>
      <c r="G347" s="15">
        <v>187.4925</v>
      </c>
      <c r="H347" s="15">
        <v>374.985</v>
      </c>
    </row>
    <row r="348" ht="12.9" customHeight="1">
      <c r="A348" t="s" s="10">
        <v>5303</v>
      </c>
      <c r="B348" t="s" s="11">
        <v>122</v>
      </c>
      <c r="C348" s="12">
        <v>45081</v>
      </c>
      <c r="D348" t="s" s="13">
        <v>133</v>
      </c>
      <c r="E348" t="s" s="13">
        <v>4835</v>
      </c>
      <c r="F348" s="14">
        <v>1</v>
      </c>
      <c r="G348" s="15">
        <v>149.9925</v>
      </c>
      <c r="H348" s="15">
        <v>149.9925</v>
      </c>
    </row>
    <row r="349" ht="12.9" customHeight="1">
      <c r="A349" t="s" s="10">
        <v>5303</v>
      </c>
      <c r="B349" t="s" s="11">
        <v>122</v>
      </c>
      <c r="C349" s="12">
        <v>45081</v>
      </c>
      <c r="D349" t="s" s="13">
        <v>15</v>
      </c>
      <c r="E349" t="s" s="13">
        <v>4757</v>
      </c>
      <c r="F349" s="14">
        <v>12</v>
      </c>
      <c r="G349" s="15">
        <v>0</v>
      </c>
      <c r="H349" s="15">
        <v>0</v>
      </c>
    </row>
    <row r="350" ht="12.9" customHeight="1">
      <c r="A350" t="s" s="10">
        <v>5303</v>
      </c>
      <c r="B350" t="s" s="11">
        <v>122</v>
      </c>
      <c r="C350" s="12">
        <v>45081</v>
      </c>
      <c r="D350" t="s" s="13">
        <v>19</v>
      </c>
      <c r="E350" t="s" s="13">
        <v>20</v>
      </c>
      <c r="F350" s="14">
        <v>8</v>
      </c>
      <c r="G350" s="15">
        <v>89.99250000000001</v>
      </c>
      <c r="H350" s="15">
        <v>719.9400000000001</v>
      </c>
    </row>
    <row r="351" ht="12.9" customHeight="1">
      <c r="A351" t="s" s="10">
        <v>5303</v>
      </c>
      <c r="B351" t="s" s="11">
        <v>122</v>
      </c>
      <c r="C351" s="12">
        <v>45081</v>
      </c>
      <c r="D351" t="s" s="13">
        <v>412</v>
      </c>
      <c r="E351" t="s" s="13">
        <v>413</v>
      </c>
      <c r="F351" s="14">
        <v>8</v>
      </c>
      <c r="G351" s="15">
        <v>1.4925</v>
      </c>
      <c r="H351" s="15">
        <v>11.94</v>
      </c>
    </row>
    <row r="352" ht="12.9" customHeight="1">
      <c r="A352" t="s" s="10">
        <v>5303</v>
      </c>
      <c r="B352" t="s" s="11">
        <v>122</v>
      </c>
      <c r="C352" s="12">
        <v>45081</v>
      </c>
      <c r="D352" t="s" s="13">
        <v>63</v>
      </c>
      <c r="E352" s="16"/>
      <c r="F352" s="14">
        <v>1</v>
      </c>
      <c r="G352" s="15">
        <v>289.41</v>
      </c>
      <c r="H352" s="15">
        <v>289.41</v>
      </c>
    </row>
    <row r="353" ht="12.9" customHeight="1">
      <c r="A353" t="s" s="10">
        <v>5304</v>
      </c>
      <c r="B353" t="s" s="11">
        <v>5305</v>
      </c>
      <c r="C353" s="12">
        <v>45080.725828368057</v>
      </c>
      <c r="D353" t="s" s="13">
        <v>73</v>
      </c>
      <c r="E353" t="s" s="13">
        <v>74</v>
      </c>
      <c r="F353" s="14">
        <v>1</v>
      </c>
      <c r="G353" s="15">
        <v>399.99</v>
      </c>
      <c r="H353" s="15">
        <v>399.99</v>
      </c>
    </row>
    <row r="354" ht="12.9" customHeight="1">
      <c r="A354" t="s" s="10">
        <v>5306</v>
      </c>
      <c r="B354" t="s" s="11">
        <v>5305</v>
      </c>
      <c r="C354" s="12">
        <v>45080.686295451385</v>
      </c>
      <c r="D354" t="s" s="13">
        <v>81</v>
      </c>
      <c r="E354" t="s" s="13">
        <v>82</v>
      </c>
      <c r="F354" s="14">
        <v>2</v>
      </c>
      <c r="G354" s="15">
        <v>849.99</v>
      </c>
      <c r="H354" s="15">
        <v>1699.98</v>
      </c>
    </row>
    <row r="355" ht="12.9" customHeight="1">
      <c r="A355" t="s" s="10">
        <v>5306</v>
      </c>
      <c r="B355" t="s" s="11">
        <v>5305</v>
      </c>
      <c r="C355" s="12">
        <v>45080.686295451385</v>
      </c>
      <c r="D355" t="s" s="13">
        <v>23</v>
      </c>
      <c r="E355" t="s" s="13">
        <v>828</v>
      </c>
      <c r="F355" s="14">
        <v>2</v>
      </c>
      <c r="G355" s="15">
        <v>0</v>
      </c>
      <c r="H355" s="15">
        <v>0</v>
      </c>
    </row>
    <row r="356" ht="12.9" customHeight="1">
      <c r="A356" t="s" s="10">
        <v>5306</v>
      </c>
      <c r="B356" t="s" s="11">
        <v>5305</v>
      </c>
      <c r="C356" s="12">
        <v>45080.686295451385</v>
      </c>
      <c r="D356" t="s" s="13">
        <v>50</v>
      </c>
      <c r="E356" t="s" s="13">
        <v>83</v>
      </c>
      <c r="F356" s="14">
        <v>2</v>
      </c>
      <c r="G356" s="15">
        <v>0</v>
      </c>
      <c r="H356" s="15">
        <v>0</v>
      </c>
    </row>
    <row r="357" ht="12.9" customHeight="1">
      <c r="A357" t="s" s="10">
        <v>5306</v>
      </c>
      <c r="B357" t="s" s="11">
        <v>5305</v>
      </c>
      <c r="C357" s="12">
        <v>45080.686295451385</v>
      </c>
      <c r="D357" t="s" s="13">
        <v>84</v>
      </c>
      <c r="E357" t="s" s="13">
        <v>4225</v>
      </c>
      <c r="F357" s="14">
        <v>2</v>
      </c>
      <c r="G357" s="15">
        <v>0</v>
      </c>
      <c r="H357" s="15">
        <v>0</v>
      </c>
    </row>
    <row r="358" ht="12.9" customHeight="1">
      <c r="A358" t="s" s="10">
        <v>5307</v>
      </c>
      <c r="B358" t="s" s="11">
        <v>4952</v>
      </c>
      <c r="C358" s="12">
        <v>45080.155278576392</v>
      </c>
      <c r="D358" t="s" s="13">
        <v>31</v>
      </c>
      <c r="E358" t="s" s="13">
        <v>32</v>
      </c>
      <c r="F358" s="14">
        <v>1</v>
      </c>
      <c r="G358" s="15">
        <v>599.99</v>
      </c>
      <c r="H358" s="15">
        <v>599.99</v>
      </c>
    </row>
    <row r="359" ht="12.9" customHeight="1">
      <c r="A359" t="s" s="10">
        <v>5307</v>
      </c>
      <c r="B359" t="s" s="11">
        <v>4952</v>
      </c>
      <c r="C359" s="12">
        <v>45080.155278576392</v>
      </c>
      <c r="D359" t="s" s="13">
        <v>73</v>
      </c>
      <c r="E359" t="s" s="13">
        <v>74</v>
      </c>
      <c r="F359" s="14">
        <v>1</v>
      </c>
      <c r="G359" s="15">
        <v>399.99</v>
      </c>
      <c r="H359" s="15">
        <v>399.99</v>
      </c>
    </row>
    <row r="360" ht="12.9" customHeight="1">
      <c r="A360" t="s" s="10">
        <v>5308</v>
      </c>
      <c r="B360" t="s" s="11">
        <v>206</v>
      </c>
      <c r="C360" s="12">
        <v>45079.943190243059</v>
      </c>
      <c r="D360" t="s" s="13">
        <v>48</v>
      </c>
      <c r="E360" t="s" s="13">
        <v>49</v>
      </c>
      <c r="F360" s="14">
        <v>2</v>
      </c>
      <c r="G360" s="15">
        <v>1299.99</v>
      </c>
      <c r="H360" s="15">
        <v>2599.98</v>
      </c>
    </row>
    <row r="361" ht="12.9" customHeight="1">
      <c r="A361" t="s" s="10">
        <v>5308</v>
      </c>
      <c r="B361" t="s" s="11">
        <v>206</v>
      </c>
      <c r="C361" s="12">
        <v>45079.943190243059</v>
      </c>
      <c r="D361" t="s" s="13">
        <v>50</v>
      </c>
      <c r="E361" t="s" s="13">
        <v>83</v>
      </c>
      <c r="F361" s="14">
        <v>2</v>
      </c>
      <c r="G361" s="15">
        <v>0</v>
      </c>
      <c r="H361" s="15">
        <v>0</v>
      </c>
    </row>
    <row r="362" ht="12.9" customHeight="1">
      <c r="A362" t="s" s="10">
        <v>5308</v>
      </c>
      <c r="B362" t="s" s="11">
        <v>206</v>
      </c>
      <c r="C362" s="12">
        <v>45079.943190243059</v>
      </c>
      <c r="D362" t="s" s="13">
        <v>52</v>
      </c>
      <c r="E362" t="s" s="13">
        <v>4287</v>
      </c>
      <c r="F362" s="14">
        <v>2</v>
      </c>
      <c r="G362" s="15">
        <v>0</v>
      </c>
      <c r="H362" s="15">
        <v>0</v>
      </c>
    </row>
    <row r="363" ht="12.9" customHeight="1">
      <c r="A363" t="s" s="10">
        <v>5308</v>
      </c>
      <c r="B363" t="s" s="11">
        <v>206</v>
      </c>
      <c r="C363" s="12">
        <v>45079.943190243059</v>
      </c>
      <c r="D363" t="s" s="13">
        <v>84</v>
      </c>
      <c r="E363" t="s" s="13">
        <v>4225</v>
      </c>
      <c r="F363" s="14">
        <v>2</v>
      </c>
      <c r="G363" s="15">
        <v>0</v>
      </c>
      <c r="H363" s="15">
        <v>0</v>
      </c>
    </row>
    <row r="364" ht="12.9" customHeight="1">
      <c r="A364" t="s" s="10">
        <v>5308</v>
      </c>
      <c r="B364" t="s" s="11">
        <v>206</v>
      </c>
      <c r="C364" s="12">
        <v>45079.943190243059</v>
      </c>
      <c r="D364" t="s" s="13">
        <v>23</v>
      </c>
      <c r="E364" t="s" s="13">
        <v>828</v>
      </c>
      <c r="F364" s="14">
        <v>2</v>
      </c>
      <c r="G364" s="15">
        <v>0</v>
      </c>
      <c r="H364" s="15">
        <v>0</v>
      </c>
    </row>
    <row r="365" ht="12.9" customHeight="1">
      <c r="A365" t="s" s="10">
        <v>5308</v>
      </c>
      <c r="B365" t="s" s="11">
        <v>206</v>
      </c>
      <c r="C365" s="12">
        <v>45079.943190243059</v>
      </c>
      <c r="D365" t="s" s="13">
        <v>487</v>
      </c>
      <c r="E365" t="s" s="13">
        <v>828</v>
      </c>
      <c r="F365" s="14">
        <v>2</v>
      </c>
      <c r="G365" s="15">
        <v>109.99</v>
      </c>
      <c r="H365" s="15">
        <v>219.98</v>
      </c>
    </row>
    <row r="366" ht="12.9" customHeight="1">
      <c r="A366" t="s" s="10">
        <v>5308</v>
      </c>
      <c r="B366" t="s" s="11">
        <v>206</v>
      </c>
      <c r="C366" s="12">
        <v>45079.943190243059</v>
      </c>
      <c r="D366" t="s" s="13">
        <v>48</v>
      </c>
      <c r="E366" t="s" s="13">
        <v>49</v>
      </c>
      <c r="F366" s="14">
        <v>2</v>
      </c>
      <c r="G366" s="15">
        <v>1299.99</v>
      </c>
      <c r="H366" s="15">
        <v>2599.98</v>
      </c>
    </row>
    <row r="367" ht="12.9" customHeight="1">
      <c r="A367" t="s" s="10">
        <v>5308</v>
      </c>
      <c r="B367" t="s" s="11">
        <v>206</v>
      </c>
      <c r="C367" s="12">
        <v>45079.943190243059</v>
      </c>
      <c r="D367" t="s" s="13">
        <v>50</v>
      </c>
      <c r="E367" t="s" s="13">
        <v>83</v>
      </c>
      <c r="F367" s="14">
        <v>2</v>
      </c>
      <c r="G367" s="15">
        <v>0</v>
      </c>
      <c r="H367" s="15">
        <v>0</v>
      </c>
    </row>
    <row r="368" ht="12.9" customHeight="1">
      <c r="A368" t="s" s="10">
        <v>5308</v>
      </c>
      <c r="B368" t="s" s="11">
        <v>206</v>
      </c>
      <c r="C368" s="12">
        <v>45079.943190243059</v>
      </c>
      <c r="D368" t="s" s="13">
        <v>52</v>
      </c>
      <c r="E368" t="s" s="13">
        <v>4287</v>
      </c>
      <c r="F368" s="14">
        <v>2</v>
      </c>
      <c r="G368" s="15">
        <v>0</v>
      </c>
      <c r="H368" s="15">
        <v>0</v>
      </c>
    </row>
    <row r="369" ht="12.9" customHeight="1">
      <c r="A369" t="s" s="10">
        <v>5308</v>
      </c>
      <c r="B369" t="s" s="11">
        <v>206</v>
      </c>
      <c r="C369" s="12">
        <v>45079.943190243059</v>
      </c>
      <c r="D369" t="s" s="13">
        <v>84</v>
      </c>
      <c r="E369" t="s" s="13">
        <v>4225</v>
      </c>
      <c r="F369" s="14">
        <v>2</v>
      </c>
      <c r="G369" s="15">
        <v>0</v>
      </c>
      <c r="H369" s="15">
        <v>0</v>
      </c>
    </row>
    <row r="370" ht="12.9" customHeight="1">
      <c r="A370" t="s" s="10">
        <v>5308</v>
      </c>
      <c r="B370" t="s" s="11">
        <v>206</v>
      </c>
      <c r="C370" s="12">
        <v>45079.943190243059</v>
      </c>
      <c r="D370" t="s" s="13">
        <v>133</v>
      </c>
      <c r="E370" t="s" s="13">
        <v>4835</v>
      </c>
      <c r="F370" s="14">
        <v>2</v>
      </c>
      <c r="G370" s="15">
        <v>50</v>
      </c>
      <c r="H370" s="15">
        <v>100</v>
      </c>
    </row>
    <row r="371" ht="12.9" customHeight="1">
      <c r="A371" t="s" s="10">
        <v>5308</v>
      </c>
      <c r="B371" t="s" s="11">
        <v>206</v>
      </c>
      <c r="C371" s="12">
        <v>45079.943190243059</v>
      </c>
      <c r="D371" t="s" s="13">
        <v>487</v>
      </c>
      <c r="E371" t="s" s="13">
        <v>828</v>
      </c>
      <c r="F371" s="14">
        <v>2</v>
      </c>
      <c r="G371" s="15">
        <v>109.99</v>
      </c>
      <c r="H371" s="15">
        <v>219.98</v>
      </c>
    </row>
    <row r="372" ht="12.9" customHeight="1">
      <c r="A372" t="s" s="10">
        <v>5308</v>
      </c>
      <c r="B372" t="s" s="11">
        <v>206</v>
      </c>
      <c r="C372" s="12">
        <v>45079.943190243059</v>
      </c>
      <c r="D372" t="s" s="13">
        <v>59</v>
      </c>
      <c r="E372" t="s" s="13">
        <v>60</v>
      </c>
      <c r="F372" s="14">
        <v>1</v>
      </c>
      <c r="G372" s="15">
        <v>1199.99</v>
      </c>
      <c r="H372" s="15">
        <v>1199.99</v>
      </c>
    </row>
    <row r="373" ht="12.9" customHeight="1">
      <c r="A373" t="s" s="10">
        <v>5308</v>
      </c>
      <c r="B373" t="s" s="11">
        <v>206</v>
      </c>
      <c r="C373" s="12">
        <v>45079.943190243059</v>
      </c>
      <c r="D373" t="s" s="13">
        <v>19</v>
      </c>
      <c r="E373" t="s" s="13">
        <v>20</v>
      </c>
      <c r="F373" s="14">
        <v>2</v>
      </c>
      <c r="G373" s="15">
        <v>119.99</v>
      </c>
      <c r="H373" s="15">
        <v>239.98</v>
      </c>
    </row>
    <row r="374" ht="12.9" customHeight="1">
      <c r="A374" t="s" s="10">
        <v>5308</v>
      </c>
      <c r="B374" t="s" s="11">
        <v>206</v>
      </c>
      <c r="C374" s="12">
        <v>45079.943190243059</v>
      </c>
      <c r="D374" t="s" s="13">
        <v>15</v>
      </c>
      <c r="E374" t="s" s="13">
        <v>4757</v>
      </c>
      <c r="F374" s="14">
        <v>2</v>
      </c>
      <c r="G374" s="15">
        <v>8.99</v>
      </c>
      <c r="H374" s="15">
        <v>17.98</v>
      </c>
    </row>
    <row r="375" ht="12.9" customHeight="1">
      <c r="A375" t="s" s="10">
        <v>5309</v>
      </c>
      <c r="B375" t="s" s="11">
        <v>5310</v>
      </c>
      <c r="C375" s="12">
        <v>45079.7603055787</v>
      </c>
      <c r="D375" t="s" s="13">
        <v>73</v>
      </c>
      <c r="E375" t="s" s="13">
        <v>74</v>
      </c>
      <c r="F375" s="14">
        <v>1</v>
      </c>
      <c r="G375" s="15">
        <v>399.99</v>
      </c>
      <c r="H375" s="15">
        <v>399.99</v>
      </c>
    </row>
    <row r="376" ht="12.9" customHeight="1">
      <c r="A376" t="s" s="10">
        <v>5311</v>
      </c>
      <c r="B376" t="s" s="11">
        <v>5312</v>
      </c>
      <c r="C376" s="12">
        <v>45079.643799305559</v>
      </c>
      <c r="D376" t="s" s="13">
        <v>89</v>
      </c>
      <c r="E376" t="s" s="13">
        <v>90</v>
      </c>
      <c r="F376" s="14">
        <v>1</v>
      </c>
      <c r="G376" s="15">
        <v>59.99</v>
      </c>
      <c r="H376" s="15">
        <v>59.99</v>
      </c>
    </row>
    <row r="377" ht="12.9" customHeight="1">
      <c r="A377" t="s" s="10">
        <v>5313</v>
      </c>
      <c r="B377" t="s" s="11">
        <v>5312</v>
      </c>
      <c r="C377" s="12">
        <v>45079.530035902775</v>
      </c>
      <c r="D377" t="s" s="13">
        <v>73</v>
      </c>
      <c r="E377" t="s" s="13">
        <v>74</v>
      </c>
      <c r="F377" s="14">
        <v>1</v>
      </c>
      <c r="G377" s="15">
        <v>399.99</v>
      </c>
      <c r="H377" s="15">
        <v>399.99</v>
      </c>
    </row>
    <row r="378" ht="12.9" customHeight="1">
      <c r="A378" t="s" s="10">
        <v>5314</v>
      </c>
      <c r="B378" t="s" s="11">
        <v>555</v>
      </c>
      <c r="C378" s="12">
        <v>45079</v>
      </c>
      <c r="D378" t="s" s="13">
        <v>59</v>
      </c>
      <c r="E378" t="s" s="13">
        <v>60</v>
      </c>
      <c r="F378" s="14">
        <v>3</v>
      </c>
      <c r="G378" s="15">
        <v>899.9924999999999</v>
      </c>
      <c r="H378" s="15">
        <v>2699.9775</v>
      </c>
    </row>
    <row r="379" ht="12.9" customHeight="1">
      <c r="A379" t="s" s="10">
        <v>5314</v>
      </c>
      <c r="B379" t="s" s="11">
        <v>555</v>
      </c>
      <c r="C379" s="12">
        <v>45079</v>
      </c>
      <c r="D379" t="s" s="13">
        <v>143</v>
      </c>
      <c r="E379" t="s" s="13">
        <v>144</v>
      </c>
      <c r="F379" s="14">
        <v>3</v>
      </c>
      <c r="G379" s="15">
        <v>2499.99</v>
      </c>
      <c r="H379" s="15">
        <v>7499.97</v>
      </c>
    </row>
    <row r="380" ht="12.9" customHeight="1">
      <c r="A380" t="s" s="10">
        <v>5314</v>
      </c>
      <c r="B380" t="s" s="11">
        <v>555</v>
      </c>
      <c r="C380" s="12">
        <v>45079</v>
      </c>
      <c r="D380" t="s" s="13">
        <v>73</v>
      </c>
      <c r="E380" t="s" s="13">
        <v>74</v>
      </c>
      <c r="F380" s="14">
        <v>5</v>
      </c>
      <c r="G380" s="15">
        <v>299.9925</v>
      </c>
      <c r="H380" s="15">
        <v>1499.9625</v>
      </c>
    </row>
    <row r="381" ht="12.9" customHeight="1">
      <c r="A381" t="s" s="10">
        <v>5314</v>
      </c>
      <c r="B381" t="s" s="11">
        <v>555</v>
      </c>
      <c r="C381" s="12">
        <v>45079</v>
      </c>
      <c r="D381" t="s" s="13">
        <v>63</v>
      </c>
      <c r="E381" s="16"/>
      <c r="F381" s="14">
        <v>1</v>
      </c>
      <c r="G381" s="15">
        <v>275</v>
      </c>
      <c r="H381" s="15">
        <v>275</v>
      </c>
    </row>
    <row r="382" ht="12.9" customHeight="1">
      <c r="A382" t="s" s="10">
        <v>5315</v>
      </c>
      <c r="B382" t="s" s="11">
        <v>5316</v>
      </c>
      <c r="C382" s="12">
        <v>45078.954148171295</v>
      </c>
      <c r="D382" t="s" s="13">
        <v>19</v>
      </c>
      <c r="E382" t="s" s="13">
        <v>20</v>
      </c>
      <c r="F382" s="14">
        <v>1</v>
      </c>
      <c r="G382" s="15">
        <v>119.99</v>
      </c>
      <c r="H382" s="15">
        <v>119.99</v>
      </c>
    </row>
    <row r="383" ht="12.9" customHeight="1">
      <c r="A383" t="s" s="10">
        <v>5315</v>
      </c>
      <c r="B383" t="s" s="11">
        <v>5316</v>
      </c>
      <c r="C383" s="12">
        <v>45078.954148171295</v>
      </c>
      <c r="D383" t="s" s="13">
        <v>15</v>
      </c>
      <c r="E383" t="s" s="13">
        <v>4757</v>
      </c>
      <c r="F383" s="14">
        <v>1</v>
      </c>
      <c r="G383" s="15">
        <v>8.99</v>
      </c>
      <c r="H383" s="15">
        <v>8.99</v>
      </c>
    </row>
    <row r="384" ht="12.9" customHeight="1">
      <c r="A384" t="s" s="10">
        <v>5317</v>
      </c>
      <c r="B384" t="s" s="11">
        <v>5259</v>
      </c>
      <c r="C384" s="12">
        <v>45078.523494004628</v>
      </c>
      <c r="D384" t="s" s="13">
        <v>1695</v>
      </c>
      <c r="E384" t="s" s="13">
        <v>140</v>
      </c>
      <c r="F384" s="14">
        <v>2</v>
      </c>
      <c r="G384" s="15">
        <v>49.99</v>
      </c>
      <c r="H384" s="15">
        <v>99.98</v>
      </c>
    </row>
    <row r="385" ht="12.9" customHeight="1">
      <c r="A385" t="s" s="10">
        <v>5317</v>
      </c>
      <c r="B385" t="s" s="11">
        <v>5259</v>
      </c>
      <c r="C385" s="12">
        <v>45078.523494004628</v>
      </c>
      <c r="D385" t="s" s="13">
        <v>15</v>
      </c>
      <c r="E385" t="s" s="13">
        <v>4757</v>
      </c>
      <c r="F385" s="14">
        <v>2</v>
      </c>
      <c r="G385" s="15">
        <v>8.99</v>
      </c>
      <c r="H385" s="15">
        <v>17.98</v>
      </c>
    </row>
    <row r="386" ht="12.9" customHeight="1">
      <c r="A386" t="s" s="10">
        <v>5318</v>
      </c>
      <c r="B386" t="s" s="11">
        <v>391</v>
      </c>
      <c r="C386" s="12">
        <v>45078</v>
      </c>
      <c r="D386" t="s" s="13">
        <v>73</v>
      </c>
      <c r="E386" t="s" s="13">
        <v>74</v>
      </c>
      <c r="F386" s="14">
        <v>1</v>
      </c>
      <c r="G386" s="15">
        <v>299.9925</v>
      </c>
      <c r="H386" s="15">
        <v>299.9925</v>
      </c>
    </row>
    <row r="387" ht="12.9" customHeight="1">
      <c r="A387" t="s" s="10">
        <v>5318</v>
      </c>
      <c r="B387" t="s" s="11">
        <v>391</v>
      </c>
      <c r="C387" s="12">
        <v>45078</v>
      </c>
      <c r="D387" t="s" s="13">
        <v>63</v>
      </c>
      <c r="E387" s="16"/>
      <c r="F387" s="14">
        <v>1</v>
      </c>
      <c r="G387" s="15">
        <v>65</v>
      </c>
      <c r="H387" s="15">
        <v>65</v>
      </c>
    </row>
    <row r="389" ht="15.55" customHeight="1">
      <c r="I389" t="s" s="2">
        <v>5319</v>
      </c>
      <c r="J389" s="2"/>
      <c r="K389" s="2"/>
      <c r="L389" s="2"/>
      <c r="M389" s="2"/>
      <c r="N389" s="2"/>
      <c r="O389" s="2"/>
    </row>
    <row r="391" ht="16.1" customHeight="1">
      <c r="I391" t="s" s="20">
        <v>2</v>
      </c>
      <c r="J391" t="s" s="21">
        <v>1</v>
      </c>
      <c r="K391" t="s" s="21">
        <v>616</v>
      </c>
      <c r="L391" t="s" s="22">
        <v>4</v>
      </c>
      <c r="M391" t="s" s="23">
        <v>617</v>
      </c>
      <c r="N391" t="s" s="3">
        <v>618</v>
      </c>
      <c r="O391" t="s" s="3">
        <v>619</v>
      </c>
    </row>
    <row r="392" ht="16.1" customHeight="1">
      <c r="I392" t="s" s="121">
        <v>210</v>
      </c>
      <c r="J392" s="122"/>
      <c r="K392" s="122"/>
      <c r="L392" s="123"/>
      <c r="M392" s="124">
        <v>1</v>
      </c>
      <c r="N392" s="141">
        <v>330</v>
      </c>
      <c r="O392" s="141">
        <v>330</v>
      </c>
    </row>
    <row r="393" ht="16.1" customHeight="1">
      <c r="I393" t="s" s="126">
        <v>5195</v>
      </c>
      <c r="J393" s="127"/>
      <c r="K393" s="127"/>
      <c r="L393" s="128"/>
      <c r="M393" s="129">
        <v>1</v>
      </c>
      <c r="N393" s="142">
        <v>399.99</v>
      </c>
      <c r="O393" s="142">
        <v>399.99</v>
      </c>
    </row>
    <row r="394" ht="16.1" customHeight="1">
      <c r="I394" t="s" s="126">
        <v>5099</v>
      </c>
      <c r="J394" s="127"/>
      <c r="K394" s="127"/>
      <c r="L394" s="128"/>
      <c r="M394" s="129">
        <v>3</v>
      </c>
      <c r="N394" s="142">
        <v>724.98</v>
      </c>
      <c r="O394" s="142">
        <v>724.98</v>
      </c>
    </row>
    <row r="395" ht="16.1" customHeight="1">
      <c r="I395" t="s" s="126">
        <v>5149</v>
      </c>
      <c r="J395" s="127"/>
      <c r="K395" s="127"/>
      <c r="L395" s="128"/>
      <c r="M395" s="129">
        <v>6</v>
      </c>
      <c r="N395" s="142">
        <v>68.97</v>
      </c>
      <c r="O395" s="142">
        <v>98.94</v>
      </c>
    </row>
    <row r="396" ht="16.1" customHeight="1">
      <c r="I396" t="s" s="126">
        <v>5114</v>
      </c>
      <c r="J396" s="127"/>
      <c r="K396" s="127"/>
      <c r="L396" s="128"/>
      <c r="M396" s="129">
        <v>3</v>
      </c>
      <c r="N396" s="142">
        <v>67.97</v>
      </c>
      <c r="O396" s="142">
        <v>67.97</v>
      </c>
    </row>
    <row r="397" ht="16.1" customHeight="1">
      <c r="I397" t="s" s="126">
        <v>5152</v>
      </c>
      <c r="J397" s="127"/>
      <c r="K397" s="127"/>
      <c r="L397" s="128"/>
      <c r="M397" s="129">
        <v>12</v>
      </c>
      <c r="N397" s="142">
        <v>3109.96</v>
      </c>
      <c r="O397" s="142">
        <v>3109.96</v>
      </c>
    </row>
    <row r="398" ht="16.1" customHeight="1">
      <c r="I398" t="s" s="126">
        <v>2829</v>
      </c>
      <c r="J398" s="127"/>
      <c r="K398" s="127"/>
      <c r="L398" s="128"/>
      <c r="M398" s="129">
        <v>29</v>
      </c>
      <c r="N398" s="142">
        <v>1147.485</v>
      </c>
      <c r="O398" s="142">
        <v>3172.4625</v>
      </c>
    </row>
    <row r="399" ht="16.1" customHeight="1">
      <c r="I399" t="s" s="126">
        <v>5107</v>
      </c>
      <c r="J399" s="127"/>
      <c r="K399" s="127"/>
      <c r="L399" s="128"/>
      <c r="M399" s="129">
        <v>2</v>
      </c>
      <c r="N399" s="142">
        <v>49.99</v>
      </c>
      <c r="O399" s="142">
        <v>99.98</v>
      </c>
    </row>
    <row r="400" ht="16.1" customHeight="1">
      <c r="I400" t="s" s="126">
        <v>5256</v>
      </c>
      <c r="J400" s="127"/>
      <c r="K400" s="127"/>
      <c r="L400" s="128"/>
      <c r="M400" s="129">
        <v>3</v>
      </c>
      <c r="N400" s="142">
        <v>284.97</v>
      </c>
      <c r="O400" s="142">
        <v>284.97</v>
      </c>
    </row>
    <row r="401" ht="16.1" customHeight="1">
      <c r="I401" t="s" s="126">
        <v>5263</v>
      </c>
      <c r="J401" s="127"/>
      <c r="K401" s="127"/>
      <c r="L401" s="128"/>
      <c r="M401" s="129">
        <v>1</v>
      </c>
      <c r="N401" s="142">
        <v>349.99</v>
      </c>
      <c r="O401" s="142">
        <v>349.99</v>
      </c>
    </row>
    <row r="402" ht="16.1" customHeight="1">
      <c r="I402" t="s" s="126">
        <v>1536</v>
      </c>
      <c r="J402" s="127"/>
      <c r="K402" s="127"/>
      <c r="L402" s="128"/>
      <c r="M402" s="129">
        <v>127</v>
      </c>
      <c r="N402" s="142">
        <v>4630.5625</v>
      </c>
      <c r="O402" s="142">
        <v>21647.645</v>
      </c>
    </row>
    <row r="403" ht="16.1" customHeight="1">
      <c r="I403" t="s" s="126">
        <v>4789</v>
      </c>
      <c r="J403" s="127"/>
      <c r="K403" s="127"/>
      <c r="L403" s="128"/>
      <c r="M403" s="129">
        <v>21</v>
      </c>
      <c r="N403" s="142">
        <v>2808.11</v>
      </c>
      <c r="O403" s="142">
        <v>5458.09</v>
      </c>
    </row>
    <row r="404" ht="16.1" customHeight="1">
      <c r="I404" t="s" s="126">
        <v>5080</v>
      </c>
      <c r="J404" s="127"/>
      <c r="K404" s="127"/>
      <c r="L404" s="128"/>
      <c r="M404" s="129">
        <v>1</v>
      </c>
      <c r="N404" s="142">
        <v>349.99</v>
      </c>
      <c r="O404" s="142">
        <v>349.99</v>
      </c>
    </row>
    <row r="405" ht="16.1" customHeight="1">
      <c r="I405" t="s" s="126">
        <v>5301</v>
      </c>
      <c r="J405" s="127"/>
      <c r="K405" s="127"/>
      <c r="L405" s="128"/>
      <c r="M405" s="129">
        <v>4</v>
      </c>
      <c r="N405" s="142">
        <v>79.98</v>
      </c>
      <c r="O405" s="142">
        <v>159.96</v>
      </c>
    </row>
    <row r="406" ht="16.1" customHeight="1">
      <c r="I406" t="s" s="126">
        <v>3609</v>
      </c>
      <c r="J406" s="127"/>
      <c r="K406" s="127"/>
      <c r="L406" s="128"/>
      <c r="M406" s="129">
        <v>30</v>
      </c>
      <c r="N406" s="142">
        <v>1169.991</v>
      </c>
      <c r="O406" s="142">
        <v>7019.946</v>
      </c>
    </row>
    <row r="407" ht="16.1" customHeight="1">
      <c r="I407" t="s" s="126">
        <v>5109</v>
      </c>
      <c r="J407" s="127"/>
      <c r="K407" s="127"/>
      <c r="L407" s="128"/>
      <c r="M407" s="129">
        <v>10</v>
      </c>
      <c r="N407" s="142">
        <v>1711.96</v>
      </c>
      <c r="O407" s="142">
        <v>1711.96</v>
      </c>
    </row>
    <row r="408" ht="16.1" customHeight="1">
      <c r="I408" t="s" s="126">
        <v>5214</v>
      </c>
      <c r="J408" s="127"/>
      <c r="K408" s="127"/>
      <c r="L408" s="128"/>
      <c r="M408" s="129">
        <v>1</v>
      </c>
      <c r="N408" s="142">
        <v>349.99</v>
      </c>
      <c r="O408" s="142">
        <v>349.99</v>
      </c>
    </row>
    <row r="409" ht="16.1" customHeight="1">
      <c r="I409" t="s" s="126">
        <v>5085</v>
      </c>
      <c r="J409" s="127"/>
      <c r="K409" s="127"/>
      <c r="L409" s="128"/>
      <c r="M409" s="129">
        <v>14</v>
      </c>
      <c r="N409" s="142">
        <v>935.97</v>
      </c>
      <c r="O409" s="142">
        <v>1931.92</v>
      </c>
    </row>
    <row r="410" ht="16.1" customHeight="1">
      <c r="I410" t="s" s="126">
        <v>5305</v>
      </c>
      <c r="J410" s="127"/>
      <c r="K410" s="127"/>
      <c r="L410" s="128"/>
      <c r="M410" s="129">
        <v>9</v>
      </c>
      <c r="N410" s="142">
        <v>1249.98</v>
      </c>
      <c r="O410" s="142">
        <v>2099.97</v>
      </c>
    </row>
    <row r="411" ht="16.1" customHeight="1">
      <c r="I411" t="s" s="126">
        <v>831</v>
      </c>
      <c r="J411" s="127"/>
      <c r="K411" s="127"/>
      <c r="L411" s="128"/>
      <c r="M411" s="129">
        <v>62</v>
      </c>
      <c r="N411" s="142">
        <v>0</v>
      </c>
      <c r="O411" s="142">
        <v>0</v>
      </c>
    </row>
    <row r="412" ht="16.1" customHeight="1">
      <c r="I412" t="s" s="126">
        <v>5130</v>
      </c>
      <c r="J412" s="127"/>
      <c r="K412" s="127"/>
      <c r="L412" s="128"/>
      <c r="M412" s="129">
        <v>12</v>
      </c>
      <c r="N412" s="142">
        <v>282.44</v>
      </c>
      <c r="O412" s="142">
        <v>372.38</v>
      </c>
    </row>
    <row r="413" ht="16.1" customHeight="1">
      <c r="I413" t="s" s="126">
        <v>4237</v>
      </c>
      <c r="J413" s="127"/>
      <c r="K413" s="127"/>
      <c r="L413" s="128"/>
      <c r="M413" s="129">
        <v>12</v>
      </c>
      <c r="N413" s="142">
        <v>1624.98</v>
      </c>
      <c r="O413" s="142">
        <v>3249.96</v>
      </c>
    </row>
    <row r="414" ht="16.1" customHeight="1">
      <c r="I414" t="s" s="126">
        <v>5310</v>
      </c>
      <c r="J414" s="127"/>
      <c r="K414" s="127"/>
      <c r="L414" s="128"/>
      <c r="M414" s="129">
        <v>1</v>
      </c>
      <c r="N414" s="142">
        <v>399.99</v>
      </c>
      <c r="O414" s="142">
        <v>399.99</v>
      </c>
    </row>
    <row r="415" ht="16.1" customHeight="1">
      <c r="I415" t="s" s="126">
        <v>391</v>
      </c>
      <c r="J415" s="127"/>
      <c r="K415" s="127"/>
      <c r="L415" s="128"/>
      <c r="M415" s="129">
        <v>7</v>
      </c>
      <c r="N415" s="142">
        <v>977.4775</v>
      </c>
      <c r="O415" s="142">
        <v>1239.97</v>
      </c>
    </row>
    <row r="416" ht="16.1" customHeight="1">
      <c r="I416" t="s" s="126">
        <v>2940</v>
      </c>
      <c r="J416" s="127"/>
      <c r="K416" s="127"/>
      <c r="L416" s="128"/>
      <c r="M416" s="129">
        <v>3</v>
      </c>
      <c r="N416" s="142">
        <v>989.973</v>
      </c>
      <c r="O416" s="142">
        <v>989.973</v>
      </c>
    </row>
    <row r="417" ht="16.1" customHeight="1">
      <c r="I417" t="s" s="126">
        <v>555</v>
      </c>
      <c r="J417" s="127"/>
      <c r="K417" s="127"/>
      <c r="L417" s="128"/>
      <c r="M417" s="129">
        <v>12</v>
      </c>
      <c r="N417" s="142">
        <v>3974.975</v>
      </c>
      <c r="O417" s="142">
        <v>11974.91</v>
      </c>
    </row>
    <row r="418" ht="16.1" customHeight="1">
      <c r="I418" t="s" s="126">
        <v>69</v>
      </c>
      <c r="J418" s="127"/>
      <c r="K418" s="127"/>
      <c r="L418" s="128"/>
      <c r="M418" s="129">
        <v>72</v>
      </c>
      <c r="N418" s="142">
        <v>274.095</v>
      </c>
      <c r="O418" s="142">
        <v>1695.8475</v>
      </c>
    </row>
    <row r="419" ht="16.1" customHeight="1">
      <c r="I419" t="s" s="126">
        <v>5186</v>
      </c>
      <c r="J419" s="127"/>
      <c r="K419" s="127"/>
      <c r="L419" s="128"/>
      <c r="M419" s="129">
        <v>1</v>
      </c>
      <c r="N419" s="142">
        <v>599.99</v>
      </c>
      <c r="O419" s="142">
        <v>599.99</v>
      </c>
    </row>
    <row r="420" ht="16.1" customHeight="1">
      <c r="I420" t="s" s="126">
        <v>5190</v>
      </c>
      <c r="J420" s="127"/>
      <c r="K420" s="127"/>
      <c r="L420" s="128"/>
      <c r="M420" s="129">
        <v>8</v>
      </c>
      <c r="N420" s="142">
        <v>244.98</v>
      </c>
      <c r="O420" s="142">
        <v>749.92</v>
      </c>
    </row>
    <row r="421" ht="16.1" customHeight="1">
      <c r="I421" t="s" s="126">
        <v>3792</v>
      </c>
      <c r="J421" s="127"/>
      <c r="K421" s="127"/>
      <c r="L421" s="128"/>
      <c r="M421" s="129">
        <v>3</v>
      </c>
      <c r="N421" s="142">
        <v>749.98</v>
      </c>
      <c r="O421" s="142">
        <v>749.98</v>
      </c>
    </row>
    <row r="422" ht="16.1" customHeight="1">
      <c r="I422" t="s" s="126">
        <v>5179</v>
      </c>
      <c r="J422" s="127"/>
      <c r="K422" s="127"/>
      <c r="L422" s="128"/>
      <c r="M422" s="129">
        <v>7</v>
      </c>
      <c r="N422" s="142">
        <v>339.9925</v>
      </c>
      <c r="O422" s="142">
        <v>1839.955</v>
      </c>
    </row>
    <row r="423" ht="16.1" customHeight="1">
      <c r="I423" t="s" s="126">
        <v>5199</v>
      </c>
      <c r="J423" s="127"/>
      <c r="K423" s="127"/>
      <c r="L423" s="128"/>
      <c r="M423" s="129">
        <v>1</v>
      </c>
      <c r="N423" s="142">
        <v>49.99</v>
      </c>
      <c r="O423" s="142">
        <v>49.99</v>
      </c>
    </row>
    <row r="424" ht="16.1" customHeight="1">
      <c r="I424" t="s" s="126">
        <v>5076</v>
      </c>
      <c r="J424" s="127"/>
      <c r="K424" s="127"/>
      <c r="L424" s="128"/>
      <c r="M424" s="129">
        <v>7</v>
      </c>
      <c r="N424" s="142">
        <v>659.97</v>
      </c>
      <c r="O424" s="142">
        <v>1429.93</v>
      </c>
    </row>
    <row r="425" ht="16.1" customHeight="1">
      <c r="I425" t="s" s="126">
        <v>5147</v>
      </c>
      <c r="J425" s="127"/>
      <c r="K425" s="127"/>
      <c r="L425" s="128"/>
      <c r="M425" s="129">
        <v>1</v>
      </c>
      <c r="N425" s="142">
        <v>599.99</v>
      </c>
      <c r="O425" s="142">
        <v>599.99</v>
      </c>
    </row>
    <row r="426" ht="16.1" customHeight="1">
      <c r="I426" t="s" s="126">
        <v>5201</v>
      </c>
      <c r="J426" s="127"/>
      <c r="K426" s="127"/>
      <c r="L426" s="128"/>
      <c r="M426" s="129">
        <v>4</v>
      </c>
      <c r="N426" s="142">
        <v>67.97</v>
      </c>
      <c r="O426" s="142">
        <v>76.95999999999999</v>
      </c>
    </row>
    <row r="427" ht="16.1" customHeight="1">
      <c r="I427" t="s" s="126">
        <v>5128</v>
      </c>
      <c r="J427" s="127"/>
      <c r="K427" s="127"/>
      <c r="L427" s="128"/>
      <c r="M427" s="129">
        <v>8</v>
      </c>
      <c r="N427" s="142">
        <v>149.97</v>
      </c>
      <c r="O427" s="142">
        <v>299.94</v>
      </c>
    </row>
    <row r="428" ht="16.1" customHeight="1">
      <c r="I428" t="s" s="126">
        <v>4817</v>
      </c>
      <c r="J428" s="127"/>
      <c r="K428" s="127"/>
      <c r="L428" s="128"/>
      <c r="M428" s="129">
        <v>39</v>
      </c>
      <c r="N428" s="142">
        <v>993.97</v>
      </c>
      <c r="O428" s="142">
        <v>3543.8575</v>
      </c>
    </row>
    <row r="429" ht="16.1" customHeight="1">
      <c r="I429" t="s" s="126">
        <v>896</v>
      </c>
      <c r="J429" s="127"/>
      <c r="K429" s="127"/>
      <c r="L429" s="128"/>
      <c r="M429" s="129">
        <v>30</v>
      </c>
      <c r="N429" s="142">
        <v>1080</v>
      </c>
      <c r="O429" s="142">
        <v>2880</v>
      </c>
    </row>
    <row r="430" ht="16.1" customHeight="1">
      <c r="I430" t="s" s="126">
        <v>5279</v>
      </c>
      <c r="J430" s="127"/>
      <c r="K430" s="127"/>
      <c r="L430" s="128"/>
      <c r="M430" s="129">
        <v>9</v>
      </c>
      <c r="N430" s="142">
        <v>130.97</v>
      </c>
      <c r="O430" s="142">
        <v>267.91</v>
      </c>
    </row>
    <row r="431" ht="16.1" customHeight="1">
      <c r="I431" t="s" s="126">
        <v>5093</v>
      </c>
      <c r="J431" s="127"/>
      <c r="K431" s="127"/>
      <c r="L431" s="128"/>
      <c r="M431" s="129">
        <v>1</v>
      </c>
      <c r="N431" s="142">
        <v>599.99</v>
      </c>
      <c r="O431" s="142">
        <v>599.99</v>
      </c>
    </row>
    <row r="432" ht="16.1" customHeight="1">
      <c r="I432" t="s" s="126">
        <v>5091</v>
      </c>
      <c r="J432" s="127"/>
      <c r="K432" s="127"/>
      <c r="L432" s="128"/>
      <c r="M432" s="129">
        <v>2</v>
      </c>
      <c r="N432" s="142">
        <v>549.99</v>
      </c>
      <c r="O432" s="142">
        <v>1099.98</v>
      </c>
    </row>
    <row r="433" ht="16.1" customHeight="1">
      <c r="I433" t="s" s="126">
        <v>5261</v>
      </c>
      <c r="J433" s="127"/>
      <c r="K433" s="127"/>
      <c r="L433" s="128"/>
      <c r="M433" s="129">
        <v>4</v>
      </c>
      <c r="N433" s="142">
        <v>58.98</v>
      </c>
      <c r="O433" s="142">
        <v>117.96</v>
      </c>
    </row>
    <row r="434" ht="16.1" customHeight="1">
      <c r="I434" t="s" s="126">
        <v>5227</v>
      </c>
      <c r="J434" s="127"/>
      <c r="K434" s="127"/>
      <c r="L434" s="128"/>
      <c r="M434" s="129">
        <v>11</v>
      </c>
      <c r="N434" s="142">
        <v>1699.98</v>
      </c>
      <c r="O434" s="142">
        <v>2999.97</v>
      </c>
    </row>
    <row r="435" ht="16.1" customHeight="1">
      <c r="I435" t="s" s="126">
        <v>5253</v>
      </c>
      <c r="J435" s="127"/>
      <c r="K435" s="127"/>
      <c r="L435" s="128"/>
      <c r="M435" s="129">
        <v>1</v>
      </c>
      <c r="N435" s="142">
        <v>0</v>
      </c>
      <c r="O435" s="142">
        <v>0</v>
      </c>
    </row>
    <row r="436" ht="16.1" customHeight="1">
      <c r="I436" t="s" s="126">
        <v>5210</v>
      </c>
      <c r="J436" s="127"/>
      <c r="K436" s="127"/>
      <c r="L436" s="128"/>
      <c r="M436" s="129">
        <v>1</v>
      </c>
      <c r="N436" s="142">
        <v>349.99</v>
      </c>
      <c r="O436" s="142">
        <v>349.99</v>
      </c>
    </row>
    <row r="437" ht="16.1" customHeight="1">
      <c r="I437" t="s" s="126">
        <v>4179</v>
      </c>
      <c r="J437" s="127"/>
      <c r="K437" s="127"/>
      <c r="L437" s="128"/>
      <c r="M437" s="129">
        <v>7</v>
      </c>
      <c r="N437" s="142">
        <v>649.95</v>
      </c>
      <c r="O437" s="142">
        <v>699.9400000000001</v>
      </c>
    </row>
    <row r="438" ht="16.1" customHeight="1">
      <c r="I438" t="s" s="126">
        <v>5197</v>
      </c>
      <c r="J438" s="127"/>
      <c r="K438" s="127"/>
      <c r="L438" s="128"/>
      <c r="M438" s="129">
        <v>2</v>
      </c>
      <c r="N438" s="142">
        <v>599.98</v>
      </c>
      <c r="O438" s="142">
        <v>599.98</v>
      </c>
    </row>
    <row r="439" ht="16.1" customHeight="1">
      <c r="I439" t="s" s="126">
        <v>5154</v>
      </c>
      <c r="J439" s="127"/>
      <c r="K439" s="127"/>
      <c r="L439" s="128"/>
      <c r="M439" s="129">
        <v>2</v>
      </c>
      <c r="N439" s="142">
        <v>349.99</v>
      </c>
      <c r="O439" s="142">
        <v>699.98</v>
      </c>
    </row>
    <row r="440" ht="16.1" customHeight="1">
      <c r="I440" t="s" s="126">
        <v>1209</v>
      </c>
      <c r="J440" s="127"/>
      <c r="K440" s="127"/>
      <c r="L440" s="128"/>
      <c r="M440" s="129">
        <v>1</v>
      </c>
      <c r="N440" s="142">
        <v>349.99</v>
      </c>
      <c r="O440" s="142">
        <v>349.99</v>
      </c>
    </row>
    <row r="441" ht="16.1" customHeight="1">
      <c r="I441" t="s" s="126">
        <v>4111</v>
      </c>
      <c r="J441" s="127"/>
      <c r="K441" s="127"/>
      <c r="L441" s="128"/>
      <c r="M441" s="129">
        <v>1</v>
      </c>
      <c r="N441" s="142">
        <v>49.99</v>
      </c>
      <c r="O441" s="142">
        <v>49.99</v>
      </c>
    </row>
    <row r="442" ht="16.1" customHeight="1">
      <c r="I442" t="s" s="126">
        <v>5105</v>
      </c>
      <c r="J442" s="127"/>
      <c r="K442" s="127"/>
      <c r="L442" s="128"/>
      <c r="M442" s="129">
        <v>1</v>
      </c>
      <c r="N442" s="142">
        <v>49.99</v>
      </c>
      <c r="O442" s="142">
        <v>49.99</v>
      </c>
    </row>
    <row r="443" ht="16.1" customHeight="1">
      <c r="I443" t="s" s="126">
        <v>2152</v>
      </c>
      <c r="J443" s="127"/>
      <c r="K443" s="127"/>
      <c r="L443" s="128"/>
      <c r="M443" s="129">
        <v>1</v>
      </c>
      <c r="N443" s="142">
        <v>399.99</v>
      </c>
      <c r="O443" s="142">
        <v>399.99</v>
      </c>
    </row>
    <row r="444" ht="16.1" customHeight="1">
      <c r="I444" t="s" s="126">
        <v>5089</v>
      </c>
      <c r="J444" s="127"/>
      <c r="K444" s="127"/>
      <c r="L444" s="128"/>
      <c r="M444" s="129">
        <v>6</v>
      </c>
      <c r="N444" s="142">
        <v>609.98</v>
      </c>
      <c r="O444" s="142">
        <v>1219.96</v>
      </c>
    </row>
    <row r="445" ht="16.1" customHeight="1">
      <c r="I445" t="s" s="126">
        <v>3072</v>
      </c>
      <c r="J445" s="127"/>
      <c r="K445" s="127"/>
      <c r="L445" s="128"/>
      <c r="M445" s="129">
        <v>9</v>
      </c>
      <c r="N445" s="142">
        <v>184.97</v>
      </c>
      <c r="O445" s="142">
        <v>379.93</v>
      </c>
    </row>
    <row r="446" ht="16.1" customHeight="1">
      <c r="I446" t="s" s="126">
        <v>5230</v>
      </c>
      <c r="J446" s="127"/>
      <c r="K446" s="127"/>
      <c r="L446" s="128"/>
      <c r="M446" s="129">
        <v>2</v>
      </c>
      <c r="N446" s="142">
        <v>59.99</v>
      </c>
      <c r="O446" s="142">
        <v>119.98</v>
      </c>
    </row>
    <row r="447" ht="16.1" customHeight="1">
      <c r="I447" t="s" s="126">
        <v>4952</v>
      </c>
      <c r="J447" s="127"/>
      <c r="K447" s="127"/>
      <c r="L447" s="128"/>
      <c r="M447" s="129">
        <v>2</v>
      </c>
      <c r="N447" s="142">
        <v>999.98</v>
      </c>
      <c r="O447" s="142">
        <v>999.98</v>
      </c>
    </row>
    <row r="448" ht="16.1" customHeight="1">
      <c r="I448" t="s" s="126">
        <v>1697</v>
      </c>
      <c r="J448" s="127"/>
      <c r="K448" s="127"/>
      <c r="L448" s="128"/>
      <c r="M448" s="129">
        <v>14</v>
      </c>
      <c r="N448" s="142">
        <v>280.4925</v>
      </c>
      <c r="O448" s="142">
        <v>3185.91</v>
      </c>
    </row>
    <row r="449" ht="16.1" customHeight="1">
      <c r="I449" t="s" s="126">
        <v>4041</v>
      </c>
      <c r="J449" s="127"/>
      <c r="K449" s="127"/>
      <c r="L449" s="128"/>
      <c r="M449" s="129">
        <v>3</v>
      </c>
      <c r="N449" s="142">
        <v>659.97</v>
      </c>
      <c r="O449" s="142">
        <v>659.97</v>
      </c>
    </row>
    <row r="450" ht="16.1" customHeight="1">
      <c r="I450" t="s" s="126">
        <v>5135</v>
      </c>
      <c r="J450" s="127"/>
      <c r="K450" s="127"/>
      <c r="L450" s="128"/>
      <c r="M450" s="129">
        <v>1</v>
      </c>
      <c r="N450" s="142">
        <v>7.49</v>
      </c>
      <c r="O450" s="142">
        <v>7.49</v>
      </c>
    </row>
    <row r="451" ht="16.1" customHeight="1">
      <c r="I451" t="s" s="126">
        <v>5316</v>
      </c>
      <c r="J451" s="127"/>
      <c r="K451" s="127"/>
      <c r="L451" s="128"/>
      <c r="M451" s="129">
        <v>2</v>
      </c>
      <c r="N451" s="142">
        <v>128.98</v>
      </c>
      <c r="O451" s="142">
        <v>128.98</v>
      </c>
    </row>
    <row r="452" ht="16.1" customHeight="1">
      <c r="I452" t="s" s="126">
        <v>1913</v>
      </c>
      <c r="J452" s="127"/>
      <c r="K452" s="127"/>
      <c r="L452" s="128"/>
      <c r="M452" s="129">
        <v>96</v>
      </c>
      <c r="N452" s="142">
        <v>2356.2375</v>
      </c>
      <c r="O452" s="142">
        <v>18257.775</v>
      </c>
    </row>
    <row r="453" ht="16.1" customHeight="1">
      <c r="I453" t="s" s="126">
        <v>5225</v>
      </c>
      <c r="J453" s="127"/>
      <c r="K453" s="127"/>
      <c r="L453" s="128"/>
      <c r="M453" s="129">
        <v>4</v>
      </c>
      <c r="N453" s="142">
        <v>849.99</v>
      </c>
      <c r="O453" s="142">
        <v>849.99</v>
      </c>
    </row>
    <row r="454" ht="16.1" customHeight="1">
      <c r="I454" t="s" s="126">
        <v>5221</v>
      </c>
      <c r="J454" s="127"/>
      <c r="K454" s="127"/>
      <c r="L454" s="128"/>
      <c r="M454" s="129">
        <v>2</v>
      </c>
      <c r="N454" s="142">
        <v>128.98</v>
      </c>
      <c r="O454" s="142">
        <v>128.98</v>
      </c>
    </row>
    <row r="455" ht="16.1" customHeight="1">
      <c r="I455" t="s" s="126">
        <v>5083</v>
      </c>
      <c r="J455" s="127"/>
      <c r="K455" s="127"/>
      <c r="L455" s="128"/>
      <c r="M455" s="129">
        <v>1</v>
      </c>
      <c r="N455" s="142">
        <v>3199.99</v>
      </c>
      <c r="O455" s="142">
        <v>3199.99</v>
      </c>
    </row>
    <row r="456" ht="16.1" customHeight="1">
      <c r="I456" t="s" s="126">
        <v>5259</v>
      </c>
      <c r="J456" s="127"/>
      <c r="K456" s="127"/>
      <c r="L456" s="128"/>
      <c r="M456" s="129">
        <v>5</v>
      </c>
      <c r="N456" s="142">
        <v>73.97</v>
      </c>
      <c r="O456" s="142">
        <v>132.95</v>
      </c>
    </row>
    <row r="457" ht="16.1" customHeight="1">
      <c r="I457" t="s" s="126">
        <v>827</v>
      </c>
      <c r="J457" s="127"/>
      <c r="K457" s="127"/>
      <c r="L457" s="128"/>
      <c r="M457" s="129">
        <v>41</v>
      </c>
      <c r="N457" s="142">
        <v>1180.98</v>
      </c>
      <c r="O457" s="142">
        <v>4168.72</v>
      </c>
    </row>
    <row r="458" ht="16.1" customHeight="1">
      <c r="I458" t="s" s="126">
        <v>3715</v>
      </c>
      <c r="J458" s="127"/>
      <c r="K458" s="127"/>
      <c r="L458" s="128"/>
      <c r="M458" s="129">
        <v>2</v>
      </c>
      <c r="N458" s="142">
        <v>214.99</v>
      </c>
      <c r="O458" s="142">
        <v>214.99</v>
      </c>
    </row>
    <row r="459" ht="16.1" customHeight="1">
      <c r="I459" t="s" s="126">
        <v>1269</v>
      </c>
      <c r="J459" s="127"/>
      <c r="K459" s="127"/>
      <c r="L459" s="128"/>
      <c r="M459" s="129">
        <v>1</v>
      </c>
      <c r="N459" s="142">
        <v>399.99</v>
      </c>
      <c r="O459" s="142">
        <v>399.99</v>
      </c>
    </row>
    <row r="460" ht="16.1" customHeight="1">
      <c r="I460" t="s" s="126">
        <v>5298</v>
      </c>
      <c r="J460" s="127"/>
      <c r="K460" s="127"/>
      <c r="L460" s="128"/>
      <c r="M460" s="129">
        <v>3</v>
      </c>
      <c r="N460" s="142">
        <v>332.4915</v>
      </c>
      <c r="O460" s="142">
        <v>629.9829999999999</v>
      </c>
    </row>
    <row r="461" ht="16.1" customHeight="1">
      <c r="I461" t="s" s="126">
        <v>5293</v>
      </c>
      <c r="J461" s="127"/>
      <c r="K461" s="127"/>
      <c r="L461" s="128"/>
      <c r="M461" s="129">
        <v>1</v>
      </c>
      <c r="N461" s="142">
        <v>599.99</v>
      </c>
      <c r="O461" s="142">
        <v>599.99</v>
      </c>
    </row>
    <row r="462" ht="16.1" customHeight="1">
      <c r="I462" t="s" s="126">
        <v>5078</v>
      </c>
      <c r="J462" s="127"/>
      <c r="K462" s="127"/>
      <c r="L462" s="128"/>
      <c r="M462" s="129">
        <v>1</v>
      </c>
      <c r="N462" s="142">
        <v>59.99</v>
      </c>
      <c r="O462" s="142">
        <v>59.99</v>
      </c>
    </row>
    <row r="463" ht="16.1" customHeight="1">
      <c r="I463" t="s" s="126">
        <v>5087</v>
      </c>
      <c r="J463" s="127"/>
      <c r="K463" s="127"/>
      <c r="L463" s="128"/>
      <c r="M463" s="129">
        <v>1</v>
      </c>
      <c r="N463" s="142">
        <v>399.99</v>
      </c>
      <c r="O463" s="142">
        <v>399.99</v>
      </c>
    </row>
    <row r="464" ht="16.1" customHeight="1">
      <c r="I464" t="s" s="126">
        <v>5283</v>
      </c>
      <c r="J464" s="127"/>
      <c r="K464" s="127"/>
      <c r="L464" s="128"/>
      <c r="M464" s="129">
        <v>20</v>
      </c>
      <c r="N464" s="142">
        <v>328.97</v>
      </c>
      <c r="O464" s="142">
        <v>1831.8</v>
      </c>
    </row>
    <row r="465" ht="16.1" customHeight="1">
      <c r="I465" t="s" s="126">
        <v>5269</v>
      </c>
      <c r="J465" s="127"/>
      <c r="K465" s="127"/>
      <c r="L465" s="128"/>
      <c r="M465" s="129">
        <v>1</v>
      </c>
      <c r="N465" s="142">
        <v>349.99</v>
      </c>
      <c r="O465" s="142">
        <v>349.99</v>
      </c>
    </row>
    <row r="466" ht="16.1" customHeight="1">
      <c r="I466" t="s" s="126">
        <v>704</v>
      </c>
      <c r="J466" s="127"/>
      <c r="K466" s="127"/>
      <c r="L466" s="128"/>
      <c r="M466" s="129">
        <v>62</v>
      </c>
      <c r="N466" s="142">
        <v>631.8375</v>
      </c>
      <c r="O466" s="142">
        <v>2482.17</v>
      </c>
    </row>
    <row r="467" ht="16.1" customHeight="1">
      <c r="I467" t="s" s="126">
        <v>5174</v>
      </c>
      <c r="J467" s="127"/>
      <c r="K467" s="127"/>
      <c r="L467" s="128"/>
      <c r="M467" s="129">
        <v>1</v>
      </c>
      <c r="N467" s="142">
        <v>574.99</v>
      </c>
      <c r="O467" s="142">
        <v>574.99</v>
      </c>
    </row>
    <row r="468" ht="16.1" customHeight="1">
      <c r="I468" t="s" s="126">
        <v>5277</v>
      </c>
      <c r="J468" s="127"/>
      <c r="K468" s="127"/>
      <c r="L468" s="128"/>
      <c r="M468" s="129">
        <v>4</v>
      </c>
      <c r="N468" s="142">
        <v>8.99</v>
      </c>
      <c r="O468" s="142">
        <v>35.96</v>
      </c>
    </row>
    <row r="469" ht="16.1" customHeight="1">
      <c r="I469" t="s" s="126">
        <v>5267</v>
      </c>
      <c r="J469" s="127"/>
      <c r="K469" s="127"/>
      <c r="L469" s="128"/>
      <c r="M469" s="129">
        <v>3</v>
      </c>
      <c r="N469" s="142">
        <v>274.97</v>
      </c>
      <c r="O469" s="142">
        <v>274.97</v>
      </c>
    </row>
    <row r="470" ht="16.1" customHeight="1">
      <c r="I470" t="s" s="126">
        <v>473</v>
      </c>
      <c r="J470" s="127"/>
      <c r="K470" s="127"/>
      <c r="L470" s="128"/>
      <c r="M470" s="129">
        <v>9</v>
      </c>
      <c r="N470" s="142">
        <v>66.235</v>
      </c>
      <c r="O470" s="142">
        <v>163.6975</v>
      </c>
    </row>
    <row r="471" ht="16.1" customHeight="1">
      <c r="I471" t="s" s="126">
        <v>3410</v>
      </c>
      <c r="J471" s="127"/>
      <c r="K471" s="127"/>
      <c r="L471" s="128"/>
      <c r="M471" s="129">
        <v>8</v>
      </c>
      <c r="N471" s="142">
        <v>660.96</v>
      </c>
      <c r="O471" s="142">
        <v>668.92</v>
      </c>
    </row>
    <row r="472" ht="16.1" customHeight="1">
      <c r="I472" t="s" s="126">
        <v>4320</v>
      </c>
      <c r="J472" s="127"/>
      <c r="K472" s="127"/>
      <c r="L472" s="128"/>
      <c r="M472" s="129">
        <v>8</v>
      </c>
      <c r="N472" s="142">
        <v>1108.95</v>
      </c>
      <c r="O472" s="142">
        <v>1608.94</v>
      </c>
    </row>
    <row r="473" ht="16.1" customHeight="1">
      <c r="I473" t="s" s="126">
        <v>5312</v>
      </c>
      <c r="J473" s="127"/>
      <c r="K473" s="127"/>
      <c r="L473" s="128"/>
      <c r="M473" s="129">
        <v>2</v>
      </c>
      <c r="N473" s="142">
        <v>459.98</v>
      </c>
      <c r="O473" s="142">
        <v>459.98</v>
      </c>
    </row>
    <row r="474" ht="16.1" customHeight="1">
      <c r="I474" t="s" s="126">
        <v>5251</v>
      </c>
      <c r="J474" s="127"/>
      <c r="K474" s="127"/>
      <c r="L474" s="128"/>
      <c r="M474" s="129">
        <v>1</v>
      </c>
      <c r="N474" s="142">
        <v>549.99</v>
      </c>
      <c r="O474" s="142">
        <v>549.99</v>
      </c>
    </row>
    <row r="475" ht="16.1" customHeight="1">
      <c r="I475" t="s" s="126">
        <v>2710</v>
      </c>
      <c r="J475" s="127"/>
      <c r="K475" s="127"/>
      <c r="L475" s="128"/>
      <c r="M475" s="129">
        <v>1</v>
      </c>
      <c r="N475" s="142">
        <v>399.99</v>
      </c>
      <c r="O475" s="142">
        <v>399.99</v>
      </c>
    </row>
    <row r="476" ht="16.1" customHeight="1">
      <c r="I476" t="s" s="126">
        <v>5207</v>
      </c>
      <c r="J476" s="127"/>
      <c r="K476" s="127"/>
      <c r="L476" s="128"/>
      <c r="M476" s="129">
        <v>1</v>
      </c>
      <c r="N476" s="142">
        <v>349.99</v>
      </c>
      <c r="O476" s="142">
        <v>349.99</v>
      </c>
    </row>
    <row r="477" ht="16.1" customHeight="1">
      <c r="I477" t="s" s="126">
        <v>5188</v>
      </c>
      <c r="J477" s="127"/>
      <c r="K477" s="127"/>
      <c r="L477" s="128"/>
      <c r="M477" s="129">
        <v>2</v>
      </c>
      <c r="N477" s="142">
        <v>249.99</v>
      </c>
      <c r="O477" s="142">
        <v>499.98</v>
      </c>
    </row>
    <row r="478" ht="16.1" customHeight="1">
      <c r="I478" t="s" s="126">
        <v>1653</v>
      </c>
      <c r="J478" s="127"/>
      <c r="K478" s="127"/>
      <c r="L478" s="128"/>
      <c r="M478" s="129">
        <v>45</v>
      </c>
      <c r="N478" s="142">
        <v>1490.93</v>
      </c>
      <c r="O478" s="142">
        <v>5844.7</v>
      </c>
    </row>
    <row r="479" ht="16.1" customHeight="1">
      <c r="I479" t="s" s="126">
        <v>5097</v>
      </c>
      <c r="J479" s="127"/>
      <c r="K479" s="127"/>
      <c r="L479" s="128"/>
      <c r="M479" s="129">
        <v>2</v>
      </c>
      <c r="N479" s="142">
        <v>9.99</v>
      </c>
      <c r="O479" s="142">
        <v>19.98</v>
      </c>
    </row>
    <row r="480" ht="16.1" customHeight="1">
      <c r="I480" t="s" s="126">
        <v>5181</v>
      </c>
      <c r="J480" s="127"/>
      <c r="K480" s="127"/>
      <c r="L480" s="128"/>
      <c r="M480" s="129">
        <v>2</v>
      </c>
      <c r="N480" s="142">
        <v>58.98</v>
      </c>
      <c r="O480" s="142">
        <v>58.98</v>
      </c>
    </row>
    <row r="481" ht="16.1" customHeight="1">
      <c r="I481" t="s" s="126">
        <v>721</v>
      </c>
      <c r="J481" s="127"/>
      <c r="K481" s="127"/>
      <c r="L481" s="128"/>
      <c r="M481" s="129">
        <v>1224</v>
      </c>
      <c r="N481" s="142">
        <v>768.0225</v>
      </c>
      <c r="O481" s="142">
        <v>3638.04</v>
      </c>
    </row>
    <row r="482" ht="16.1" customHeight="1">
      <c r="I482" t="s" s="126">
        <v>5122</v>
      </c>
      <c r="J482" s="127"/>
      <c r="K482" s="127"/>
      <c r="L482" s="128"/>
      <c r="M482" s="129">
        <v>1</v>
      </c>
      <c r="N482" s="142">
        <v>7.49</v>
      </c>
      <c r="O482" s="142">
        <v>7.49</v>
      </c>
    </row>
    <row r="483" ht="16.1" customHeight="1">
      <c r="I483" t="s" s="126">
        <v>5111</v>
      </c>
      <c r="J483" s="127"/>
      <c r="K483" s="127"/>
      <c r="L483" s="128"/>
      <c r="M483" s="129">
        <v>1</v>
      </c>
      <c r="N483" s="142">
        <v>349.99</v>
      </c>
      <c r="O483" s="142">
        <v>349.99</v>
      </c>
    </row>
    <row r="484" ht="16.1" customHeight="1">
      <c r="I484" t="s" s="126">
        <v>122</v>
      </c>
      <c r="J484" s="127"/>
      <c r="K484" s="127"/>
      <c r="L484" s="128"/>
      <c r="M484" s="129">
        <v>47</v>
      </c>
      <c r="N484" s="142">
        <v>1930.765</v>
      </c>
      <c r="O484" s="142">
        <v>6433.5925</v>
      </c>
    </row>
    <row r="485" ht="16.1" customHeight="1">
      <c r="I485" t="s" s="126">
        <v>5289</v>
      </c>
      <c r="J485" s="127"/>
      <c r="K485" s="127"/>
      <c r="L485" s="128"/>
      <c r="M485" s="129">
        <v>4</v>
      </c>
      <c r="N485" s="142">
        <v>58.98</v>
      </c>
      <c r="O485" s="142">
        <v>117.96</v>
      </c>
    </row>
    <row r="486" ht="16.1" customHeight="1">
      <c r="I486" t="s" s="126">
        <v>2931</v>
      </c>
      <c r="J486" s="127"/>
      <c r="K486" s="127"/>
      <c r="L486" s="128"/>
      <c r="M486" s="129">
        <v>33</v>
      </c>
      <c r="N486" s="142">
        <v>542.085</v>
      </c>
      <c r="O486" s="142">
        <v>1963.215</v>
      </c>
    </row>
    <row r="487" ht="16.1" customHeight="1">
      <c r="I487" t="s" s="126">
        <v>5133</v>
      </c>
      <c r="J487" s="127"/>
      <c r="K487" s="127"/>
      <c r="L487" s="128"/>
      <c r="M487" s="129">
        <v>1</v>
      </c>
      <c r="N487" s="142">
        <v>599.99</v>
      </c>
      <c r="O487" s="142">
        <v>599.99</v>
      </c>
    </row>
    <row r="488" ht="16.1" customHeight="1">
      <c r="I488" t="s" s="126">
        <v>5223</v>
      </c>
      <c r="J488" s="127"/>
      <c r="K488" s="127"/>
      <c r="L488" s="128"/>
      <c r="M488" s="129">
        <v>4</v>
      </c>
      <c r="N488" s="142">
        <v>124.99</v>
      </c>
      <c r="O488" s="142">
        <v>249.98</v>
      </c>
    </row>
    <row r="489" ht="16.1" customHeight="1">
      <c r="I489" t="s" s="126">
        <v>5248</v>
      </c>
      <c r="J489" s="127"/>
      <c r="K489" s="127"/>
      <c r="L489" s="128"/>
      <c r="M489" s="129">
        <v>4</v>
      </c>
      <c r="N489" s="142">
        <v>58.98</v>
      </c>
      <c r="O489" s="142">
        <v>117.96</v>
      </c>
    </row>
    <row r="490" ht="16.1" customHeight="1">
      <c r="I490" t="s" s="126">
        <v>5212</v>
      </c>
      <c r="J490" s="127"/>
      <c r="K490" s="127"/>
      <c r="L490" s="128"/>
      <c r="M490" s="129">
        <v>5</v>
      </c>
      <c r="N490" s="142">
        <v>78.97</v>
      </c>
      <c r="O490" s="142">
        <v>148.95</v>
      </c>
    </row>
    <row r="491" ht="16.1" customHeight="1">
      <c r="I491" t="s" s="126">
        <v>5125</v>
      </c>
      <c r="J491" s="127"/>
      <c r="K491" s="127"/>
      <c r="L491" s="128"/>
      <c r="M491" s="129">
        <v>1</v>
      </c>
      <c r="N491" s="142">
        <v>374.99</v>
      </c>
      <c r="O491" s="142">
        <v>374.99</v>
      </c>
    </row>
    <row r="492" ht="16.1" customHeight="1">
      <c r="I492" t="s" s="126">
        <v>206</v>
      </c>
      <c r="J492" s="127"/>
      <c r="K492" s="127"/>
      <c r="L492" s="128"/>
      <c r="M492" s="129">
        <v>29</v>
      </c>
      <c r="N492" s="142">
        <v>4198.93</v>
      </c>
      <c r="O492" s="142">
        <v>7197.87</v>
      </c>
    </row>
    <row r="493" ht="16.1" customHeight="1">
      <c r="I493" t="s" s="126">
        <v>5291</v>
      </c>
      <c r="J493" s="127"/>
      <c r="K493" s="127"/>
      <c r="L493" s="128"/>
      <c r="M493" s="129">
        <v>2</v>
      </c>
      <c r="N493" s="142">
        <v>24.99</v>
      </c>
      <c r="O493" s="142">
        <v>49.98</v>
      </c>
    </row>
    <row r="494" ht="16.1" customHeight="1">
      <c r="I494" t="s" s="126">
        <v>5001</v>
      </c>
      <c r="J494" s="127"/>
      <c r="K494" s="127"/>
      <c r="L494" s="128"/>
      <c r="M494" s="129">
        <v>1</v>
      </c>
      <c r="N494" s="142">
        <v>1199.99</v>
      </c>
      <c r="O494" s="142">
        <v>1199.99</v>
      </c>
    </row>
    <row r="495" ht="16.1" customHeight="1">
      <c r="I495" t="s" s="126">
        <v>1566</v>
      </c>
      <c r="J495" s="127"/>
      <c r="K495" s="127"/>
      <c r="L495" s="128"/>
      <c r="M495" s="129">
        <v>1</v>
      </c>
      <c r="N495" s="142">
        <v>399.99</v>
      </c>
      <c r="O495" s="142">
        <v>399.99</v>
      </c>
    </row>
    <row r="496" ht="16.1" customHeight="1">
      <c r="I496" t="s" s="132">
        <v>5281</v>
      </c>
      <c r="J496" s="133"/>
      <c r="K496" s="133"/>
      <c r="L496" s="134"/>
      <c r="M496" s="135">
        <v>1</v>
      </c>
      <c r="N496" s="143">
        <v>599.99</v>
      </c>
      <c r="O496" s="143">
        <v>599.99</v>
      </c>
    </row>
    <row r="497" ht="16.1" customHeight="1">
      <c r="I497" t="s" s="33">
        <v>620</v>
      </c>
      <c r="M497" s="34">
        <v>2340</v>
      </c>
      <c r="N497" s="35">
        <v>71345.668000000005</v>
      </c>
      <c r="O497" s="35">
        <v>165768.4595</v>
      </c>
    </row>
    <row r="499" ht="15.55" customHeight="1">
      <c r="P499" t="s" s="2">
        <v>5320</v>
      </c>
      <c r="Q499" s="2"/>
    </row>
    <row r="500" ht="13.1" customHeight="1">
      <c r="P500" t="s" s="37">
        <v>4</v>
      </c>
      <c r="Q500" t="s" s="145">
        <v>617</v>
      </c>
    </row>
    <row r="501" ht="13.1" customHeight="1">
      <c r="P501" t="s" s="38">
        <v>559</v>
      </c>
      <c r="Q501" s="34">
        <v>1000</v>
      </c>
    </row>
    <row r="502" ht="12.9" customHeight="1">
      <c r="P502" t="s" s="40">
        <v>15</v>
      </c>
      <c r="Q502" s="146">
        <v>107</v>
      </c>
    </row>
    <row r="503" ht="12.9" customHeight="1">
      <c r="P503" t="s" s="40">
        <v>5233</v>
      </c>
      <c r="Q503" s="146">
        <v>84</v>
      </c>
    </row>
    <row r="504" ht="12.9" customHeight="1">
      <c r="P504" t="s" s="40">
        <v>2276</v>
      </c>
      <c r="Q504" s="146">
        <v>84</v>
      </c>
    </row>
    <row r="505" ht="12.9" customHeight="1">
      <c r="P505" t="s" s="40">
        <v>412</v>
      </c>
      <c r="Q505" s="146">
        <v>73</v>
      </c>
    </row>
    <row r="506" ht="12.9" customHeight="1">
      <c r="P506" t="s" s="40">
        <v>50</v>
      </c>
      <c r="Q506" s="146">
        <v>58</v>
      </c>
    </row>
    <row r="507" ht="12.9" customHeight="1">
      <c r="P507" t="s" s="40">
        <v>52</v>
      </c>
      <c r="Q507" s="146">
        <v>54</v>
      </c>
    </row>
    <row r="508" ht="12.9" customHeight="1">
      <c r="P508" t="s" s="40">
        <v>54</v>
      </c>
      <c r="Q508" s="146">
        <v>48</v>
      </c>
    </row>
    <row r="509" ht="12.9" customHeight="1">
      <c r="P509" t="s" s="40">
        <v>19</v>
      </c>
      <c r="Q509" s="146">
        <v>45</v>
      </c>
    </row>
    <row r="510" ht="12.9" customHeight="1">
      <c r="P510" t="s" s="40">
        <v>84</v>
      </c>
      <c r="Q510" s="146">
        <v>42</v>
      </c>
    </row>
    <row r="511" ht="12.9" customHeight="1">
      <c r="P511" t="s" s="40">
        <v>266</v>
      </c>
      <c r="Q511" s="146">
        <v>38</v>
      </c>
    </row>
    <row r="512" ht="12.9" customHeight="1">
      <c r="P512" t="s" s="40">
        <v>23</v>
      </c>
      <c r="Q512" s="146">
        <v>33</v>
      </c>
    </row>
    <row r="513" ht="12.9" customHeight="1">
      <c r="P513" t="s" s="40">
        <v>48</v>
      </c>
      <c r="Q513" s="146">
        <v>30</v>
      </c>
    </row>
    <row r="514" ht="12.9" customHeight="1">
      <c r="P514" t="s" s="40">
        <v>179</v>
      </c>
      <c r="Q514" s="146">
        <v>29</v>
      </c>
    </row>
    <row r="515" ht="12.9" customHeight="1">
      <c r="P515" t="s" s="40">
        <v>95</v>
      </c>
      <c r="Q515" s="146">
        <v>29</v>
      </c>
    </row>
    <row r="516" ht="12.9" customHeight="1">
      <c r="P516" t="s" s="40">
        <v>660</v>
      </c>
      <c r="Q516" s="146">
        <v>28</v>
      </c>
    </row>
    <row r="517" ht="12.9" customHeight="1">
      <c r="P517" t="s" s="40">
        <v>73</v>
      </c>
      <c r="Q517" s="146">
        <v>26</v>
      </c>
    </row>
    <row r="518" ht="12.9" customHeight="1">
      <c r="P518" t="s" s="40">
        <v>133</v>
      </c>
      <c r="Q518" s="146">
        <v>22</v>
      </c>
    </row>
    <row r="519" ht="12.9" customHeight="1">
      <c r="P519" t="s" s="40">
        <v>63</v>
      </c>
      <c r="Q519" s="146">
        <v>21</v>
      </c>
    </row>
    <row r="520" ht="12.9" customHeight="1">
      <c r="P520" t="s" s="40">
        <v>227</v>
      </c>
      <c r="Q520" s="146">
        <v>20</v>
      </c>
    </row>
    <row r="521" ht="12.9" customHeight="1">
      <c r="P521" t="s" s="40">
        <v>81</v>
      </c>
      <c r="Q521" s="146">
        <v>20</v>
      </c>
    </row>
    <row r="522" ht="12.9" customHeight="1">
      <c r="P522" t="s" s="40">
        <v>1695</v>
      </c>
      <c r="Q522" s="146">
        <v>15</v>
      </c>
    </row>
    <row r="523" ht="12.9" customHeight="1">
      <c r="P523" t="s" s="40">
        <v>225</v>
      </c>
      <c r="Q523" s="146">
        <v>15</v>
      </c>
    </row>
    <row r="524" ht="12.9" customHeight="1">
      <c r="P524" t="s" s="40">
        <v>470</v>
      </c>
      <c r="Q524" s="146">
        <v>15</v>
      </c>
    </row>
    <row r="525" ht="12.9" customHeight="1">
      <c r="P525" t="s" s="40">
        <v>4800</v>
      </c>
      <c r="Q525" s="146">
        <v>14</v>
      </c>
    </row>
    <row r="526" ht="12.9" customHeight="1">
      <c r="P526" t="s" s="40">
        <v>487</v>
      </c>
      <c r="Q526" s="146">
        <v>14</v>
      </c>
    </row>
    <row r="527" ht="12.9" customHeight="1">
      <c r="P527" t="s" s="40">
        <v>4127</v>
      </c>
      <c r="Q527" s="146">
        <v>12</v>
      </c>
    </row>
    <row r="528" ht="12.9" customHeight="1">
      <c r="P528" t="s" s="40">
        <v>3950</v>
      </c>
      <c r="Q528" s="146">
        <v>12</v>
      </c>
    </row>
    <row r="529" ht="12.9" customHeight="1">
      <c r="P529" t="s" s="40">
        <v>1007</v>
      </c>
      <c r="Q529" s="146">
        <v>12</v>
      </c>
    </row>
    <row r="530" ht="12.9" customHeight="1">
      <c r="P530" t="s" s="40">
        <v>5162</v>
      </c>
      <c r="Q530" s="146">
        <v>12</v>
      </c>
    </row>
    <row r="531" ht="12.9" customHeight="1">
      <c r="P531" t="s" s="40">
        <v>35</v>
      </c>
      <c r="Q531" s="146">
        <v>12</v>
      </c>
    </row>
    <row r="532" ht="12.9" customHeight="1">
      <c r="P532" t="s" s="40">
        <v>146</v>
      </c>
      <c r="Q532" s="146">
        <v>12</v>
      </c>
    </row>
    <row r="533" ht="12.9" customHeight="1">
      <c r="P533" t="s" s="40">
        <v>258</v>
      </c>
      <c r="Q533" s="146">
        <v>12</v>
      </c>
    </row>
    <row r="534" ht="12.9" customHeight="1">
      <c r="P534" t="s" s="40">
        <v>698</v>
      </c>
      <c r="Q534" s="146">
        <v>12</v>
      </c>
    </row>
    <row r="535" ht="12.9" customHeight="1">
      <c r="P535" t="s" s="40">
        <v>31</v>
      </c>
      <c r="Q535" s="146">
        <v>11</v>
      </c>
    </row>
    <row r="536" ht="12.9" customHeight="1">
      <c r="P536" t="s" s="40">
        <v>2947</v>
      </c>
      <c r="Q536" s="146">
        <v>10</v>
      </c>
    </row>
    <row r="537" ht="12.9" customHeight="1">
      <c r="P537" t="s" s="40">
        <v>125</v>
      </c>
      <c r="Q537" s="146">
        <v>10</v>
      </c>
    </row>
    <row r="538" ht="12.9" customHeight="1">
      <c r="P538" t="s" s="40">
        <v>4960</v>
      </c>
      <c r="Q538" s="146">
        <v>10</v>
      </c>
    </row>
    <row r="539" ht="12.9" customHeight="1">
      <c r="P539" t="s" s="40">
        <v>254</v>
      </c>
      <c r="Q539" s="146">
        <v>10</v>
      </c>
    </row>
    <row r="540" ht="12.9" customHeight="1">
      <c r="P540" t="s" s="40">
        <v>3587</v>
      </c>
      <c r="Q540" s="146">
        <v>10</v>
      </c>
    </row>
    <row r="541" ht="12.9" customHeight="1">
      <c r="P541" t="s" s="40">
        <v>2949</v>
      </c>
      <c r="Q541" s="146">
        <v>10</v>
      </c>
    </row>
    <row r="542" ht="12.9" customHeight="1">
      <c r="P542" t="s" s="40">
        <v>2359</v>
      </c>
      <c r="Q542" s="146">
        <v>10</v>
      </c>
    </row>
    <row r="543" ht="12.9" customHeight="1">
      <c r="P543" t="s" s="40">
        <v>4654</v>
      </c>
      <c r="Q543" s="146">
        <v>10</v>
      </c>
    </row>
    <row r="544" ht="12.9" customHeight="1">
      <c r="P544" t="s" s="40">
        <v>123</v>
      </c>
      <c r="Q544" s="146">
        <v>9</v>
      </c>
    </row>
    <row r="545" ht="12.9" customHeight="1">
      <c r="P545" t="s" s="40">
        <v>1054</v>
      </c>
      <c r="Q545" s="146">
        <v>9</v>
      </c>
    </row>
    <row r="546" ht="12.9" customHeight="1">
      <c r="P546" t="s" s="40">
        <v>2332</v>
      </c>
      <c r="Q546" s="146">
        <v>9</v>
      </c>
    </row>
    <row r="547" ht="12.9" customHeight="1">
      <c r="P547" t="s" s="40">
        <v>5246</v>
      </c>
      <c r="Q547" s="146">
        <v>8</v>
      </c>
    </row>
    <row r="548" ht="12.9" customHeight="1">
      <c r="P548" t="s" s="40">
        <v>89</v>
      </c>
      <c r="Q548" s="146">
        <v>7</v>
      </c>
    </row>
    <row r="549" ht="12.9" customHeight="1">
      <c r="P549" t="s" s="40">
        <v>497</v>
      </c>
      <c r="Q549" s="146">
        <v>6</v>
      </c>
    </row>
    <row r="550" ht="12.9" customHeight="1">
      <c r="P550" t="s" s="40">
        <v>1707</v>
      </c>
      <c r="Q550" s="146">
        <v>6</v>
      </c>
    </row>
    <row r="551" ht="12.9" customHeight="1">
      <c r="P551" t="s" s="40">
        <v>691</v>
      </c>
      <c r="Q551" s="146">
        <v>6</v>
      </c>
    </row>
    <row r="552" ht="12.9" customHeight="1">
      <c r="P552" t="s" s="40">
        <v>780</v>
      </c>
      <c r="Q552" s="146">
        <v>5</v>
      </c>
    </row>
    <row r="553" ht="12.9" customHeight="1">
      <c r="P553" t="s" s="40">
        <v>165</v>
      </c>
      <c r="Q553" s="146">
        <v>5</v>
      </c>
    </row>
    <row r="554" ht="12.9" customHeight="1">
      <c r="P554" t="s" s="40">
        <v>39</v>
      </c>
      <c r="Q554" s="146">
        <v>5</v>
      </c>
    </row>
    <row r="555" ht="12.9" customHeight="1">
      <c r="P555" t="s" s="40">
        <v>602</v>
      </c>
      <c r="Q555" s="146">
        <v>5</v>
      </c>
    </row>
    <row r="556" ht="12.9" customHeight="1">
      <c r="P556" t="s" s="40">
        <v>77</v>
      </c>
      <c r="Q556" s="146">
        <v>5</v>
      </c>
    </row>
    <row r="557" ht="12.9" customHeight="1">
      <c r="P557" t="s" s="40">
        <v>1729</v>
      </c>
      <c r="Q557" s="146">
        <v>5</v>
      </c>
    </row>
    <row r="558" ht="12.9" customHeight="1">
      <c r="P558" t="s" s="40">
        <v>171</v>
      </c>
      <c r="Q558" s="146">
        <v>5</v>
      </c>
    </row>
    <row r="559" ht="12.9" customHeight="1">
      <c r="P559" t="s" s="40">
        <v>11</v>
      </c>
      <c r="Q559" s="146">
        <v>5</v>
      </c>
    </row>
    <row r="560" ht="12.9" customHeight="1">
      <c r="P560" t="s" s="40">
        <v>59</v>
      </c>
      <c r="Q560" s="146">
        <v>5</v>
      </c>
    </row>
    <row r="561" ht="12.9" customHeight="1">
      <c r="P561" t="s" s="40">
        <v>3889</v>
      </c>
      <c r="Q561" s="146">
        <v>5</v>
      </c>
    </row>
    <row r="562" ht="12.9" customHeight="1">
      <c r="P562" t="s" s="40">
        <v>1046</v>
      </c>
      <c r="Q562" s="146">
        <v>4</v>
      </c>
    </row>
    <row r="563" ht="12.9" customHeight="1">
      <c r="P563" t="s" s="40">
        <v>299</v>
      </c>
      <c r="Q563" s="146">
        <v>4</v>
      </c>
    </row>
    <row r="564" ht="12.9" customHeight="1">
      <c r="P564" t="s" s="40">
        <v>143</v>
      </c>
      <c r="Q564" s="146">
        <v>4</v>
      </c>
    </row>
    <row r="565" ht="12.9" customHeight="1">
      <c r="P565" t="s" s="40">
        <v>1044</v>
      </c>
      <c r="Q565" s="146">
        <v>4</v>
      </c>
    </row>
    <row r="566" ht="12.9" customHeight="1">
      <c r="P566" t="s" s="40">
        <v>1048</v>
      </c>
      <c r="Q566" s="146">
        <v>4</v>
      </c>
    </row>
    <row r="567" ht="12.9" customHeight="1">
      <c r="P567" t="s" s="40">
        <v>1731</v>
      </c>
      <c r="Q567" s="146">
        <v>3</v>
      </c>
    </row>
    <row r="568" ht="12.9" customHeight="1">
      <c r="P568" t="s" s="40">
        <v>1914</v>
      </c>
      <c r="Q568" s="146">
        <v>3</v>
      </c>
    </row>
    <row r="569" ht="12.9" customHeight="1">
      <c r="P569" t="s" s="40">
        <v>2968</v>
      </c>
      <c r="Q569" s="146">
        <v>2</v>
      </c>
    </row>
    <row r="570" ht="12.9" customHeight="1">
      <c r="P570" t="s" s="40">
        <v>1892</v>
      </c>
      <c r="Q570" s="146">
        <v>2</v>
      </c>
    </row>
    <row r="571" ht="12.9" customHeight="1">
      <c r="P571" t="s" s="40">
        <v>5138</v>
      </c>
      <c r="Q571" s="146">
        <v>2</v>
      </c>
    </row>
    <row r="572" ht="12.9" customHeight="1">
      <c r="P572" t="s" s="40">
        <v>589</v>
      </c>
      <c r="Q572" s="146">
        <v>2</v>
      </c>
    </row>
    <row r="573" ht="12.9" customHeight="1">
      <c r="P573" t="s" s="40">
        <v>1593</v>
      </c>
      <c r="Q573" s="146">
        <v>2</v>
      </c>
    </row>
    <row r="574" ht="12.9" customHeight="1">
      <c r="P574" t="s" s="40">
        <v>213</v>
      </c>
      <c r="Q574" s="146">
        <v>2</v>
      </c>
    </row>
    <row r="575" ht="12.9" customHeight="1">
      <c r="P575" t="s" s="40">
        <v>1479</v>
      </c>
      <c r="Q575" s="146">
        <v>2</v>
      </c>
    </row>
    <row r="576" ht="12.9" customHeight="1">
      <c r="P576" t="s" s="40">
        <v>359</v>
      </c>
      <c r="Q576" s="146">
        <v>2</v>
      </c>
    </row>
    <row r="577" ht="12.9" customHeight="1">
      <c r="P577" t="s" s="40">
        <v>5095</v>
      </c>
      <c r="Q577" s="146">
        <v>2</v>
      </c>
    </row>
    <row r="578" ht="12.9" customHeight="1">
      <c r="P578" t="s" s="40">
        <v>933</v>
      </c>
      <c r="Q578" s="146">
        <v>2</v>
      </c>
    </row>
    <row r="579" ht="12.9" customHeight="1">
      <c r="P579" t="s" s="40">
        <v>468</v>
      </c>
      <c r="Q579" s="146">
        <v>2</v>
      </c>
    </row>
    <row r="580" ht="12.9" customHeight="1">
      <c r="P580" t="s" s="40">
        <v>5144</v>
      </c>
      <c r="Q580" s="146">
        <v>2</v>
      </c>
    </row>
    <row r="581" ht="12.9" customHeight="1">
      <c r="P581" t="s" s="40">
        <v>301</v>
      </c>
      <c r="Q581" s="146">
        <v>2</v>
      </c>
    </row>
    <row r="582" ht="12.9" customHeight="1">
      <c r="P582" t="s" s="40">
        <v>892</v>
      </c>
      <c r="Q582" s="146">
        <v>2</v>
      </c>
    </row>
    <row r="583" ht="12.9" customHeight="1">
      <c r="P583" t="s" s="40">
        <v>645</v>
      </c>
      <c r="Q583" s="146">
        <v>2</v>
      </c>
    </row>
    <row r="584" ht="12.9" customHeight="1">
      <c r="P584" t="s" s="40">
        <v>47</v>
      </c>
      <c r="Q584" s="146">
        <v>2</v>
      </c>
    </row>
    <row r="585" ht="12.9" customHeight="1">
      <c r="P585" t="s" s="40">
        <v>2512</v>
      </c>
      <c r="Q585" s="146">
        <v>2</v>
      </c>
    </row>
    <row r="586" ht="12.9" customHeight="1">
      <c r="P586" t="s" s="40">
        <v>1186</v>
      </c>
      <c r="Q586" s="146">
        <v>1</v>
      </c>
    </row>
    <row r="587" ht="12.9" customHeight="1">
      <c r="P587" t="s" s="40">
        <v>1187</v>
      </c>
      <c r="Q587" s="146">
        <v>1</v>
      </c>
    </row>
    <row r="588" ht="12.9" customHeight="1">
      <c r="P588" t="s" s="40">
        <v>109</v>
      </c>
      <c r="Q588" s="146">
        <v>1</v>
      </c>
    </row>
    <row r="589" ht="12.9" customHeight="1">
      <c r="P589" t="s" s="40">
        <v>3912</v>
      </c>
      <c r="Q589" s="146">
        <v>1</v>
      </c>
    </row>
    <row r="590" ht="12.9" customHeight="1">
      <c r="P590" t="s" s="40">
        <v>775</v>
      </c>
      <c r="Q590" s="146">
        <v>1</v>
      </c>
    </row>
    <row r="591" ht="12.9" customHeight="1">
      <c r="P591" t="s" s="40">
        <v>5160</v>
      </c>
      <c r="Q591" s="146">
        <v>1</v>
      </c>
    </row>
    <row r="592" ht="12.9" customHeight="1">
      <c r="P592" t="s" s="40">
        <v>5158</v>
      </c>
      <c r="Q592" s="146">
        <v>1</v>
      </c>
    </row>
    <row r="593" ht="12.9" customHeight="1">
      <c r="P593" t="s" s="40">
        <v>2433</v>
      </c>
      <c r="Q593" s="146">
        <v>1</v>
      </c>
    </row>
    <row r="594" ht="12.9" customHeight="1">
      <c r="P594" t="s" s="40">
        <v>1961</v>
      </c>
      <c r="Q594" s="146">
        <v>1</v>
      </c>
    </row>
    <row r="595" ht="12.9" customHeight="1">
      <c r="P595" t="s" s="40">
        <v>207</v>
      </c>
      <c r="Q595" s="146">
        <v>1</v>
      </c>
    </row>
    <row r="596" ht="12.9" customHeight="1">
      <c r="P596" t="s" s="40">
        <v>400</v>
      </c>
      <c r="Q596" s="146">
        <v>1</v>
      </c>
    </row>
    <row r="597" ht="12.9" customHeight="1">
      <c r="P597" t="s" s="40">
        <v>5168</v>
      </c>
      <c r="Q597" s="146">
        <v>1</v>
      </c>
    </row>
    <row r="598" ht="12.9" customHeight="1">
      <c r="P598" t="s" s="40">
        <v>5274</v>
      </c>
      <c r="Q598" s="146">
        <v>1</v>
      </c>
    </row>
    <row r="599" ht="12.9" customHeight="1">
      <c r="P599" t="s" s="40">
        <v>442</v>
      </c>
      <c r="Q599" s="146">
        <v>1</v>
      </c>
    </row>
    <row r="600" ht="12.9" customHeight="1">
      <c r="P600" t="s" s="40">
        <v>1482</v>
      </c>
      <c r="Q600" s="146">
        <v>1</v>
      </c>
    </row>
    <row r="601" ht="12.9" customHeight="1">
      <c r="P601" t="s" s="40">
        <v>3914</v>
      </c>
      <c r="Q601" s="146">
        <v>1</v>
      </c>
    </row>
    <row r="602" ht="12.9" customHeight="1">
      <c r="P602" t="s" s="40">
        <v>250</v>
      </c>
      <c r="Q602" s="146">
        <v>1</v>
      </c>
    </row>
    <row r="603" ht="12.9" customHeight="1">
      <c r="P603" t="s" s="40">
        <v>5170</v>
      </c>
      <c r="Q603" s="146">
        <v>1</v>
      </c>
    </row>
    <row r="604" ht="13.1" customHeight="1">
      <c r="P604" t="s" s="42">
        <v>5156</v>
      </c>
      <c r="Q604" s="147">
        <v>1</v>
      </c>
    </row>
    <row r="605" ht="13.1" customHeight="1">
      <c r="P605" t="s" s="44">
        <v>620</v>
      </c>
      <c r="Q605" s="34">
        <v>2340</v>
      </c>
    </row>
    <row r="607" ht="15.55" customHeight="1">
      <c r="R607" t="s" s="2">
        <v>5321</v>
      </c>
      <c r="S607" s="2"/>
    </row>
    <row r="608" ht="13.1" customHeight="1">
      <c r="R608" t="s" s="37">
        <v>4</v>
      </c>
      <c r="S608" t="s" s="145">
        <v>619</v>
      </c>
    </row>
    <row r="609" ht="13.1" customHeight="1">
      <c r="R609" t="s" s="38">
        <v>48</v>
      </c>
      <c r="S609" s="59">
        <v>36919.716</v>
      </c>
    </row>
    <row r="610" ht="12.9" customHeight="1">
      <c r="R610" t="s" s="40">
        <v>4960</v>
      </c>
      <c r="S610" s="345">
        <v>17000</v>
      </c>
    </row>
    <row r="611" ht="12.9" customHeight="1">
      <c r="R611" t="s" s="40">
        <v>81</v>
      </c>
      <c r="S611" s="345">
        <v>16149.81</v>
      </c>
    </row>
    <row r="612" ht="12.9" customHeight="1">
      <c r="R612" t="s" s="40">
        <v>143</v>
      </c>
      <c r="S612" s="345">
        <v>10699.96</v>
      </c>
    </row>
    <row r="613" ht="12.9" customHeight="1">
      <c r="R613" t="s" s="40">
        <v>73</v>
      </c>
      <c r="S613" s="345">
        <v>8929.785</v>
      </c>
    </row>
    <row r="614" ht="12.9" customHeight="1">
      <c r="R614" t="s" s="40">
        <v>95</v>
      </c>
      <c r="S614" s="345">
        <v>8749.75</v>
      </c>
    </row>
    <row r="615" ht="12.9" customHeight="1">
      <c r="R615" t="s" s="40">
        <v>31</v>
      </c>
      <c r="S615" s="345">
        <v>6574.89</v>
      </c>
    </row>
    <row r="616" ht="12.9" customHeight="1">
      <c r="R616" t="s" s="40">
        <v>225</v>
      </c>
      <c r="S616" s="345">
        <v>6249.875</v>
      </c>
    </row>
    <row r="617" ht="12.9" customHeight="1">
      <c r="R617" t="s" s="40">
        <v>59</v>
      </c>
      <c r="S617" s="345">
        <v>5099.9575</v>
      </c>
    </row>
    <row r="618" ht="12.9" customHeight="1">
      <c r="R618" t="s" s="40">
        <v>468</v>
      </c>
      <c r="S618" s="345">
        <v>4999.98</v>
      </c>
    </row>
    <row r="619" ht="12.9" customHeight="1">
      <c r="R619" t="s" s="40">
        <v>19</v>
      </c>
      <c r="S619" s="345">
        <v>4649.6125</v>
      </c>
    </row>
    <row r="620" ht="12.9" customHeight="1">
      <c r="R620" t="s" s="40">
        <v>470</v>
      </c>
      <c r="S620" s="345">
        <v>3024.895</v>
      </c>
    </row>
    <row r="621" ht="12.9" customHeight="1">
      <c r="R621" t="s" s="40">
        <v>63</v>
      </c>
      <c r="S621" s="345">
        <v>2716.45</v>
      </c>
    </row>
    <row r="622" ht="12.9" customHeight="1">
      <c r="R622" t="s" s="40">
        <v>171</v>
      </c>
      <c r="S622" s="345">
        <v>2612.4525</v>
      </c>
    </row>
    <row r="623" ht="12.9" customHeight="1">
      <c r="R623" t="s" s="40">
        <v>933</v>
      </c>
      <c r="S623" s="345">
        <v>2599.98</v>
      </c>
    </row>
    <row r="624" ht="12.9" customHeight="1">
      <c r="R624" t="s" s="40">
        <v>5095</v>
      </c>
      <c r="S624" s="345">
        <v>2599.98</v>
      </c>
    </row>
    <row r="625" ht="12.9" customHeight="1">
      <c r="R625" t="s" s="40">
        <v>133</v>
      </c>
      <c r="S625" s="345">
        <v>2049.9325</v>
      </c>
    </row>
    <row r="626" ht="12.9" customHeight="1">
      <c r="R626" t="s" s="40">
        <v>23</v>
      </c>
      <c r="S626" s="345">
        <v>1874.875</v>
      </c>
    </row>
    <row r="627" ht="12.9" customHeight="1">
      <c r="R627" t="s" s="40">
        <v>11</v>
      </c>
      <c r="S627" s="345">
        <v>1834.9535</v>
      </c>
    </row>
    <row r="628" ht="12.9" customHeight="1">
      <c r="R628" t="s" s="40">
        <v>691</v>
      </c>
      <c r="S628" s="345">
        <v>1507.455</v>
      </c>
    </row>
    <row r="629" ht="12.9" customHeight="1">
      <c r="R629" t="s" s="40">
        <v>4800</v>
      </c>
      <c r="S629" s="345">
        <v>1500</v>
      </c>
    </row>
    <row r="630" ht="12.9" customHeight="1">
      <c r="R630" t="s" s="40">
        <v>2332</v>
      </c>
      <c r="S630" s="345">
        <v>1499.925</v>
      </c>
    </row>
    <row r="631" ht="12.9" customHeight="1">
      <c r="R631" t="s" s="40">
        <v>123</v>
      </c>
      <c r="S631" s="345">
        <v>1394.9225</v>
      </c>
    </row>
    <row r="632" ht="12.9" customHeight="1">
      <c r="R632" t="s" s="40">
        <v>645</v>
      </c>
      <c r="S632" s="345">
        <v>1350</v>
      </c>
    </row>
    <row r="633" ht="12.9" customHeight="1">
      <c r="R633" t="s" s="40">
        <v>602</v>
      </c>
      <c r="S633" s="345">
        <v>1249.97</v>
      </c>
    </row>
    <row r="634" ht="12.9" customHeight="1">
      <c r="R634" t="s" s="40">
        <v>179</v>
      </c>
      <c r="S634" s="345">
        <v>1174.765</v>
      </c>
    </row>
    <row r="635" ht="12.9" customHeight="1">
      <c r="R635" t="s" s="40">
        <v>487</v>
      </c>
      <c r="S635" s="345">
        <v>1099.9</v>
      </c>
    </row>
    <row r="636" ht="12.9" customHeight="1">
      <c r="R636" t="s" s="40">
        <v>4127</v>
      </c>
      <c r="S636" s="345">
        <v>877.5</v>
      </c>
    </row>
    <row r="637" ht="12.9" customHeight="1">
      <c r="R637" t="s" s="40">
        <v>213</v>
      </c>
      <c r="S637" s="345">
        <v>824.985</v>
      </c>
    </row>
    <row r="638" ht="12.9" customHeight="1">
      <c r="R638" t="s" s="40">
        <v>1695</v>
      </c>
      <c r="S638" s="345">
        <v>749.85</v>
      </c>
    </row>
    <row r="639" ht="12.9" customHeight="1">
      <c r="R639" t="s" s="40">
        <v>125</v>
      </c>
      <c r="S639" s="345">
        <v>649.9</v>
      </c>
    </row>
    <row r="640" ht="12.9" customHeight="1">
      <c r="R640" t="s" s="40">
        <v>5246</v>
      </c>
      <c r="S640" s="345">
        <v>600</v>
      </c>
    </row>
    <row r="641" ht="12.9" customHeight="1">
      <c r="R641" t="s" s="40">
        <v>35</v>
      </c>
      <c r="S641" s="345">
        <v>599.88</v>
      </c>
    </row>
    <row r="642" ht="12.9" customHeight="1">
      <c r="R642" t="s" s="40">
        <v>39</v>
      </c>
      <c r="S642" s="345">
        <v>549.95</v>
      </c>
    </row>
    <row r="643" ht="12.9" customHeight="1">
      <c r="R643" t="s" s="40">
        <v>47</v>
      </c>
      <c r="S643" s="345">
        <v>450</v>
      </c>
    </row>
    <row r="644" ht="12.9" customHeight="1">
      <c r="R644" t="s" s="40">
        <v>1479</v>
      </c>
      <c r="S644" s="345">
        <v>449.985</v>
      </c>
    </row>
    <row r="645" ht="12.9" customHeight="1">
      <c r="R645" t="s" s="40">
        <v>89</v>
      </c>
      <c r="S645" s="345">
        <v>419.93</v>
      </c>
    </row>
    <row r="646" ht="12.9" customHeight="1">
      <c r="R646" t="s" s="40">
        <v>227</v>
      </c>
      <c r="S646" s="345">
        <v>419.86</v>
      </c>
    </row>
    <row r="647" ht="12.9" customHeight="1">
      <c r="R647" t="s" s="40">
        <v>15</v>
      </c>
      <c r="S647" s="345">
        <v>368.59</v>
      </c>
    </row>
    <row r="648" ht="12.9" customHeight="1">
      <c r="R648" t="s" s="40">
        <v>52</v>
      </c>
      <c r="S648" s="345">
        <v>359.82</v>
      </c>
    </row>
    <row r="649" ht="12.9" customHeight="1">
      <c r="R649" t="s" s="40">
        <v>1054</v>
      </c>
      <c r="S649" s="345">
        <v>299.98</v>
      </c>
    </row>
    <row r="650" ht="12.9" customHeight="1">
      <c r="R650" t="s" s="40">
        <v>146</v>
      </c>
      <c r="S650" s="345">
        <v>239.88</v>
      </c>
    </row>
    <row r="651" ht="12.9" customHeight="1">
      <c r="R651" t="s" s="40">
        <v>559</v>
      </c>
      <c r="S651" s="345">
        <v>225</v>
      </c>
    </row>
    <row r="652" ht="12.9" customHeight="1">
      <c r="R652" t="s" s="40">
        <v>1593</v>
      </c>
      <c r="S652" s="345">
        <v>199.98</v>
      </c>
    </row>
    <row r="653" ht="12.9" customHeight="1">
      <c r="R653" t="s" s="40">
        <v>54</v>
      </c>
      <c r="S653" s="345">
        <v>199.8</v>
      </c>
    </row>
    <row r="654" ht="12.9" customHeight="1">
      <c r="R654" t="s" s="40">
        <v>2276</v>
      </c>
      <c r="S654" s="345">
        <v>189</v>
      </c>
    </row>
    <row r="655" ht="12.9" customHeight="1">
      <c r="R655" t="s" s="40">
        <v>698</v>
      </c>
      <c r="S655" s="345">
        <v>179.91</v>
      </c>
    </row>
    <row r="656" ht="12.9" customHeight="1">
      <c r="R656" t="s" s="40">
        <v>660</v>
      </c>
      <c r="S656" s="345">
        <v>167.72</v>
      </c>
    </row>
    <row r="657" ht="12.9" customHeight="1">
      <c r="R657" t="s" s="40">
        <v>5170</v>
      </c>
      <c r="S657" s="345">
        <v>150</v>
      </c>
    </row>
    <row r="658" ht="12.9" customHeight="1">
      <c r="R658" t="s" s="40">
        <v>299</v>
      </c>
      <c r="S658" s="345">
        <v>139.98</v>
      </c>
    </row>
    <row r="659" ht="12.9" customHeight="1">
      <c r="R659" t="s" s="40">
        <v>50</v>
      </c>
      <c r="S659" s="345">
        <v>134.955</v>
      </c>
    </row>
    <row r="660" ht="12.9" customHeight="1">
      <c r="R660" t="s" s="40">
        <v>258</v>
      </c>
      <c r="S660" s="345">
        <v>134.91</v>
      </c>
    </row>
    <row r="661" ht="12.9" customHeight="1">
      <c r="R661" t="s" s="40">
        <v>84</v>
      </c>
      <c r="S661" s="345">
        <v>120</v>
      </c>
    </row>
    <row r="662" ht="12.9" customHeight="1">
      <c r="R662" t="s" s="40">
        <v>109</v>
      </c>
      <c r="S662" s="345">
        <v>112.5</v>
      </c>
    </row>
    <row r="663" ht="12.9" customHeight="1">
      <c r="R663" t="s" s="40">
        <v>1961</v>
      </c>
      <c r="S663" s="345">
        <v>109.99</v>
      </c>
    </row>
    <row r="664" ht="12.9" customHeight="1">
      <c r="R664" t="s" s="40">
        <v>497</v>
      </c>
      <c r="S664" s="345">
        <v>99.9525</v>
      </c>
    </row>
    <row r="665" ht="12.9" customHeight="1">
      <c r="R665" t="s" s="40">
        <v>77</v>
      </c>
      <c r="S665" s="345">
        <v>99.95</v>
      </c>
    </row>
    <row r="666" ht="12.9" customHeight="1">
      <c r="R666" t="s" s="40">
        <v>2968</v>
      </c>
      <c r="S666" s="345">
        <v>97.5</v>
      </c>
    </row>
    <row r="667" ht="12.9" customHeight="1">
      <c r="R667" t="s" s="40">
        <v>3889</v>
      </c>
      <c r="S667" s="345">
        <v>93.71250000000001</v>
      </c>
    </row>
    <row r="668" ht="12.9" customHeight="1">
      <c r="R668" t="s" s="40">
        <v>5233</v>
      </c>
      <c r="S668" s="345">
        <v>78.75</v>
      </c>
    </row>
    <row r="669" ht="12.9" customHeight="1">
      <c r="R669" t="s" s="40">
        <v>1729</v>
      </c>
      <c r="S669" s="345">
        <v>74.95</v>
      </c>
    </row>
    <row r="670" ht="12.9" customHeight="1">
      <c r="R670" t="s" s="40">
        <v>1914</v>
      </c>
      <c r="S670" s="345">
        <v>73.125</v>
      </c>
    </row>
    <row r="671" ht="12.9" customHeight="1">
      <c r="R671" t="s" s="40">
        <v>3950</v>
      </c>
      <c r="S671" s="345">
        <v>67.41</v>
      </c>
    </row>
    <row r="672" ht="12.9" customHeight="1">
      <c r="R672" t="s" s="40">
        <v>1007</v>
      </c>
      <c r="S672" s="345">
        <v>63</v>
      </c>
    </row>
    <row r="673" ht="12.9" customHeight="1">
      <c r="R673" t="s" s="40">
        <v>359</v>
      </c>
      <c r="S673" s="345">
        <v>59.98</v>
      </c>
    </row>
    <row r="674" ht="12.9" customHeight="1">
      <c r="R674" t="s" s="40">
        <v>1731</v>
      </c>
      <c r="S674" s="345">
        <v>49.98</v>
      </c>
    </row>
    <row r="675" ht="12.9" customHeight="1">
      <c r="R675" t="s" s="40">
        <v>892</v>
      </c>
      <c r="S675" s="345">
        <v>44.985</v>
      </c>
    </row>
    <row r="676" ht="12.9" customHeight="1">
      <c r="R676" t="s" s="40">
        <v>1707</v>
      </c>
      <c r="S676" s="345">
        <v>44.9525</v>
      </c>
    </row>
    <row r="677" ht="12.9" customHeight="1">
      <c r="R677" t="s" s="40">
        <v>412</v>
      </c>
      <c r="S677" s="345">
        <v>41.79</v>
      </c>
    </row>
    <row r="678" ht="12.9" customHeight="1">
      <c r="R678" t="s" s="40">
        <v>5144</v>
      </c>
      <c r="S678" s="345">
        <v>36</v>
      </c>
    </row>
    <row r="679" ht="12.9" customHeight="1">
      <c r="R679" t="s" s="40">
        <v>775</v>
      </c>
      <c r="S679" s="345">
        <v>30</v>
      </c>
    </row>
    <row r="680" ht="12.9" customHeight="1">
      <c r="R680" t="s" s="40">
        <v>400</v>
      </c>
      <c r="S680" s="345">
        <v>22.5</v>
      </c>
    </row>
    <row r="681" ht="12.9" customHeight="1">
      <c r="R681" t="s" s="40">
        <v>3587</v>
      </c>
      <c r="S681" s="345">
        <v>18.75</v>
      </c>
    </row>
    <row r="682" ht="12.9" customHeight="1">
      <c r="R682" t="s" s="40">
        <v>589</v>
      </c>
      <c r="S682" s="345">
        <v>14.98</v>
      </c>
    </row>
    <row r="683" ht="12.9" customHeight="1">
      <c r="R683" t="s" s="40">
        <v>5274</v>
      </c>
      <c r="S683" s="345">
        <v>9</v>
      </c>
    </row>
    <row r="684" ht="12.9" customHeight="1">
      <c r="R684" t="s" s="40">
        <v>207</v>
      </c>
      <c r="S684" s="345">
        <v>7.5</v>
      </c>
    </row>
    <row r="685" ht="12.9" customHeight="1">
      <c r="R685" t="s" s="40">
        <v>2947</v>
      </c>
      <c r="S685" s="345">
        <v>7.5</v>
      </c>
    </row>
    <row r="686" ht="12.9" customHeight="1">
      <c r="R686" t="s" s="40">
        <v>780</v>
      </c>
      <c r="S686" s="345">
        <v>5.625</v>
      </c>
    </row>
    <row r="687" ht="12.9" customHeight="1">
      <c r="R687" t="s" s="40">
        <v>266</v>
      </c>
      <c r="S687" s="345">
        <v>4.275</v>
      </c>
    </row>
    <row r="688" ht="12.9" customHeight="1">
      <c r="R688" t="s" s="40">
        <v>3912</v>
      </c>
      <c r="S688" s="345">
        <v>3.75</v>
      </c>
    </row>
    <row r="689" ht="12.9" customHeight="1">
      <c r="R689" t="s" s="40">
        <v>2433</v>
      </c>
      <c r="S689" s="345">
        <v>0.375</v>
      </c>
    </row>
    <row r="690" ht="12.9" customHeight="1">
      <c r="R690" t="s" s="40">
        <v>4654</v>
      </c>
      <c r="S690" s="345">
        <v>0</v>
      </c>
    </row>
    <row r="691" ht="12.9" customHeight="1">
      <c r="R691" t="s" s="40">
        <v>2359</v>
      </c>
      <c r="S691" s="345">
        <v>0</v>
      </c>
    </row>
    <row r="692" ht="12.9" customHeight="1">
      <c r="R692" t="s" s="40">
        <v>2949</v>
      </c>
      <c r="S692" s="345">
        <v>0</v>
      </c>
    </row>
    <row r="693" ht="12.9" customHeight="1">
      <c r="R693" t="s" s="40">
        <v>5156</v>
      </c>
      <c r="S693" s="345">
        <v>0</v>
      </c>
    </row>
    <row r="694" ht="12.9" customHeight="1">
      <c r="R694" t="s" s="40">
        <v>2512</v>
      </c>
      <c r="S694" s="345">
        <v>0</v>
      </c>
    </row>
    <row r="695" ht="12.9" customHeight="1">
      <c r="R695" t="s" s="40">
        <v>254</v>
      </c>
      <c r="S695" s="345">
        <v>0</v>
      </c>
    </row>
    <row r="696" ht="12.9" customHeight="1">
      <c r="R696" t="s" s="40">
        <v>1048</v>
      </c>
      <c r="S696" s="345">
        <v>0</v>
      </c>
    </row>
    <row r="697" ht="12.9" customHeight="1">
      <c r="R697" t="s" s="40">
        <v>250</v>
      </c>
      <c r="S697" s="345">
        <v>0</v>
      </c>
    </row>
    <row r="698" ht="12.9" customHeight="1">
      <c r="R698" t="s" s="40">
        <v>3914</v>
      </c>
      <c r="S698" s="345">
        <v>0</v>
      </c>
    </row>
    <row r="699" ht="12.9" customHeight="1">
      <c r="R699" t="s" s="40">
        <v>301</v>
      </c>
      <c r="S699" s="345">
        <v>0</v>
      </c>
    </row>
    <row r="700" ht="12.9" customHeight="1">
      <c r="R700" t="s" s="40">
        <v>1482</v>
      </c>
      <c r="S700" s="345">
        <v>0</v>
      </c>
    </row>
    <row r="701" ht="12.9" customHeight="1">
      <c r="R701" t="s" s="40">
        <v>5168</v>
      </c>
      <c r="S701" s="345">
        <v>0</v>
      </c>
    </row>
    <row r="702" ht="12.9" customHeight="1">
      <c r="R702" t="s" s="40">
        <v>1044</v>
      </c>
      <c r="S702" s="345">
        <v>0</v>
      </c>
    </row>
    <row r="703" ht="12.9" customHeight="1">
      <c r="R703" t="s" s="40">
        <v>5138</v>
      </c>
      <c r="S703" s="345">
        <v>0</v>
      </c>
    </row>
    <row r="704" ht="12.9" customHeight="1">
      <c r="R704" t="s" s="40">
        <v>165</v>
      </c>
      <c r="S704" s="345">
        <v>0</v>
      </c>
    </row>
    <row r="705" ht="12.9" customHeight="1">
      <c r="R705" t="s" s="40">
        <v>5162</v>
      </c>
      <c r="S705" s="345">
        <v>0</v>
      </c>
    </row>
    <row r="706" ht="12.9" customHeight="1">
      <c r="R706" t="s" s="40">
        <v>5158</v>
      </c>
      <c r="S706" s="345">
        <v>0</v>
      </c>
    </row>
    <row r="707" ht="12.9" customHeight="1">
      <c r="R707" t="s" s="40">
        <v>5160</v>
      </c>
      <c r="S707" s="345">
        <v>0</v>
      </c>
    </row>
    <row r="708" ht="12.9" customHeight="1">
      <c r="R708" t="s" s="40">
        <v>1892</v>
      </c>
      <c r="S708" s="345">
        <v>0</v>
      </c>
    </row>
    <row r="709" ht="12.9" customHeight="1">
      <c r="R709" t="s" s="40">
        <v>1187</v>
      </c>
      <c r="S709" s="345">
        <v>0</v>
      </c>
    </row>
    <row r="710" ht="12.9" customHeight="1">
      <c r="R710" t="s" s="40">
        <v>1186</v>
      </c>
      <c r="S710" s="345">
        <v>0</v>
      </c>
    </row>
    <row r="711" ht="12.9" customHeight="1">
      <c r="R711" t="s" s="40">
        <v>1046</v>
      </c>
      <c r="S711" s="345">
        <v>0</v>
      </c>
    </row>
    <row r="712" ht="13.1" customHeight="1">
      <c r="R712" t="s" s="42">
        <v>442</v>
      </c>
      <c r="S712" s="346">
        <v>-1419.48</v>
      </c>
    </row>
    <row r="713" ht="13.1" customHeight="1">
      <c r="R713" t="s" s="44">
        <v>620</v>
      </c>
      <c r="S713" s="59">
        <v>165768.4595</v>
      </c>
    </row>
  </sheetData>
  <mergeCells count="4">
    <mergeCell ref="A1:H1"/>
    <mergeCell ref="I389:O389"/>
    <mergeCell ref="P499:Q499"/>
    <mergeCell ref="R607:S60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2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329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8" width="16.3516" style="347" customWidth="1"/>
    <col min="9" max="9" width="28.0156" style="348" customWidth="1"/>
    <col min="10" max="15" width="13.3516" style="348" customWidth="1"/>
    <col min="16" max="16" width="33.5391" style="354" customWidth="1"/>
    <col min="17" max="17" width="13.3516" style="354" customWidth="1"/>
    <col min="18" max="18" width="30.4531" style="355" customWidth="1"/>
    <col min="19" max="19" width="13.3516" style="355" customWidth="1"/>
    <col min="20" max="16384" width="16.3516" style="355" customWidth="1"/>
  </cols>
  <sheetData>
    <row r="1" ht="15.55" customHeight="1">
      <c r="A1" t="s" s="2">
        <v>5322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5323</v>
      </c>
      <c r="B3" t="s" s="5">
        <v>1209</v>
      </c>
      <c r="C3" s="6">
        <v>45077.867769097225</v>
      </c>
      <c r="D3" t="s" s="7">
        <v>95</v>
      </c>
      <c r="E3" t="s" s="7">
        <v>12</v>
      </c>
      <c r="F3" s="8">
        <v>1</v>
      </c>
      <c r="G3" s="9">
        <v>349.99</v>
      </c>
      <c r="H3" s="9">
        <v>349.99</v>
      </c>
    </row>
    <row r="4" ht="12.9" customHeight="1">
      <c r="A4" t="s" s="10">
        <v>5324</v>
      </c>
      <c r="B4" t="s" s="11">
        <v>5325</v>
      </c>
      <c r="C4" s="12">
        <v>45077.759774583334</v>
      </c>
      <c r="D4" t="s" s="13">
        <v>95</v>
      </c>
      <c r="E4" t="s" s="13">
        <v>12</v>
      </c>
      <c r="F4" s="14">
        <v>1</v>
      </c>
      <c r="G4" s="15">
        <v>349.99</v>
      </c>
      <c r="H4" s="15">
        <v>349.99</v>
      </c>
    </row>
    <row r="5" ht="12.9" customHeight="1">
      <c r="A5" t="s" s="10">
        <v>5326</v>
      </c>
      <c r="B5" t="s" s="11">
        <v>5327</v>
      </c>
      <c r="C5" s="12">
        <v>45077.651656863425</v>
      </c>
      <c r="D5" t="s" s="13">
        <v>95</v>
      </c>
      <c r="E5" t="s" s="13">
        <v>12</v>
      </c>
      <c r="F5" s="14">
        <v>1</v>
      </c>
      <c r="G5" s="15">
        <v>349.99</v>
      </c>
      <c r="H5" s="15">
        <v>349.99</v>
      </c>
    </row>
    <row r="6" ht="12.9" customHeight="1">
      <c r="A6" t="s" s="10">
        <v>5328</v>
      </c>
      <c r="B6" t="s" s="11">
        <v>5329</v>
      </c>
      <c r="C6" s="12">
        <v>45077.110888784722</v>
      </c>
      <c r="D6" t="s" s="13">
        <v>31</v>
      </c>
      <c r="E6" t="s" s="13">
        <v>32</v>
      </c>
      <c r="F6" s="14">
        <v>1</v>
      </c>
      <c r="G6" s="15">
        <v>599.99</v>
      </c>
      <c r="H6" s="15">
        <v>599.99</v>
      </c>
    </row>
    <row r="7" ht="12.9" customHeight="1">
      <c r="A7" t="s" s="10">
        <v>5330</v>
      </c>
      <c r="B7" t="s" s="11">
        <v>5331</v>
      </c>
      <c r="C7" s="12">
        <v>45077.070275416663</v>
      </c>
      <c r="D7" t="s" s="13">
        <v>31</v>
      </c>
      <c r="E7" t="s" s="13">
        <v>32</v>
      </c>
      <c r="F7" s="14">
        <v>1</v>
      </c>
      <c r="G7" s="15">
        <v>574.99</v>
      </c>
      <c r="H7" s="15">
        <v>574.99</v>
      </c>
    </row>
    <row r="8" ht="12.9" customHeight="1">
      <c r="A8" t="s" s="10">
        <v>5332</v>
      </c>
      <c r="B8" t="s" s="11">
        <v>2452</v>
      </c>
      <c r="C8" s="12">
        <v>45077.024942384262</v>
      </c>
      <c r="D8" t="s" s="13">
        <v>81</v>
      </c>
      <c r="E8" t="s" s="13">
        <v>82</v>
      </c>
      <c r="F8" s="14">
        <v>2</v>
      </c>
      <c r="G8" s="15">
        <v>849.99</v>
      </c>
      <c r="H8" s="15">
        <v>1699.98</v>
      </c>
    </row>
    <row r="9" ht="12.9" customHeight="1">
      <c r="A9" t="s" s="10">
        <v>5332</v>
      </c>
      <c r="B9" t="s" s="11">
        <v>2452</v>
      </c>
      <c r="C9" s="12">
        <v>45077.024942384262</v>
      </c>
      <c r="D9" t="s" s="13">
        <v>133</v>
      </c>
      <c r="E9" t="s" s="13">
        <v>4835</v>
      </c>
      <c r="F9" s="14">
        <v>2</v>
      </c>
      <c r="G9" s="15">
        <v>50</v>
      </c>
      <c r="H9" s="15">
        <v>100</v>
      </c>
    </row>
    <row r="10" ht="12.9" customHeight="1">
      <c r="A10" t="s" s="10">
        <v>5332</v>
      </c>
      <c r="B10" t="s" s="11">
        <v>2452</v>
      </c>
      <c r="C10" s="12">
        <v>45077.024942384262</v>
      </c>
      <c r="D10" t="s" s="13">
        <v>50</v>
      </c>
      <c r="E10" t="s" s="13">
        <v>83</v>
      </c>
      <c r="F10" s="14">
        <v>2</v>
      </c>
      <c r="G10" s="15">
        <v>0</v>
      </c>
      <c r="H10" s="15">
        <v>0</v>
      </c>
    </row>
    <row r="11" ht="12.9" customHeight="1">
      <c r="A11" t="s" s="10">
        <v>5332</v>
      </c>
      <c r="B11" t="s" s="11">
        <v>2452</v>
      </c>
      <c r="C11" s="12">
        <v>45077.024942384262</v>
      </c>
      <c r="D11" t="s" s="13">
        <v>84</v>
      </c>
      <c r="E11" t="s" s="13">
        <v>4225</v>
      </c>
      <c r="F11" s="14">
        <v>2</v>
      </c>
      <c r="G11" s="15">
        <v>0</v>
      </c>
      <c r="H11" s="15">
        <v>0</v>
      </c>
    </row>
    <row r="12" ht="12.9" customHeight="1">
      <c r="A12" t="s" s="10">
        <v>5333</v>
      </c>
      <c r="B12" t="s" s="11">
        <v>2452</v>
      </c>
      <c r="C12" s="12">
        <v>45077.017498495370</v>
      </c>
      <c r="D12" t="s" s="13">
        <v>59</v>
      </c>
      <c r="E12" t="s" s="13">
        <v>60</v>
      </c>
      <c r="F12" s="14">
        <v>1</v>
      </c>
      <c r="G12" s="15">
        <v>1199.99</v>
      </c>
      <c r="H12" s="15">
        <v>1199.99</v>
      </c>
    </row>
    <row r="13" ht="12.9" customHeight="1">
      <c r="A13" t="s" s="10">
        <v>5334</v>
      </c>
      <c r="B13" t="s" s="11">
        <v>896</v>
      </c>
      <c r="C13" s="12">
        <v>45077</v>
      </c>
      <c r="D13" t="s" s="13">
        <v>5335</v>
      </c>
      <c r="E13" t="s" s="13">
        <v>5336</v>
      </c>
      <c r="F13" s="14">
        <v>2</v>
      </c>
      <c r="G13" s="15">
        <v>675</v>
      </c>
      <c r="H13" s="15">
        <v>1350</v>
      </c>
    </row>
    <row r="14" ht="12.9" customHeight="1">
      <c r="A14" t="s" s="10">
        <v>5337</v>
      </c>
      <c r="B14" t="s" s="11">
        <v>3710</v>
      </c>
      <c r="C14" s="12">
        <v>45077</v>
      </c>
      <c r="D14" t="s" s="13">
        <v>559</v>
      </c>
      <c r="E14" t="s" s="13">
        <v>560</v>
      </c>
      <c r="F14" s="14">
        <v>1</v>
      </c>
      <c r="G14" s="15">
        <v>0</v>
      </c>
      <c r="H14" s="15">
        <v>0</v>
      </c>
    </row>
    <row r="15" ht="12.9" customHeight="1">
      <c r="A15" t="s" s="10">
        <v>5337</v>
      </c>
      <c r="B15" t="s" s="11">
        <v>3710</v>
      </c>
      <c r="C15" s="12">
        <v>45077</v>
      </c>
      <c r="D15" t="s" s="13">
        <v>63</v>
      </c>
      <c r="E15" s="16"/>
      <c r="F15" s="14">
        <v>1</v>
      </c>
      <c r="G15" s="15">
        <v>1521.56</v>
      </c>
      <c r="H15" s="15">
        <v>1521.56</v>
      </c>
    </row>
    <row r="16" ht="12.9" customHeight="1">
      <c r="A16" t="s" s="10">
        <v>5338</v>
      </c>
      <c r="B16" t="s" s="11">
        <v>3094</v>
      </c>
      <c r="C16" s="12">
        <v>45077</v>
      </c>
      <c r="D16" t="s" s="13">
        <v>1202</v>
      </c>
      <c r="E16" t="s" s="13">
        <v>1203</v>
      </c>
      <c r="F16" s="14">
        <v>10</v>
      </c>
      <c r="G16" s="15">
        <v>80</v>
      </c>
      <c r="H16" s="15">
        <v>800</v>
      </c>
    </row>
    <row r="17" ht="12.9" customHeight="1">
      <c r="A17" t="s" s="10">
        <v>5338</v>
      </c>
      <c r="B17" t="s" s="11">
        <v>3094</v>
      </c>
      <c r="C17" s="12">
        <v>45077</v>
      </c>
      <c r="D17" t="s" s="13">
        <v>63</v>
      </c>
      <c r="E17" s="16"/>
      <c r="F17" s="14">
        <v>1</v>
      </c>
      <c r="G17" s="15">
        <v>68.17</v>
      </c>
      <c r="H17" s="15">
        <v>68.17</v>
      </c>
    </row>
    <row r="18" ht="12.9" customHeight="1">
      <c r="A18" t="s" s="10">
        <v>5339</v>
      </c>
      <c r="B18" t="s" s="11">
        <v>5340</v>
      </c>
      <c r="C18" s="12">
        <v>45076.6857441088</v>
      </c>
      <c r="D18" t="s" s="13">
        <v>54</v>
      </c>
      <c r="E18" t="s" s="13">
        <v>93</v>
      </c>
      <c r="F18" s="14">
        <v>1</v>
      </c>
      <c r="G18" s="15">
        <v>9.99</v>
      </c>
      <c r="H18" s="15">
        <v>9.99</v>
      </c>
    </row>
    <row r="19" ht="12.9" customHeight="1">
      <c r="A19" t="s" s="10">
        <v>5339</v>
      </c>
      <c r="B19" t="s" s="11">
        <v>5340</v>
      </c>
      <c r="C19" s="12">
        <v>45076.6857441088</v>
      </c>
      <c r="D19" t="s" s="13">
        <v>133</v>
      </c>
      <c r="E19" t="s" s="13">
        <v>4835</v>
      </c>
      <c r="F19" s="14">
        <v>2</v>
      </c>
      <c r="G19" s="15">
        <v>199.99</v>
      </c>
      <c r="H19" s="15">
        <v>399.98</v>
      </c>
    </row>
    <row r="20" ht="12.9" customHeight="1">
      <c r="A20" t="s" s="10">
        <v>5341</v>
      </c>
      <c r="B20" t="s" s="11">
        <v>5342</v>
      </c>
      <c r="C20" s="12">
        <v>45076.666024756945</v>
      </c>
      <c r="D20" t="s" s="13">
        <v>81</v>
      </c>
      <c r="E20" t="s" s="13">
        <v>82</v>
      </c>
      <c r="F20" s="14">
        <v>2</v>
      </c>
      <c r="G20" s="15">
        <v>849.99</v>
      </c>
      <c r="H20" s="15">
        <v>1699.98</v>
      </c>
    </row>
    <row r="21" ht="12.9" customHeight="1">
      <c r="A21" t="s" s="10">
        <v>5341</v>
      </c>
      <c r="B21" t="s" s="11">
        <v>5342</v>
      </c>
      <c r="C21" s="12">
        <v>45076.666024756945</v>
      </c>
      <c r="D21" t="s" s="13">
        <v>133</v>
      </c>
      <c r="E21" t="s" s="13">
        <v>4835</v>
      </c>
      <c r="F21" s="14">
        <v>2</v>
      </c>
      <c r="G21" s="15">
        <v>50</v>
      </c>
      <c r="H21" s="15">
        <v>100</v>
      </c>
    </row>
    <row r="22" ht="12.9" customHeight="1">
      <c r="A22" t="s" s="10">
        <v>5341</v>
      </c>
      <c r="B22" t="s" s="11">
        <v>5342</v>
      </c>
      <c r="C22" s="12">
        <v>45076.666024756945</v>
      </c>
      <c r="D22" t="s" s="13">
        <v>50</v>
      </c>
      <c r="E22" t="s" s="13">
        <v>83</v>
      </c>
      <c r="F22" s="14">
        <v>2</v>
      </c>
      <c r="G22" s="15">
        <v>0</v>
      </c>
      <c r="H22" s="15">
        <v>0</v>
      </c>
    </row>
    <row r="23" ht="12.9" customHeight="1">
      <c r="A23" t="s" s="10">
        <v>5341</v>
      </c>
      <c r="B23" t="s" s="11">
        <v>5342</v>
      </c>
      <c r="C23" s="12">
        <v>45076.666024756945</v>
      </c>
      <c r="D23" t="s" s="13">
        <v>84</v>
      </c>
      <c r="E23" t="s" s="13">
        <v>4225</v>
      </c>
      <c r="F23" s="14">
        <v>2</v>
      </c>
      <c r="G23" s="15">
        <v>0</v>
      </c>
      <c r="H23" s="15">
        <v>0</v>
      </c>
    </row>
    <row r="24" ht="12.9" customHeight="1">
      <c r="A24" t="s" s="10">
        <v>5341</v>
      </c>
      <c r="B24" t="s" s="11">
        <v>5342</v>
      </c>
      <c r="C24" s="12">
        <v>45076.666024756945</v>
      </c>
      <c r="D24" t="s" s="13">
        <v>73</v>
      </c>
      <c r="E24" t="s" s="13">
        <v>74</v>
      </c>
      <c r="F24" s="14">
        <v>1</v>
      </c>
      <c r="G24" s="15">
        <v>399.99</v>
      </c>
      <c r="H24" s="15">
        <v>399.99</v>
      </c>
    </row>
    <row r="25" ht="12.9" customHeight="1">
      <c r="A25" t="s" s="10">
        <v>5341</v>
      </c>
      <c r="B25" t="s" s="11">
        <v>5342</v>
      </c>
      <c r="C25" s="12">
        <v>45076.666024756945</v>
      </c>
      <c r="D25" t="s" s="13">
        <v>89</v>
      </c>
      <c r="E25" t="s" s="13">
        <v>90</v>
      </c>
      <c r="F25" s="14">
        <v>2</v>
      </c>
      <c r="G25" s="15">
        <v>59.99</v>
      </c>
      <c r="H25" s="15">
        <v>119.98</v>
      </c>
    </row>
    <row r="26" ht="12.9" customHeight="1">
      <c r="A26" t="s" s="10">
        <v>5343</v>
      </c>
      <c r="B26" t="s" s="11">
        <v>5344</v>
      </c>
      <c r="C26" s="12">
        <v>45076.534122442128</v>
      </c>
      <c r="D26" t="s" s="13">
        <v>73</v>
      </c>
      <c r="E26" t="s" s="13">
        <v>74</v>
      </c>
      <c r="F26" s="14">
        <v>1</v>
      </c>
      <c r="G26" s="15">
        <v>399.99</v>
      </c>
      <c r="H26" s="15">
        <v>399.99</v>
      </c>
    </row>
    <row r="27" ht="12.9" customHeight="1">
      <c r="A27" t="s" s="10">
        <v>5345</v>
      </c>
      <c r="B27" t="s" s="11">
        <v>5346</v>
      </c>
      <c r="C27" s="12">
        <v>45076</v>
      </c>
      <c r="D27" t="s" s="13">
        <v>11</v>
      </c>
      <c r="E27" t="s" s="13">
        <v>12</v>
      </c>
      <c r="F27" s="14">
        <v>1</v>
      </c>
      <c r="G27" s="15">
        <v>399.99</v>
      </c>
      <c r="H27" s="15">
        <v>399.99</v>
      </c>
    </row>
    <row r="28" ht="12.9" customHeight="1">
      <c r="A28" t="s" s="10">
        <v>5345</v>
      </c>
      <c r="B28" t="s" s="11">
        <v>5346</v>
      </c>
      <c r="C28" s="12">
        <v>45076</v>
      </c>
      <c r="D28" t="s" s="13">
        <v>48</v>
      </c>
      <c r="E28" t="s" s="13">
        <v>49</v>
      </c>
      <c r="F28" s="14">
        <v>2</v>
      </c>
      <c r="G28" s="15">
        <v>1299.99</v>
      </c>
      <c r="H28" s="15">
        <v>2599.98</v>
      </c>
    </row>
    <row r="29" ht="12.9" customHeight="1">
      <c r="A29" t="s" s="10">
        <v>5345</v>
      </c>
      <c r="B29" t="s" s="11">
        <v>5346</v>
      </c>
      <c r="C29" s="12">
        <v>45076</v>
      </c>
      <c r="D29" t="s" s="13">
        <v>52</v>
      </c>
      <c r="E29" t="s" s="13">
        <v>4287</v>
      </c>
      <c r="F29" s="14">
        <v>2</v>
      </c>
      <c r="G29" s="15">
        <v>0</v>
      </c>
      <c r="H29" s="15">
        <v>0</v>
      </c>
    </row>
    <row r="30" ht="12.9" customHeight="1">
      <c r="A30" t="s" s="10">
        <v>5345</v>
      </c>
      <c r="B30" t="s" s="11">
        <v>5346</v>
      </c>
      <c r="C30" s="12">
        <v>45076</v>
      </c>
      <c r="D30" t="s" s="13">
        <v>50</v>
      </c>
      <c r="E30" t="s" s="13">
        <v>83</v>
      </c>
      <c r="F30" s="14">
        <v>2</v>
      </c>
      <c r="G30" s="15">
        <v>0</v>
      </c>
      <c r="H30" s="15">
        <v>0</v>
      </c>
    </row>
    <row r="31" ht="12.9" customHeight="1">
      <c r="A31" t="s" s="10">
        <v>5345</v>
      </c>
      <c r="B31" t="s" s="11">
        <v>5346</v>
      </c>
      <c r="C31" s="12">
        <v>45076</v>
      </c>
      <c r="D31" t="s" s="13">
        <v>227</v>
      </c>
      <c r="E31" t="s" s="13">
        <v>228</v>
      </c>
      <c r="F31" s="14">
        <v>2</v>
      </c>
      <c r="G31" s="15">
        <v>29.99</v>
      </c>
      <c r="H31" s="15">
        <v>59.98</v>
      </c>
    </row>
    <row r="32" ht="12.9" customHeight="1">
      <c r="A32" t="s" s="10">
        <v>5345</v>
      </c>
      <c r="B32" t="s" s="11">
        <v>5346</v>
      </c>
      <c r="C32" s="12">
        <v>45076</v>
      </c>
      <c r="D32" t="s" s="13">
        <v>73</v>
      </c>
      <c r="E32" t="s" s="13">
        <v>74</v>
      </c>
      <c r="F32" s="14">
        <v>1</v>
      </c>
      <c r="G32" s="15">
        <v>399.99</v>
      </c>
      <c r="H32" s="15">
        <v>399.99</v>
      </c>
    </row>
    <row r="33" ht="12.9" customHeight="1">
      <c r="A33" t="s" s="10">
        <v>5345</v>
      </c>
      <c r="B33" t="s" s="11">
        <v>5346</v>
      </c>
      <c r="C33" s="12">
        <v>45076</v>
      </c>
      <c r="D33" t="s" s="13">
        <v>23</v>
      </c>
      <c r="E33" t="s" s="13">
        <v>5347</v>
      </c>
      <c r="F33" s="14">
        <v>2</v>
      </c>
      <c r="G33" s="15">
        <v>0</v>
      </c>
      <c r="H33" s="15">
        <v>0</v>
      </c>
    </row>
    <row r="34" ht="12.9" customHeight="1">
      <c r="A34" t="s" s="10">
        <v>5345</v>
      </c>
      <c r="B34" t="s" s="11">
        <v>5346</v>
      </c>
      <c r="C34" s="12">
        <v>45076</v>
      </c>
      <c r="D34" t="s" s="13">
        <v>63</v>
      </c>
      <c r="E34" s="16"/>
      <c r="F34" s="14">
        <v>1</v>
      </c>
      <c r="G34" s="15">
        <v>255.91</v>
      </c>
      <c r="H34" s="15">
        <v>255.91</v>
      </c>
    </row>
    <row r="35" ht="12.9" customHeight="1">
      <c r="A35" t="s" s="10">
        <v>5348</v>
      </c>
      <c r="B35" t="s" s="11">
        <v>3437</v>
      </c>
      <c r="C35" s="12">
        <v>45076</v>
      </c>
      <c r="D35" t="s" s="13">
        <v>225</v>
      </c>
      <c r="E35" t="s" s="13">
        <v>226</v>
      </c>
      <c r="F35" s="14">
        <v>4</v>
      </c>
      <c r="G35" s="15">
        <v>374.9925</v>
      </c>
      <c r="H35" s="15">
        <v>1499.97</v>
      </c>
    </row>
    <row r="36" ht="12.9" customHeight="1">
      <c r="A36" t="s" s="10">
        <v>5348</v>
      </c>
      <c r="B36" t="s" s="11">
        <v>3437</v>
      </c>
      <c r="C36" s="12">
        <v>45076</v>
      </c>
      <c r="D36" t="s" s="13">
        <v>48</v>
      </c>
      <c r="E36" t="s" s="13">
        <v>49</v>
      </c>
      <c r="F36" s="14">
        <v>9</v>
      </c>
      <c r="G36" s="15">
        <v>974.9924999999999</v>
      </c>
      <c r="H36" s="15">
        <v>8774.932500000001</v>
      </c>
    </row>
    <row r="37" ht="12.9" customHeight="1">
      <c r="A37" t="s" s="10">
        <v>5348</v>
      </c>
      <c r="B37" t="s" s="11">
        <v>3437</v>
      </c>
      <c r="C37" s="12">
        <v>45076</v>
      </c>
      <c r="D37" t="s" s="13">
        <v>19</v>
      </c>
      <c r="E37" t="s" s="13">
        <v>20</v>
      </c>
      <c r="F37" s="14">
        <v>10</v>
      </c>
      <c r="G37" s="15">
        <v>89.99250000000001</v>
      </c>
      <c r="H37" s="15">
        <v>899.925</v>
      </c>
    </row>
    <row r="38" ht="12.9" customHeight="1">
      <c r="A38" t="s" s="10">
        <v>5348</v>
      </c>
      <c r="B38" t="s" s="11">
        <v>3437</v>
      </c>
      <c r="C38" s="12">
        <v>45076</v>
      </c>
      <c r="D38" t="s" s="13">
        <v>602</v>
      </c>
      <c r="E38" t="s" s="13">
        <v>5349</v>
      </c>
      <c r="F38" s="14">
        <v>9</v>
      </c>
      <c r="G38" s="15">
        <v>131.25</v>
      </c>
      <c r="H38" s="15">
        <v>1181.25</v>
      </c>
    </row>
    <row r="39" ht="12.9" customHeight="1">
      <c r="A39" t="s" s="10">
        <v>5348</v>
      </c>
      <c r="B39" t="s" s="11">
        <v>3437</v>
      </c>
      <c r="C39" s="12">
        <v>45076</v>
      </c>
      <c r="D39" t="s" s="13">
        <v>602</v>
      </c>
      <c r="E39" t="s" s="13">
        <v>5350</v>
      </c>
      <c r="F39" s="14">
        <v>1</v>
      </c>
      <c r="G39" s="15">
        <v>224.9925</v>
      </c>
      <c r="H39" s="15">
        <v>224.9925</v>
      </c>
    </row>
    <row r="40" ht="12.9" customHeight="1">
      <c r="A40" t="s" s="10">
        <v>5348</v>
      </c>
      <c r="B40" t="s" s="11">
        <v>3437</v>
      </c>
      <c r="C40" s="12">
        <v>45076</v>
      </c>
      <c r="D40" t="s" s="13">
        <v>50</v>
      </c>
      <c r="E40" t="s" s="13">
        <v>83</v>
      </c>
      <c r="F40" s="14">
        <v>9</v>
      </c>
      <c r="G40" s="15">
        <v>0</v>
      </c>
      <c r="H40" s="15">
        <v>0</v>
      </c>
    </row>
    <row r="41" ht="12.9" customHeight="1">
      <c r="A41" t="s" s="10">
        <v>5348</v>
      </c>
      <c r="B41" t="s" s="11">
        <v>3437</v>
      </c>
      <c r="C41" s="12">
        <v>45076</v>
      </c>
      <c r="D41" t="s" s="13">
        <v>52</v>
      </c>
      <c r="E41" t="s" s="13">
        <v>4287</v>
      </c>
      <c r="F41" s="14">
        <v>9</v>
      </c>
      <c r="G41" s="15">
        <v>0</v>
      </c>
      <c r="H41" s="15">
        <v>0</v>
      </c>
    </row>
    <row r="42" ht="12.9" customHeight="1">
      <c r="A42" t="s" s="10">
        <v>5348</v>
      </c>
      <c r="B42" t="s" s="11">
        <v>3437</v>
      </c>
      <c r="C42" s="12">
        <v>45076</v>
      </c>
      <c r="D42" t="s" s="13">
        <v>54</v>
      </c>
      <c r="E42" t="s" s="13">
        <v>93</v>
      </c>
      <c r="F42" s="14">
        <v>9</v>
      </c>
      <c r="G42" s="15">
        <v>0</v>
      </c>
      <c r="H42" s="15">
        <v>0</v>
      </c>
    </row>
    <row r="43" ht="12.9" customHeight="1">
      <c r="A43" t="s" s="10">
        <v>5348</v>
      </c>
      <c r="B43" t="s" s="11">
        <v>3437</v>
      </c>
      <c r="C43" s="12">
        <v>45076</v>
      </c>
      <c r="D43" t="s" s="13">
        <v>15</v>
      </c>
      <c r="E43" t="s" s="13">
        <v>4757</v>
      </c>
      <c r="F43" s="14">
        <v>9</v>
      </c>
      <c r="G43" s="15">
        <v>0</v>
      </c>
      <c r="H43" s="15">
        <v>0</v>
      </c>
    </row>
    <row r="44" ht="12.9" customHeight="1">
      <c r="A44" t="s" s="10">
        <v>5348</v>
      </c>
      <c r="B44" t="s" s="11">
        <v>3437</v>
      </c>
      <c r="C44" s="12">
        <v>45076</v>
      </c>
      <c r="D44" t="s" s="13">
        <v>165</v>
      </c>
      <c r="E44" t="s" s="13">
        <v>392</v>
      </c>
      <c r="F44" s="14">
        <v>4</v>
      </c>
      <c r="G44" s="15">
        <v>0</v>
      </c>
      <c r="H44" s="15">
        <v>0</v>
      </c>
    </row>
    <row r="45" ht="12.9" customHeight="1">
      <c r="A45" t="s" s="10">
        <v>5348</v>
      </c>
      <c r="B45" t="s" s="11">
        <v>3437</v>
      </c>
      <c r="C45" s="12">
        <v>45076</v>
      </c>
      <c r="D45" t="s" s="13">
        <v>47</v>
      </c>
      <c r="E45" s="16"/>
      <c r="F45" s="14">
        <v>1</v>
      </c>
      <c r="G45" s="15">
        <v>285</v>
      </c>
      <c r="H45" s="15">
        <v>285</v>
      </c>
    </row>
    <row r="46" ht="12.9" customHeight="1">
      <c r="A46" t="s" s="10">
        <v>5351</v>
      </c>
      <c r="B46" t="s" s="11">
        <v>5352</v>
      </c>
      <c r="C46" s="12">
        <v>45075.873994421294</v>
      </c>
      <c r="D46" t="s" s="13">
        <v>23</v>
      </c>
      <c r="E46" t="s" s="13">
        <v>828</v>
      </c>
      <c r="F46" s="14">
        <v>1</v>
      </c>
      <c r="G46" s="15">
        <v>149.99</v>
      </c>
      <c r="H46" s="15">
        <v>149.99</v>
      </c>
    </row>
    <row r="47" ht="12.9" customHeight="1">
      <c r="A47" t="s" s="10">
        <v>5353</v>
      </c>
      <c r="B47" t="s" s="11">
        <v>5354</v>
      </c>
      <c r="C47" s="12">
        <v>45074.909381712961</v>
      </c>
      <c r="D47" t="s" s="13">
        <v>31</v>
      </c>
      <c r="E47" t="s" s="13">
        <v>32</v>
      </c>
      <c r="F47" s="14">
        <v>1</v>
      </c>
      <c r="G47" s="15">
        <v>574.99</v>
      </c>
      <c r="H47" s="15">
        <v>574.99</v>
      </c>
    </row>
    <row r="48" ht="12.9" customHeight="1">
      <c r="A48" t="s" s="10">
        <v>5355</v>
      </c>
      <c r="B48" t="s" s="11">
        <v>679</v>
      </c>
      <c r="C48" s="12">
        <v>45074.1937821875</v>
      </c>
      <c r="D48" t="s" s="13">
        <v>19</v>
      </c>
      <c r="E48" t="s" s="13">
        <v>20</v>
      </c>
      <c r="F48" s="14">
        <v>1</v>
      </c>
      <c r="G48" s="15">
        <v>119.99</v>
      </c>
      <c r="H48" s="15">
        <v>119.99</v>
      </c>
    </row>
    <row r="49" ht="12.9" customHeight="1">
      <c r="A49" t="s" s="10">
        <v>5355</v>
      </c>
      <c r="B49" t="s" s="11">
        <v>679</v>
      </c>
      <c r="C49" s="12">
        <v>45074.1937821875</v>
      </c>
      <c r="D49" t="s" s="13">
        <v>15</v>
      </c>
      <c r="E49" t="s" s="13">
        <v>4757</v>
      </c>
      <c r="F49" s="14">
        <v>1</v>
      </c>
      <c r="G49" s="15">
        <v>8.99</v>
      </c>
      <c r="H49" s="15">
        <v>8.99</v>
      </c>
    </row>
    <row r="50" ht="12.9" customHeight="1">
      <c r="A50" t="s" s="10">
        <v>5356</v>
      </c>
      <c r="B50" t="s" s="11">
        <v>5357</v>
      </c>
      <c r="C50" s="12">
        <v>45073.552694085651</v>
      </c>
      <c r="D50" t="s" s="13">
        <v>95</v>
      </c>
      <c r="E50" t="s" s="13">
        <v>12</v>
      </c>
      <c r="F50" s="14">
        <v>1</v>
      </c>
      <c r="G50" s="15">
        <v>349.99</v>
      </c>
      <c r="H50" s="15">
        <v>349.99</v>
      </c>
    </row>
    <row r="51" ht="12.9" customHeight="1">
      <c r="A51" t="s" s="10">
        <v>5358</v>
      </c>
      <c r="B51" t="s" s="11">
        <v>5359</v>
      </c>
      <c r="C51" s="12">
        <v>45072.974075856480</v>
      </c>
      <c r="D51" t="s" s="13">
        <v>35</v>
      </c>
      <c r="E51" t="s" s="13">
        <v>36</v>
      </c>
      <c r="F51" s="14">
        <v>1</v>
      </c>
      <c r="G51" s="15">
        <v>49.99</v>
      </c>
      <c r="H51" s="15">
        <v>49.99</v>
      </c>
    </row>
    <row r="52" ht="12.9" customHeight="1">
      <c r="A52" t="s" s="10">
        <v>5360</v>
      </c>
      <c r="B52" t="s" s="11">
        <v>5361</v>
      </c>
      <c r="C52" s="12">
        <v>45072.081272581017</v>
      </c>
      <c r="D52" t="s" s="13">
        <v>89</v>
      </c>
      <c r="E52" t="s" s="13">
        <v>90</v>
      </c>
      <c r="F52" s="14">
        <v>4</v>
      </c>
      <c r="G52" s="15">
        <v>59.99</v>
      </c>
      <c r="H52" s="15">
        <v>239.96</v>
      </c>
    </row>
    <row r="53" ht="12.9" customHeight="1">
      <c r="A53" t="s" s="10">
        <v>5360</v>
      </c>
      <c r="B53" t="s" s="11">
        <v>5361</v>
      </c>
      <c r="C53" s="12">
        <v>45072.081272581017</v>
      </c>
      <c r="D53" t="s" s="13">
        <v>19</v>
      </c>
      <c r="E53" t="s" s="13">
        <v>20</v>
      </c>
      <c r="F53" s="14">
        <v>2</v>
      </c>
      <c r="G53" s="15">
        <v>119.99</v>
      </c>
      <c r="H53" s="15">
        <v>239.98</v>
      </c>
    </row>
    <row r="54" ht="12.9" customHeight="1">
      <c r="A54" t="s" s="10">
        <v>5360</v>
      </c>
      <c r="B54" t="s" s="11">
        <v>5361</v>
      </c>
      <c r="C54" s="12">
        <v>45072.081272581017</v>
      </c>
      <c r="D54" t="s" s="13">
        <v>15</v>
      </c>
      <c r="E54" t="s" s="13">
        <v>4757</v>
      </c>
      <c r="F54" s="14">
        <v>2</v>
      </c>
      <c r="G54" s="15">
        <v>8.99</v>
      </c>
      <c r="H54" s="15">
        <v>17.98</v>
      </c>
    </row>
    <row r="55" ht="12.9" customHeight="1">
      <c r="A55" t="s" s="10">
        <v>5362</v>
      </c>
      <c r="B55" t="s" s="11">
        <v>827</v>
      </c>
      <c r="C55" s="12">
        <v>45072</v>
      </c>
      <c r="D55" t="s" s="13">
        <v>2425</v>
      </c>
      <c r="E55" t="s" s="13">
        <v>2426</v>
      </c>
      <c r="F55" s="14">
        <v>1</v>
      </c>
      <c r="G55" s="15">
        <v>0</v>
      </c>
      <c r="H55" s="15">
        <v>0</v>
      </c>
    </row>
    <row r="56" ht="12.9" customHeight="1">
      <c r="A56" t="s" s="10">
        <v>5363</v>
      </c>
      <c r="B56" t="s" s="11">
        <v>5364</v>
      </c>
      <c r="C56" s="12">
        <v>45072</v>
      </c>
      <c r="D56" t="s" s="13">
        <v>1257</v>
      </c>
      <c r="E56" t="s" s="13">
        <v>5365</v>
      </c>
      <c r="F56" s="14">
        <v>2</v>
      </c>
      <c r="G56" s="15">
        <v>349.99</v>
      </c>
      <c r="H56" s="15">
        <v>699.98</v>
      </c>
    </row>
    <row r="57" ht="12.9" customHeight="1">
      <c r="A57" t="s" s="10">
        <v>5366</v>
      </c>
      <c r="B57" t="s" s="11">
        <v>3137</v>
      </c>
      <c r="C57" s="12">
        <v>45072</v>
      </c>
      <c r="D57" t="s" s="13">
        <v>81</v>
      </c>
      <c r="E57" t="s" s="13">
        <v>82</v>
      </c>
      <c r="F57" s="14">
        <v>4</v>
      </c>
      <c r="G57" s="15">
        <v>849.99</v>
      </c>
      <c r="H57" s="15">
        <v>3399.96</v>
      </c>
    </row>
    <row r="58" ht="12.9" customHeight="1">
      <c r="A58" t="s" s="10">
        <v>5366</v>
      </c>
      <c r="B58" t="s" s="11">
        <v>3137</v>
      </c>
      <c r="C58" s="12">
        <v>45072</v>
      </c>
      <c r="D58" t="s" s="13">
        <v>602</v>
      </c>
      <c r="E58" t="s" s="13">
        <v>5367</v>
      </c>
      <c r="F58" s="14">
        <v>1</v>
      </c>
      <c r="G58" s="15">
        <v>175</v>
      </c>
      <c r="H58" s="15">
        <v>175</v>
      </c>
    </row>
    <row r="59" ht="12.9" customHeight="1">
      <c r="A59" t="s" s="10">
        <v>5366</v>
      </c>
      <c r="B59" t="s" s="11">
        <v>3137</v>
      </c>
      <c r="C59" s="12">
        <v>45072</v>
      </c>
      <c r="D59" t="s" s="13">
        <v>133</v>
      </c>
      <c r="E59" t="s" s="13">
        <v>5368</v>
      </c>
      <c r="F59" s="14">
        <v>1</v>
      </c>
      <c r="G59" s="15">
        <v>50</v>
      </c>
      <c r="H59" s="15">
        <v>50</v>
      </c>
    </row>
    <row r="60" ht="12.9" customHeight="1">
      <c r="A60" t="s" s="10">
        <v>5366</v>
      </c>
      <c r="B60" t="s" s="11">
        <v>3137</v>
      </c>
      <c r="C60" s="12">
        <v>45072</v>
      </c>
      <c r="D60" t="s" s="13">
        <v>39</v>
      </c>
      <c r="E60" t="s" s="13">
        <v>5369</v>
      </c>
      <c r="F60" s="14">
        <v>4</v>
      </c>
      <c r="G60" s="15">
        <v>109.99</v>
      </c>
      <c r="H60" s="15">
        <v>439.96</v>
      </c>
    </row>
    <row r="61" ht="12.9" customHeight="1">
      <c r="A61" t="s" s="10">
        <v>5366</v>
      </c>
      <c r="B61" t="s" s="11">
        <v>3137</v>
      </c>
      <c r="C61" s="12">
        <v>45072</v>
      </c>
      <c r="D61" t="s" s="13">
        <v>73</v>
      </c>
      <c r="E61" t="s" s="13">
        <v>74</v>
      </c>
      <c r="F61" s="14">
        <v>1</v>
      </c>
      <c r="G61" s="15">
        <v>399.99</v>
      </c>
      <c r="H61" s="15">
        <v>399.99</v>
      </c>
    </row>
    <row r="62" ht="12.9" customHeight="1">
      <c r="A62" t="s" s="10">
        <v>5366</v>
      </c>
      <c r="B62" t="s" s="11">
        <v>3137</v>
      </c>
      <c r="C62" s="12">
        <v>45072</v>
      </c>
      <c r="D62" t="s" s="13">
        <v>1695</v>
      </c>
      <c r="E62" t="s" s="13">
        <v>140</v>
      </c>
      <c r="F62" s="14">
        <v>2</v>
      </c>
      <c r="G62" s="15">
        <v>49.99</v>
      </c>
      <c r="H62" s="15">
        <v>99.98</v>
      </c>
    </row>
    <row r="63" ht="12.9" customHeight="1">
      <c r="A63" t="s" s="10">
        <v>5370</v>
      </c>
      <c r="B63" t="s" s="11">
        <v>5371</v>
      </c>
      <c r="C63" s="12">
        <v>45072</v>
      </c>
      <c r="D63" t="s" s="13">
        <v>409</v>
      </c>
      <c r="E63" t="s" s="13">
        <v>409</v>
      </c>
      <c r="F63" s="14">
        <v>1</v>
      </c>
      <c r="G63" s="15">
        <v>0</v>
      </c>
      <c r="H63" s="15">
        <v>0</v>
      </c>
    </row>
    <row r="64" ht="12.9" customHeight="1">
      <c r="A64" t="s" s="10">
        <v>5372</v>
      </c>
      <c r="B64" t="s" s="11">
        <v>5371</v>
      </c>
      <c r="C64" s="12">
        <v>45072</v>
      </c>
      <c r="D64" t="s" s="13">
        <v>207</v>
      </c>
      <c r="E64" t="s" s="13">
        <v>208</v>
      </c>
      <c r="F64" s="14">
        <v>4</v>
      </c>
      <c r="G64" s="15">
        <v>0</v>
      </c>
      <c r="H64" s="15">
        <v>0</v>
      </c>
    </row>
    <row r="65" ht="12.9" customHeight="1">
      <c r="A65" t="s" s="10">
        <v>5372</v>
      </c>
      <c r="B65" t="s" s="11">
        <v>5371</v>
      </c>
      <c r="C65" s="12">
        <v>45072</v>
      </c>
      <c r="D65" t="s" s="13">
        <v>63</v>
      </c>
      <c r="E65" s="16"/>
      <c r="F65" s="14">
        <v>1</v>
      </c>
      <c r="G65" s="15">
        <v>45</v>
      </c>
      <c r="H65" s="15">
        <v>45</v>
      </c>
    </row>
    <row r="66" ht="12.9" customHeight="1">
      <c r="A66" t="s" s="10">
        <v>5373</v>
      </c>
      <c r="B66" t="s" s="11">
        <v>1622</v>
      </c>
      <c r="C66" s="12">
        <v>45072</v>
      </c>
      <c r="D66" t="s" s="13">
        <v>1132</v>
      </c>
      <c r="E66" t="s" s="13">
        <v>4280</v>
      </c>
      <c r="F66" s="14">
        <v>2</v>
      </c>
      <c r="G66" s="15">
        <v>90</v>
      </c>
      <c r="H66" s="15">
        <v>180</v>
      </c>
    </row>
    <row r="67" ht="12.9" customHeight="1">
      <c r="A67" t="s" s="10">
        <v>5374</v>
      </c>
      <c r="B67" t="s" s="11">
        <v>5375</v>
      </c>
      <c r="C67" s="12">
        <v>45071.7644153125</v>
      </c>
      <c r="D67" t="s" s="13">
        <v>31</v>
      </c>
      <c r="E67" t="s" s="13">
        <v>32</v>
      </c>
      <c r="F67" s="14">
        <v>1</v>
      </c>
      <c r="G67" s="15">
        <v>599.99</v>
      </c>
      <c r="H67" s="15">
        <v>599.99</v>
      </c>
    </row>
    <row r="68" ht="12.9" customHeight="1">
      <c r="A68" t="s" s="10">
        <v>5376</v>
      </c>
      <c r="B68" t="s" s="11">
        <v>210</v>
      </c>
      <c r="C68" s="12">
        <v>45071</v>
      </c>
      <c r="D68" t="s" s="13">
        <v>1186</v>
      </c>
      <c r="E68" t="s" s="13">
        <v>5377</v>
      </c>
      <c r="F68" s="14">
        <v>30</v>
      </c>
      <c r="G68" s="15">
        <v>0</v>
      </c>
      <c r="H68" s="15">
        <v>0</v>
      </c>
    </row>
    <row r="69" ht="12.9" customHeight="1">
      <c r="A69" t="s" s="10">
        <v>5376</v>
      </c>
      <c r="B69" t="s" s="11">
        <v>210</v>
      </c>
      <c r="C69" s="12">
        <v>45071</v>
      </c>
      <c r="D69" t="s" s="13">
        <v>1187</v>
      </c>
      <c r="E69" t="s" s="13">
        <v>5378</v>
      </c>
      <c r="F69" s="14">
        <v>30</v>
      </c>
      <c r="G69" s="15">
        <v>0</v>
      </c>
      <c r="H69" s="15">
        <v>0</v>
      </c>
    </row>
    <row r="70" ht="12.9" customHeight="1">
      <c r="A70" t="s" s="10">
        <v>5379</v>
      </c>
      <c r="B70" t="s" s="11">
        <v>3710</v>
      </c>
      <c r="C70" s="12">
        <v>45071</v>
      </c>
      <c r="D70" t="s" s="13">
        <v>143</v>
      </c>
      <c r="E70" t="s" s="13">
        <v>144</v>
      </c>
      <c r="F70" s="14">
        <v>2</v>
      </c>
      <c r="G70" s="15">
        <v>2399.9925</v>
      </c>
      <c r="H70" s="15">
        <v>4799.985</v>
      </c>
    </row>
    <row r="71" ht="12.9" customHeight="1">
      <c r="A71" t="s" s="10">
        <v>5379</v>
      </c>
      <c r="B71" t="s" s="11">
        <v>3710</v>
      </c>
      <c r="C71" s="12">
        <v>45071</v>
      </c>
      <c r="D71" t="s" s="13">
        <v>59</v>
      </c>
      <c r="E71" t="s" s="13">
        <v>60</v>
      </c>
      <c r="F71" s="14">
        <v>2</v>
      </c>
      <c r="G71" s="15">
        <v>899.9924999999999</v>
      </c>
      <c r="H71" s="15">
        <v>1799.985</v>
      </c>
    </row>
    <row r="72" ht="12.9" customHeight="1">
      <c r="A72" t="s" s="10">
        <v>5379</v>
      </c>
      <c r="B72" t="s" s="11">
        <v>3710</v>
      </c>
      <c r="C72" s="12">
        <v>45071</v>
      </c>
      <c r="D72" t="s" s="13">
        <v>589</v>
      </c>
      <c r="E72" t="s" s="13">
        <v>590</v>
      </c>
      <c r="F72" s="14">
        <v>4</v>
      </c>
      <c r="G72" s="15">
        <v>5.6175</v>
      </c>
      <c r="H72" s="15">
        <v>22.47</v>
      </c>
    </row>
    <row r="73" ht="12.9" customHeight="1">
      <c r="A73" t="s" s="10">
        <v>5379</v>
      </c>
      <c r="B73" t="s" s="11">
        <v>3710</v>
      </c>
      <c r="C73" s="12">
        <v>45071</v>
      </c>
      <c r="D73" t="s" s="13">
        <v>369</v>
      </c>
      <c r="E73" t="s" s="13">
        <v>370</v>
      </c>
      <c r="F73" s="14">
        <v>4</v>
      </c>
      <c r="G73" s="15">
        <v>9.7425</v>
      </c>
      <c r="H73" s="15">
        <v>38.97</v>
      </c>
    </row>
    <row r="74" ht="12.9" customHeight="1">
      <c r="A74" t="s" s="10">
        <v>5379</v>
      </c>
      <c r="B74" t="s" s="11">
        <v>3710</v>
      </c>
      <c r="C74" s="12">
        <v>45071</v>
      </c>
      <c r="D74" t="s" s="13">
        <v>4955</v>
      </c>
      <c r="E74" t="s" s="13">
        <v>1617</v>
      </c>
      <c r="F74" s="14">
        <v>8</v>
      </c>
      <c r="G74" s="15">
        <v>164.9925</v>
      </c>
      <c r="H74" s="15">
        <v>1319.94</v>
      </c>
    </row>
    <row r="75" ht="12.9" customHeight="1">
      <c r="A75" t="s" s="10">
        <v>5379</v>
      </c>
      <c r="B75" t="s" s="11">
        <v>3710</v>
      </c>
      <c r="C75" s="12">
        <v>45071</v>
      </c>
      <c r="D75" t="s" s="13">
        <v>345</v>
      </c>
      <c r="E75" t="s" s="13">
        <v>346</v>
      </c>
      <c r="F75" s="14">
        <v>8</v>
      </c>
      <c r="G75" s="15">
        <v>164.9925</v>
      </c>
      <c r="H75" s="15">
        <v>1319.94</v>
      </c>
    </row>
    <row r="76" ht="12.9" customHeight="1">
      <c r="A76" t="s" s="10">
        <v>5379</v>
      </c>
      <c r="B76" t="s" s="11">
        <v>3710</v>
      </c>
      <c r="C76" s="12">
        <v>45071</v>
      </c>
      <c r="D76" t="s" s="13">
        <v>35</v>
      </c>
      <c r="E76" t="s" s="13">
        <v>36</v>
      </c>
      <c r="F76" s="14">
        <v>8</v>
      </c>
      <c r="G76" s="15">
        <v>37.4925</v>
      </c>
      <c r="H76" s="15">
        <v>299.94</v>
      </c>
    </row>
    <row r="77" ht="12.9" customHeight="1">
      <c r="A77" t="s" s="10">
        <v>5379</v>
      </c>
      <c r="B77" t="s" s="11">
        <v>3710</v>
      </c>
      <c r="C77" s="12">
        <v>45071</v>
      </c>
      <c r="D77" t="s" s="13">
        <v>89</v>
      </c>
      <c r="E77" t="s" s="13">
        <v>90</v>
      </c>
      <c r="F77" s="14">
        <v>8</v>
      </c>
      <c r="G77" s="15">
        <v>44.9925</v>
      </c>
      <c r="H77" s="15">
        <v>359.94</v>
      </c>
    </row>
    <row r="78" ht="12.9" customHeight="1">
      <c r="A78" t="s" s="10">
        <v>5379</v>
      </c>
      <c r="B78" t="s" s="11">
        <v>3710</v>
      </c>
      <c r="C78" s="12">
        <v>45071</v>
      </c>
      <c r="D78" t="s" s="13">
        <v>4870</v>
      </c>
      <c r="E78" t="s" s="13">
        <v>4871</v>
      </c>
      <c r="F78" s="14">
        <v>4</v>
      </c>
      <c r="G78" s="15">
        <v>374.9925</v>
      </c>
      <c r="H78" s="15">
        <v>1499.97</v>
      </c>
    </row>
    <row r="79" ht="12.9" customHeight="1">
      <c r="A79" t="s" s="10">
        <v>5379</v>
      </c>
      <c r="B79" t="s" s="11">
        <v>3710</v>
      </c>
      <c r="C79" s="12">
        <v>45071</v>
      </c>
      <c r="D79" t="s" s="13">
        <v>165</v>
      </c>
      <c r="E79" t="s" s="13">
        <v>392</v>
      </c>
      <c r="F79" s="14">
        <v>4</v>
      </c>
      <c r="G79" s="15">
        <v>0</v>
      </c>
      <c r="H79" s="15">
        <v>0</v>
      </c>
    </row>
    <row r="80" ht="12.9" customHeight="1">
      <c r="A80" t="s" s="10">
        <v>5379</v>
      </c>
      <c r="B80" t="s" s="11">
        <v>3710</v>
      </c>
      <c r="C80" s="12">
        <v>45071</v>
      </c>
      <c r="D80" t="s" s="13">
        <v>2125</v>
      </c>
      <c r="E80" t="s" s="13">
        <v>2126</v>
      </c>
      <c r="F80" s="14">
        <v>4</v>
      </c>
      <c r="G80" s="15">
        <v>0</v>
      </c>
      <c r="H80" s="15">
        <v>0</v>
      </c>
    </row>
    <row r="81" ht="12.9" customHeight="1">
      <c r="A81" t="s" s="10">
        <v>5380</v>
      </c>
      <c r="B81" t="s" s="11">
        <v>391</v>
      </c>
      <c r="C81" s="12">
        <v>45071</v>
      </c>
      <c r="D81" t="s" s="13">
        <v>5381</v>
      </c>
      <c r="E81" t="s" s="13">
        <v>5382</v>
      </c>
      <c r="F81" s="14">
        <v>6</v>
      </c>
      <c r="G81" s="15">
        <v>224.9925</v>
      </c>
      <c r="H81" s="15">
        <v>1349.955</v>
      </c>
    </row>
    <row r="82" ht="12.9" customHeight="1">
      <c r="A82" t="s" s="10">
        <v>5380</v>
      </c>
      <c r="B82" t="s" s="11">
        <v>391</v>
      </c>
      <c r="C82" s="12">
        <v>45071</v>
      </c>
      <c r="D82" t="s" s="13">
        <v>1007</v>
      </c>
      <c r="E82" t="s" s="13">
        <v>1008</v>
      </c>
      <c r="F82" s="14">
        <v>6</v>
      </c>
      <c r="G82" s="15">
        <v>0</v>
      </c>
      <c r="H82" s="15">
        <v>0</v>
      </c>
    </row>
    <row r="83" ht="12.9" customHeight="1">
      <c r="A83" t="s" s="10">
        <v>5383</v>
      </c>
      <c r="B83" t="s" s="11">
        <v>5384</v>
      </c>
      <c r="C83" s="12">
        <v>45070.983532453705</v>
      </c>
      <c r="D83" t="s" s="13">
        <v>31</v>
      </c>
      <c r="E83" t="s" s="13">
        <v>32</v>
      </c>
      <c r="F83" s="14">
        <v>1</v>
      </c>
      <c r="G83" s="15">
        <v>599.99</v>
      </c>
      <c r="H83" s="15">
        <v>599.99</v>
      </c>
    </row>
    <row r="84" ht="12.9" customHeight="1">
      <c r="A84" t="s" s="10">
        <v>5385</v>
      </c>
      <c r="B84" t="s" s="11">
        <v>5386</v>
      </c>
      <c r="C84" s="12">
        <v>45070.921450601854</v>
      </c>
      <c r="D84" t="s" s="13">
        <v>19</v>
      </c>
      <c r="E84" t="s" s="13">
        <v>20</v>
      </c>
      <c r="F84" s="14">
        <v>2</v>
      </c>
      <c r="G84" s="15">
        <v>119.99</v>
      </c>
      <c r="H84" s="15">
        <v>239.98</v>
      </c>
    </row>
    <row r="85" ht="12.9" customHeight="1">
      <c r="A85" t="s" s="10">
        <v>5385</v>
      </c>
      <c r="B85" t="s" s="11">
        <v>5386</v>
      </c>
      <c r="C85" s="12">
        <v>45070.921450601854</v>
      </c>
      <c r="D85" t="s" s="13">
        <v>15</v>
      </c>
      <c r="E85" t="s" s="13">
        <v>4757</v>
      </c>
      <c r="F85" s="14">
        <v>2</v>
      </c>
      <c r="G85" s="15">
        <v>8.99</v>
      </c>
      <c r="H85" s="15">
        <v>17.98</v>
      </c>
    </row>
    <row r="86" ht="12.9" customHeight="1">
      <c r="A86" t="s" s="10">
        <v>5387</v>
      </c>
      <c r="B86" t="s" s="11">
        <v>5388</v>
      </c>
      <c r="C86" s="12">
        <v>45070.901458553242</v>
      </c>
      <c r="D86" t="s" s="13">
        <v>54</v>
      </c>
      <c r="E86" t="s" s="13">
        <v>93</v>
      </c>
      <c r="F86" s="14">
        <v>5</v>
      </c>
      <c r="G86" s="15">
        <v>9.99</v>
      </c>
      <c r="H86" s="15">
        <v>49.95</v>
      </c>
    </row>
    <row r="87" ht="12.9" customHeight="1">
      <c r="A87" t="s" s="10">
        <v>5389</v>
      </c>
      <c r="B87" t="s" s="11">
        <v>1284</v>
      </c>
      <c r="C87" s="12">
        <v>45070.824900914355</v>
      </c>
      <c r="D87" t="s" s="13">
        <v>15</v>
      </c>
      <c r="E87" t="s" s="13">
        <v>4757</v>
      </c>
      <c r="F87" s="14">
        <v>2</v>
      </c>
      <c r="G87" s="15">
        <v>8.99</v>
      </c>
      <c r="H87" s="15">
        <v>17.98</v>
      </c>
    </row>
    <row r="88" ht="12.9" customHeight="1">
      <c r="A88" t="s" s="10">
        <v>5390</v>
      </c>
      <c r="B88" t="s" s="11">
        <v>5391</v>
      </c>
      <c r="C88" s="12">
        <v>45070.024447511576</v>
      </c>
      <c r="D88" t="s" s="13">
        <v>59</v>
      </c>
      <c r="E88" t="s" s="13">
        <v>60</v>
      </c>
      <c r="F88" s="14">
        <v>1</v>
      </c>
      <c r="G88" s="15">
        <v>1199.99</v>
      </c>
      <c r="H88" s="15">
        <v>1199.99</v>
      </c>
    </row>
    <row r="89" ht="12.9" customHeight="1">
      <c r="A89" t="s" s="10">
        <v>5392</v>
      </c>
      <c r="B89" t="s" s="11">
        <v>5391</v>
      </c>
      <c r="C89" s="12">
        <v>45070.010617002314</v>
      </c>
      <c r="D89" t="s" s="13">
        <v>73</v>
      </c>
      <c r="E89" t="s" s="13">
        <v>74</v>
      </c>
      <c r="F89" s="14">
        <v>1</v>
      </c>
      <c r="G89" s="15">
        <v>399.99</v>
      </c>
      <c r="H89" s="15">
        <v>399.99</v>
      </c>
    </row>
    <row r="90" ht="12.9" customHeight="1">
      <c r="A90" t="s" s="10">
        <v>5392</v>
      </c>
      <c r="B90" t="s" s="11">
        <v>5391</v>
      </c>
      <c r="C90" s="12">
        <v>45070.010617002314</v>
      </c>
      <c r="D90" t="s" s="13">
        <v>95</v>
      </c>
      <c r="E90" t="s" s="13">
        <v>12</v>
      </c>
      <c r="F90" s="14">
        <v>1</v>
      </c>
      <c r="G90" s="15">
        <v>349.99</v>
      </c>
      <c r="H90" s="15">
        <v>349.99</v>
      </c>
    </row>
    <row r="91" ht="12.9" customHeight="1">
      <c r="A91" t="s" s="10">
        <v>5393</v>
      </c>
      <c r="B91" t="s" s="11">
        <v>5394</v>
      </c>
      <c r="C91" s="12">
        <v>45069.737014363425</v>
      </c>
      <c r="D91" t="s" s="13">
        <v>95</v>
      </c>
      <c r="E91" t="s" s="13">
        <v>12</v>
      </c>
      <c r="F91" s="14">
        <v>2</v>
      </c>
      <c r="G91" s="15">
        <v>349.99</v>
      </c>
      <c r="H91" s="15">
        <v>699.98</v>
      </c>
    </row>
    <row r="92" ht="12.9" customHeight="1">
      <c r="A92" t="s" s="10">
        <v>5395</v>
      </c>
      <c r="B92" t="s" s="11">
        <v>5396</v>
      </c>
      <c r="C92" s="12">
        <v>45069.655840081017</v>
      </c>
      <c r="D92" t="s" s="13">
        <v>89</v>
      </c>
      <c r="E92" t="s" s="13">
        <v>90</v>
      </c>
      <c r="F92" s="14">
        <v>4</v>
      </c>
      <c r="G92" s="15">
        <v>59.99</v>
      </c>
      <c r="H92" s="15">
        <v>239.96</v>
      </c>
    </row>
    <row r="93" ht="12.9" customHeight="1">
      <c r="A93" t="s" s="10">
        <v>5395</v>
      </c>
      <c r="B93" t="s" s="11">
        <v>5396</v>
      </c>
      <c r="C93" s="12">
        <v>45069.655840081017</v>
      </c>
      <c r="D93" t="s" s="13">
        <v>73</v>
      </c>
      <c r="E93" t="s" s="13">
        <v>74</v>
      </c>
      <c r="F93" s="14">
        <v>1</v>
      </c>
      <c r="G93" s="15">
        <v>399.99</v>
      </c>
      <c r="H93" s="15">
        <v>399.99</v>
      </c>
    </row>
    <row r="94" ht="12.9" customHeight="1">
      <c r="A94" t="s" s="10">
        <v>5395</v>
      </c>
      <c r="B94" t="s" s="11">
        <v>5396</v>
      </c>
      <c r="C94" s="12">
        <v>45069.655840081017</v>
      </c>
      <c r="D94" t="s" s="13">
        <v>602</v>
      </c>
      <c r="E94" t="s" s="13">
        <v>828</v>
      </c>
      <c r="F94" s="14">
        <v>2</v>
      </c>
      <c r="G94" s="15">
        <v>299.99</v>
      </c>
      <c r="H94" s="15">
        <v>599.98</v>
      </c>
    </row>
    <row r="95" ht="12.9" customHeight="1">
      <c r="A95" t="s" s="10">
        <v>5397</v>
      </c>
      <c r="B95" t="s" s="11">
        <v>5398</v>
      </c>
      <c r="C95" s="12">
        <v>45069.193279050924</v>
      </c>
      <c r="D95" t="s" s="13">
        <v>31</v>
      </c>
      <c r="E95" t="s" s="13">
        <v>32</v>
      </c>
      <c r="F95" s="14">
        <v>1</v>
      </c>
      <c r="G95" s="15">
        <v>599.99</v>
      </c>
      <c r="H95" s="15">
        <v>599.99</v>
      </c>
    </row>
    <row r="96" ht="12.9" customHeight="1">
      <c r="A96" t="s" s="10">
        <v>5399</v>
      </c>
      <c r="B96" t="s" s="11">
        <v>5400</v>
      </c>
      <c r="C96" s="12">
        <v>45069.045829618059</v>
      </c>
      <c r="D96" t="s" s="13">
        <v>11</v>
      </c>
      <c r="E96" t="s" s="13">
        <v>12</v>
      </c>
      <c r="F96" s="14">
        <v>1</v>
      </c>
      <c r="G96" s="15">
        <v>399.99</v>
      </c>
      <c r="H96" s="15">
        <v>399.99</v>
      </c>
    </row>
    <row r="97" ht="12.9" customHeight="1">
      <c r="A97" t="s" s="10">
        <v>5401</v>
      </c>
      <c r="B97" t="s" s="11">
        <v>1060</v>
      </c>
      <c r="C97" s="12">
        <v>45068.898934467594</v>
      </c>
      <c r="D97" t="s" s="13">
        <v>171</v>
      </c>
      <c r="E97" t="s" s="13">
        <v>172</v>
      </c>
      <c r="F97" s="14">
        <v>1</v>
      </c>
      <c r="G97" s="15">
        <v>549.99</v>
      </c>
      <c r="H97" s="15">
        <v>549.99</v>
      </c>
    </row>
    <row r="98" ht="12.9" customHeight="1">
      <c r="A98" t="s" s="10">
        <v>5402</v>
      </c>
      <c r="B98" t="s" s="11">
        <v>5403</v>
      </c>
      <c r="C98" s="12">
        <v>45068.726757893521</v>
      </c>
      <c r="D98" t="s" s="13">
        <v>23</v>
      </c>
      <c r="E98" t="s" s="13">
        <v>828</v>
      </c>
      <c r="F98" s="14">
        <v>1</v>
      </c>
      <c r="G98" s="15">
        <v>149.99</v>
      </c>
      <c r="H98" s="15">
        <v>149.99</v>
      </c>
    </row>
    <row r="99" ht="12.9" customHeight="1">
      <c r="A99" t="s" s="10">
        <v>5402</v>
      </c>
      <c r="B99" t="s" s="11">
        <v>5403</v>
      </c>
      <c r="C99" s="12">
        <v>45068.726757893521</v>
      </c>
      <c r="D99" t="s" s="13">
        <v>84</v>
      </c>
      <c r="E99" t="s" s="13">
        <v>4225</v>
      </c>
      <c r="F99" s="14">
        <v>1</v>
      </c>
      <c r="G99" s="15">
        <v>15</v>
      </c>
      <c r="H99" s="15">
        <v>15</v>
      </c>
    </row>
    <row r="100" ht="12.9" customHeight="1">
      <c r="A100" t="s" s="10">
        <v>5404</v>
      </c>
      <c r="B100" t="s" s="11">
        <v>5405</v>
      </c>
      <c r="C100" s="12">
        <v>45068.659808113429</v>
      </c>
      <c r="D100" t="s" s="13">
        <v>171</v>
      </c>
      <c r="E100" t="s" s="13">
        <v>172</v>
      </c>
      <c r="F100" s="14">
        <v>1</v>
      </c>
      <c r="G100" s="15">
        <v>549.99</v>
      </c>
      <c r="H100" s="15">
        <v>549.99</v>
      </c>
    </row>
    <row r="101" ht="12.9" customHeight="1">
      <c r="A101" t="s" s="10">
        <v>5406</v>
      </c>
      <c r="B101" t="s" s="11">
        <v>5407</v>
      </c>
      <c r="C101" s="12">
        <v>45068.634321041667</v>
      </c>
      <c r="D101" t="s" s="13">
        <v>54</v>
      </c>
      <c r="E101" t="s" s="13">
        <v>93</v>
      </c>
      <c r="F101" s="14">
        <v>2</v>
      </c>
      <c r="G101" s="15">
        <v>9.99</v>
      </c>
      <c r="H101" s="15">
        <v>19.98</v>
      </c>
    </row>
    <row r="102" ht="12.9" customHeight="1">
      <c r="A102" t="s" s="10">
        <v>5408</v>
      </c>
      <c r="B102" t="s" s="11">
        <v>5340</v>
      </c>
      <c r="C102" s="12">
        <v>45068.493458761572</v>
      </c>
      <c r="D102" t="s" s="13">
        <v>225</v>
      </c>
      <c r="E102" t="s" s="13">
        <v>226</v>
      </c>
      <c r="F102" s="14">
        <v>2</v>
      </c>
      <c r="G102" s="15">
        <v>499.99</v>
      </c>
      <c r="H102" s="15">
        <v>999.98</v>
      </c>
    </row>
    <row r="103" ht="12.9" customHeight="1">
      <c r="A103" t="s" s="10">
        <v>5408</v>
      </c>
      <c r="B103" t="s" s="11">
        <v>5340</v>
      </c>
      <c r="C103" s="12">
        <v>45068.493458761572</v>
      </c>
      <c r="D103" t="s" s="13">
        <v>165</v>
      </c>
      <c r="E103" t="s" s="13">
        <v>392</v>
      </c>
      <c r="F103" s="14">
        <v>2</v>
      </c>
      <c r="G103" s="15">
        <v>0</v>
      </c>
      <c r="H103" s="15">
        <v>0</v>
      </c>
    </row>
    <row r="104" ht="12.9" customHeight="1">
      <c r="A104" t="s" s="10">
        <v>5409</v>
      </c>
      <c r="B104" t="s" s="11">
        <v>5410</v>
      </c>
      <c r="C104" s="12">
        <v>45068</v>
      </c>
      <c r="D104" t="s" s="13">
        <v>933</v>
      </c>
      <c r="E104" t="s" s="13">
        <v>934</v>
      </c>
      <c r="F104" s="14">
        <v>6</v>
      </c>
      <c r="G104" s="15">
        <v>1299.99</v>
      </c>
      <c r="H104" s="15">
        <v>7799.94</v>
      </c>
    </row>
    <row r="105" ht="12.9" customHeight="1">
      <c r="A105" t="s" s="10">
        <v>5409</v>
      </c>
      <c r="B105" t="s" s="11">
        <v>5410</v>
      </c>
      <c r="C105" s="12">
        <v>45068</v>
      </c>
      <c r="D105" t="s" s="13">
        <v>52</v>
      </c>
      <c r="E105" t="s" s="13">
        <v>5411</v>
      </c>
      <c r="F105" s="14">
        <v>6</v>
      </c>
      <c r="G105" s="15">
        <v>0</v>
      </c>
      <c r="H105" s="15">
        <v>0</v>
      </c>
    </row>
    <row r="106" ht="12.9" customHeight="1">
      <c r="A106" t="s" s="10">
        <v>5409</v>
      </c>
      <c r="B106" t="s" s="11">
        <v>5410</v>
      </c>
      <c r="C106" s="12">
        <v>45068</v>
      </c>
      <c r="D106" t="s" s="13">
        <v>470</v>
      </c>
      <c r="E106" t="s" s="13">
        <v>5412</v>
      </c>
      <c r="F106" s="14">
        <v>6</v>
      </c>
      <c r="G106" s="15">
        <v>100</v>
      </c>
      <c r="H106" s="15">
        <v>600</v>
      </c>
    </row>
    <row r="107" ht="12.9" customHeight="1">
      <c r="A107" t="s" s="10">
        <v>5409</v>
      </c>
      <c r="B107" t="s" s="11">
        <v>5410</v>
      </c>
      <c r="C107" s="12">
        <v>45068</v>
      </c>
      <c r="D107" t="s" s="13">
        <v>1069</v>
      </c>
      <c r="E107" t="s" s="13">
        <v>828</v>
      </c>
      <c r="F107" s="14">
        <v>6</v>
      </c>
      <c r="G107" s="15">
        <v>99.98999999999999</v>
      </c>
      <c r="H107" s="15">
        <v>599.9400000000001</v>
      </c>
    </row>
    <row r="108" ht="12.9" customHeight="1">
      <c r="A108" t="s" s="10">
        <v>5409</v>
      </c>
      <c r="B108" t="s" s="11">
        <v>5410</v>
      </c>
      <c r="C108" s="12">
        <v>45068</v>
      </c>
      <c r="D108" t="s" s="13">
        <v>227</v>
      </c>
      <c r="E108" t="s" s="13">
        <v>228</v>
      </c>
      <c r="F108" s="14">
        <v>6</v>
      </c>
      <c r="G108" s="15">
        <v>29.99</v>
      </c>
      <c r="H108" s="15">
        <v>179.94</v>
      </c>
    </row>
    <row r="109" ht="12.9" customHeight="1">
      <c r="A109" t="s" s="10">
        <v>5409</v>
      </c>
      <c r="B109" t="s" s="11">
        <v>5410</v>
      </c>
      <c r="C109" s="12">
        <v>45068</v>
      </c>
      <c r="D109" t="s" s="13">
        <v>4870</v>
      </c>
      <c r="E109" t="s" s="13">
        <v>4871</v>
      </c>
      <c r="F109" s="14">
        <v>4</v>
      </c>
      <c r="G109" s="15">
        <v>499.99</v>
      </c>
      <c r="H109" s="15">
        <v>1999.96</v>
      </c>
    </row>
    <row r="110" ht="12.9" customHeight="1">
      <c r="A110" t="s" s="10">
        <v>5409</v>
      </c>
      <c r="B110" t="s" s="11">
        <v>5410</v>
      </c>
      <c r="C110" s="12">
        <v>45068</v>
      </c>
      <c r="D110" t="s" s="13">
        <v>165</v>
      </c>
      <c r="E110" t="s" s="13">
        <v>5413</v>
      </c>
      <c r="F110" s="14">
        <v>4</v>
      </c>
      <c r="G110" s="15">
        <v>0</v>
      </c>
      <c r="H110" s="15">
        <v>0</v>
      </c>
    </row>
    <row r="111" ht="12.9" customHeight="1">
      <c r="A111" t="s" s="10">
        <v>5409</v>
      </c>
      <c r="B111" t="s" s="11">
        <v>5410</v>
      </c>
      <c r="C111" s="12">
        <v>45068</v>
      </c>
      <c r="D111" t="s" s="13">
        <v>165</v>
      </c>
      <c r="E111" t="s" s="13">
        <v>5414</v>
      </c>
      <c r="F111" s="14">
        <v>4</v>
      </c>
      <c r="G111" s="15">
        <v>29.99</v>
      </c>
      <c r="H111" s="15">
        <v>119.96</v>
      </c>
    </row>
    <row r="112" ht="12.9" customHeight="1">
      <c r="A112" t="s" s="10">
        <v>5409</v>
      </c>
      <c r="B112" t="s" s="11">
        <v>5410</v>
      </c>
      <c r="C112" s="12">
        <v>45068</v>
      </c>
      <c r="D112" t="s" s="13">
        <v>59</v>
      </c>
      <c r="E112" t="s" s="13">
        <v>60</v>
      </c>
      <c r="F112" s="14">
        <v>1</v>
      </c>
      <c r="G112" s="15">
        <v>1199.99</v>
      </c>
      <c r="H112" s="15">
        <v>1199.99</v>
      </c>
    </row>
    <row r="113" ht="12.9" customHeight="1">
      <c r="A113" t="s" s="10">
        <v>5409</v>
      </c>
      <c r="B113" t="s" s="11">
        <v>5410</v>
      </c>
      <c r="C113" s="12">
        <v>45068</v>
      </c>
      <c r="D113" t="s" s="13">
        <v>73</v>
      </c>
      <c r="E113" t="s" s="13">
        <v>74</v>
      </c>
      <c r="F113" s="14">
        <v>1</v>
      </c>
      <c r="G113" s="15">
        <v>399.99</v>
      </c>
      <c r="H113" s="15">
        <v>399.99</v>
      </c>
    </row>
    <row r="114" ht="12.9" customHeight="1">
      <c r="A114" t="s" s="10">
        <v>5409</v>
      </c>
      <c r="B114" t="s" s="11">
        <v>5410</v>
      </c>
      <c r="C114" s="12">
        <v>45068</v>
      </c>
      <c r="D114" t="s" s="13">
        <v>50</v>
      </c>
      <c r="E114" t="s" s="13">
        <v>5415</v>
      </c>
      <c r="F114" s="14">
        <v>6</v>
      </c>
      <c r="G114" s="15">
        <v>0</v>
      </c>
      <c r="H114" s="15">
        <v>0</v>
      </c>
    </row>
    <row r="115" ht="12.9" customHeight="1">
      <c r="A115" t="s" s="10">
        <v>5409</v>
      </c>
      <c r="B115" t="s" s="11">
        <v>5410</v>
      </c>
      <c r="C115" s="12">
        <v>45068</v>
      </c>
      <c r="D115" t="s" s="13">
        <v>47</v>
      </c>
      <c r="E115" s="16"/>
      <c r="F115" s="14">
        <v>1</v>
      </c>
      <c r="G115" s="15">
        <v>775</v>
      </c>
      <c r="H115" s="15">
        <v>775</v>
      </c>
    </row>
    <row r="116" ht="12.9" customHeight="1">
      <c r="A116" t="s" s="10">
        <v>5416</v>
      </c>
      <c r="B116" t="s" s="11">
        <v>1570</v>
      </c>
      <c r="C116" s="12">
        <v>45068</v>
      </c>
      <c r="D116" t="s" s="13">
        <v>48</v>
      </c>
      <c r="E116" t="s" s="13">
        <v>49</v>
      </c>
      <c r="F116" s="14">
        <v>6</v>
      </c>
      <c r="G116" s="15">
        <v>974.9924999999999</v>
      </c>
      <c r="H116" s="15">
        <v>5849.955</v>
      </c>
    </row>
    <row r="117" ht="12.9" customHeight="1">
      <c r="A117" t="s" s="10">
        <v>5416</v>
      </c>
      <c r="B117" t="s" s="11">
        <v>1570</v>
      </c>
      <c r="C117" s="12">
        <v>45068</v>
      </c>
      <c r="D117" t="s" s="13">
        <v>50</v>
      </c>
      <c r="E117" t="s" s="13">
        <v>83</v>
      </c>
      <c r="F117" s="14">
        <v>6</v>
      </c>
      <c r="G117" s="15">
        <v>0</v>
      </c>
      <c r="H117" s="15">
        <v>0</v>
      </c>
    </row>
    <row r="118" ht="12.9" customHeight="1">
      <c r="A118" t="s" s="10">
        <v>5416</v>
      </c>
      <c r="B118" t="s" s="11">
        <v>1570</v>
      </c>
      <c r="C118" s="12">
        <v>45068</v>
      </c>
      <c r="D118" t="s" s="13">
        <v>52</v>
      </c>
      <c r="E118" t="s" s="13">
        <v>4287</v>
      </c>
      <c r="F118" s="14">
        <v>6</v>
      </c>
      <c r="G118" s="15">
        <v>0</v>
      </c>
      <c r="H118" s="15">
        <v>0</v>
      </c>
    </row>
    <row r="119" ht="12.9" customHeight="1">
      <c r="A119" t="s" s="10">
        <v>5416</v>
      </c>
      <c r="B119" t="s" s="11">
        <v>1570</v>
      </c>
      <c r="C119" s="12">
        <v>45068</v>
      </c>
      <c r="D119" t="s" s="13">
        <v>84</v>
      </c>
      <c r="E119" t="s" s="13">
        <v>4225</v>
      </c>
      <c r="F119" s="14">
        <v>6</v>
      </c>
      <c r="G119" s="15">
        <v>0</v>
      </c>
      <c r="H119" s="15">
        <v>0</v>
      </c>
    </row>
    <row r="120" ht="12.9" customHeight="1">
      <c r="A120" t="s" s="10">
        <v>5416</v>
      </c>
      <c r="B120" t="s" s="11">
        <v>1570</v>
      </c>
      <c r="C120" s="12">
        <v>45068</v>
      </c>
      <c r="D120" t="s" s="13">
        <v>23</v>
      </c>
      <c r="E120" t="s" s="13">
        <v>828</v>
      </c>
      <c r="F120" s="14">
        <v>6</v>
      </c>
      <c r="G120" s="15">
        <v>0</v>
      </c>
      <c r="H120" s="15">
        <v>0</v>
      </c>
    </row>
    <row r="121" ht="12.9" customHeight="1">
      <c r="A121" t="s" s="10">
        <v>5416</v>
      </c>
      <c r="B121" t="s" s="11">
        <v>1570</v>
      </c>
      <c r="C121" s="12">
        <v>45068</v>
      </c>
      <c r="D121" t="s" s="13">
        <v>487</v>
      </c>
      <c r="E121" t="s" s="13">
        <v>828</v>
      </c>
      <c r="F121" s="14">
        <v>6</v>
      </c>
      <c r="G121" s="15">
        <v>82.49250000000001</v>
      </c>
      <c r="H121" s="15">
        <v>494.955</v>
      </c>
    </row>
    <row r="122" ht="12.9" customHeight="1">
      <c r="A122" t="s" s="10">
        <v>5416</v>
      </c>
      <c r="B122" t="s" s="11">
        <v>1570</v>
      </c>
      <c r="C122" s="12">
        <v>45068</v>
      </c>
      <c r="D122" t="s" s="13">
        <v>227</v>
      </c>
      <c r="E122" t="s" s="13">
        <v>228</v>
      </c>
      <c r="F122" s="14">
        <v>6</v>
      </c>
      <c r="G122" s="15">
        <v>22.4925</v>
      </c>
      <c r="H122" s="15">
        <v>134.955</v>
      </c>
    </row>
    <row r="123" ht="12.9" customHeight="1">
      <c r="A123" t="s" s="10">
        <v>5416</v>
      </c>
      <c r="B123" t="s" s="11">
        <v>1570</v>
      </c>
      <c r="C123" s="12">
        <v>45068</v>
      </c>
      <c r="D123" t="s" s="13">
        <v>73</v>
      </c>
      <c r="E123" t="s" s="13">
        <v>74</v>
      </c>
      <c r="F123" s="14">
        <v>2</v>
      </c>
      <c r="G123" s="15">
        <v>299.9925</v>
      </c>
      <c r="H123" s="15">
        <v>599.985</v>
      </c>
    </row>
    <row r="124" ht="12.9" customHeight="1">
      <c r="A124" t="s" s="10">
        <v>5416</v>
      </c>
      <c r="B124" t="s" s="11">
        <v>1570</v>
      </c>
      <c r="C124" s="12">
        <v>45068</v>
      </c>
      <c r="D124" t="s" s="13">
        <v>63</v>
      </c>
      <c r="E124" s="16"/>
      <c r="F124" s="14">
        <v>1</v>
      </c>
      <c r="G124" s="15">
        <v>85</v>
      </c>
      <c r="H124" s="15">
        <v>85</v>
      </c>
    </row>
    <row r="125" ht="12.9" customHeight="1">
      <c r="A125" t="s" s="10">
        <v>5416</v>
      </c>
      <c r="B125" t="s" s="11">
        <v>1570</v>
      </c>
      <c r="C125" s="12">
        <v>45068</v>
      </c>
      <c r="D125" t="s" s="13">
        <v>861</v>
      </c>
      <c r="E125" s="16"/>
      <c r="F125" s="14">
        <v>1</v>
      </c>
      <c r="G125" s="15">
        <v>619.49</v>
      </c>
      <c r="H125" s="15">
        <v>619.49</v>
      </c>
    </row>
    <row r="126" ht="12.9" customHeight="1">
      <c r="A126" t="s" s="10">
        <v>5417</v>
      </c>
      <c r="B126" t="s" s="11">
        <v>391</v>
      </c>
      <c r="C126" s="12">
        <v>45068</v>
      </c>
      <c r="D126" t="s" s="13">
        <v>3513</v>
      </c>
      <c r="E126" t="s" s="13">
        <v>112</v>
      </c>
      <c r="F126" s="14">
        <v>4</v>
      </c>
      <c r="G126" s="15">
        <v>111.375</v>
      </c>
      <c r="H126" s="15">
        <v>445.5</v>
      </c>
    </row>
    <row r="127" ht="12.9" customHeight="1">
      <c r="A127" t="s" s="10">
        <v>5417</v>
      </c>
      <c r="B127" t="s" s="11">
        <v>391</v>
      </c>
      <c r="C127" s="12">
        <v>45068</v>
      </c>
      <c r="D127" t="s" s="13">
        <v>5418</v>
      </c>
      <c r="E127" t="s" s="13">
        <v>112</v>
      </c>
      <c r="F127" s="14">
        <v>6</v>
      </c>
      <c r="G127" s="15">
        <v>203.8125</v>
      </c>
      <c r="H127" s="15">
        <v>1222.875</v>
      </c>
    </row>
    <row r="128" ht="12.9" customHeight="1">
      <c r="A128" t="s" s="10">
        <v>5417</v>
      </c>
      <c r="B128" t="s" s="11">
        <v>391</v>
      </c>
      <c r="C128" s="12">
        <v>45068</v>
      </c>
      <c r="D128" t="s" s="13">
        <v>2099</v>
      </c>
      <c r="E128" t="s" s="13">
        <v>112</v>
      </c>
      <c r="F128" s="14">
        <v>10</v>
      </c>
      <c r="G128" s="15">
        <v>56.625</v>
      </c>
      <c r="H128" s="15">
        <v>566.25</v>
      </c>
    </row>
    <row r="129" ht="12.9" customHeight="1">
      <c r="A129" t="s" s="10">
        <v>5417</v>
      </c>
      <c r="B129" t="s" s="11">
        <v>391</v>
      </c>
      <c r="C129" s="12">
        <v>45068</v>
      </c>
      <c r="D129" t="s" s="13">
        <v>63</v>
      </c>
      <c r="E129" s="16"/>
      <c r="F129" s="14">
        <v>1</v>
      </c>
      <c r="G129" s="15">
        <v>180.6</v>
      </c>
      <c r="H129" s="15">
        <v>180.6</v>
      </c>
    </row>
    <row r="130" ht="12.9" customHeight="1">
      <c r="A130" t="s" s="10">
        <v>5419</v>
      </c>
      <c r="B130" t="s" s="11">
        <v>5420</v>
      </c>
      <c r="C130" s="12">
        <v>45067.870321412040</v>
      </c>
      <c r="D130" t="s" s="13">
        <v>95</v>
      </c>
      <c r="E130" t="s" s="13">
        <v>12</v>
      </c>
      <c r="F130" s="14">
        <v>1</v>
      </c>
      <c r="G130" s="15">
        <v>349.99</v>
      </c>
      <c r="H130" s="15">
        <v>349.99</v>
      </c>
    </row>
    <row r="131" ht="12.9" customHeight="1">
      <c r="A131" t="s" s="10">
        <v>5419</v>
      </c>
      <c r="B131" t="s" s="11">
        <v>5420</v>
      </c>
      <c r="C131" s="12">
        <v>45067.870321412040</v>
      </c>
      <c r="D131" t="s" s="13">
        <v>89</v>
      </c>
      <c r="E131" t="s" s="13">
        <v>90</v>
      </c>
      <c r="F131" s="14">
        <v>1</v>
      </c>
      <c r="G131" s="15">
        <v>59.99</v>
      </c>
      <c r="H131" s="15">
        <v>59.99</v>
      </c>
    </row>
    <row r="132" ht="12.9" customHeight="1">
      <c r="A132" t="s" s="10">
        <v>5421</v>
      </c>
      <c r="B132" t="s" s="11">
        <v>2338</v>
      </c>
      <c r="C132" s="12">
        <v>45067.781648067132</v>
      </c>
      <c r="D132" t="s" s="13">
        <v>54</v>
      </c>
      <c r="E132" t="s" s="13">
        <v>93</v>
      </c>
      <c r="F132" s="14">
        <v>1</v>
      </c>
      <c r="G132" s="15">
        <v>9.99</v>
      </c>
      <c r="H132" s="15">
        <v>9.99</v>
      </c>
    </row>
    <row r="133" ht="12.9" customHeight="1">
      <c r="A133" t="s" s="10">
        <v>5421</v>
      </c>
      <c r="B133" t="s" s="11">
        <v>2338</v>
      </c>
      <c r="C133" s="12">
        <v>45067.781648067132</v>
      </c>
      <c r="D133" t="s" s="13">
        <v>95</v>
      </c>
      <c r="E133" t="s" s="13">
        <v>12</v>
      </c>
      <c r="F133" s="14">
        <v>1</v>
      </c>
      <c r="G133" s="15">
        <v>349.99</v>
      </c>
      <c r="H133" s="15">
        <v>349.99</v>
      </c>
    </row>
    <row r="134" ht="12.9" customHeight="1">
      <c r="A134" t="s" s="10">
        <v>5422</v>
      </c>
      <c r="B134" t="s" s="11">
        <v>5423</v>
      </c>
      <c r="C134" s="12">
        <v>45067.6597615162</v>
      </c>
      <c r="D134" t="s" s="13">
        <v>73</v>
      </c>
      <c r="E134" t="s" s="13">
        <v>74</v>
      </c>
      <c r="F134" s="14">
        <v>1</v>
      </c>
      <c r="G134" s="15">
        <v>399.99</v>
      </c>
      <c r="H134" s="15">
        <v>399.99</v>
      </c>
    </row>
    <row r="135" ht="12.9" customHeight="1">
      <c r="A135" t="s" s="10">
        <v>5424</v>
      </c>
      <c r="B135" t="s" s="11">
        <v>5425</v>
      </c>
      <c r="C135" s="12">
        <v>45066.965712847224</v>
      </c>
      <c r="D135" t="s" s="13">
        <v>81</v>
      </c>
      <c r="E135" t="s" s="13">
        <v>82</v>
      </c>
      <c r="F135" s="14">
        <v>4</v>
      </c>
      <c r="G135" s="15">
        <v>849.99</v>
      </c>
      <c r="H135" s="15">
        <v>3399.96</v>
      </c>
    </row>
    <row r="136" ht="12.9" customHeight="1">
      <c r="A136" t="s" s="10">
        <v>5424</v>
      </c>
      <c r="B136" t="s" s="11">
        <v>5425</v>
      </c>
      <c r="C136" s="12">
        <v>45066.965712847224</v>
      </c>
      <c r="D136" t="s" s="13">
        <v>602</v>
      </c>
      <c r="E136" t="s" s="13">
        <v>828</v>
      </c>
      <c r="F136" s="14">
        <v>4</v>
      </c>
      <c r="G136" s="15">
        <v>175</v>
      </c>
      <c r="H136" s="15">
        <v>700</v>
      </c>
    </row>
    <row r="137" ht="12.9" customHeight="1">
      <c r="A137" t="s" s="10">
        <v>5424</v>
      </c>
      <c r="B137" t="s" s="11">
        <v>5425</v>
      </c>
      <c r="C137" s="12">
        <v>45066.965712847224</v>
      </c>
      <c r="D137" t="s" s="13">
        <v>50</v>
      </c>
      <c r="E137" t="s" s="13">
        <v>83</v>
      </c>
      <c r="F137" s="14">
        <v>4</v>
      </c>
      <c r="G137" s="15">
        <v>0</v>
      </c>
      <c r="H137" s="15">
        <v>0</v>
      </c>
    </row>
    <row r="138" ht="12.9" customHeight="1">
      <c r="A138" t="s" s="10">
        <v>5424</v>
      </c>
      <c r="B138" t="s" s="11">
        <v>5425</v>
      </c>
      <c r="C138" s="12">
        <v>45066.965712847224</v>
      </c>
      <c r="D138" t="s" s="13">
        <v>84</v>
      </c>
      <c r="E138" t="s" s="13">
        <v>4225</v>
      </c>
      <c r="F138" s="14">
        <v>4</v>
      </c>
      <c r="G138" s="15">
        <v>0</v>
      </c>
      <c r="H138" s="15">
        <v>0</v>
      </c>
    </row>
    <row r="139" ht="12.9" customHeight="1">
      <c r="A139" t="s" s="10">
        <v>5424</v>
      </c>
      <c r="B139" t="s" s="11">
        <v>5425</v>
      </c>
      <c r="C139" s="12">
        <v>45066.965712847224</v>
      </c>
      <c r="D139" t="s" s="13">
        <v>73</v>
      </c>
      <c r="E139" t="s" s="13">
        <v>74</v>
      </c>
      <c r="F139" s="14">
        <v>1</v>
      </c>
      <c r="G139" s="15">
        <v>399.99</v>
      </c>
      <c r="H139" s="15">
        <v>399.99</v>
      </c>
    </row>
    <row r="140" ht="12.9" customHeight="1">
      <c r="A140" t="s" s="10">
        <v>5426</v>
      </c>
      <c r="B140" t="s" s="11">
        <v>5427</v>
      </c>
      <c r="C140" s="12">
        <v>45066.731440115742</v>
      </c>
      <c r="D140" t="s" s="13">
        <v>89</v>
      </c>
      <c r="E140" t="s" s="13">
        <v>90</v>
      </c>
      <c r="F140" s="14">
        <v>12</v>
      </c>
      <c r="G140" s="15">
        <v>59.99</v>
      </c>
      <c r="H140" s="15">
        <v>719.88</v>
      </c>
    </row>
    <row r="141" ht="12.9" customHeight="1">
      <c r="A141" t="s" s="10">
        <v>5428</v>
      </c>
      <c r="B141" t="s" s="11">
        <v>5429</v>
      </c>
      <c r="C141" s="12">
        <v>45065.893906111109</v>
      </c>
      <c r="D141" t="s" s="13">
        <v>225</v>
      </c>
      <c r="E141" t="s" s="13">
        <v>226</v>
      </c>
      <c r="F141" s="14">
        <v>2</v>
      </c>
      <c r="G141" s="15">
        <v>499.99</v>
      </c>
      <c r="H141" s="15">
        <v>999.98</v>
      </c>
    </row>
    <row r="142" ht="12.9" customHeight="1">
      <c r="A142" t="s" s="10">
        <v>5428</v>
      </c>
      <c r="B142" t="s" s="11">
        <v>5429</v>
      </c>
      <c r="C142" s="12">
        <v>45065.893906111109</v>
      </c>
      <c r="D142" t="s" s="13">
        <v>227</v>
      </c>
      <c r="E142" t="s" s="13">
        <v>228</v>
      </c>
      <c r="F142" s="14">
        <v>2</v>
      </c>
      <c r="G142" s="15">
        <v>29.99</v>
      </c>
      <c r="H142" s="15">
        <v>59.98</v>
      </c>
    </row>
    <row r="143" ht="12.9" customHeight="1">
      <c r="A143" t="s" s="10">
        <v>5428</v>
      </c>
      <c r="B143" t="s" s="11">
        <v>5429</v>
      </c>
      <c r="C143" s="12">
        <v>45065.893906111109</v>
      </c>
      <c r="D143" t="s" s="13">
        <v>227</v>
      </c>
      <c r="E143" t="s" s="13">
        <v>228</v>
      </c>
      <c r="F143" s="14">
        <v>2</v>
      </c>
      <c r="G143" s="15">
        <v>0</v>
      </c>
      <c r="H143" s="15">
        <v>0</v>
      </c>
    </row>
    <row r="144" ht="12.9" customHeight="1">
      <c r="A144" t="s" s="10">
        <v>5428</v>
      </c>
      <c r="B144" t="s" s="11">
        <v>5429</v>
      </c>
      <c r="C144" s="12">
        <v>45065.893906111109</v>
      </c>
      <c r="D144" t="s" s="13">
        <v>23</v>
      </c>
      <c r="E144" t="s" s="13">
        <v>828</v>
      </c>
      <c r="F144" s="14">
        <v>2</v>
      </c>
      <c r="G144" s="15">
        <v>149.99</v>
      </c>
      <c r="H144" s="15">
        <v>299.98</v>
      </c>
    </row>
    <row r="145" ht="12.9" customHeight="1">
      <c r="A145" t="s" s="10">
        <v>5430</v>
      </c>
      <c r="B145" t="s" s="11">
        <v>1209</v>
      </c>
      <c r="C145" s="12">
        <v>45065.791990590275</v>
      </c>
      <c r="D145" t="s" s="13">
        <v>95</v>
      </c>
      <c r="E145" t="s" s="13">
        <v>12</v>
      </c>
      <c r="F145" s="14">
        <v>1</v>
      </c>
      <c r="G145" s="15">
        <v>349.99</v>
      </c>
      <c r="H145" s="15">
        <v>349.99</v>
      </c>
    </row>
    <row r="146" ht="12.9" customHeight="1">
      <c r="A146" t="s" s="10">
        <v>5431</v>
      </c>
      <c r="B146" t="s" s="11">
        <v>5432</v>
      </c>
      <c r="C146" s="12">
        <v>45065.715243032406</v>
      </c>
      <c r="D146" t="s" s="13">
        <v>73</v>
      </c>
      <c r="E146" t="s" s="13">
        <v>74</v>
      </c>
      <c r="F146" s="14">
        <v>4</v>
      </c>
      <c r="G146" s="15">
        <v>399.99</v>
      </c>
      <c r="H146" s="15">
        <v>1599.96</v>
      </c>
    </row>
    <row r="147" ht="12.9" customHeight="1">
      <c r="A147" t="s" s="10">
        <v>5433</v>
      </c>
      <c r="B147" t="s" s="11">
        <v>5434</v>
      </c>
      <c r="C147" s="12">
        <v>45065.709220451390</v>
      </c>
      <c r="D147" t="s" s="13">
        <v>73</v>
      </c>
      <c r="E147" t="s" s="13">
        <v>74</v>
      </c>
      <c r="F147" s="14">
        <v>1</v>
      </c>
      <c r="G147" s="15">
        <v>399.99</v>
      </c>
      <c r="H147" s="15">
        <v>399.99</v>
      </c>
    </row>
    <row r="148" ht="12.9" customHeight="1">
      <c r="A148" t="s" s="10">
        <v>5435</v>
      </c>
      <c r="B148" t="s" s="11">
        <v>5436</v>
      </c>
      <c r="C148" s="12">
        <v>45065.670483506947</v>
      </c>
      <c r="D148" t="s" s="13">
        <v>35</v>
      </c>
      <c r="E148" t="s" s="13">
        <v>36</v>
      </c>
      <c r="F148" s="14">
        <v>2</v>
      </c>
      <c r="G148" s="15">
        <v>49.99</v>
      </c>
      <c r="H148" s="15">
        <v>99.98</v>
      </c>
    </row>
    <row r="149" ht="12.9" customHeight="1">
      <c r="A149" t="s" s="10">
        <v>5435</v>
      </c>
      <c r="B149" t="s" s="11">
        <v>5436</v>
      </c>
      <c r="C149" s="12">
        <v>45065.670483506947</v>
      </c>
      <c r="D149" t="s" s="13">
        <v>54</v>
      </c>
      <c r="E149" t="s" s="13">
        <v>93</v>
      </c>
      <c r="F149" s="14">
        <v>1</v>
      </c>
      <c r="G149" s="15">
        <v>9.99</v>
      </c>
      <c r="H149" s="15">
        <v>9.99</v>
      </c>
    </row>
    <row r="150" ht="12.9" customHeight="1">
      <c r="A150" t="s" s="10">
        <v>5437</v>
      </c>
      <c r="B150" t="s" s="11">
        <v>5438</v>
      </c>
      <c r="C150" s="12">
        <v>45065.582435902776</v>
      </c>
      <c r="D150" t="s" s="13">
        <v>73</v>
      </c>
      <c r="E150" t="s" s="13">
        <v>74</v>
      </c>
      <c r="F150" s="14">
        <v>1</v>
      </c>
      <c r="G150" s="15">
        <v>399.99</v>
      </c>
      <c r="H150" s="15">
        <v>399.99</v>
      </c>
    </row>
    <row r="151" ht="12.9" customHeight="1">
      <c r="A151" t="s" s="10">
        <v>5439</v>
      </c>
      <c r="B151" t="s" s="11">
        <v>5440</v>
      </c>
      <c r="C151" s="12">
        <v>45065.272279872683</v>
      </c>
      <c r="D151" t="s" s="13">
        <v>1961</v>
      </c>
      <c r="E151" t="s" s="13">
        <v>1962</v>
      </c>
      <c r="F151" s="14">
        <v>1</v>
      </c>
      <c r="G151" s="15">
        <v>109.99</v>
      </c>
      <c r="H151" s="15">
        <v>109.99</v>
      </c>
    </row>
    <row r="152" ht="12.9" customHeight="1">
      <c r="A152" t="s" s="10">
        <v>5441</v>
      </c>
      <c r="B152" t="s" s="11">
        <v>2940</v>
      </c>
      <c r="C152" s="12">
        <v>45065</v>
      </c>
      <c r="D152" t="s" s="13">
        <v>11</v>
      </c>
      <c r="E152" t="s" s="13">
        <v>12</v>
      </c>
      <c r="F152" s="14">
        <v>1</v>
      </c>
      <c r="G152" s="15">
        <v>359.991</v>
      </c>
      <c r="H152" s="15">
        <v>359.991</v>
      </c>
    </row>
    <row r="153" ht="12.9" customHeight="1">
      <c r="A153" t="s" s="10">
        <v>5442</v>
      </c>
      <c r="B153" t="s" s="11">
        <v>5443</v>
      </c>
      <c r="C153" s="12">
        <v>45065</v>
      </c>
      <c r="D153" t="s" s="13">
        <v>462</v>
      </c>
      <c r="E153" t="s" s="13">
        <v>828</v>
      </c>
      <c r="F153" s="14">
        <v>2</v>
      </c>
      <c r="G153" s="15">
        <v>199.99</v>
      </c>
      <c r="H153" s="15">
        <v>399.98</v>
      </c>
    </row>
    <row r="154" ht="12.9" customHeight="1">
      <c r="A154" t="s" s="10">
        <v>5444</v>
      </c>
      <c r="B154" t="s" s="11">
        <v>2940</v>
      </c>
      <c r="C154" s="12">
        <v>45065</v>
      </c>
      <c r="D154" t="s" s="13">
        <v>11</v>
      </c>
      <c r="E154" t="s" s="13">
        <v>12</v>
      </c>
      <c r="F154" s="14">
        <v>1</v>
      </c>
      <c r="G154" s="15">
        <v>359.991</v>
      </c>
      <c r="H154" s="15">
        <v>359.991</v>
      </c>
    </row>
    <row r="155" ht="12.9" customHeight="1">
      <c r="A155" t="s" s="10">
        <v>5445</v>
      </c>
      <c r="B155" t="s" s="11">
        <v>5446</v>
      </c>
      <c r="C155" s="12">
        <v>45064.782009074072</v>
      </c>
      <c r="D155" t="s" s="13">
        <v>1695</v>
      </c>
      <c r="E155" t="s" s="13">
        <v>140</v>
      </c>
      <c r="F155" s="14">
        <v>2</v>
      </c>
      <c r="G155" s="15">
        <v>49.99</v>
      </c>
      <c r="H155" s="15">
        <v>99.98</v>
      </c>
    </row>
    <row r="156" ht="12.9" customHeight="1">
      <c r="A156" t="s" s="10">
        <v>5445</v>
      </c>
      <c r="B156" t="s" s="11">
        <v>5446</v>
      </c>
      <c r="C156" s="12">
        <v>45064.782009074072</v>
      </c>
      <c r="D156" t="s" s="13">
        <v>15</v>
      </c>
      <c r="E156" t="s" s="13">
        <v>4757</v>
      </c>
      <c r="F156" s="14">
        <v>2</v>
      </c>
      <c r="G156" s="15">
        <v>8.99</v>
      </c>
      <c r="H156" s="15">
        <v>17.98</v>
      </c>
    </row>
    <row r="157" ht="12.9" customHeight="1">
      <c r="A157" t="s" s="10">
        <v>5447</v>
      </c>
      <c r="B157" t="s" s="11">
        <v>896</v>
      </c>
      <c r="C157" s="12">
        <v>45064</v>
      </c>
      <c r="D157" t="s" s="13">
        <v>5448</v>
      </c>
      <c r="E157" t="s" s="13">
        <v>5449</v>
      </c>
      <c r="F157" s="14">
        <v>9</v>
      </c>
      <c r="G157" s="15">
        <v>800</v>
      </c>
      <c r="H157" s="15">
        <v>7200</v>
      </c>
    </row>
    <row r="158" ht="12.9" customHeight="1">
      <c r="A158" t="s" s="10">
        <v>5447</v>
      </c>
      <c r="B158" t="s" s="11">
        <v>896</v>
      </c>
      <c r="C158" s="12">
        <v>45064</v>
      </c>
      <c r="D158" t="s" s="13">
        <v>5450</v>
      </c>
      <c r="E158" t="s" s="13">
        <v>5451</v>
      </c>
      <c r="F158" s="14">
        <v>9</v>
      </c>
      <c r="G158" s="15">
        <v>24</v>
      </c>
      <c r="H158" s="15">
        <v>216</v>
      </c>
    </row>
    <row r="159" ht="12.9" customHeight="1">
      <c r="A159" t="s" s="10">
        <v>5447</v>
      </c>
      <c r="B159" t="s" s="11">
        <v>896</v>
      </c>
      <c r="C159" s="12">
        <v>45064</v>
      </c>
      <c r="D159" t="s" s="13">
        <v>5452</v>
      </c>
      <c r="E159" t="s" s="13">
        <v>5453</v>
      </c>
      <c r="F159" s="14">
        <v>18</v>
      </c>
      <c r="G159" s="15">
        <v>20</v>
      </c>
      <c r="H159" s="15">
        <v>360</v>
      </c>
    </row>
    <row r="160" ht="12.9" customHeight="1">
      <c r="A160" t="s" s="10">
        <v>5447</v>
      </c>
      <c r="B160" t="s" s="11">
        <v>896</v>
      </c>
      <c r="C160" s="12">
        <v>45064</v>
      </c>
      <c r="D160" t="s" s="13">
        <v>5454</v>
      </c>
      <c r="E160" t="s" s="13">
        <v>5455</v>
      </c>
      <c r="F160" s="14">
        <v>9</v>
      </c>
      <c r="G160" s="15">
        <v>30</v>
      </c>
      <c r="H160" s="15">
        <v>270</v>
      </c>
    </row>
    <row r="161" ht="12.9" customHeight="1">
      <c r="A161" t="s" s="10">
        <v>5447</v>
      </c>
      <c r="B161" t="s" s="11">
        <v>896</v>
      </c>
      <c r="C161" s="12">
        <v>45064</v>
      </c>
      <c r="D161" t="s" s="13">
        <v>530</v>
      </c>
      <c r="E161" t="s" s="13">
        <v>531</v>
      </c>
      <c r="F161" s="14">
        <v>18</v>
      </c>
      <c r="G161" s="15">
        <v>20</v>
      </c>
      <c r="H161" s="15">
        <v>360</v>
      </c>
    </row>
    <row r="162" ht="12.9" customHeight="1">
      <c r="A162" t="s" s="10">
        <v>5447</v>
      </c>
      <c r="B162" t="s" s="11">
        <v>896</v>
      </c>
      <c r="C162" s="12">
        <v>45064</v>
      </c>
      <c r="D162" t="s" s="13">
        <v>59</v>
      </c>
      <c r="E162" t="s" s="13">
        <v>5456</v>
      </c>
      <c r="F162" s="14">
        <v>2</v>
      </c>
      <c r="G162" s="15">
        <v>899.9924999999999</v>
      </c>
      <c r="H162" s="15">
        <v>1799.985</v>
      </c>
    </row>
    <row r="163" ht="12.9" customHeight="1">
      <c r="A163" t="s" s="10">
        <v>5447</v>
      </c>
      <c r="B163" t="s" s="11">
        <v>896</v>
      </c>
      <c r="C163" s="12">
        <v>45064</v>
      </c>
      <c r="D163" t="s" s="13">
        <v>5457</v>
      </c>
      <c r="E163" t="s" s="13">
        <v>5458</v>
      </c>
      <c r="F163" s="14">
        <v>1</v>
      </c>
      <c r="G163" s="15">
        <v>300</v>
      </c>
      <c r="H163" s="15">
        <v>300</v>
      </c>
    </row>
    <row r="164" ht="12.9" customHeight="1">
      <c r="A164" t="s" s="10">
        <v>5447</v>
      </c>
      <c r="B164" t="s" s="11">
        <v>896</v>
      </c>
      <c r="C164" s="12">
        <v>45064</v>
      </c>
      <c r="D164" t="s" s="13">
        <v>5459</v>
      </c>
      <c r="E164" t="s" s="13">
        <v>5460</v>
      </c>
      <c r="F164" s="14">
        <v>1</v>
      </c>
      <c r="G164" s="15">
        <v>-6000</v>
      </c>
      <c r="H164" s="15">
        <v>-6000</v>
      </c>
    </row>
    <row r="165" ht="12.9" customHeight="1">
      <c r="A165" t="s" s="10">
        <v>5447</v>
      </c>
      <c r="B165" t="s" s="11">
        <v>896</v>
      </c>
      <c r="C165" s="12">
        <v>45064</v>
      </c>
      <c r="D165" t="s" s="13">
        <v>63</v>
      </c>
      <c r="E165" s="16"/>
      <c r="F165" s="14">
        <v>1</v>
      </c>
      <c r="G165" s="15">
        <v>120</v>
      </c>
      <c r="H165" s="15">
        <v>120</v>
      </c>
    </row>
    <row r="166" ht="12.9" customHeight="1">
      <c r="A166" t="s" s="10">
        <v>5461</v>
      </c>
      <c r="B166" t="s" s="11">
        <v>896</v>
      </c>
      <c r="C166" s="12">
        <v>45064</v>
      </c>
      <c r="D166" t="s" s="13">
        <v>5448</v>
      </c>
      <c r="E166" t="s" s="13">
        <v>5449</v>
      </c>
      <c r="F166" s="14">
        <v>1</v>
      </c>
      <c r="G166" s="15">
        <v>800</v>
      </c>
      <c r="H166" s="15">
        <v>800</v>
      </c>
    </row>
    <row r="167" ht="12.9" customHeight="1">
      <c r="A167" t="s" s="10">
        <v>5461</v>
      </c>
      <c r="B167" t="s" s="11">
        <v>896</v>
      </c>
      <c r="C167" s="12">
        <v>45064</v>
      </c>
      <c r="D167" t="s" s="13">
        <v>5450</v>
      </c>
      <c r="E167" t="s" s="13">
        <v>5451</v>
      </c>
      <c r="F167" s="14">
        <v>1</v>
      </c>
      <c r="G167" s="15">
        <v>24</v>
      </c>
      <c r="H167" s="15">
        <v>24</v>
      </c>
    </row>
    <row r="168" ht="12.9" customHeight="1">
      <c r="A168" t="s" s="10">
        <v>5461</v>
      </c>
      <c r="B168" t="s" s="11">
        <v>896</v>
      </c>
      <c r="C168" s="12">
        <v>45064</v>
      </c>
      <c r="D168" t="s" s="13">
        <v>5452</v>
      </c>
      <c r="E168" t="s" s="13">
        <v>5453</v>
      </c>
      <c r="F168" s="14">
        <v>2</v>
      </c>
      <c r="G168" s="15">
        <v>20</v>
      </c>
      <c r="H168" s="15">
        <v>40</v>
      </c>
    </row>
    <row r="169" ht="12.9" customHeight="1">
      <c r="A169" t="s" s="10">
        <v>5461</v>
      </c>
      <c r="B169" t="s" s="11">
        <v>896</v>
      </c>
      <c r="C169" s="12">
        <v>45064</v>
      </c>
      <c r="D169" t="s" s="13">
        <v>5454</v>
      </c>
      <c r="E169" t="s" s="13">
        <v>5455</v>
      </c>
      <c r="F169" s="14">
        <v>1</v>
      </c>
      <c r="G169" s="15">
        <v>30</v>
      </c>
      <c r="H169" s="15">
        <v>30</v>
      </c>
    </row>
    <row r="170" ht="12.9" customHeight="1">
      <c r="A170" t="s" s="10">
        <v>5461</v>
      </c>
      <c r="B170" t="s" s="11">
        <v>896</v>
      </c>
      <c r="C170" s="12">
        <v>45064</v>
      </c>
      <c r="D170" t="s" s="13">
        <v>530</v>
      </c>
      <c r="E170" t="s" s="13">
        <v>531</v>
      </c>
      <c r="F170" s="14">
        <v>2</v>
      </c>
      <c r="G170" s="15">
        <v>20</v>
      </c>
      <c r="H170" s="15">
        <v>40</v>
      </c>
    </row>
    <row r="171" ht="12.9" customHeight="1">
      <c r="A171" t="s" s="10">
        <v>5461</v>
      </c>
      <c r="B171" t="s" s="11">
        <v>896</v>
      </c>
      <c r="C171" s="12">
        <v>45064</v>
      </c>
      <c r="D171" t="s" s="13">
        <v>5457</v>
      </c>
      <c r="E171" t="s" s="13">
        <v>5458</v>
      </c>
      <c r="F171" s="14">
        <v>1</v>
      </c>
      <c r="G171" s="15">
        <v>50</v>
      </c>
      <c r="H171" s="15">
        <v>50</v>
      </c>
    </row>
    <row r="172" ht="12.9" customHeight="1">
      <c r="A172" t="s" s="10">
        <v>5461</v>
      </c>
      <c r="B172" t="s" s="11">
        <v>896</v>
      </c>
      <c r="C172" s="12">
        <v>45064</v>
      </c>
      <c r="D172" t="s" s="13">
        <v>63</v>
      </c>
      <c r="E172" s="16"/>
      <c r="F172" s="14">
        <v>1</v>
      </c>
      <c r="G172" s="15">
        <v>40</v>
      </c>
      <c r="H172" s="15">
        <v>40</v>
      </c>
    </row>
    <row r="173" ht="12.9" customHeight="1">
      <c r="A173" t="s" s="10">
        <v>5462</v>
      </c>
      <c r="B173" t="s" s="11">
        <v>391</v>
      </c>
      <c r="C173" s="12">
        <v>45064</v>
      </c>
      <c r="D173" t="s" s="13">
        <v>4124</v>
      </c>
      <c r="E173" t="s" s="13">
        <v>112</v>
      </c>
      <c r="F173" s="14">
        <v>10</v>
      </c>
      <c r="G173" s="15">
        <v>38.625</v>
      </c>
      <c r="H173" s="15">
        <v>386.25</v>
      </c>
    </row>
    <row r="174" ht="12.9" customHeight="1">
      <c r="A174" t="s" s="10">
        <v>5462</v>
      </c>
      <c r="B174" t="s" s="11">
        <v>391</v>
      </c>
      <c r="C174" s="12">
        <v>45064</v>
      </c>
      <c r="D174" t="s" s="13">
        <v>5463</v>
      </c>
      <c r="E174" s="16"/>
      <c r="F174" s="14">
        <v>4</v>
      </c>
      <c r="G174" s="15">
        <v>22.5</v>
      </c>
      <c r="H174" s="15">
        <v>90</v>
      </c>
    </row>
    <row r="175" ht="12.9" customHeight="1">
      <c r="A175" t="s" s="10">
        <v>5462</v>
      </c>
      <c r="B175" t="s" s="11">
        <v>391</v>
      </c>
      <c r="C175" s="12">
        <v>45064</v>
      </c>
      <c r="D175" t="s" s="13">
        <v>63</v>
      </c>
      <c r="E175" s="16"/>
      <c r="F175" s="14">
        <v>1</v>
      </c>
      <c r="G175" s="15">
        <v>100</v>
      </c>
      <c r="H175" s="15">
        <v>100</v>
      </c>
    </row>
    <row r="176" ht="12.9" customHeight="1">
      <c r="A176" t="s" s="10">
        <v>5464</v>
      </c>
      <c r="B176" t="s" s="11">
        <v>5465</v>
      </c>
      <c r="C176" s="12">
        <v>45063.9542696875</v>
      </c>
      <c r="D176" t="s" s="13">
        <v>31</v>
      </c>
      <c r="E176" t="s" s="13">
        <v>32</v>
      </c>
      <c r="F176" s="14">
        <v>1</v>
      </c>
      <c r="G176" s="15">
        <v>599.99</v>
      </c>
      <c r="H176" s="15">
        <v>599.99</v>
      </c>
    </row>
    <row r="177" ht="12.9" customHeight="1">
      <c r="A177" t="s" s="10">
        <v>5466</v>
      </c>
      <c r="B177" t="s" s="11">
        <v>5327</v>
      </c>
      <c r="C177" s="12">
        <v>45063.677729305557</v>
      </c>
      <c r="D177" t="s" s="13">
        <v>19</v>
      </c>
      <c r="E177" t="s" s="13">
        <v>20</v>
      </c>
      <c r="F177" s="14">
        <v>1</v>
      </c>
      <c r="G177" s="15">
        <v>119.99</v>
      </c>
      <c r="H177" s="15">
        <v>119.99</v>
      </c>
    </row>
    <row r="178" ht="12.9" customHeight="1">
      <c r="A178" t="s" s="10">
        <v>5466</v>
      </c>
      <c r="B178" t="s" s="11">
        <v>5327</v>
      </c>
      <c r="C178" s="12">
        <v>45063.677729305557</v>
      </c>
      <c r="D178" t="s" s="13">
        <v>15</v>
      </c>
      <c r="E178" t="s" s="13">
        <v>4757</v>
      </c>
      <c r="F178" s="14">
        <v>1</v>
      </c>
      <c r="G178" s="15">
        <v>8.99</v>
      </c>
      <c r="H178" s="15">
        <v>8.99</v>
      </c>
    </row>
    <row r="179" ht="12.9" customHeight="1">
      <c r="A179" t="s" s="10">
        <v>5466</v>
      </c>
      <c r="B179" t="s" s="11">
        <v>5327</v>
      </c>
      <c r="C179" s="12">
        <v>45063.677729305557</v>
      </c>
      <c r="D179" t="s" s="13">
        <v>54</v>
      </c>
      <c r="E179" t="s" s="13">
        <v>93</v>
      </c>
      <c r="F179" s="14">
        <v>1</v>
      </c>
      <c r="G179" s="15">
        <v>9.99</v>
      </c>
      <c r="H179" s="15">
        <v>9.99</v>
      </c>
    </row>
    <row r="180" ht="12.9" customHeight="1">
      <c r="A180" t="s" s="10">
        <v>5466</v>
      </c>
      <c r="B180" t="s" s="11">
        <v>5327</v>
      </c>
      <c r="C180" s="12">
        <v>45063.677729305557</v>
      </c>
      <c r="D180" t="s" s="13">
        <v>15</v>
      </c>
      <c r="E180" t="s" s="13">
        <v>4757</v>
      </c>
      <c r="F180" s="14">
        <v>1</v>
      </c>
      <c r="G180" s="15">
        <v>8.99</v>
      </c>
      <c r="H180" s="15">
        <v>8.99</v>
      </c>
    </row>
    <row r="181" ht="12.9" customHeight="1">
      <c r="A181" t="s" s="10">
        <v>5467</v>
      </c>
      <c r="B181" t="s" s="11">
        <v>391</v>
      </c>
      <c r="C181" s="12">
        <v>45063</v>
      </c>
      <c r="D181" t="s" s="13">
        <v>225</v>
      </c>
      <c r="E181" t="s" s="13">
        <v>5468</v>
      </c>
      <c r="F181" s="14">
        <v>4</v>
      </c>
      <c r="G181" s="15">
        <v>374.9925</v>
      </c>
      <c r="H181" s="15">
        <v>1499.97</v>
      </c>
    </row>
    <row r="182" ht="12.9" customHeight="1">
      <c r="A182" t="s" s="10">
        <v>5467</v>
      </c>
      <c r="B182" t="s" s="11">
        <v>391</v>
      </c>
      <c r="C182" s="12">
        <v>45063</v>
      </c>
      <c r="D182" t="s" s="13">
        <v>59</v>
      </c>
      <c r="E182" t="s" s="13">
        <v>60</v>
      </c>
      <c r="F182" s="14">
        <v>1</v>
      </c>
      <c r="G182" s="15">
        <v>899.9924999999999</v>
      </c>
      <c r="H182" s="15">
        <v>899.9924999999999</v>
      </c>
    </row>
    <row r="183" ht="12.9" customHeight="1">
      <c r="A183" t="s" s="10">
        <v>5467</v>
      </c>
      <c r="B183" t="s" s="11">
        <v>391</v>
      </c>
      <c r="C183" s="12">
        <v>45063</v>
      </c>
      <c r="D183" t="s" s="13">
        <v>50</v>
      </c>
      <c r="E183" t="s" s="13">
        <v>83</v>
      </c>
      <c r="F183" s="14">
        <v>4</v>
      </c>
      <c r="G183" s="15">
        <v>22.4925</v>
      </c>
      <c r="H183" s="15">
        <v>89.97</v>
      </c>
    </row>
    <row r="184" ht="12.9" customHeight="1">
      <c r="A184" t="s" s="10">
        <v>5467</v>
      </c>
      <c r="B184" t="s" s="11">
        <v>391</v>
      </c>
      <c r="C184" s="12">
        <v>45063</v>
      </c>
      <c r="D184" t="s" s="13">
        <v>165</v>
      </c>
      <c r="E184" t="s" s="13">
        <v>392</v>
      </c>
      <c r="F184" s="14">
        <v>4</v>
      </c>
      <c r="G184" s="15">
        <v>0</v>
      </c>
      <c r="H184" s="15">
        <v>0</v>
      </c>
    </row>
    <row r="185" ht="12.9" customHeight="1">
      <c r="A185" t="s" s="10">
        <v>5467</v>
      </c>
      <c r="B185" t="s" s="11">
        <v>391</v>
      </c>
      <c r="C185" s="12">
        <v>45063</v>
      </c>
      <c r="D185" t="s" s="13">
        <v>227</v>
      </c>
      <c r="E185" t="s" s="13">
        <v>228</v>
      </c>
      <c r="F185" s="14">
        <v>4</v>
      </c>
      <c r="G185" s="15">
        <v>22.4925</v>
      </c>
      <c r="H185" s="15">
        <v>89.97</v>
      </c>
    </row>
    <row r="186" ht="12.9" customHeight="1">
      <c r="A186" t="s" s="10">
        <v>5467</v>
      </c>
      <c r="B186" t="s" s="11">
        <v>391</v>
      </c>
      <c r="C186" s="12">
        <v>45063</v>
      </c>
      <c r="D186" t="s" s="13">
        <v>2099</v>
      </c>
      <c r="E186" t="s" s="13">
        <v>112</v>
      </c>
      <c r="F186" s="14">
        <v>4</v>
      </c>
      <c r="G186" s="15">
        <v>56.625</v>
      </c>
      <c r="H186" s="15">
        <v>226.5</v>
      </c>
    </row>
    <row r="187" ht="12.9" customHeight="1">
      <c r="A187" t="s" s="10">
        <v>5467</v>
      </c>
      <c r="B187" t="s" s="11">
        <v>391</v>
      </c>
      <c r="C187" s="12">
        <v>45063</v>
      </c>
      <c r="D187" t="s" s="13">
        <v>5469</v>
      </c>
      <c r="E187" s="16"/>
      <c r="F187" s="14">
        <v>1</v>
      </c>
      <c r="G187" s="15">
        <v>150</v>
      </c>
      <c r="H187" s="15">
        <v>150</v>
      </c>
    </row>
    <row r="188" ht="12.9" customHeight="1">
      <c r="A188" t="s" s="10">
        <v>5467</v>
      </c>
      <c r="B188" t="s" s="11">
        <v>391</v>
      </c>
      <c r="C188" s="12">
        <v>45063</v>
      </c>
      <c r="D188" t="s" s="13">
        <v>5470</v>
      </c>
      <c r="E188" t="s" s="13">
        <v>5471</v>
      </c>
      <c r="F188" s="14">
        <v>1</v>
      </c>
      <c r="G188" s="15">
        <v>40</v>
      </c>
      <c r="H188" s="15">
        <v>40</v>
      </c>
    </row>
    <row r="189" ht="12.9" customHeight="1">
      <c r="A189" t="s" s="10">
        <v>5467</v>
      </c>
      <c r="B189" t="s" s="11">
        <v>391</v>
      </c>
      <c r="C189" s="12">
        <v>45063</v>
      </c>
      <c r="D189" t="s" s="13">
        <v>47</v>
      </c>
      <c r="E189" s="16"/>
      <c r="F189" s="14">
        <v>1</v>
      </c>
      <c r="G189" s="15">
        <v>85</v>
      </c>
      <c r="H189" s="15">
        <v>85</v>
      </c>
    </row>
    <row r="190" ht="12.9" customHeight="1">
      <c r="A190" t="s" s="10">
        <v>5472</v>
      </c>
      <c r="B190" t="s" s="11">
        <v>42</v>
      </c>
      <c r="C190" s="12">
        <v>45063</v>
      </c>
      <c r="D190" t="s" s="13">
        <v>48</v>
      </c>
      <c r="E190" t="s" s="13">
        <v>5473</v>
      </c>
      <c r="F190" s="14">
        <v>8</v>
      </c>
      <c r="G190" s="15">
        <v>900</v>
      </c>
      <c r="H190" s="15">
        <v>7200</v>
      </c>
    </row>
    <row r="191" ht="12.9" customHeight="1">
      <c r="A191" t="s" s="10">
        <v>5472</v>
      </c>
      <c r="B191" t="s" s="11">
        <v>42</v>
      </c>
      <c r="C191" s="12">
        <v>45063</v>
      </c>
      <c r="D191" t="s" s="13">
        <v>52</v>
      </c>
      <c r="E191" t="s" s="13">
        <v>5474</v>
      </c>
      <c r="F191" s="14">
        <v>8</v>
      </c>
      <c r="G191" s="15">
        <v>0</v>
      </c>
      <c r="H191" s="15">
        <v>0</v>
      </c>
    </row>
    <row r="192" ht="12.9" customHeight="1">
      <c r="A192" t="s" s="10">
        <v>5472</v>
      </c>
      <c r="B192" t="s" s="11">
        <v>42</v>
      </c>
      <c r="C192" s="12">
        <v>45063</v>
      </c>
      <c r="D192" t="s" s="13">
        <v>50</v>
      </c>
      <c r="E192" t="s" s="13">
        <v>5475</v>
      </c>
      <c r="F192" s="14">
        <v>8</v>
      </c>
      <c r="G192" s="15">
        <v>0</v>
      </c>
      <c r="H192" s="15">
        <v>0</v>
      </c>
    </row>
    <row r="193" ht="12.9" customHeight="1">
      <c r="A193" t="s" s="10">
        <v>5472</v>
      </c>
      <c r="B193" t="s" s="11">
        <v>42</v>
      </c>
      <c r="C193" s="12">
        <v>45063</v>
      </c>
      <c r="D193" t="s" s="13">
        <v>607</v>
      </c>
      <c r="E193" t="s" s="13">
        <v>608</v>
      </c>
      <c r="F193" s="14">
        <v>16</v>
      </c>
      <c r="G193" s="15">
        <v>22.4925</v>
      </c>
      <c r="H193" s="15">
        <v>359.88</v>
      </c>
    </row>
    <row r="194" ht="12.9" customHeight="1">
      <c r="A194" t="s" s="10">
        <v>5472</v>
      </c>
      <c r="B194" t="s" s="11">
        <v>42</v>
      </c>
      <c r="C194" s="12">
        <v>45063</v>
      </c>
      <c r="D194" t="s" s="13">
        <v>47</v>
      </c>
      <c r="E194" s="16"/>
      <c r="F194" s="14">
        <v>1</v>
      </c>
      <c r="G194" s="15">
        <v>80</v>
      </c>
      <c r="H194" s="15">
        <v>80</v>
      </c>
    </row>
    <row r="195" ht="12.9" customHeight="1">
      <c r="A195" t="s" s="10">
        <v>5476</v>
      </c>
      <c r="B195" t="s" s="11">
        <v>391</v>
      </c>
      <c r="C195" s="12">
        <v>45063</v>
      </c>
      <c r="D195" t="s" s="13">
        <v>225</v>
      </c>
      <c r="E195" t="s" s="13">
        <v>5468</v>
      </c>
      <c r="F195" s="14">
        <v>4</v>
      </c>
      <c r="G195" s="15">
        <v>374.9925</v>
      </c>
      <c r="H195" s="15">
        <v>1499.97</v>
      </c>
    </row>
    <row r="196" ht="12.9" customHeight="1">
      <c r="A196" t="s" s="10">
        <v>5476</v>
      </c>
      <c r="B196" t="s" s="11">
        <v>391</v>
      </c>
      <c r="C196" s="12">
        <v>45063</v>
      </c>
      <c r="D196" t="s" s="13">
        <v>59</v>
      </c>
      <c r="E196" t="s" s="13">
        <v>60</v>
      </c>
      <c r="F196" s="14">
        <v>1</v>
      </c>
      <c r="G196" s="15">
        <v>899.9924999999999</v>
      </c>
      <c r="H196" s="15">
        <v>899.9924999999999</v>
      </c>
    </row>
    <row r="197" ht="12.9" customHeight="1">
      <c r="A197" t="s" s="10">
        <v>5476</v>
      </c>
      <c r="B197" t="s" s="11">
        <v>391</v>
      </c>
      <c r="C197" s="12">
        <v>45063</v>
      </c>
      <c r="D197" t="s" s="13">
        <v>48</v>
      </c>
      <c r="E197" t="s" s="13">
        <v>5477</v>
      </c>
      <c r="F197" s="14">
        <v>2</v>
      </c>
      <c r="G197" s="15">
        <v>900</v>
      </c>
      <c r="H197" s="15">
        <v>1800</v>
      </c>
    </row>
    <row r="198" ht="12.9" customHeight="1">
      <c r="A198" t="s" s="10">
        <v>5476</v>
      </c>
      <c r="B198" t="s" s="11">
        <v>391</v>
      </c>
      <c r="C198" s="12">
        <v>45063</v>
      </c>
      <c r="D198" t="s" s="13">
        <v>50</v>
      </c>
      <c r="E198" t="s" s="13">
        <v>83</v>
      </c>
      <c r="F198" s="14">
        <v>4</v>
      </c>
      <c r="G198" s="15">
        <v>22.4925</v>
      </c>
      <c r="H198" s="15">
        <v>89.97</v>
      </c>
    </row>
    <row r="199" ht="12.9" customHeight="1">
      <c r="A199" t="s" s="10">
        <v>5476</v>
      </c>
      <c r="B199" t="s" s="11">
        <v>391</v>
      </c>
      <c r="C199" s="12">
        <v>45063</v>
      </c>
      <c r="D199" t="s" s="13">
        <v>165</v>
      </c>
      <c r="E199" t="s" s="13">
        <v>392</v>
      </c>
      <c r="F199" s="14">
        <v>4</v>
      </c>
      <c r="G199" s="15">
        <v>0</v>
      </c>
      <c r="H199" s="15">
        <v>0</v>
      </c>
    </row>
    <row r="200" ht="12.9" customHeight="1">
      <c r="A200" t="s" s="10">
        <v>5476</v>
      </c>
      <c r="B200" t="s" s="11">
        <v>391</v>
      </c>
      <c r="C200" s="12">
        <v>45063</v>
      </c>
      <c r="D200" t="s" s="13">
        <v>227</v>
      </c>
      <c r="E200" t="s" s="13">
        <v>228</v>
      </c>
      <c r="F200" s="14">
        <v>4</v>
      </c>
      <c r="G200" s="15">
        <v>0</v>
      </c>
      <c r="H200" s="15">
        <v>0</v>
      </c>
    </row>
    <row r="201" ht="12.9" customHeight="1">
      <c r="A201" t="s" s="10">
        <v>5476</v>
      </c>
      <c r="B201" t="s" s="11">
        <v>391</v>
      </c>
      <c r="C201" s="12">
        <v>45063</v>
      </c>
      <c r="D201" t="s" s="13">
        <v>50</v>
      </c>
      <c r="E201" t="s" s="13">
        <v>83</v>
      </c>
      <c r="F201" s="14">
        <v>4</v>
      </c>
      <c r="G201" s="15">
        <v>0</v>
      </c>
      <c r="H201" s="15">
        <v>0</v>
      </c>
    </row>
    <row r="202" ht="12.9" customHeight="1">
      <c r="A202" t="s" s="10">
        <v>5476</v>
      </c>
      <c r="B202" t="s" s="11">
        <v>391</v>
      </c>
      <c r="C202" s="12">
        <v>45063</v>
      </c>
      <c r="D202" t="s" s="13">
        <v>5469</v>
      </c>
      <c r="E202" s="16"/>
      <c r="F202" s="14">
        <v>1</v>
      </c>
      <c r="G202" s="15">
        <v>150</v>
      </c>
      <c r="H202" s="15">
        <v>150</v>
      </c>
    </row>
    <row r="203" ht="12.9" customHeight="1">
      <c r="A203" t="s" s="10">
        <v>5476</v>
      </c>
      <c r="B203" t="s" s="11">
        <v>391</v>
      </c>
      <c r="C203" s="12">
        <v>45063</v>
      </c>
      <c r="D203" t="s" s="13">
        <v>5470</v>
      </c>
      <c r="E203" t="s" s="13">
        <v>5478</v>
      </c>
      <c r="F203" s="14">
        <v>1</v>
      </c>
      <c r="G203" s="15">
        <v>40</v>
      </c>
      <c r="H203" s="15">
        <v>40</v>
      </c>
    </row>
    <row r="204" ht="12.9" customHeight="1">
      <c r="A204" t="s" s="10">
        <v>5476</v>
      </c>
      <c r="B204" t="s" s="11">
        <v>391</v>
      </c>
      <c r="C204" s="12">
        <v>45063</v>
      </c>
      <c r="D204" t="s" s="13">
        <v>47</v>
      </c>
      <c r="E204" s="16"/>
      <c r="F204" s="14">
        <v>1</v>
      </c>
      <c r="G204" s="15">
        <v>236.42</v>
      </c>
      <c r="H204" s="15">
        <v>236.42</v>
      </c>
    </row>
    <row r="205" ht="12.9" customHeight="1">
      <c r="A205" t="s" s="10">
        <v>5479</v>
      </c>
      <c r="B205" t="s" s="11">
        <v>391</v>
      </c>
      <c r="C205" s="12">
        <v>45063</v>
      </c>
      <c r="D205" t="s" s="13">
        <v>225</v>
      </c>
      <c r="E205" t="s" s="13">
        <v>5468</v>
      </c>
      <c r="F205" s="14">
        <v>4</v>
      </c>
      <c r="G205" s="15">
        <v>374.9925</v>
      </c>
      <c r="H205" s="15">
        <v>1499.97</v>
      </c>
    </row>
    <row r="206" ht="12.9" customHeight="1">
      <c r="A206" t="s" s="10">
        <v>5479</v>
      </c>
      <c r="B206" t="s" s="11">
        <v>391</v>
      </c>
      <c r="C206" s="12">
        <v>45063</v>
      </c>
      <c r="D206" t="s" s="13">
        <v>50</v>
      </c>
      <c r="E206" t="s" s="13">
        <v>83</v>
      </c>
      <c r="F206" s="14">
        <v>4</v>
      </c>
      <c r="G206" s="15">
        <v>22.4925</v>
      </c>
      <c r="H206" s="15">
        <v>89.97</v>
      </c>
    </row>
    <row r="207" ht="12.9" customHeight="1">
      <c r="A207" t="s" s="10">
        <v>5479</v>
      </c>
      <c r="B207" t="s" s="11">
        <v>391</v>
      </c>
      <c r="C207" s="12">
        <v>45063</v>
      </c>
      <c r="D207" t="s" s="13">
        <v>227</v>
      </c>
      <c r="E207" t="s" s="13">
        <v>228</v>
      </c>
      <c r="F207" s="14">
        <v>4</v>
      </c>
      <c r="G207" s="15">
        <v>0</v>
      </c>
      <c r="H207" s="15">
        <v>0</v>
      </c>
    </row>
    <row r="208" ht="12.9" customHeight="1">
      <c r="A208" t="s" s="10">
        <v>5479</v>
      </c>
      <c r="B208" t="s" s="11">
        <v>391</v>
      </c>
      <c r="C208" s="12">
        <v>45063</v>
      </c>
      <c r="D208" t="s" s="13">
        <v>602</v>
      </c>
      <c r="E208" t="s" s="13">
        <v>828</v>
      </c>
      <c r="F208" s="14">
        <v>8</v>
      </c>
      <c r="G208" s="15">
        <v>224.9925</v>
      </c>
      <c r="H208" s="15">
        <v>1799.94</v>
      </c>
    </row>
    <row r="209" ht="12.9" customHeight="1">
      <c r="A209" t="s" s="10">
        <v>5479</v>
      </c>
      <c r="B209" t="s" s="11">
        <v>391</v>
      </c>
      <c r="C209" s="12">
        <v>45063</v>
      </c>
      <c r="D209" t="s" s="13">
        <v>1007</v>
      </c>
      <c r="E209" t="s" s="13">
        <v>1008</v>
      </c>
      <c r="F209" s="14">
        <v>8</v>
      </c>
      <c r="G209" s="15">
        <v>0</v>
      </c>
      <c r="H209" s="15">
        <v>0</v>
      </c>
    </row>
    <row r="210" ht="12.9" customHeight="1">
      <c r="A210" t="s" s="10">
        <v>5479</v>
      </c>
      <c r="B210" t="s" s="11">
        <v>391</v>
      </c>
      <c r="C210" s="12">
        <v>45063</v>
      </c>
      <c r="D210" t="s" s="13">
        <v>47</v>
      </c>
      <c r="E210" s="16"/>
      <c r="F210" s="14">
        <v>1</v>
      </c>
      <c r="G210" s="15">
        <v>105</v>
      </c>
      <c r="H210" s="15">
        <v>105</v>
      </c>
    </row>
    <row r="211" ht="12.9" customHeight="1">
      <c r="A211" t="s" s="10">
        <v>5480</v>
      </c>
      <c r="B211" t="s" s="11">
        <v>5364</v>
      </c>
      <c r="C211" s="12">
        <v>45062.873980879631</v>
      </c>
      <c r="D211" t="s" s="13">
        <v>225</v>
      </c>
      <c r="E211" t="s" s="13">
        <v>226</v>
      </c>
      <c r="F211" s="14">
        <v>2</v>
      </c>
      <c r="G211" s="15">
        <v>499.99</v>
      </c>
      <c r="H211" s="15">
        <v>999.98</v>
      </c>
    </row>
    <row r="212" ht="12.9" customHeight="1">
      <c r="A212" t="s" s="10">
        <v>5480</v>
      </c>
      <c r="B212" t="s" s="11">
        <v>5364</v>
      </c>
      <c r="C212" s="12">
        <v>45062.873980879631</v>
      </c>
      <c r="D212" t="s" s="13">
        <v>165</v>
      </c>
      <c r="E212" t="s" s="13">
        <v>392</v>
      </c>
      <c r="F212" s="14">
        <v>2</v>
      </c>
      <c r="G212" s="15">
        <v>0</v>
      </c>
      <c r="H212" s="15">
        <v>0</v>
      </c>
    </row>
    <row r="213" ht="12.9" customHeight="1">
      <c r="A213" t="s" s="10">
        <v>5481</v>
      </c>
      <c r="B213" t="s" s="11">
        <v>5482</v>
      </c>
      <c r="C213" s="12">
        <v>45062.729941840276</v>
      </c>
      <c r="D213" t="s" s="13">
        <v>73</v>
      </c>
      <c r="E213" t="s" s="13">
        <v>74</v>
      </c>
      <c r="F213" s="14">
        <v>1</v>
      </c>
      <c r="G213" s="15">
        <v>399.99</v>
      </c>
      <c r="H213" s="15">
        <v>399.99</v>
      </c>
    </row>
    <row r="214" ht="12.9" customHeight="1">
      <c r="A214" t="s" s="10">
        <v>5483</v>
      </c>
      <c r="B214" t="s" s="11">
        <v>4732</v>
      </c>
      <c r="C214" s="12">
        <v>45062.594400844908</v>
      </c>
      <c r="D214" t="s" s="13">
        <v>54</v>
      </c>
      <c r="E214" t="s" s="13">
        <v>93</v>
      </c>
      <c r="F214" s="14">
        <v>3</v>
      </c>
      <c r="G214" s="15">
        <v>9.99</v>
      </c>
      <c r="H214" s="15">
        <v>29.97</v>
      </c>
    </row>
    <row r="215" ht="12.9" customHeight="1">
      <c r="A215" t="s" s="10">
        <v>5484</v>
      </c>
      <c r="B215" t="s" s="11">
        <v>5485</v>
      </c>
      <c r="C215" s="12">
        <v>45062.499428020834</v>
      </c>
      <c r="D215" t="s" s="13">
        <v>31</v>
      </c>
      <c r="E215" t="s" s="13">
        <v>32</v>
      </c>
      <c r="F215" s="14">
        <v>1</v>
      </c>
      <c r="G215" s="15">
        <v>599.99</v>
      </c>
      <c r="H215" s="15">
        <v>599.99</v>
      </c>
    </row>
    <row r="216" ht="12.9" customHeight="1">
      <c r="A216" t="s" s="10">
        <v>5484</v>
      </c>
      <c r="B216" t="s" s="11">
        <v>5485</v>
      </c>
      <c r="C216" s="12">
        <v>45062.499428020834</v>
      </c>
      <c r="D216" t="s" s="13">
        <v>412</v>
      </c>
      <c r="E216" t="s" s="13">
        <v>413</v>
      </c>
      <c r="F216" s="14">
        <v>5</v>
      </c>
      <c r="G216" s="15">
        <v>1.99</v>
      </c>
      <c r="H216" s="15">
        <v>9.949999999999999</v>
      </c>
    </row>
    <row r="217" ht="12.9" customHeight="1">
      <c r="A217" t="s" s="10">
        <v>5484</v>
      </c>
      <c r="B217" t="s" s="11">
        <v>5485</v>
      </c>
      <c r="C217" s="12">
        <v>45062.499428020834</v>
      </c>
      <c r="D217" t="s" s="13">
        <v>35</v>
      </c>
      <c r="E217" t="s" s="13">
        <v>36</v>
      </c>
      <c r="F217" s="14">
        <v>1</v>
      </c>
      <c r="G217" s="15">
        <v>49.99</v>
      </c>
      <c r="H217" s="15">
        <v>49.99</v>
      </c>
    </row>
    <row r="218" ht="12.9" customHeight="1">
      <c r="A218" t="s" s="10">
        <v>5484</v>
      </c>
      <c r="B218" t="s" s="11">
        <v>5485</v>
      </c>
      <c r="C218" s="12">
        <v>45062.499428020834</v>
      </c>
      <c r="D218" t="s" s="13">
        <v>15</v>
      </c>
      <c r="E218" t="s" s="13">
        <v>4757</v>
      </c>
      <c r="F218" s="14">
        <v>2</v>
      </c>
      <c r="G218" s="15">
        <v>8.99</v>
      </c>
      <c r="H218" s="15">
        <v>17.98</v>
      </c>
    </row>
    <row r="219" ht="12.9" customHeight="1">
      <c r="A219" t="s" s="10">
        <v>5486</v>
      </c>
      <c r="B219" t="s" s="11">
        <v>5487</v>
      </c>
      <c r="C219" s="12">
        <v>45062.320131145832</v>
      </c>
      <c r="D219" t="s" s="13">
        <v>73</v>
      </c>
      <c r="E219" t="s" s="13">
        <v>74</v>
      </c>
      <c r="F219" s="14">
        <v>1</v>
      </c>
      <c r="G219" s="15">
        <v>399.99</v>
      </c>
      <c r="H219" s="15">
        <v>399.99</v>
      </c>
    </row>
    <row r="220" ht="12.9" customHeight="1">
      <c r="A220" t="s" s="10">
        <v>5488</v>
      </c>
      <c r="B220" t="s" s="11">
        <v>5489</v>
      </c>
      <c r="C220" s="12">
        <v>45062.120706990740</v>
      </c>
      <c r="D220" t="s" s="13">
        <v>95</v>
      </c>
      <c r="E220" t="s" s="13">
        <v>12</v>
      </c>
      <c r="F220" s="14">
        <v>2</v>
      </c>
      <c r="G220" s="15">
        <v>349.99</v>
      </c>
      <c r="H220" s="15">
        <v>699.98</v>
      </c>
    </row>
    <row r="221" ht="12.9" customHeight="1">
      <c r="A221" t="s" s="10">
        <v>5490</v>
      </c>
      <c r="B221" t="s" s="11">
        <v>5199</v>
      </c>
      <c r="C221" s="12">
        <v>45062.080935925929</v>
      </c>
      <c r="D221" t="s" s="13">
        <v>15</v>
      </c>
      <c r="E221" t="s" s="13">
        <v>4757</v>
      </c>
      <c r="F221" s="14">
        <v>5</v>
      </c>
      <c r="G221" s="15">
        <v>8.99</v>
      </c>
      <c r="H221" s="15">
        <v>44.95</v>
      </c>
    </row>
    <row r="222" ht="12.9" customHeight="1">
      <c r="A222" t="s" s="10">
        <v>5491</v>
      </c>
      <c r="B222" t="s" s="11">
        <v>4739</v>
      </c>
      <c r="C222" s="12">
        <v>45062.033347696757</v>
      </c>
      <c r="D222" t="s" s="13">
        <v>225</v>
      </c>
      <c r="E222" t="s" s="13">
        <v>226</v>
      </c>
      <c r="F222" s="14">
        <v>6</v>
      </c>
      <c r="G222" s="15">
        <v>499.99</v>
      </c>
      <c r="H222" s="15">
        <v>2999.94</v>
      </c>
    </row>
    <row r="223" ht="12.9" customHeight="1">
      <c r="A223" t="s" s="10">
        <v>5491</v>
      </c>
      <c r="B223" t="s" s="11">
        <v>4739</v>
      </c>
      <c r="C223" s="12">
        <v>45062.033347696757</v>
      </c>
      <c r="D223" t="s" s="13">
        <v>227</v>
      </c>
      <c r="E223" t="s" s="13">
        <v>228</v>
      </c>
      <c r="F223" s="14">
        <v>6</v>
      </c>
      <c r="G223" s="15">
        <v>0</v>
      </c>
      <c r="H223" s="15">
        <v>0</v>
      </c>
    </row>
    <row r="224" ht="12.9" customHeight="1">
      <c r="A224" t="s" s="10">
        <v>5491</v>
      </c>
      <c r="B224" t="s" s="11">
        <v>4739</v>
      </c>
      <c r="C224" s="12">
        <v>45062.033347696757</v>
      </c>
      <c r="D224" t="s" s="13">
        <v>73</v>
      </c>
      <c r="E224" t="s" s="13">
        <v>74</v>
      </c>
      <c r="F224" s="14">
        <v>1</v>
      </c>
      <c r="G224" s="15">
        <v>399.99</v>
      </c>
      <c r="H224" s="15">
        <v>399.99</v>
      </c>
    </row>
    <row r="225" ht="12.9" customHeight="1">
      <c r="A225" t="s" s="10">
        <v>5492</v>
      </c>
      <c r="B225" t="s" s="11">
        <v>1669</v>
      </c>
      <c r="C225" s="12">
        <v>45062</v>
      </c>
      <c r="D225" t="s" s="13">
        <v>81</v>
      </c>
      <c r="E225" t="s" s="13">
        <v>82</v>
      </c>
      <c r="F225" s="14">
        <v>6</v>
      </c>
      <c r="G225" s="15">
        <v>849.99</v>
      </c>
      <c r="H225" s="15">
        <v>5099.94</v>
      </c>
    </row>
    <row r="226" ht="12.9" customHeight="1">
      <c r="A226" t="s" s="10">
        <v>5492</v>
      </c>
      <c r="B226" t="s" s="11">
        <v>1669</v>
      </c>
      <c r="C226" s="12">
        <v>45062</v>
      </c>
      <c r="D226" t="s" s="13">
        <v>23</v>
      </c>
      <c r="E226" t="s" s="13">
        <v>5493</v>
      </c>
      <c r="F226" s="14">
        <v>2</v>
      </c>
      <c r="G226" s="15">
        <v>0</v>
      </c>
      <c r="H226" s="15">
        <v>0</v>
      </c>
    </row>
    <row r="227" ht="12.9" customHeight="1">
      <c r="A227" t="s" s="10">
        <v>5492</v>
      </c>
      <c r="B227" t="s" s="11">
        <v>1669</v>
      </c>
      <c r="C227" s="12">
        <v>45062</v>
      </c>
      <c r="D227" t="s" s="13">
        <v>133</v>
      </c>
      <c r="E227" t="s" s="13">
        <v>5494</v>
      </c>
      <c r="F227" s="14">
        <v>2</v>
      </c>
      <c r="G227" s="15">
        <v>50</v>
      </c>
      <c r="H227" s="15">
        <v>100</v>
      </c>
    </row>
    <row r="228" ht="12.9" customHeight="1">
      <c r="A228" t="s" s="10">
        <v>5492</v>
      </c>
      <c r="B228" t="s" s="11">
        <v>1669</v>
      </c>
      <c r="C228" s="12">
        <v>45062</v>
      </c>
      <c r="D228" t="s" s="13">
        <v>470</v>
      </c>
      <c r="E228" t="s" s="13">
        <v>5495</v>
      </c>
      <c r="F228" s="14">
        <v>2</v>
      </c>
      <c r="G228" s="15">
        <v>100</v>
      </c>
      <c r="H228" s="15">
        <v>200</v>
      </c>
    </row>
    <row r="229" ht="12.9" customHeight="1">
      <c r="A229" t="s" s="10">
        <v>5492</v>
      </c>
      <c r="B229" t="s" s="11">
        <v>1669</v>
      </c>
      <c r="C229" s="12">
        <v>45062</v>
      </c>
      <c r="D229" t="s" s="13">
        <v>50</v>
      </c>
      <c r="E229" t="s" s="13">
        <v>51</v>
      </c>
      <c r="F229" s="14">
        <v>6</v>
      </c>
      <c r="G229" s="15">
        <v>0</v>
      </c>
      <c r="H229" s="15">
        <v>0</v>
      </c>
    </row>
    <row r="230" ht="12.9" customHeight="1">
      <c r="A230" t="s" s="10">
        <v>5492</v>
      </c>
      <c r="B230" t="s" s="11">
        <v>1669</v>
      </c>
      <c r="C230" s="12">
        <v>45062</v>
      </c>
      <c r="D230" t="s" s="13">
        <v>54</v>
      </c>
      <c r="E230" t="s" s="13">
        <v>886</v>
      </c>
      <c r="F230" s="14">
        <v>6</v>
      </c>
      <c r="G230" s="15">
        <v>0</v>
      </c>
      <c r="H230" s="15">
        <v>0</v>
      </c>
    </row>
    <row r="231" ht="12.9" customHeight="1">
      <c r="A231" t="s" s="10">
        <v>5492</v>
      </c>
      <c r="B231" t="s" s="11">
        <v>1669</v>
      </c>
      <c r="C231" s="12">
        <v>45062</v>
      </c>
      <c r="D231" t="s" s="13">
        <v>15</v>
      </c>
      <c r="E231" t="s" s="13">
        <v>5496</v>
      </c>
      <c r="F231" s="14">
        <v>6</v>
      </c>
      <c r="G231" s="15">
        <v>0</v>
      </c>
      <c r="H231" s="15">
        <v>0</v>
      </c>
    </row>
    <row r="232" ht="12.9" customHeight="1">
      <c r="A232" t="s" s="10">
        <v>5492</v>
      </c>
      <c r="B232" t="s" s="11">
        <v>1669</v>
      </c>
      <c r="C232" s="12">
        <v>45062</v>
      </c>
      <c r="D232" t="s" s="13">
        <v>73</v>
      </c>
      <c r="E232" t="s" s="13">
        <v>74</v>
      </c>
      <c r="F232" s="14">
        <v>1</v>
      </c>
      <c r="G232" s="15">
        <v>399.99</v>
      </c>
      <c r="H232" s="15">
        <v>399.99</v>
      </c>
    </row>
    <row r="233" ht="12.9" customHeight="1">
      <c r="A233" t="s" s="10">
        <v>5492</v>
      </c>
      <c r="B233" t="s" s="11">
        <v>1669</v>
      </c>
      <c r="C233" s="12">
        <v>45062</v>
      </c>
      <c r="D233" t="s" s="13">
        <v>19</v>
      </c>
      <c r="E233" t="s" s="13">
        <v>20</v>
      </c>
      <c r="F233" s="14">
        <v>6</v>
      </c>
      <c r="G233" s="15">
        <v>119.99</v>
      </c>
      <c r="H233" s="15">
        <v>719.9400000000001</v>
      </c>
    </row>
    <row r="234" ht="12.9" customHeight="1">
      <c r="A234" t="s" s="10">
        <v>5492</v>
      </c>
      <c r="B234" t="s" s="11">
        <v>1669</v>
      </c>
      <c r="C234" s="12">
        <v>45062</v>
      </c>
      <c r="D234" t="s" s="13">
        <v>133</v>
      </c>
      <c r="E234" t="s" s="13">
        <v>5497</v>
      </c>
      <c r="F234" s="14">
        <v>1</v>
      </c>
      <c r="G234" s="15">
        <v>149.9925</v>
      </c>
      <c r="H234" s="15">
        <v>149.9925</v>
      </c>
    </row>
    <row r="235" ht="12.9" customHeight="1">
      <c r="A235" t="s" s="10">
        <v>5498</v>
      </c>
      <c r="B235" t="s" s="11">
        <v>5489</v>
      </c>
      <c r="C235" s="12">
        <v>45062</v>
      </c>
      <c r="D235" t="s" s="13">
        <v>254</v>
      </c>
      <c r="E235" t="s" s="13">
        <v>5499</v>
      </c>
      <c r="F235" s="14">
        <v>1</v>
      </c>
      <c r="G235" s="15">
        <v>0</v>
      </c>
      <c r="H235" s="15">
        <v>0</v>
      </c>
    </row>
    <row r="236" ht="12.9" customHeight="1">
      <c r="A236" t="s" s="10">
        <v>5498</v>
      </c>
      <c r="B236" t="s" s="11">
        <v>5489</v>
      </c>
      <c r="C236" s="12">
        <v>45062</v>
      </c>
      <c r="D236" t="s" s="13">
        <v>254</v>
      </c>
      <c r="E236" t="s" s="13">
        <v>5500</v>
      </c>
      <c r="F236" s="14">
        <v>1</v>
      </c>
      <c r="G236" s="15">
        <v>0</v>
      </c>
      <c r="H236" s="15">
        <v>0</v>
      </c>
    </row>
    <row r="237" ht="12.9" customHeight="1">
      <c r="A237" t="s" s="10">
        <v>5498</v>
      </c>
      <c r="B237" t="s" s="11">
        <v>5489</v>
      </c>
      <c r="C237" s="12">
        <v>45062</v>
      </c>
      <c r="D237" t="s" s="13">
        <v>207</v>
      </c>
      <c r="E237" t="s" s="13">
        <v>208</v>
      </c>
      <c r="F237" s="14">
        <v>1</v>
      </c>
      <c r="G237" s="15">
        <v>0</v>
      </c>
      <c r="H237" s="15">
        <v>0</v>
      </c>
    </row>
    <row r="238" ht="12.9" customHeight="1">
      <c r="A238" t="s" s="10">
        <v>5498</v>
      </c>
      <c r="B238" t="s" s="11">
        <v>5489</v>
      </c>
      <c r="C238" s="12">
        <v>45062</v>
      </c>
      <c r="D238" t="s" s="13">
        <v>4685</v>
      </c>
      <c r="E238" t="s" s="13">
        <v>4686</v>
      </c>
      <c r="F238" s="14">
        <v>1</v>
      </c>
      <c r="G238" s="15">
        <v>0</v>
      </c>
      <c r="H238" s="15">
        <v>0</v>
      </c>
    </row>
    <row r="239" ht="12.9" customHeight="1">
      <c r="A239" t="s" s="10">
        <v>5501</v>
      </c>
      <c r="B239" t="s" s="11">
        <v>5440</v>
      </c>
      <c r="C239" s="12">
        <v>45061.910361168979</v>
      </c>
      <c r="D239" t="s" s="13">
        <v>171</v>
      </c>
      <c r="E239" t="s" s="13">
        <v>172</v>
      </c>
      <c r="F239" s="14">
        <v>1</v>
      </c>
      <c r="G239" s="15">
        <v>549.99</v>
      </c>
      <c r="H239" s="15">
        <v>549.99</v>
      </c>
    </row>
    <row r="240" ht="12.9" customHeight="1">
      <c r="A240" t="s" s="10">
        <v>5502</v>
      </c>
      <c r="B240" t="s" s="11">
        <v>5503</v>
      </c>
      <c r="C240" s="12">
        <v>45061.613016643518</v>
      </c>
      <c r="D240" t="s" s="13">
        <v>11</v>
      </c>
      <c r="E240" t="s" s="13">
        <v>12</v>
      </c>
      <c r="F240" s="14">
        <v>1</v>
      </c>
      <c r="G240" s="15">
        <v>374.99</v>
      </c>
      <c r="H240" s="15">
        <v>374.99</v>
      </c>
    </row>
    <row r="241" ht="12.9" customHeight="1">
      <c r="A241" t="s" s="10">
        <v>5504</v>
      </c>
      <c r="B241" t="s" s="11">
        <v>5505</v>
      </c>
      <c r="C241" s="12">
        <v>45061.612041909721</v>
      </c>
      <c r="D241" t="s" s="13">
        <v>19</v>
      </c>
      <c r="E241" t="s" s="13">
        <v>20</v>
      </c>
      <c r="F241" s="14">
        <v>2</v>
      </c>
      <c r="G241" s="15">
        <v>119.99</v>
      </c>
      <c r="H241" s="15">
        <v>239.98</v>
      </c>
    </row>
    <row r="242" ht="12.9" customHeight="1">
      <c r="A242" t="s" s="10">
        <v>5504</v>
      </c>
      <c r="B242" t="s" s="11">
        <v>5505</v>
      </c>
      <c r="C242" s="12">
        <v>45061.612041909721</v>
      </c>
      <c r="D242" t="s" s="13">
        <v>15</v>
      </c>
      <c r="E242" t="s" s="13">
        <v>4757</v>
      </c>
      <c r="F242" s="14">
        <v>2</v>
      </c>
      <c r="G242" s="15">
        <v>8.99</v>
      </c>
      <c r="H242" s="15">
        <v>17.98</v>
      </c>
    </row>
    <row r="243" ht="12.9" customHeight="1">
      <c r="A243" t="s" s="10">
        <v>5506</v>
      </c>
      <c r="B243" t="s" s="11">
        <v>5507</v>
      </c>
      <c r="C243" s="12">
        <v>45061.551158969909</v>
      </c>
      <c r="D243" t="s" s="13">
        <v>73</v>
      </c>
      <c r="E243" t="s" s="13">
        <v>74</v>
      </c>
      <c r="F243" s="14">
        <v>1</v>
      </c>
      <c r="G243" s="15">
        <v>399.99</v>
      </c>
      <c r="H243" s="15">
        <v>399.99</v>
      </c>
    </row>
    <row r="244" ht="12.9" customHeight="1">
      <c r="A244" t="s" s="10">
        <v>5508</v>
      </c>
      <c r="B244" t="s" s="11">
        <v>5509</v>
      </c>
      <c r="C244" s="12">
        <v>45061</v>
      </c>
      <c r="D244" t="s" s="13">
        <v>589</v>
      </c>
      <c r="E244" t="s" s="13">
        <v>590</v>
      </c>
      <c r="F244" s="14">
        <v>4</v>
      </c>
      <c r="G244" s="15">
        <v>0</v>
      </c>
      <c r="H244" s="15">
        <v>0</v>
      </c>
    </row>
    <row r="245" ht="12.9" customHeight="1">
      <c r="A245" t="s" s="10">
        <v>5508</v>
      </c>
      <c r="B245" t="s" s="11">
        <v>5509</v>
      </c>
      <c r="C245" s="12">
        <v>45061</v>
      </c>
      <c r="D245" t="s" s="13">
        <v>559</v>
      </c>
      <c r="E245" t="s" s="13">
        <v>560</v>
      </c>
      <c r="F245" s="14">
        <v>100</v>
      </c>
      <c r="G245" s="15">
        <v>0</v>
      </c>
      <c r="H245" s="15">
        <v>0</v>
      </c>
    </row>
    <row r="246" ht="12.9" customHeight="1">
      <c r="A246" t="s" s="10">
        <v>5510</v>
      </c>
      <c r="B246" t="s" s="11">
        <v>5511</v>
      </c>
      <c r="C246" s="12">
        <v>45060.870209120367</v>
      </c>
      <c r="D246" t="s" s="13">
        <v>31</v>
      </c>
      <c r="E246" t="s" s="13">
        <v>32</v>
      </c>
      <c r="F246" s="14">
        <v>1</v>
      </c>
      <c r="G246" s="15">
        <v>574.99</v>
      </c>
      <c r="H246" s="15">
        <v>574.99</v>
      </c>
    </row>
    <row r="247" ht="12.9" customHeight="1">
      <c r="A247" t="s" s="10">
        <v>5512</v>
      </c>
      <c r="B247" t="s" s="11">
        <v>5513</v>
      </c>
      <c r="C247" s="12">
        <v>45060.735640740742</v>
      </c>
      <c r="D247" t="s" s="13">
        <v>1729</v>
      </c>
      <c r="E247" t="s" s="13">
        <v>4639</v>
      </c>
      <c r="F247" s="14">
        <v>1</v>
      </c>
      <c r="G247" s="15">
        <v>14.99</v>
      </c>
      <c r="H247" s="15">
        <v>14.99</v>
      </c>
    </row>
    <row r="248" ht="12.9" customHeight="1">
      <c r="A248" t="s" s="10">
        <v>5512</v>
      </c>
      <c r="B248" t="s" s="11">
        <v>5513</v>
      </c>
      <c r="C248" s="12">
        <v>45060.735640740742</v>
      </c>
      <c r="D248" t="s" s="13">
        <v>1731</v>
      </c>
      <c r="E248" t="s" s="13">
        <v>4657</v>
      </c>
      <c r="F248" s="14">
        <v>1</v>
      </c>
      <c r="G248" s="15">
        <v>24.99</v>
      </c>
      <c r="H248" s="15">
        <v>24.99</v>
      </c>
    </row>
    <row r="249" ht="12.9" customHeight="1">
      <c r="A249" t="s" s="10">
        <v>5514</v>
      </c>
      <c r="B249" t="s" s="11">
        <v>3792</v>
      </c>
      <c r="C249" s="12">
        <v>45059.8637137037</v>
      </c>
      <c r="D249" t="s" s="13">
        <v>133</v>
      </c>
      <c r="E249" t="s" s="13">
        <v>4835</v>
      </c>
      <c r="F249" s="14">
        <v>1</v>
      </c>
      <c r="G249" s="15">
        <v>199.99</v>
      </c>
      <c r="H249" s="15">
        <v>199.99</v>
      </c>
    </row>
    <row r="250" ht="12.9" customHeight="1">
      <c r="A250" t="s" s="10">
        <v>5515</v>
      </c>
      <c r="B250" t="s" s="11">
        <v>5516</v>
      </c>
      <c r="C250" s="12">
        <v>45059.055448263891</v>
      </c>
      <c r="D250" t="s" s="13">
        <v>39</v>
      </c>
      <c r="E250" t="s" s="13">
        <v>828</v>
      </c>
      <c r="F250" s="14">
        <v>1</v>
      </c>
      <c r="G250" s="15">
        <v>109.99</v>
      </c>
      <c r="H250" s="15">
        <v>109.99</v>
      </c>
    </row>
    <row r="251" ht="12.9" customHeight="1">
      <c r="A251" t="s" s="10">
        <v>5515</v>
      </c>
      <c r="B251" t="s" s="11">
        <v>5516</v>
      </c>
      <c r="C251" s="12">
        <v>45059.055448263891</v>
      </c>
      <c r="D251" t="s" s="13">
        <v>84</v>
      </c>
      <c r="E251" t="s" s="13">
        <v>4225</v>
      </c>
      <c r="F251" s="14">
        <v>1</v>
      </c>
      <c r="G251" s="15">
        <v>15</v>
      </c>
      <c r="H251" s="15">
        <v>15</v>
      </c>
    </row>
    <row r="252" ht="12.9" customHeight="1">
      <c r="A252" t="s" s="10">
        <v>5517</v>
      </c>
      <c r="B252" t="s" s="11">
        <v>5518</v>
      </c>
      <c r="C252" s="12">
        <v>45058.784759780094</v>
      </c>
      <c r="D252" t="s" s="13">
        <v>95</v>
      </c>
      <c r="E252" t="s" s="13">
        <v>12</v>
      </c>
      <c r="F252" s="14">
        <v>1</v>
      </c>
      <c r="G252" s="15">
        <v>349.99</v>
      </c>
      <c r="H252" s="15">
        <v>349.99</v>
      </c>
    </row>
    <row r="253" ht="12.9" customHeight="1">
      <c r="A253" t="s" s="10">
        <v>5519</v>
      </c>
      <c r="B253" t="s" s="11">
        <v>5520</v>
      </c>
      <c r="C253" s="12">
        <v>45058.073116608793</v>
      </c>
      <c r="D253" t="s" s="13">
        <v>1729</v>
      </c>
      <c r="E253" t="s" s="13">
        <v>4639</v>
      </c>
      <c r="F253" s="14">
        <v>15</v>
      </c>
      <c r="G253" s="15">
        <v>14.99</v>
      </c>
      <c r="H253" s="15">
        <v>224.85</v>
      </c>
    </row>
    <row r="254" ht="12.9" customHeight="1">
      <c r="A254" t="s" s="10">
        <v>5521</v>
      </c>
      <c r="B254" t="s" s="11">
        <v>5130</v>
      </c>
      <c r="C254" s="12">
        <v>45057.563218078707</v>
      </c>
      <c r="D254" t="s" s="13">
        <v>123</v>
      </c>
      <c r="E254" t="s" s="13">
        <v>124</v>
      </c>
      <c r="F254" s="14">
        <v>1</v>
      </c>
      <c r="G254" s="15">
        <v>179.99</v>
      </c>
      <c r="H254" s="15">
        <v>179.99</v>
      </c>
    </row>
    <row r="255" ht="12.9" customHeight="1">
      <c r="A255" t="s" s="10">
        <v>5522</v>
      </c>
      <c r="B255" t="s" s="11">
        <v>3189</v>
      </c>
      <c r="C255" s="12">
        <v>45057</v>
      </c>
      <c r="D255" t="s" s="13">
        <v>125</v>
      </c>
      <c r="E255" t="s" s="13">
        <v>126</v>
      </c>
      <c r="F255" s="14">
        <v>10</v>
      </c>
      <c r="G255" s="15">
        <v>64.98999999999999</v>
      </c>
      <c r="H255" s="15">
        <v>649.9</v>
      </c>
    </row>
    <row r="256" ht="12.9" customHeight="1">
      <c r="A256" t="s" s="10">
        <v>5522</v>
      </c>
      <c r="B256" t="s" s="11">
        <v>3189</v>
      </c>
      <c r="C256" s="12">
        <v>45057</v>
      </c>
      <c r="D256" t="s" s="13">
        <v>299</v>
      </c>
      <c r="E256" t="s" s="13">
        <v>300</v>
      </c>
      <c r="F256" s="14">
        <v>2</v>
      </c>
      <c r="G256" s="15">
        <v>69.98999999999999</v>
      </c>
      <c r="H256" s="15">
        <v>139.98</v>
      </c>
    </row>
    <row r="257" ht="12.9" customHeight="1">
      <c r="A257" t="s" s="10">
        <v>5522</v>
      </c>
      <c r="B257" t="s" s="11">
        <v>3189</v>
      </c>
      <c r="C257" s="12">
        <v>45057</v>
      </c>
      <c r="D257" t="s" s="13">
        <v>15</v>
      </c>
      <c r="E257" t="s" s="13">
        <v>4757</v>
      </c>
      <c r="F257" s="14">
        <v>2</v>
      </c>
      <c r="G257" s="15">
        <v>0</v>
      </c>
      <c r="H257" s="15">
        <v>0</v>
      </c>
    </row>
    <row r="258" ht="12.9" customHeight="1">
      <c r="A258" t="s" s="10">
        <v>5522</v>
      </c>
      <c r="B258" t="s" s="11">
        <v>3189</v>
      </c>
      <c r="C258" s="12">
        <v>45057</v>
      </c>
      <c r="D258" t="s" s="13">
        <v>861</v>
      </c>
      <c r="E258" s="16"/>
      <c r="F258" s="14">
        <v>1</v>
      </c>
      <c r="G258" s="15">
        <v>69.11</v>
      </c>
      <c r="H258" s="15">
        <v>69.11</v>
      </c>
    </row>
    <row r="259" ht="12.9" customHeight="1">
      <c r="A259" t="s" s="10">
        <v>5523</v>
      </c>
      <c r="B259" t="s" s="11">
        <v>5524</v>
      </c>
      <c r="C259" s="12">
        <v>45056.90354125</v>
      </c>
      <c r="D259" t="s" s="13">
        <v>95</v>
      </c>
      <c r="E259" t="s" s="13">
        <v>12</v>
      </c>
      <c r="F259" s="14">
        <v>1</v>
      </c>
      <c r="G259" s="15">
        <v>349.99</v>
      </c>
      <c r="H259" s="15">
        <v>349.99</v>
      </c>
    </row>
    <row r="260" ht="12.9" customHeight="1">
      <c r="A260" t="s" s="10">
        <v>5525</v>
      </c>
      <c r="B260" t="s" s="11">
        <v>5526</v>
      </c>
      <c r="C260" s="12">
        <v>45056.830062592591</v>
      </c>
      <c r="D260" t="s" s="13">
        <v>35</v>
      </c>
      <c r="E260" t="s" s="13">
        <v>36</v>
      </c>
      <c r="F260" s="14">
        <v>1</v>
      </c>
      <c r="G260" s="15">
        <v>49.99</v>
      </c>
      <c r="H260" s="15">
        <v>49.99</v>
      </c>
    </row>
    <row r="261" ht="12.9" customHeight="1">
      <c r="A261" t="s" s="10">
        <v>5527</v>
      </c>
      <c r="B261" t="s" s="11">
        <v>5528</v>
      </c>
      <c r="C261" s="12">
        <v>45056.171082673609</v>
      </c>
      <c r="D261" t="s" s="13">
        <v>89</v>
      </c>
      <c r="E261" t="s" s="13">
        <v>90</v>
      </c>
      <c r="F261" s="14">
        <v>2</v>
      </c>
      <c r="G261" s="15">
        <v>59.99</v>
      </c>
      <c r="H261" s="15">
        <v>119.98</v>
      </c>
    </row>
    <row r="262" ht="12.9" customHeight="1">
      <c r="A262" t="s" s="10">
        <v>5529</v>
      </c>
      <c r="B262" t="s" s="11">
        <v>4609</v>
      </c>
      <c r="C262" s="12">
        <v>45056</v>
      </c>
      <c r="D262" t="s" s="13">
        <v>722</v>
      </c>
      <c r="E262" t="s" s="13">
        <v>82</v>
      </c>
      <c r="F262" s="14">
        <v>2</v>
      </c>
      <c r="G262" s="15">
        <v>652.4924999999999</v>
      </c>
      <c r="H262" s="15">
        <v>1304.985</v>
      </c>
    </row>
    <row r="263" ht="12.9" customHeight="1">
      <c r="A263" t="s" s="10">
        <v>5529</v>
      </c>
      <c r="B263" t="s" s="11">
        <v>4609</v>
      </c>
      <c r="C263" s="12">
        <v>45056</v>
      </c>
      <c r="D263" t="s" s="13">
        <v>23</v>
      </c>
      <c r="E263" t="s" s="13">
        <v>5530</v>
      </c>
      <c r="F263" s="14">
        <v>2</v>
      </c>
      <c r="G263" s="15">
        <v>0</v>
      </c>
      <c r="H263" s="15">
        <v>0</v>
      </c>
    </row>
    <row r="264" ht="12.9" customHeight="1">
      <c r="A264" t="s" s="10">
        <v>5529</v>
      </c>
      <c r="B264" t="s" s="11">
        <v>4609</v>
      </c>
      <c r="C264" s="12">
        <v>45056</v>
      </c>
      <c r="D264" t="s" s="13">
        <v>19</v>
      </c>
      <c r="E264" t="s" s="13">
        <v>20</v>
      </c>
      <c r="F264" s="14">
        <v>4</v>
      </c>
      <c r="G264" s="15">
        <v>89.99250000000001</v>
      </c>
      <c r="H264" s="15">
        <v>359.97</v>
      </c>
    </row>
    <row r="265" ht="12.9" customHeight="1">
      <c r="A265" t="s" s="10">
        <v>5529</v>
      </c>
      <c r="B265" t="s" s="11">
        <v>4609</v>
      </c>
      <c r="C265" s="12">
        <v>45056</v>
      </c>
      <c r="D265" t="s" s="13">
        <v>15</v>
      </c>
      <c r="E265" t="s" s="13">
        <v>4757</v>
      </c>
      <c r="F265" s="14">
        <v>4</v>
      </c>
      <c r="G265" s="15">
        <v>0</v>
      </c>
      <c r="H265" s="15">
        <v>0</v>
      </c>
    </row>
    <row r="266" ht="12.9" customHeight="1">
      <c r="A266" t="s" s="10">
        <v>5529</v>
      </c>
      <c r="B266" t="s" s="11">
        <v>4609</v>
      </c>
      <c r="C266" s="12">
        <v>45056</v>
      </c>
      <c r="D266" t="s" s="13">
        <v>84</v>
      </c>
      <c r="E266" t="s" s="13">
        <v>4225</v>
      </c>
      <c r="F266" s="14">
        <v>2</v>
      </c>
      <c r="G266" s="15">
        <v>0</v>
      </c>
      <c r="H266" s="15">
        <v>0</v>
      </c>
    </row>
    <row r="267" ht="12.9" customHeight="1">
      <c r="A267" t="s" s="10">
        <v>5529</v>
      </c>
      <c r="B267" t="s" s="11">
        <v>4609</v>
      </c>
      <c r="C267" s="12">
        <v>45056</v>
      </c>
      <c r="D267" t="s" s="13">
        <v>5274</v>
      </c>
      <c r="E267" s="16"/>
      <c r="F267" s="14">
        <v>1</v>
      </c>
      <c r="G267" s="15">
        <v>49.95</v>
      </c>
      <c r="H267" s="15">
        <v>49.95</v>
      </c>
    </row>
    <row r="268" ht="12.9" customHeight="1">
      <c r="A268" t="s" s="10">
        <v>5531</v>
      </c>
      <c r="B268" t="s" s="11">
        <v>391</v>
      </c>
      <c r="C268" s="12">
        <v>45056</v>
      </c>
      <c r="D268" t="s" s="13">
        <v>48</v>
      </c>
      <c r="E268" t="s" s="13">
        <v>5532</v>
      </c>
      <c r="F268" s="14">
        <v>1</v>
      </c>
      <c r="G268" s="15">
        <v>900</v>
      </c>
      <c r="H268" s="15">
        <v>900</v>
      </c>
    </row>
    <row r="269" ht="12.9" customHeight="1">
      <c r="A269" t="s" s="10">
        <v>5531</v>
      </c>
      <c r="B269" t="s" s="11">
        <v>391</v>
      </c>
      <c r="C269" s="12">
        <v>45056</v>
      </c>
      <c r="D269" t="s" s="13">
        <v>207</v>
      </c>
      <c r="E269" t="s" s="13">
        <v>208</v>
      </c>
      <c r="F269" s="14">
        <v>6</v>
      </c>
      <c r="G269" s="15">
        <v>0</v>
      </c>
      <c r="H269" s="15">
        <v>0</v>
      </c>
    </row>
    <row r="270" ht="12.9" customHeight="1">
      <c r="A270" t="s" s="10">
        <v>5531</v>
      </c>
      <c r="B270" t="s" s="11">
        <v>391</v>
      </c>
      <c r="C270" s="12">
        <v>45056</v>
      </c>
      <c r="D270" t="s" s="13">
        <v>63</v>
      </c>
      <c r="E270" s="16"/>
      <c r="F270" s="14">
        <v>1</v>
      </c>
      <c r="G270" s="15">
        <v>75</v>
      </c>
      <c r="H270" s="15">
        <v>75</v>
      </c>
    </row>
    <row r="271" ht="12.9" customHeight="1">
      <c r="A271" t="s" s="10">
        <v>5533</v>
      </c>
      <c r="B271" t="s" s="11">
        <v>896</v>
      </c>
      <c r="C271" s="12">
        <v>45056</v>
      </c>
      <c r="D271" t="s" s="13">
        <v>59</v>
      </c>
      <c r="E271" t="s" s="13">
        <v>60</v>
      </c>
      <c r="F271" s="14">
        <v>1</v>
      </c>
      <c r="G271" s="15">
        <v>899.9924999999999</v>
      </c>
      <c r="H271" s="15">
        <v>899.9924999999999</v>
      </c>
    </row>
    <row r="272" ht="12.9" customHeight="1">
      <c r="A272" t="s" s="10">
        <v>5533</v>
      </c>
      <c r="B272" t="s" s="11">
        <v>896</v>
      </c>
      <c r="C272" s="12">
        <v>45056</v>
      </c>
      <c r="D272" t="s" s="13">
        <v>63</v>
      </c>
      <c r="E272" s="16"/>
      <c r="F272" s="14">
        <v>1</v>
      </c>
      <c r="G272" s="15">
        <v>30</v>
      </c>
      <c r="H272" s="15">
        <v>30</v>
      </c>
    </row>
    <row r="273" ht="12.9" customHeight="1">
      <c r="A273" t="s" s="10">
        <v>5534</v>
      </c>
      <c r="B273" t="s" s="11">
        <v>4313</v>
      </c>
      <c r="C273" s="12">
        <v>45055.837566956019</v>
      </c>
      <c r="D273" t="s" s="13">
        <v>89</v>
      </c>
      <c r="E273" t="s" s="13">
        <v>90</v>
      </c>
      <c r="F273" s="14">
        <v>1</v>
      </c>
      <c r="G273" s="15">
        <v>59.99</v>
      </c>
      <c r="H273" s="15">
        <v>59.99</v>
      </c>
    </row>
    <row r="274" ht="12.9" customHeight="1">
      <c r="A274" t="s" s="10">
        <v>5534</v>
      </c>
      <c r="B274" t="s" s="11">
        <v>4313</v>
      </c>
      <c r="C274" s="12">
        <v>45055.837566956019</v>
      </c>
      <c r="D274" t="s" s="13">
        <v>19</v>
      </c>
      <c r="E274" t="s" s="13">
        <v>20</v>
      </c>
      <c r="F274" s="14">
        <v>1</v>
      </c>
      <c r="G274" s="15">
        <v>119.99</v>
      </c>
      <c r="H274" s="15">
        <v>119.99</v>
      </c>
    </row>
    <row r="275" ht="12.9" customHeight="1">
      <c r="A275" t="s" s="10">
        <v>5534</v>
      </c>
      <c r="B275" t="s" s="11">
        <v>4313</v>
      </c>
      <c r="C275" s="12">
        <v>45055.837566956019</v>
      </c>
      <c r="D275" t="s" s="13">
        <v>15</v>
      </c>
      <c r="E275" t="s" s="13">
        <v>4757</v>
      </c>
      <c r="F275" s="14">
        <v>1</v>
      </c>
      <c r="G275" s="15">
        <v>8.99</v>
      </c>
      <c r="H275" s="15">
        <v>8.99</v>
      </c>
    </row>
    <row r="276" ht="12.9" customHeight="1">
      <c r="A276" t="s" s="10">
        <v>5535</v>
      </c>
      <c r="B276" t="s" s="11">
        <v>5536</v>
      </c>
      <c r="C276" s="12">
        <v>45055.697422789352</v>
      </c>
      <c r="D276" t="s" s="13">
        <v>11</v>
      </c>
      <c r="E276" t="s" s="13">
        <v>12</v>
      </c>
      <c r="F276" s="14">
        <v>2</v>
      </c>
      <c r="G276" s="15">
        <v>399.99</v>
      </c>
      <c r="H276" s="15">
        <v>799.98</v>
      </c>
    </row>
    <row r="277" ht="12.9" customHeight="1">
      <c r="A277" t="s" s="10">
        <v>5537</v>
      </c>
      <c r="B277" t="s" s="11">
        <v>5538</v>
      </c>
      <c r="C277" s="12">
        <v>45055.672794884260</v>
      </c>
      <c r="D277" t="s" s="13">
        <v>89</v>
      </c>
      <c r="E277" t="s" s="13">
        <v>90</v>
      </c>
      <c r="F277" s="14">
        <v>1</v>
      </c>
      <c r="G277" s="15">
        <v>59.99</v>
      </c>
      <c r="H277" s="15">
        <v>59.99</v>
      </c>
    </row>
    <row r="278" ht="12.9" customHeight="1">
      <c r="A278" t="s" s="10">
        <v>5537</v>
      </c>
      <c r="B278" t="s" s="11">
        <v>5538</v>
      </c>
      <c r="C278" s="12">
        <v>45055.672794884260</v>
      </c>
      <c r="D278" t="s" s="13">
        <v>31</v>
      </c>
      <c r="E278" t="s" s="13">
        <v>32</v>
      </c>
      <c r="F278" s="14">
        <v>1</v>
      </c>
      <c r="G278" s="15">
        <v>599.99</v>
      </c>
      <c r="H278" s="15">
        <v>599.99</v>
      </c>
    </row>
    <row r="279" ht="12.9" customHeight="1">
      <c r="A279" t="s" s="10">
        <v>5539</v>
      </c>
      <c r="B279" t="s" s="11">
        <v>5540</v>
      </c>
      <c r="C279" s="12">
        <v>45055.591277986110</v>
      </c>
      <c r="D279" t="s" s="13">
        <v>19</v>
      </c>
      <c r="E279" t="s" s="13">
        <v>20</v>
      </c>
      <c r="F279" s="14">
        <v>1</v>
      </c>
      <c r="G279" s="15">
        <v>119.99</v>
      </c>
      <c r="H279" s="15">
        <v>119.99</v>
      </c>
    </row>
    <row r="280" ht="12.9" customHeight="1">
      <c r="A280" t="s" s="10">
        <v>5539</v>
      </c>
      <c r="B280" t="s" s="11">
        <v>5540</v>
      </c>
      <c r="C280" s="12">
        <v>45055.591277986110</v>
      </c>
      <c r="D280" t="s" s="13">
        <v>15</v>
      </c>
      <c r="E280" t="s" s="13">
        <v>4757</v>
      </c>
      <c r="F280" s="14">
        <v>1</v>
      </c>
      <c r="G280" s="15">
        <v>8.99</v>
      </c>
      <c r="H280" s="15">
        <v>8.99</v>
      </c>
    </row>
    <row r="281" ht="12.9" customHeight="1">
      <c r="A281" t="s" s="10">
        <v>5541</v>
      </c>
      <c r="B281" t="s" s="11">
        <v>735</v>
      </c>
      <c r="C281" s="12">
        <v>45055.2485775</v>
      </c>
      <c r="D281" t="s" s="13">
        <v>31</v>
      </c>
      <c r="E281" t="s" s="13">
        <v>32</v>
      </c>
      <c r="F281" s="14">
        <v>1</v>
      </c>
      <c r="G281" s="15">
        <v>599.99</v>
      </c>
      <c r="H281" s="15">
        <v>599.99</v>
      </c>
    </row>
    <row r="282" ht="12.9" customHeight="1">
      <c r="A282" t="s" s="10">
        <v>5542</v>
      </c>
      <c r="B282" t="s" s="11">
        <v>1322</v>
      </c>
      <c r="C282" s="12">
        <v>45055.076122881947</v>
      </c>
      <c r="D282" t="s" s="13">
        <v>470</v>
      </c>
      <c r="E282" t="s" s="13">
        <v>828</v>
      </c>
      <c r="F282" s="14">
        <v>2</v>
      </c>
      <c r="G282" s="15">
        <v>249.99</v>
      </c>
      <c r="H282" s="15">
        <v>499.98</v>
      </c>
    </row>
    <row r="283" ht="12.9" customHeight="1">
      <c r="A283" t="s" s="10">
        <v>5543</v>
      </c>
      <c r="B283" t="s" s="11">
        <v>1110</v>
      </c>
      <c r="C283" s="12">
        <v>45055</v>
      </c>
      <c r="D283" t="s" s="13">
        <v>59</v>
      </c>
      <c r="E283" t="s" s="13">
        <v>60</v>
      </c>
      <c r="F283" s="14">
        <v>1</v>
      </c>
      <c r="G283" s="15">
        <v>899.9924999999999</v>
      </c>
      <c r="H283" s="15">
        <v>899.9924999999999</v>
      </c>
    </row>
    <row r="284" ht="12.9" customHeight="1">
      <c r="A284" t="s" s="10">
        <v>5543</v>
      </c>
      <c r="B284" t="s" s="11">
        <v>1110</v>
      </c>
      <c r="C284" s="12">
        <v>45055</v>
      </c>
      <c r="D284" t="s" s="13">
        <v>63</v>
      </c>
      <c r="E284" s="16"/>
      <c r="F284" s="14">
        <v>1</v>
      </c>
      <c r="G284" s="15">
        <v>15</v>
      </c>
      <c r="H284" s="15">
        <v>15</v>
      </c>
    </row>
    <row r="285" ht="12.9" customHeight="1">
      <c r="A285" t="s" s="10">
        <v>5544</v>
      </c>
      <c r="B285" t="s" s="11">
        <v>721</v>
      </c>
      <c r="C285" s="12">
        <v>45055</v>
      </c>
      <c r="D285" t="s" s="13">
        <v>1030</v>
      </c>
      <c r="E285" t="s" s="13">
        <v>1031</v>
      </c>
      <c r="F285" s="14">
        <v>1</v>
      </c>
      <c r="G285" s="15">
        <v>0</v>
      </c>
      <c r="H285" s="15">
        <v>0</v>
      </c>
    </row>
    <row r="286" ht="12.9" customHeight="1">
      <c r="A286" t="s" s="10">
        <v>5544</v>
      </c>
      <c r="B286" t="s" s="11">
        <v>721</v>
      </c>
      <c r="C286" s="12">
        <v>45055</v>
      </c>
      <c r="D286" t="s" s="13">
        <v>2672</v>
      </c>
      <c r="E286" t="s" s="13">
        <v>2673</v>
      </c>
      <c r="F286" s="14">
        <v>1</v>
      </c>
      <c r="G286" s="15">
        <v>0</v>
      </c>
      <c r="H286" s="15">
        <v>0</v>
      </c>
    </row>
    <row r="287" ht="12.9" customHeight="1">
      <c r="A287" t="s" s="10">
        <v>5544</v>
      </c>
      <c r="B287" t="s" s="11">
        <v>721</v>
      </c>
      <c r="C287" s="12">
        <v>45055</v>
      </c>
      <c r="D287" t="s" s="13">
        <v>2711</v>
      </c>
      <c r="E287" t="s" s="13">
        <v>2712</v>
      </c>
      <c r="F287" s="14">
        <v>1</v>
      </c>
      <c r="G287" s="15">
        <v>0</v>
      </c>
      <c r="H287" s="15">
        <v>0</v>
      </c>
    </row>
    <row r="288" ht="12.9" customHeight="1">
      <c r="A288" t="s" s="10">
        <v>5544</v>
      </c>
      <c r="B288" t="s" s="11">
        <v>721</v>
      </c>
      <c r="C288" s="12">
        <v>45055</v>
      </c>
      <c r="D288" t="s" s="13">
        <v>3685</v>
      </c>
      <c r="E288" t="s" s="13">
        <v>3686</v>
      </c>
      <c r="F288" s="14">
        <v>1</v>
      </c>
      <c r="G288" s="15">
        <v>0</v>
      </c>
      <c r="H288" s="15">
        <v>0</v>
      </c>
    </row>
    <row r="289" ht="12.9" customHeight="1">
      <c r="A289" t="s" s="10">
        <v>5545</v>
      </c>
      <c r="B289" t="s" s="11">
        <v>4732</v>
      </c>
      <c r="C289" s="12">
        <v>45054.999295243055</v>
      </c>
      <c r="D289" t="s" s="13">
        <v>73</v>
      </c>
      <c r="E289" t="s" s="13">
        <v>74</v>
      </c>
      <c r="F289" s="14">
        <v>1</v>
      </c>
      <c r="G289" s="15">
        <v>399.99</v>
      </c>
      <c r="H289" s="15">
        <v>399.99</v>
      </c>
    </row>
    <row r="290" ht="12.9" customHeight="1">
      <c r="A290" t="s" s="10">
        <v>5545</v>
      </c>
      <c r="B290" t="s" s="11">
        <v>4732</v>
      </c>
      <c r="C290" s="12">
        <v>45054.999295243055</v>
      </c>
      <c r="D290" t="s" s="13">
        <v>19</v>
      </c>
      <c r="E290" t="s" s="13">
        <v>20</v>
      </c>
      <c r="F290" s="14">
        <v>2</v>
      </c>
      <c r="G290" s="15">
        <v>119.99</v>
      </c>
      <c r="H290" s="15">
        <v>239.98</v>
      </c>
    </row>
    <row r="291" ht="12.9" customHeight="1">
      <c r="A291" t="s" s="10">
        <v>5545</v>
      </c>
      <c r="B291" t="s" s="11">
        <v>4732</v>
      </c>
      <c r="C291" s="12">
        <v>45054.999295243055</v>
      </c>
      <c r="D291" t="s" s="13">
        <v>15</v>
      </c>
      <c r="E291" t="s" s="13">
        <v>4757</v>
      </c>
      <c r="F291" s="14">
        <v>2</v>
      </c>
      <c r="G291" s="15">
        <v>8.99</v>
      </c>
      <c r="H291" s="15">
        <v>17.98</v>
      </c>
    </row>
    <row r="292" ht="12.9" customHeight="1">
      <c r="A292" t="s" s="10">
        <v>5546</v>
      </c>
      <c r="B292" t="s" s="11">
        <v>2756</v>
      </c>
      <c r="C292" s="12">
        <v>45054.683268125</v>
      </c>
      <c r="D292" t="s" s="13">
        <v>19</v>
      </c>
      <c r="E292" t="s" s="13">
        <v>20</v>
      </c>
      <c r="F292" s="14">
        <v>4</v>
      </c>
      <c r="G292" s="15">
        <v>119.99</v>
      </c>
      <c r="H292" s="15">
        <v>479.96</v>
      </c>
    </row>
    <row r="293" ht="12.9" customHeight="1">
      <c r="A293" t="s" s="10">
        <v>5546</v>
      </c>
      <c r="B293" t="s" s="11">
        <v>2756</v>
      </c>
      <c r="C293" s="12">
        <v>45054.683268125</v>
      </c>
      <c r="D293" t="s" s="13">
        <v>15</v>
      </c>
      <c r="E293" t="s" s="13">
        <v>4757</v>
      </c>
      <c r="F293" s="14">
        <v>4</v>
      </c>
      <c r="G293" s="15">
        <v>8.99</v>
      </c>
      <c r="H293" s="15">
        <v>35.96</v>
      </c>
    </row>
    <row r="294" ht="12.9" customHeight="1">
      <c r="A294" t="s" s="10">
        <v>5547</v>
      </c>
      <c r="B294" t="s" s="11">
        <v>5548</v>
      </c>
      <c r="C294" s="12">
        <v>45054.216509317128</v>
      </c>
      <c r="D294" t="s" s="13">
        <v>73</v>
      </c>
      <c r="E294" t="s" s="13">
        <v>74</v>
      </c>
      <c r="F294" s="14">
        <v>1</v>
      </c>
      <c r="G294" s="15">
        <v>399.99</v>
      </c>
      <c r="H294" s="15">
        <v>399.99</v>
      </c>
    </row>
    <row r="295" ht="12.9" customHeight="1">
      <c r="A295" t="s" s="10">
        <v>5549</v>
      </c>
      <c r="B295" t="s" s="11">
        <v>4679</v>
      </c>
      <c r="C295" s="12">
        <v>45054.209833865738</v>
      </c>
      <c r="D295" t="s" s="13">
        <v>470</v>
      </c>
      <c r="E295" t="s" s="13">
        <v>828</v>
      </c>
      <c r="F295" s="14">
        <v>1</v>
      </c>
      <c r="G295" s="15">
        <v>249.99</v>
      </c>
      <c r="H295" s="15">
        <v>249.99</v>
      </c>
    </row>
    <row r="296" ht="12.9" customHeight="1">
      <c r="A296" t="s" s="10">
        <v>5550</v>
      </c>
      <c r="B296" t="s" s="11">
        <v>5551</v>
      </c>
      <c r="C296" s="12">
        <v>45053.972646493057</v>
      </c>
      <c r="D296" t="s" s="13">
        <v>19</v>
      </c>
      <c r="E296" t="s" s="13">
        <v>20</v>
      </c>
      <c r="F296" s="14">
        <v>1</v>
      </c>
      <c r="G296" s="15">
        <v>119.99</v>
      </c>
      <c r="H296" s="15">
        <v>119.99</v>
      </c>
    </row>
    <row r="297" ht="12.9" customHeight="1">
      <c r="A297" t="s" s="10">
        <v>5550</v>
      </c>
      <c r="B297" t="s" s="11">
        <v>5551</v>
      </c>
      <c r="C297" s="12">
        <v>45053.972646493057</v>
      </c>
      <c r="D297" t="s" s="13">
        <v>15</v>
      </c>
      <c r="E297" t="s" s="13">
        <v>4757</v>
      </c>
      <c r="F297" s="14">
        <v>1</v>
      </c>
      <c r="G297" s="15">
        <v>8.99</v>
      </c>
      <c r="H297" s="15">
        <v>8.99</v>
      </c>
    </row>
    <row r="298" ht="12.9" customHeight="1">
      <c r="A298" t="s" s="10">
        <v>5552</v>
      </c>
      <c r="B298" t="s" s="11">
        <v>2261</v>
      </c>
      <c r="C298" s="12">
        <v>45053.942132013886</v>
      </c>
      <c r="D298" t="s" s="13">
        <v>54</v>
      </c>
      <c r="E298" t="s" s="13">
        <v>93</v>
      </c>
      <c r="F298" s="14">
        <v>8</v>
      </c>
      <c r="G298" s="15">
        <v>9.99</v>
      </c>
      <c r="H298" s="15">
        <v>79.92</v>
      </c>
    </row>
    <row r="299" ht="12.9" customHeight="1">
      <c r="A299" t="s" s="10">
        <v>5553</v>
      </c>
      <c r="B299" t="s" s="11">
        <v>5551</v>
      </c>
      <c r="C299" s="12">
        <v>45053.015475590277</v>
      </c>
      <c r="D299" t="s" s="13">
        <v>35</v>
      </c>
      <c r="E299" t="s" s="13">
        <v>36</v>
      </c>
      <c r="F299" s="14">
        <v>2</v>
      </c>
      <c r="G299" s="15">
        <v>49.99</v>
      </c>
      <c r="H299" s="15">
        <v>99.98</v>
      </c>
    </row>
    <row r="300" ht="12.9" customHeight="1">
      <c r="A300" t="s" s="10">
        <v>5554</v>
      </c>
      <c r="B300" t="s" s="11">
        <v>5555</v>
      </c>
      <c r="C300" s="12">
        <v>45052.1954005787</v>
      </c>
      <c r="D300" t="s" s="13">
        <v>1695</v>
      </c>
      <c r="E300" t="s" s="13">
        <v>140</v>
      </c>
      <c r="F300" s="14">
        <v>1</v>
      </c>
      <c r="G300" s="15">
        <v>49.99</v>
      </c>
      <c r="H300" s="15">
        <v>49.99</v>
      </c>
    </row>
    <row r="301" ht="12.9" customHeight="1">
      <c r="A301" t="s" s="10">
        <v>5554</v>
      </c>
      <c r="B301" t="s" s="11">
        <v>5555</v>
      </c>
      <c r="C301" s="12">
        <v>45052.1954005787</v>
      </c>
      <c r="D301" t="s" s="13">
        <v>15</v>
      </c>
      <c r="E301" t="s" s="13">
        <v>4757</v>
      </c>
      <c r="F301" s="14">
        <v>1</v>
      </c>
      <c r="G301" s="15">
        <v>8.99</v>
      </c>
      <c r="H301" s="15">
        <v>8.99</v>
      </c>
    </row>
    <row r="302" ht="12.9" customHeight="1">
      <c r="A302" t="s" s="10">
        <v>5556</v>
      </c>
      <c r="B302" t="s" s="11">
        <v>5509</v>
      </c>
      <c r="C302" s="12">
        <v>45052</v>
      </c>
      <c r="D302" t="s" s="13">
        <v>31</v>
      </c>
      <c r="E302" t="s" s="13">
        <v>32</v>
      </c>
      <c r="F302" s="14">
        <v>1</v>
      </c>
      <c r="G302" s="15">
        <v>449.9925</v>
      </c>
      <c r="H302" s="15">
        <v>449.9925</v>
      </c>
    </row>
    <row r="303" ht="12.9" customHeight="1">
      <c r="A303" t="s" s="10">
        <v>5556</v>
      </c>
      <c r="B303" t="s" s="11">
        <v>5509</v>
      </c>
      <c r="C303" s="12">
        <v>45052</v>
      </c>
      <c r="D303" t="s" s="13">
        <v>11</v>
      </c>
      <c r="E303" t="s" s="13">
        <v>12</v>
      </c>
      <c r="F303" s="14">
        <v>1</v>
      </c>
      <c r="G303" s="15">
        <v>299.9925</v>
      </c>
      <c r="H303" s="15">
        <v>299.9925</v>
      </c>
    </row>
    <row r="304" ht="12.9" customHeight="1">
      <c r="A304" t="s" s="10">
        <v>5556</v>
      </c>
      <c r="B304" t="s" s="11">
        <v>5509</v>
      </c>
      <c r="C304" s="12">
        <v>45052</v>
      </c>
      <c r="D304" t="s" s="13">
        <v>123</v>
      </c>
      <c r="E304" t="s" s="13">
        <v>124</v>
      </c>
      <c r="F304" s="14">
        <v>2</v>
      </c>
      <c r="G304" s="15">
        <v>134.9925</v>
      </c>
      <c r="H304" s="15">
        <v>269.985</v>
      </c>
    </row>
    <row r="305" ht="12.9" customHeight="1">
      <c r="A305" t="s" s="10">
        <v>5556</v>
      </c>
      <c r="B305" t="s" s="11">
        <v>5509</v>
      </c>
      <c r="C305" s="12">
        <v>45052</v>
      </c>
      <c r="D305" t="s" s="13">
        <v>125</v>
      </c>
      <c r="E305" t="s" s="13">
        <v>126</v>
      </c>
      <c r="F305" s="14">
        <v>4</v>
      </c>
      <c r="G305" s="15">
        <v>48.7425</v>
      </c>
      <c r="H305" s="15">
        <v>194.97</v>
      </c>
    </row>
    <row r="306" ht="12.9" customHeight="1">
      <c r="A306" t="s" s="10">
        <v>5556</v>
      </c>
      <c r="B306" t="s" s="11">
        <v>5509</v>
      </c>
      <c r="C306" s="12">
        <v>45052</v>
      </c>
      <c r="D306" t="s" s="13">
        <v>299</v>
      </c>
      <c r="E306" t="s" s="13">
        <v>300</v>
      </c>
      <c r="F306" s="14">
        <v>4</v>
      </c>
      <c r="G306" s="15">
        <v>52.4925</v>
      </c>
      <c r="H306" s="15">
        <v>209.97</v>
      </c>
    </row>
    <row r="307" ht="12.9" customHeight="1">
      <c r="A307" t="s" s="10">
        <v>5556</v>
      </c>
      <c r="B307" t="s" s="11">
        <v>5509</v>
      </c>
      <c r="C307" s="12">
        <v>45052</v>
      </c>
      <c r="D307" t="s" s="13">
        <v>146</v>
      </c>
      <c r="E307" t="s" s="13">
        <v>147</v>
      </c>
      <c r="F307" s="14">
        <v>2</v>
      </c>
      <c r="G307" s="15">
        <v>14.9925</v>
      </c>
      <c r="H307" s="15">
        <v>29.985</v>
      </c>
    </row>
    <row r="308" ht="12.9" customHeight="1">
      <c r="A308" t="s" s="10">
        <v>5556</v>
      </c>
      <c r="B308" t="s" s="11">
        <v>5509</v>
      </c>
      <c r="C308" s="12">
        <v>45052</v>
      </c>
      <c r="D308" t="s" s="13">
        <v>602</v>
      </c>
      <c r="E308" t="s" s="13">
        <v>828</v>
      </c>
      <c r="F308" s="14">
        <v>2</v>
      </c>
      <c r="G308" s="15">
        <v>224.9925</v>
      </c>
      <c r="H308" s="15">
        <v>449.985</v>
      </c>
    </row>
    <row r="309" ht="12.9" customHeight="1">
      <c r="A309" t="s" s="10">
        <v>5556</v>
      </c>
      <c r="B309" t="s" s="11">
        <v>5509</v>
      </c>
      <c r="C309" s="12">
        <v>45052</v>
      </c>
      <c r="D309" t="s" s="13">
        <v>59</v>
      </c>
      <c r="E309" t="s" s="13">
        <v>60</v>
      </c>
      <c r="F309" s="14">
        <v>1</v>
      </c>
      <c r="G309" s="15">
        <v>899.9924999999999</v>
      </c>
      <c r="H309" s="15">
        <v>899.9924999999999</v>
      </c>
    </row>
    <row r="310" ht="12.9" customHeight="1">
      <c r="A310" t="s" s="10">
        <v>5556</v>
      </c>
      <c r="B310" t="s" s="11">
        <v>5509</v>
      </c>
      <c r="C310" s="12">
        <v>45052</v>
      </c>
      <c r="D310" t="s" s="13">
        <v>47</v>
      </c>
      <c r="E310" s="16"/>
      <c r="F310" s="14">
        <v>1</v>
      </c>
      <c r="G310" s="15">
        <v>207.05</v>
      </c>
      <c r="H310" s="15">
        <v>207.05</v>
      </c>
    </row>
    <row r="311" ht="12.9" customHeight="1">
      <c r="A311" t="s" s="10">
        <v>5557</v>
      </c>
      <c r="B311" t="s" s="11">
        <v>5440</v>
      </c>
      <c r="C311" s="12">
        <v>45051.791778958330</v>
      </c>
      <c r="D311" t="s" s="13">
        <v>133</v>
      </c>
      <c r="E311" t="s" s="13">
        <v>4835</v>
      </c>
      <c r="F311" s="14">
        <v>1</v>
      </c>
      <c r="G311" s="15">
        <v>199.99</v>
      </c>
      <c r="H311" s="15">
        <v>199.99</v>
      </c>
    </row>
    <row r="312" ht="12.9" customHeight="1">
      <c r="A312" t="s" s="10">
        <v>5557</v>
      </c>
      <c r="B312" t="s" s="11">
        <v>5440</v>
      </c>
      <c r="C312" s="12">
        <v>45051.791778958330</v>
      </c>
      <c r="D312" t="s" s="13">
        <v>19</v>
      </c>
      <c r="E312" t="s" s="13">
        <v>20</v>
      </c>
      <c r="F312" s="14">
        <v>1</v>
      </c>
      <c r="G312" s="15">
        <v>119.99</v>
      </c>
      <c r="H312" s="15">
        <v>119.99</v>
      </c>
    </row>
    <row r="313" ht="12.9" customHeight="1">
      <c r="A313" t="s" s="10">
        <v>5557</v>
      </c>
      <c r="B313" t="s" s="11">
        <v>5440</v>
      </c>
      <c r="C313" s="12">
        <v>45051.791778958330</v>
      </c>
      <c r="D313" t="s" s="13">
        <v>15</v>
      </c>
      <c r="E313" t="s" s="13">
        <v>4757</v>
      </c>
      <c r="F313" s="14">
        <v>1</v>
      </c>
      <c r="G313" s="15">
        <v>8.99</v>
      </c>
      <c r="H313" s="15">
        <v>8.99</v>
      </c>
    </row>
    <row r="314" ht="12.9" customHeight="1">
      <c r="A314" t="s" s="10">
        <v>5557</v>
      </c>
      <c r="B314" t="s" s="11">
        <v>5440</v>
      </c>
      <c r="C314" s="12">
        <v>45051.791778958330</v>
      </c>
      <c r="D314" t="s" s="13">
        <v>15</v>
      </c>
      <c r="E314" t="s" s="13">
        <v>4757</v>
      </c>
      <c r="F314" s="14">
        <v>5</v>
      </c>
      <c r="G314" s="15">
        <v>8.99</v>
      </c>
      <c r="H314" s="15">
        <v>44.95</v>
      </c>
    </row>
    <row r="315" ht="12.9" customHeight="1">
      <c r="A315" t="s" s="10">
        <v>5558</v>
      </c>
      <c r="B315" t="s" s="11">
        <v>5559</v>
      </c>
      <c r="C315" s="12">
        <v>45051.664294745373</v>
      </c>
      <c r="D315" t="s" s="13">
        <v>1695</v>
      </c>
      <c r="E315" t="s" s="13">
        <v>140</v>
      </c>
      <c r="F315" s="14">
        <v>1</v>
      </c>
      <c r="G315" s="15">
        <v>49.99</v>
      </c>
      <c r="H315" s="15">
        <v>49.99</v>
      </c>
    </row>
    <row r="316" ht="12.9" customHeight="1">
      <c r="A316" t="s" s="10">
        <v>5558</v>
      </c>
      <c r="B316" t="s" s="11">
        <v>5559</v>
      </c>
      <c r="C316" s="12">
        <v>45051.664294745373</v>
      </c>
      <c r="D316" t="s" s="13">
        <v>15</v>
      </c>
      <c r="E316" t="s" s="13">
        <v>4757</v>
      </c>
      <c r="F316" s="14">
        <v>1</v>
      </c>
      <c r="G316" s="15">
        <v>8.99</v>
      </c>
      <c r="H316" s="15">
        <v>8.99</v>
      </c>
    </row>
    <row r="317" ht="12.9" customHeight="1">
      <c r="A317" t="s" s="10">
        <v>5560</v>
      </c>
      <c r="B317" t="s" s="11">
        <v>5440</v>
      </c>
      <c r="C317" s="12">
        <v>45051.566401435186</v>
      </c>
      <c r="D317" t="s" s="13">
        <v>31</v>
      </c>
      <c r="E317" t="s" s="13">
        <v>32</v>
      </c>
      <c r="F317" s="14">
        <v>1</v>
      </c>
      <c r="G317" s="15">
        <v>599.99</v>
      </c>
      <c r="H317" s="15">
        <v>599.99</v>
      </c>
    </row>
    <row r="318" ht="12.9" customHeight="1">
      <c r="A318" t="s" s="10">
        <v>5561</v>
      </c>
      <c r="B318" t="s" s="11">
        <v>5526</v>
      </c>
      <c r="C318" s="12">
        <v>45051.315651701392</v>
      </c>
      <c r="D318" t="s" s="13">
        <v>31</v>
      </c>
      <c r="E318" t="s" s="13">
        <v>32</v>
      </c>
      <c r="F318" s="14">
        <v>1</v>
      </c>
      <c r="G318" s="15">
        <v>574.99</v>
      </c>
      <c r="H318" s="15">
        <v>574.99</v>
      </c>
    </row>
    <row r="319" ht="12.9" customHeight="1">
      <c r="A319" t="s" s="10">
        <v>5562</v>
      </c>
      <c r="B319" t="s" s="11">
        <v>5563</v>
      </c>
      <c r="C319" s="12">
        <v>45051.158067754630</v>
      </c>
      <c r="D319" t="s" s="13">
        <v>1961</v>
      </c>
      <c r="E319" t="s" s="13">
        <v>1962</v>
      </c>
      <c r="F319" s="14">
        <v>1</v>
      </c>
      <c r="G319" s="15">
        <v>109.99</v>
      </c>
      <c r="H319" s="15">
        <v>109.99</v>
      </c>
    </row>
    <row r="320" ht="12.9" customHeight="1">
      <c r="A320" t="s" s="10">
        <v>5562</v>
      </c>
      <c r="B320" t="s" s="11">
        <v>5563</v>
      </c>
      <c r="C320" s="12">
        <v>45051.158067754630</v>
      </c>
      <c r="D320" t="s" s="13">
        <v>345</v>
      </c>
      <c r="E320" t="s" s="13">
        <v>346</v>
      </c>
      <c r="F320" s="14">
        <v>1</v>
      </c>
      <c r="G320" s="15">
        <v>219.99</v>
      </c>
      <c r="H320" s="15">
        <v>219.99</v>
      </c>
    </row>
    <row r="321" ht="12.9" customHeight="1">
      <c r="A321" t="s" s="10">
        <v>5564</v>
      </c>
      <c r="B321" t="s" s="11">
        <v>210</v>
      </c>
      <c r="C321" s="12">
        <v>45051</v>
      </c>
      <c r="D321" t="s" s="13">
        <v>254</v>
      </c>
      <c r="E321" t="s" s="13">
        <v>5565</v>
      </c>
      <c r="F321" s="14">
        <v>1</v>
      </c>
      <c r="G321" s="15">
        <v>0</v>
      </c>
      <c r="H321" s="15">
        <v>0</v>
      </c>
    </row>
    <row r="322" ht="12.9" customHeight="1">
      <c r="A322" t="s" s="10">
        <v>5564</v>
      </c>
      <c r="B322" t="s" s="11">
        <v>210</v>
      </c>
      <c r="C322" s="12">
        <v>45051</v>
      </c>
      <c r="D322" t="s" s="13">
        <v>2672</v>
      </c>
      <c r="E322" t="s" s="13">
        <v>2673</v>
      </c>
      <c r="F322" s="14">
        <v>1</v>
      </c>
      <c r="G322" s="15">
        <v>0</v>
      </c>
      <c r="H322" s="15">
        <v>0</v>
      </c>
    </row>
    <row r="323" ht="12.9" customHeight="1">
      <c r="A323" t="s" s="10">
        <v>5564</v>
      </c>
      <c r="B323" t="s" s="11">
        <v>210</v>
      </c>
      <c r="C323" s="12">
        <v>45051</v>
      </c>
      <c r="D323" t="s" s="13">
        <v>2125</v>
      </c>
      <c r="E323" t="s" s="13">
        <v>2126</v>
      </c>
      <c r="F323" s="14">
        <v>1</v>
      </c>
      <c r="G323" s="15">
        <v>0</v>
      </c>
      <c r="H323" s="15">
        <v>0</v>
      </c>
    </row>
    <row r="324" ht="12.9" customHeight="1">
      <c r="A324" t="s" s="10">
        <v>5564</v>
      </c>
      <c r="B324" t="s" s="11">
        <v>210</v>
      </c>
      <c r="C324" s="12">
        <v>45051</v>
      </c>
      <c r="D324" t="s" s="13">
        <v>254</v>
      </c>
      <c r="E324" t="s" s="13">
        <v>5566</v>
      </c>
      <c r="F324" s="14">
        <v>1</v>
      </c>
      <c r="G324" s="15">
        <v>0</v>
      </c>
      <c r="H324" s="15">
        <v>0</v>
      </c>
    </row>
    <row r="325" ht="12.9" customHeight="1">
      <c r="A325" t="s" s="10">
        <v>5564</v>
      </c>
      <c r="B325" t="s" s="11">
        <v>210</v>
      </c>
      <c r="C325" s="12">
        <v>45051</v>
      </c>
      <c r="D325" t="s" s="13">
        <v>1892</v>
      </c>
      <c r="E325" t="s" s="13">
        <v>1892</v>
      </c>
      <c r="F325" s="14">
        <v>1</v>
      </c>
      <c r="G325" s="15">
        <v>0</v>
      </c>
      <c r="H325" s="15">
        <v>0</v>
      </c>
    </row>
    <row r="326" ht="12.9" customHeight="1">
      <c r="A326" t="s" s="10">
        <v>5564</v>
      </c>
      <c r="B326" t="s" s="11">
        <v>210</v>
      </c>
      <c r="C326" s="12">
        <v>45051</v>
      </c>
      <c r="D326" t="s" s="13">
        <v>2512</v>
      </c>
      <c r="E326" t="s" s="13">
        <v>2512</v>
      </c>
      <c r="F326" s="14">
        <v>1</v>
      </c>
      <c r="G326" s="15">
        <v>0</v>
      </c>
      <c r="H326" s="15">
        <v>0</v>
      </c>
    </row>
    <row r="327" ht="12.9" customHeight="1">
      <c r="A327" t="s" s="10">
        <v>5564</v>
      </c>
      <c r="B327" t="s" s="11">
        <v>210</v>
      </c>
      <c r="C327" s="12">
        <v>45051</v>
      </c>
      <c r="D327" t="s" s="13">
        <v>3063</v>
      </c>
      <c r="E327" t="s" s="13">
        <v>3457</v>
      </c>
      <c r="F327" s="14">
        <v>1</v>
      </c>
      <c r="G327" s="15">
        <v>0</v>
      </c>
      <c r="H327" s="15">
        <v>0</v>
      </c>
    </row>
    <row r="328" ht="12.9" customHeight="1">
      <c r="A328" t="s" s="10">
        <v>5564</v>
      </c>
      <c r="B328" t="s" s="11">
        <v>210</v>
      </c>
      <c r="C328" s="12">
        <v>45051</v>
      </c>
      <c r="D328" t="s" s="13">
        <v>1891</v>
      </c>
      <c r="E328" t="s" s="13">
        <v>1891</v>
      </c>
      <c r="F328" s="14">
        <v>1</v>
      </c>
      <c r="G328" s="15">
        <v>0</v>
      </c>
      <c r="H328" s="15">
        <v>0</v>
      </c>
    </row>
    <row r="329" ht="12.9" customHeight="1">
      <c r="A329" t="s" s="10">
        <v>5564</v>
      </c>
      <c r="B329" t="s" s="11">
        <v>210</v>
      </c>
      <c r="C329" s="12">
        <v>45051</v>
      </c>
      <c r="D329" t="s" s="13">
        <v>207</v>
      </c>
      <c r="E329" t="s" s="13">
        <v>208</v>
      </c>
      <c r="F329" s="14">
        <v>3</v>
      </c>
      <c r="G329" s="15">
        <v>0</v>
      </c>
      <c r="H329" s="15">
        <v>0</v>
      </c>
    </row>
    <row r="330" ht="12.9" customHeight="1">
      <c r="A330" t="s" s="10">
        <v>5564</v>
      </c>
      <c r="B330" t="s" s="11">
        <v>210</v>
      </c>
      <c r="C330" s="12">
        <v>45051</v>
      </c>
      <c r="D330" t="s" s="13">
        <v>254</v>
      </c>
      <c r="E330" t="s" s="13">
        <v>5567</v>
      </c>
      <c r="F330" s="14">
        <v>1</v>
      </c>
      <c r="G330" s="15">
        <v>0</v>
      </c>
      <c r="H330" s="15">
        <v>0</v>
      </c>
    </row>
    <row r="331" ht="12.9" customHeight="1">
      <c r="A331" t="s" s="10">
        <v>5564</v>
      </c>
      <c r="B331" t="s" s="11">
        <v>210</v>
      </c>
      <c r="C331" s="12">
        <v>45051</v>
      </c>
      <c r="D331" t="s" s="13">
        <v>5568</v>
      </c>
      <c r="E331" t="s" s="13">
        <v>5569</v>
      </c>
      <c r="F331" s="14">
        <v>1</v>
      </c>
      <c r="G331" s="15">
        <v>0</v>
      </c>
      <c r="H331" s="15">
        <v>0</v>
      </c>
    </row>
    <row r="332" ht="12.9" customHeight="1">
      <c r="A332" t="s" s="10">
        <v>5564</v>
      </c>
      <c r="B332" t="s" s="11">
        <v>210</v>
      </c>
      <c r="C332" s="12">
        <v>45051</v>
      </c>
      <c r="D332" t="s" s="13">
        <v>254</v>
      </c>
      <c r="E332" t="s" s="13">
        <v>5570</v>
      </c>
      <c r="F332" s="14">
        <v>1</v>
      </c>
      <c r="G332" s="15">
        <v>0</v>
      </c>
      <c r="H332" s="15">
        <v>0</v>
      </c>
    </row>
    <row r="333" ht="12.9" customHeight="1">
      <c r="A333" t="s" s="10">
        <v>5564</v>
      </c>
      <c r="B333" t="s" s="11">
        <v>210</v>
      </c>
      <c r="C333" s="12">
        <v>45051</v>
      </c>
      <c r="D333" t="s" s="13">
        <v>412</v>
      </c>
      <c r="E333" t="s" s="13">
        <v>413</v>
      </c>
      <c r="F333" s="14">
        <v>6</v>
      </c>
      <c r="G333" s="15">
        <v>0</v>
      </c>
      <c r="H333" s="15">
        <v>0</v>
      </c>
    </row>
    <row r="334" ht="12.9" customHeight="1">
      <c r="A334" t="s" s="10">
        <v>5571</v>
      </c>
      <c r="B334" t="s" s="11">
        <v>5572</v>
      </c>
      <c r="C334" s="12">
        <v>45050.911499942129</v>
      </c>
      <c r="D334" t="s" s="13">
        <v>1695</v>
      </c>
      <c r="E334" t="s" s="13">
        <v>140</v>
      </c>
      <c r="F334" s="14">
        <v>2</v>
      </c>
      <c r="G334" s="15">
        <v>49.99</v>
      </c>
      <c r="H334" s="15">
        <v>99.98</v>
      </c>
    </row>
    <row r="335" ht="12.9" customHeight="1">
      <c r="A335" t="s" s="10">
        <v>5571</v>
      </c>
      <c r="B335" t="s" s="11">
        <v>5572</v>
      </c>
      <c r="C335" s="12">
        <v>45050.911499942129</v>
      </c>
      <c r="D335" t="s" s="13">
        <v>15</v>
      </c>
      <c r="E335" t="s" s="13">
        <v>4757</v>
      </c>
      <c r="F335" s="14">
        <v>2</v>
      </c>
      <c r="G335" s="15">
        <v>8.99</v>
      </c>
      <c r="H335" s="15">
        <v>17.98</v>
      </c>
    </row>
    <row r="336" ht="12.9" customHeight="1">
      <c r="A336" t="s" s="10">
        <v>5573</v>
      </c>
      <c r="B336" t="s" s="11">
        <v>1492</v>
      </c>
      <c r="C336" s="12">
        <v>45050.862741122684</v>
      </c>
      <c r="D336" t="s" s="13">
        <v>59</v>
      </c>
      <c r="E336" t="s" s="13">
        <v>60</v>
      </c>
      <c r="F336" s="14">
        <v>2</v>
      </c>
      <c r="G336" s="15">
        <v>1199.99</v>
      </c>
      <c r="H336" s="15">
        <v>2399.98</v>
      </c>
    </row>
    <row r="337" ht="12.9" customHeight="1">
      <c r="A337" t="s" s="10">
        <v>5574</v>
      </c>
      <c r="B337" t="s" s="11">
        <v>704</v>
      </c>
      <c r="C337" s="12">
        <v>45050</v>
      </c>
      <c r="D337" t="s" s="13">
        <v>31</v>
      </c>
      <c r="E337" t="s" s="13">
        <v>32</v>
      </c>
      <c r="F337" s="14">
        <v>1</v>
      </c>
      <c r="G337" s="15">
        <v>449.9925</v>
      </c>
      <c r="H337" s="15">
        <v>449.9925</v>
      </c>
    </row>
    <row r="338" ht="12.9" customHeight="1">
      <c r="A338" t="s" s="10">
        <v>5574</v>
      </c>
      <c r="B338" t="s" s="11">
        <v>704</v>
      </c>
      <c r="C338" s="12">
        <v>45050</v>
      </c>
      <c r="D338" t="s" s="13">
        <v>23</v>
      </c>
      <c r="E338" t="s" s="13">
        <v>5347</v>
      </c>
      <c r="F338" s="14">
        <v>2</v>
      </c>
      <c r="G338" s="15">
        <v>0</v>
      </c>
      <c r="H338" s="15">
        <v>0</v>
      </c>
    </row>
    <row r="339" ht="12.9" customHeight="1">
      <c r="A339" t="s" s="10">
        <v>5574</v>
      </c>
      <c r="B339" t="s" s="11">
        <v>704</v>
      </c>
      <c r="C339" s="12">
        <v>45050</v>
      </c>
      <c r="D339" t="s" s="13">
        <v>133</v>
      </c>
      <c r="E339" t="s" s="13">
        <v>4835</v>
      </c>
      <c r="F339" s="14">
        <v>3</v>
      </c>
      <c r="G339" s="15">
        <v>149.9925</v>
      </c>
      <c r="H339" s="15">
        <v>449.9775</v>
      </c>
    </row>
    <row r="340" ht="12.9" customHeight="1">
      <c r="A340" t="s" s="10">
        <v>5574</v>
      </c>
      <c r="B340" t="s" s="11">
        <v>704</v>
      </c>
      <c r="C340" s="12">
        <v>45050</v>
      </c>
      <c r="D340" t="s" s="13">
        <v>19</v>
      </c>
      <c r="E340" t="s" s="13">
        <v>20</v>
      </c>
      <c r="F340" s="14">
        <v>3</v>
      </c>
      <c r="G340" s="15">
        <v>89.99250000000001</v>
      </c>
      <c r="H340" s="15">
        <v>269.9775</v>
      </c>
    </row>
    <row r="341" ht="12.9" customHeight="1">
      <c r="A341" t="s" s="10">
        <v>5574</v>
      </c>
      <c r="B341" t="s" s="11">
        <v>704</v>
      </c>
      <c r="C341" s="12">
        <v>45050</v>
      </c>
      <c r="D341" t="s" s="13">
        <v>48</v>
      </c>
      <c r="E341" t="s" s="13">
        <v>49</v>
      </c>
      <c r="F341" s="14">
        <v>2</v>
      </c>
      <c r="G341" s="15">
        <v>974.9924999999999</v>
      </c>
      <c r="H341" s="15">
        <v>1949.985</v>
      </c>
    </row>
    <row r="342" ht="12.9" customHeight="1">
      <c r="A342" t="s" s="10">
        <v>5574</v>
      </c>
      <c r="B342" t="s" s="11">
        <v>704</v>
      </c>
      <c r="C342" s="12">
        <v>45050</v>
      </c>
      <c r="D342" t="s" s="13">
        <v>23</v>
      </c>
      <c r="E342" t="s" s="13">
        <v>828</v>
      </c>
      <c r="F342" s="14">
        <v>1</v>
      </c>
      <c r="G342" s="15">
        <v>112.4925</v>
      </c>
      <c r="H342" s="15">
        <v>112.4925</v>
      </c>
    </row>
    <row r="343" ht="12.9" customHeight="1">
      <c r="A343" t="s" s="10">
        <v>5575</v>
      </c>
      <c r="B343" t="s" s="11">
        <v>5576</v>
      </c>
      <c r="C343" s="12">
        <v>45050</v>
      </c>
      <c r="D343" t="s" s="13">
        <v>125</v>
      </c>
      <c r="E343" t="s" s="13">
        <v>126</v>
      </c>
      <c r="F343" s="14">
        <v>8</v>
      </c>
      <c r="G343" s="15">
        <v>64.98999999999999</v>
      </c>
      <c r="H343" s="15">
        <v>519.92</v>
      </c>
    </row>
    <row r="344" ht="12.9" customHeight="1">
      <c r="A344" t="s" s="10">
        <v>5575</v>
      </c>
      <c r="B344" t="s" s="11">
        <v>5576</v>
      </c>
      <c r="C344" s="12">
        <v>45050</v>
      </c>
      <c r="D344" t="s" s="13">
        <v>1069</v>
      </c>
      <c r="E344" t="s" s="13">
        <v>828</v>
      </c>
      <c r="F344" s="14">
        <v>7</v>
      </c>
      <c r="G344" s="15">
        <v>99.98999999999999</v>
      </c>
      <c r="H344" s="15">
        <v>699.9299999999999</v>
      </c>
    </row>
    <row r="345" ht="12.9" customHeight="1">
      <c r="A345" t="s" s="10">
        <v>5575</v>
      </c>
      <c r="B345" t="s" s="11">
        <v>5576</v>
      </c>
      <c r="C345" s="12">
        <v>45050</v>
      </c>
      <c r="D345" t="s" s="13">
        <v>15</v>
      </c>
      <c r="E345" t="s" s="13">
        <v>4757</v>
      </c>
      <c r="F345" s="14">
        <v>2</v>
      </c>
      <c r="G345" s="15">
        <v>9.99</v>
      </c>
      <c r="H345" s="15">
        <v>19.98</v>
      </c>
    </row>
    <row r="346" ht="12.9" customHeight="1">
      <c r="A346" t="s" s="10">
        <v>5575</v>
      </c>
      <c r="B346" t="s" s="11">
        <v>5576</v>
      </c>
      <c r="C346" s="12">
        <v>45050</v>
      </c>
      <c r="D346" t="s" s="13">
        <v>442</v>
      </c>
      <c r="E346" s="16"/>
      <c r="F346" s="14">
        <v>1</v>
      </c>
      <c r="G346" s="15">
        <v>-309.9575</v>
      </c>
      <c r="H346" s="15">
        <v>-309.9575</v>
      </c>
    </row>
    <row r="347" ht="12.9" customHeight="1">
      <c r="A347" t="s" s="10">
        <v>5575</v>
      </c>
      <c r="B347" t="s" s="11">
        <v>5576</v>
      </c>
      <c r="C347" s="12">
        <v>45050</v>
      </c>
      <c r="D347" t="s" s="13">
        <v>63</v>
      </c>
      <c r="E347" s="16"/>
      <c r="F347" s="14">
        <v>1</v>
      </c>
      <c r="G347" s="15">
        <v>45</v>
      </c>
      <c r="H347" s="15">
        <v>45</v>
      </c>
    </row>
    <row r="348" ht="12.9" customHeight="1">
      <c r="A348" t="s" s="10">
        <v>5577</v>
      </c>
      <c r="B348" t="s" s="11">
        <v>2931</v>
      </c>
      <c r="C348" s="12">
        <v>45050</v>
      </c>
      <c r="D348" t="s" s="13">
        <v>1232</v>
      </c>
      <c r="E348" t="s" s="13">
        <v>5578</v>
      </c>
      <c r="F348" s="14">
        <v>125</v>
      </c>
      <c r="G348" s="15">
        <v>5</v>
      </c>
      <c r="H348" s="15">
        <v>625</v>
      </c>
    </row>
    <row r="349" ht="12.9" customHeight="1">
      <c r="A349" t="s" s="10">
        <v>5577</v>
      </c>
      <c r="B349" t="s" s="11">
        <v>2931</v>
      </c>
      <c r="C349" s="12">
        <v>45050</v>
      </c>
      <c r="D349" t="s" s="13">
        <v>5579</v>
      </c>
      <c r="E349" t="s" s="13">
        <v>5578</v>
      </c>
      <c r="F349" s="14">
        <v>8</v>
      </c>
      <c r="G349" s="15">
        <v>5</v>
      </c>
      <c r="H349" s="15">
        <v>40</v>
      </c>
    </row>
    <row r="350" ht="12.9" customHeight="1">
      <c r="A350" t="s" s="10">
        <v>5577</v>
      </c>
      <c r="B350" t="s" s="11">
        <v>2931</v>
      </c>
      <c r="C350" s="12">
        <v>45050</v>
      </c>
      <c r="D350" t="s" s="13">
        <v>63</v>
      </c>
      <c r="E350" s="16"/>
      <c r="F350" s="14">
        <v>1</v>
      </c>
      <c r="G350" s="15">
        <v>30.75</v>
      </c>
      <c r="H350" s="15">
        <v>30.75</v>
      </c>
    </row>
    <row r="351" ht="12.9" customHeight="1">
      <c r="A351" t="s" s="10">
        <v>5580</v>
      </c>
      <c r="B351" t="s" s="11">
        <v>5581</v>
      </c>
      <c r="C351" s="12">
        <v>45049.898318055559</v>
      </c>
      <c r="D351" t="s" s="13">
        <v>50</v>
      </c>
      <c r="E351" t="s" s="13">
        <v>83</v>
      </c>
      <c r="F351" s="14">
        <v>1</v>
      </c>
      <c r="G351" s="15">
        <v>29.99</v>
      </c>
      <c r="H351" s="15">
        <v>29.99</v>
      </c>
    </row>
    <row r="352" ht="12.9" customHeight="1">
      <c r="A352" t="s" s="10">
        <v>5582</v>
      </c>
      <c r="B352" t="s" s="11">
        <v>391</v>
      </c>
      <c r="C352" s="12">
        <v>45049</v>
      </c>
      <c r="D352" t="s" s="13">
        <v>50</v>
      </c>
      <c r="E352" t="s" s="13">
        <v>83</v>
      </c>
      <c r="F352" s="14">
        <v>3</v>
      </c>
      <c r="G352" s="15">
        <v>22.4925</v>
      </c>
      <c r="H352" s="15">
        <v>67.47750000000001</v>
      </c>
    </row>
    <row r="353" ht="12.9" customHeight="1">
      <c r="A353" t="s" s="10">
        <v>5582</v>
      </c>
      <c r="B353" t="s" s="11">
        <v>391</v>
      </c>
      <c r="C353" s="12">
        <v>45049</v>
      </c>
      <c r="D353" t="s" s="13">
        <v>63</v>
      </c>
      <c r="E353" s="16"/>
      <c r="F353" s="14">
        <v>1</v>
      </c>
      <c r="G353" s="15">
        <v>36.65</v>
      </c>
      <c r="H353" s="15">
        <v>36.65</v>
      </c>
    </row>
    <row r="354" ht="12.9" customHeight="1">
      <c r="A354" t="s" s="10">
        <v>5583</v>
      </c>
      <c r="B354" t="s" s="11">
        <v>1751</v>
      </c>
      <c r="C354" s="12">
        <v>45048.892423240737</v>
      </c>
      <c r="D354" t="s" s="13">
        <v>171</v>
      </c>
      <c r="E354" t="s" s="13">
        <v>172</v>
      </c>
      <c r="F354" s="14">
        <v>1</v>
      </c>
      <c r="G354" s="15">
        <v>549.99</v>
      </c>
      <c r="H354" s="15">
        <v>549.99</v>
      </c>
    </row>
    <row r="355" ht="12.9" customHeight="1">
      <c r="A355" t="s" s="10">
        <v>5584</v>
      </c>
      <c r="B355" t="s" s="11">
        <v>5585</v>
      </c>
      <c r="C355" s="12">
        <v>45048.819867731479</v>
      </c>
      <c r="D355" t="s" s="13">
        <v>95</v>
      </c>
      <c r="E355" t="s" s="13">
        <v>12</v>
      </c>
      <c r="F355" s="14">
        <v>1</v>
      </c>
      <c r="G355" s="15">
        <v>349.99</v>
      </c>
      <c r="H355" s="15">
        <v>349.99</v>
      </c>
    </row>
    <row r="356" ht="12.9" customHeight="1">
      <c r="A356" t="s" s="10">
        <v>5586</v>
      </c>
      <c r="B356" t="s" s="11">
        <v>5520</v>
      </c>
      <c r="C356" s="12">
        <v>45048.672208518517</v>
      </c>
      <c r="D356" t="s" s="13">
        <v>39</v>
      </c>
      <c r="E356" t="s" s="13">
        <v>828</v>
      </c>
      <c r="F356" s="14">
        <v>14</v>
      </c>
      <c r="G356" s="15">
        <v>109.99</v>
      </c>
      <c r="H356" s="15">
        <v>1539.86</v>
      </c>
    </row>
    <row r="357" ht="12.9" customHeight="1">
      <c r="A357" t="s" s="10">
        <v>5587</v>
      </c>
      <c r="B357" t="s" s="11">
        <v>5001</v>
      </c>
      <c r="C357" s="12">
        <v>45048.641838449075</v>
      </c>
      <c r="D357" t="s" s="13">
        <v>73</v>
      </c>
      <c r="E357" t="s" s="13">
        <v>74</v>
      </c>
      <c r="F357" s="14">
        <v>1</v>
      </c>
      <c r="G357" s="15">
        <v>399.99</v>
      </c>
      <c r="H357" s="15">
        <v>399.99</v>
      </c>
    </row>
    <row r="358" ht="12.9" customHeight="1">
      <c r="A358" t="s" s="10">
        <v>5588</v>
      </c>
      <c r="B358" t="s" s="11">
        <v>1390</v>
      </c>
      <c r="C358" s="12">
        <v>45048.002452777779</v>
      </c>
      <c r="D358" t="s" s="13">
        <v>73</v>
      </c>
      <c r="E358" t="s" s="13">
        <v>74</v>
      </c>
      <c r="F358" s="14">
        <v>1</v>
      </c>
      <c r="G358" s="15">
        <v>399.99</v>
      </c>
      <c r="H358" s="15">
        <v>399.99</v>
      </c>
    </row>
    <row r="359" ht="12.9" customHeight="1">
      <c r="A359" t="s" s="10">
        <v>5589</v>
      </c>
      <c r="B359" t="s" s="11">
        <v>5590</v>
      </c>
      <c r="C359" s="12">
        <v>45047.866952604163</v>
      </c>
      <c r="D359" t="s" s="13">
        <v>73</v>
      </c>
      <c r="E359" t="s" s="13">
        <v>74</v>
      </c>
      <c r="F359" s="14">
        <v>1</v>
      </c>
      <c r="G359" s="15">
        <v>399.99</v>
      </c>
      <c r="H359" s="15">
        <v>399.99</v>
      </c>
    </row>
    <row r="360" ht="12.9" customHeight="1">
      <c r="A360" t="s" s="10">
        <v>5589</v>
      </c>
      <c r="B360" t="s" s="11">
        <v>5590</v>
      </c>
      <c r="C360" s="12">
        <v>45047.866952604163</v>
      </c>
      <c r="D360" t="s" s="13">
        <v>1695</v>
      </c>
      <c r="E360" t="s" s="13">
        <v>140</v>
      </c>
      <c r="F360" s="14">
        <v>4</v>
      </c>
      <c r="G360" s="15">
        <v>49.99</v>
      </c>
      <c r="H360" s="15">
        <v>199.96</v>
      </c>
    </row>
    <row r="361" ht="12.9" customHeight="1">
      <c r="A361" t="s" s="10">
        <v>5589</v>
      </c>
      <c r="B361" t="s" s="11">
        <v>5590</v>
      </c>
      <c r="C361" s="12">
        <v>45047.866952604163</v>
      </c>
      <c r="D361" t="s" s="13">
        <v>15</v>
      </c>
      <c r="E361" t="s" s="13">
        <v>4757</v>
      </c>
      <c r="F361" s="14">
        <v>4</v>
      </c>
      <c r="G361" s="15">
        <v>8.99</v>
      </c>
      <c r="H361" s="15">
        <v>35.96</v>
      </c>
    </row>
    <row r="362" ht="12.9" customHeight="1">
      <c r="A362" t="s" s="10">
        <v>5591</v>
      </c>
      <c r="B362" t="s" s="11">
        <v>5592</v>
      </c>
      <c r="C362" s="12">
        <v>45047.126219803242</v>
      </c>
      <c r="D362" t="s" s="13">
        <v>81</v>
      </c>
      <c r="E362" t="s" s="13">
        <v>82</v>
      </c>
      <c r="F362" s="14">
        <v>2</v>
      </c>
      <c r="G362" s="15">
        <v>849.99</v>
      </c>
      <c r="H362" s="15">
        <v>1699.98</v>
      </c>
    </row>
    <row r="363" ht="12.9" customHeight="1">
      <c r="A363" t="s" s="10">
        <v>5591</v>
      </c>
      <c r="B363" t="s" s="11">
        <v>5592</v>
      </c>
      <c r="C363" s="12">
        <v>45047.126219803242</v>
      </c>
      <c r="D363" t="s" s="13">
        <v>23</v>
      </c>
      <c r="E363" t="s" s="13">
        <v>828</v>
      </c>
      <c r="F363" s="14">
        <v>2</v>
      </c>
      <c r="G363" s="15">
        <v>0</v>
      </c>
      <c r="H363" s="15">
        <v>0</v>
      </c>
    </row>
    <row r="364" ht="12.9" customHeight="1">
      <c r="A364" t="s" s="10">
        <v>5591</v>
      </c>
      <c r="B364" t="s" s="11">
        <v>5592</v>
      </c>
      <c r="C364" s="12">
        <v>45047.126219803242</v>
      </c>
      <c r="D364" t="s" s="13">
        <v>50</v>
      </c>
      <c r="E364" t="s" s="13">
        <v>83</v>
      </c>
      <c r="F364" s="14">
        <v>2</v>
      </c>
      <c r="G364" s="15">
        <v>0</v>
      </c>
      <c r="H364" s="15">
        <v>0</v>
      </c>
    </row>
    <row r="365" ht="12.9" customHeight="1">
      <c r="A365" t="s" s="10">
        <v>5591</v>
      </c>
      <c r="B365" t="s" s="11">
        <v>5592</v>
      </c>
      <c r="C365" s="12">
        <v>45047.126219803242</v>
      </c>
      <c r="D365" t="s" s="13">
        <v>84</v>
      </c>
      <c r="E365" t="s" s="13">
        <v>4225</v>
      </c>
      <c r="F365" s="14">
        <v>2</v>
      </c>
      <c r="G365" s="15">
        <v>0</v>
      </c>
      <c r="H365" s="15">
        <v>0</v>
      </c>
    </row>
    <row r="366" ht="12.9" customHeight="1">
      <c r="A366" t="s" s="10">
        <v>5593</v>
      </c>
      <c r="B366" t="s" s="11">
        <v>5513</v>
      </c>
      <c r="C366" s="12">
        <v>45047.031379166663</v>
      </c>
      <c r="D366" t="s" s="13">
        <v>54</v>
      </c>
      <c r="E366" t="s" s="13">
        <v>93</v>
      </c>
      <c r="F366" s="14">
        <v>1</v>
      </c>
      <c r="G366" s="15">
        <v>9.99</v>
      </c>
      <c r="H366" s="15">
        <v>9.99</v>
      </c>
    </row>
    <row r="367" ht="12.9" customHeight="1">
      <c r="A367" t="s" s="10">
        <v>5593</v>
      </c>
      <c r="B367" t="s" s="11">
        <v>5513</v>
      </c>
      <c r="C367" s="12">
        <v>45047.031379166663</v>
      </c>
      <c r="D367" t="s" s="13">
        <v>15</v>
      </c>
      <c r="E367" t="s" s="13">
        <v>4757</v>
      </c>
      <c r="F367" s="14">
        <v>1</v>
      </c>
      <c r="G367" s="15">
        <v>8.99</v>
      </c>
      <c r="H367" s="15">
        <v>8.99</v>
      </c>
    </row>
    <row r="368" ht="12.9" customHeight="1">
      <c r="A368" t="s" s="10">
        <v>5594</v>
      </c>
      <c r="B368" t="s" s="11">
        <v>182</v>
      </c>
      <c r="C368" s="12">
        <v>45047</v>
      </c>
      <c r="D368" t="s" s="13">
        <v>1236</v>
      </c>
      <c r="E368" t="s" s="13">
        <v>1237</v>
      </c>
      <c r="F368" s="14">
        <v>1</v>
      </c>
      <c r="G368" s="15">
        <v>0</v>
      </c>
      <c r="H368" s="15">
        <v>0</v>
      </c>
    </row>
    <row r="369" ht="12.9" customHeight="1">
      <c r="A369" t="s" s="10">
        <v>5594</v>
      </c>
      <c r="B369" t="s" s="11">
        <v>182</v>
      </c>
      <c r="C369" s="12">
        <v>45047</v>
      </c>
      <c r="D369" t="s" s="13">
        <v>762</v>
      </c>
      <c r="E369" t="s" s="13">
        <v>763</v>
      </c>
      <c r="F369" s="14">
        <v>1</v>
      </c>
      <c r="G369" s="15">
        <v>0</v>
      </c>
      <c r="H369" s="15">
        <v>0</v>
      </c>
    </row>
    <row r="370" ht="12.9" customHeight="1">
      <c r="A370" t="s" s="10">
        <v>5595</v>
      </c>
      <c r="B370" t="s" s="11">
        <v>122</v>
      </c>
      <c r="C370" s="12">
        <v>45047</v>
      </c>
      <c r="D370" t="s" s="13">
        <v>73</v>
      </c>
      <c r="E370" t="s" s="13">
        <v>74</v>
      </c>
      <c r="F370" s="14">
        <v>6</v>
      </c>
      <c r="G370" s="15">
        <v>299.9925</v>
      </c>
      <c r="H370" s="15">
        <v>1799.955</v>
      </c>
    </row>
    <row r="371" ht="12.9" customHeight="1">
      <c r="A371" t="s" s="10">
        <v>5595</v>
      </c>
      <c r="B371" t="s" s="11">
        <v>122</v>
      </c>
      <c r="C371" s="12">
        <v>45047</v>
      </c>
      <c r="D371" t="s" s="13">
        <v>589</v>
      </c>
      <c r="E371" t="s" s="13">
        <v>590</v>
      </c>
      <c r="F371" s="14">
        <v>20</v>
      </c>
      <c r="G371" s="15">
        <v>5.6175</v>
      </c>
      <c r="H371" s="15">
        <v>112.35</v>
      </c>
    </row>
    <row r="372" ht="12.9" customHeight="1">
      <c r="A372" t="s" s="10">
        <v>5595</v>
      </c>
      <c r="B372" t="s" s="11">
        <v>122</v>
      </c>
      <c r="C372" s="12">
        <v>45047</v>
      </c>
      <c r="D372" t="s" s="13">
        <v>63</v>
      </c>
      <c r="E372" s="16"/>
      <c r="F372" s="14">
        <v>1</v>
      </c>
      <c r="G372" s="15">
        <v>25</v>
      </c>
      <c r="H372" s="15">
        <v>25</v>
      </c>
    </row>
    <row r="373" ht="12.9" customHeight="1">
      <c r="A373" t="s" s="10">
        <v>5596</v>
      </c>
      <c r="B373" t="s" s="11">
        <v>2940</v>
      </c>
      <c r="C373" s="12">
        <v>45047</v>
      </c>
      <c r="D373" t="s" s="13">
        <v>171</v>
      </c>
      <c r="E373" t="s" s="13">
        <v>172</v>
      </c>
      <c r="F373" s="14">
        <v>1</v>
      </c>
      <c r="G373" s="15">
        <v>494.991</v>
      </c>
      <c r="H373" s="15">
        <v>494.991</v>
      </c>
    </row>
    <row r="375" ht="15.55" customHeight="1">
      <c r="I375" t="s" s="2">
        <v>5597</v>
      </c>
      <c r="J375" s="2"/>
      <c r="K375" s="2"/>
      <c r="L375" s="2"/>
      <c r="M375" s="2"/>
      <c r="N375" s="2"/>
      <c r="O375" s="2"/>
    </row>
    <row r="376" ht="16.1" customHeight="1">
      <c r="I376" t="s" s="349">
        <v>2</v>
      </c>
      <c r="J376" t="s" s="350">
        <v>1</v>
      </c>
      <c r="K376" t="s" s="350">
        <v>1504</v>
      </c>
      <c r="L376" t="s" s="351">
        <v>4</v>
      </c>
      <c r="M376" t="s" s="352">
        <v>617</v>
      </c>
      <c r="N376" t="s" s="353">
        <v>618</v>
      </c>
      <c r="O376" t="s" s="353">
        <v>619</v>
      </c>
    </row>
    <row r="377" ht="8.75" customHeight="1" hidden="1">
      <c r="I377" s="62"/>
      <c r="J377" s="63"/>
      <c r="K377" s="63"/>
      <c r="L377" t="s" s="64">
        <v>1891</v>
      </c>
      <c r="M377" s="65">
        <v>1</v>
      </c>
      <c r="N377" s="66">
        <v>0</v>
      </c>
      <c r="O377" s="66">
        <v>0</v>
      </c>
    </row>
    <row r="378" ht="8.75" customHeight="1" hidden="1">
      <c r="I378" s="62"/>
      <c r="J378" s="63"/>
      <c r="K378" s="63"/>
      <c r="L378" t="s" s="64">
        <v>5568</v>
      </c>
      <c r="M378" s="65">
        <v>1</v>
      </c>
      <c r="N378" s="66">
        <v>0</v>
      </c>
      <c r="O378" s="66">
        <v>0</v>
      </c>
    </row>
    <row r="379" ht="8.75" customHeight="1" hidden="1">
      <c r="I379" s="62"/>
      <c r="J379" s="63"/>
      <c r="K379" s="63"/>
      <c r="L379" t="s" s="64">
        <v>1892</v>
      </c>
      <c r="M379" s="65">
        <v>1</v>
      </c>
      <c r="N379" s="66">
        <v>0</v>
      </c>
      <c r="O379" s="66">
        <v>0</v>
      </c>
    </row>
    <row r="380" ht="8.75" customHeight="1" hidden="1">
      <c r="I380" s="62"/>
      <c r="J380" s="63"/>
      <c r="K380" s="63"/>
      <c r="L380" t="s" s="64">
        <v>412</v>
      </c>
      <c r="M380" s="65">
        <v>6</v>
      </c>
      <c r="N380" s="66">
        <v>0</v>
      </c>
      <c r="O380" s="66">
        <v>0</v>
      </c>
    </row>
    <row r="381" ht="8.75" customHeight="1" hidden="1">
      <c r="I381" s="62"/>
      <c r="J381" s="63"/>
      <c r="K381" s="63"/>
      <c r="L381" t="s" s="64">
        <v>207</v>
      </c>
      <c r="M381" s="65">
        <v>3</v>
      </c>
      <c r="N381" s="66">
        <v>0</v>
      </c>
      <c r="O381" s="66">
        <v>0</v>
      </c>
    </row>
    <row r="382" ht="8.75" customHeight="1" hidden="1">
      <c r="I382" s="62"/>
      <c r="J382" s="63"/>
      <c r="K382" s="63"/>
      <c r="L382" t="s" s="64">
        <v>3063</v>
      </c>
      <c r="M382" s="65">
        <v>1</v>
      </c>
      <c r="N382" s="66">
        <v>0</v>
      </c>
      <c r="O382" s="66">
        <v>0</v>
      </c>
    </row>
    <row r="383" ht="8.75" customHeight="1" hidden="1">
      <c r="I383" s="62"/>
      <c r="J383" s="63"/>
      <c r="K383" s="63"/>
      <c r="L383" t="s" s="64">
        <v>254</v>
      </c>
      <c r="M383" s="65">
        <v>4</v>
      </c>
      <c r="N383" s="66">
        <v>0</v>
      </c>
      <c r="O383" s="66">
        <v>0</v>
      </c>
    </row>
    <row r="384" ht="8.75" customHeight="1" hidden="1">
      <c r="I384" s="62"/>
      <c r="J384" s="63"/>
      <c r="K384" s="63"/>
      <c r="L384" t="s" s="64">
        <v>2512</v>
      </c>
      <c r="M384" s="65">
        <v>1</v>
      </c>
      <c r="N384" s="66">
        <v>0</v>
      </c>
      <c r="O384" s="66">
        <v>0</v>
      </c>
    </row>
    <row r="385" ht="8.75" customHeight="1" hidden="1">
      <c r="I385" s="62"/>
      <c r="J385" s="63"/>
      <c r="K385" s="63"/>
      <c r="L385" t="s" s="64">
        <v>2672</v>
      </c>
      <c r="M385" s="65">
        <v>1</v>
      </c>
      <c r="N385" s="66">
        <v>0</v>
      </c>
      <c r="O385" s="66">
        <v>0</v>
      </c>
    </row>
    <row r="386" ht="8.75" customHeight="1" hidden="1">
      <c r="I386" s="62"/>
      <c r="J386" s="63"/>
      <c r="K386" s="63"/>
      <c r="L386" t="s" s="64">
        <v>2125</v>
      </c>
      <c r="M386" s="65">
        <v>1</v>
      </c>
      <c r="N386" s="66">
        <v>0</v>
      </c>
      <c r="O386" s="66">
        <v>0</v>
      </c>
    </row>
    <row r="387" ht="8.75" customHeight="1" hidden="1">
      <c r="I387" s="67"/>
      <c r="J387" s="68"/>
      <c r="K387" s="69">
        <v>45047</v>
      </c>
      <c r="L387" s="70"/>
      <c r="M387" s="71">
        <v>20</v>
      </c>
      <c r="N387" s="72">
        <v>0</v>
      </c>
      <c r="O387" s="72">
        <v>0</v>
      </c>
    </row>
    <row r="388" ht="8.75" customHeight="1" hidden="1">
      <c r="I388" s="67"/>
      <c r="J388" t="s" s="73">
        <v>5564</v>
      </c>
      <c r="K388" s="74"/>
      <c r="L388" s="70"/>
      <c r="M388" s="71">
        <v>20</v>
      </c>
      <c r="N388" s="72">
        <v>0</v>
      </c>
      <c r="O388" s="72">
        <v>0</v>
      </c>
    </row>
    <row r="389" ht="8.75" customHeight="1" hidden="1">
      <c r="I389" s="62"/>
      <c r="J389" s="63"/>
      <c r="K389" s="63"/>
      <c r="L389" t="s" s="64">
        <v>1186</v>
      </c>
      <c r="M389" s="65">
        <v>30</v>
      </c>
      <c r="N389" s="66">
        <v>0</v>
      </c>
      <c r="O389" s="66">
        <v>0</v>
      </c>
    </row>
    <row r="390" ht="8.75" customHeight="1" hidden="1">
      <c r="I390" s="62"/>
      <c r="J390" s="63"/>
      <c r="K390" s="63"/>
      <c r="L390" t="s" s="64">
        <v>1187</v>
      </c>
      <c r="M390" s="65">
        <v>30</v>
      </c>
      <c r="N390" s="66">
        <v>0</v>
      </c>
      <c r="O390" s="66">
        <v>0</v>
      </c>
    </row>
    <row r="391" ht="8.75" customHeight="1" hidden="1">
      <c r="I391" s="67"/>
      <c r="J391" s="68"/>
      <c r="K391" s="69">
        <v>45047</v>
      </c>
      <c r="L391" s="70"/>
      <c r="M391" s="71">
        <v>60</v>
      </c>
      <c r="N391" s="72">
        <v>0</v>
      </c>
      <c r="O391" s="72">
        <v>0</v>
      </c>
    </row>
    <row r="392" ht="8.75" customHeight="1" hidden="1">
      <c r="I392" s="67"/>
      <c r="J392" t="s" s="73">
        <v>5376</v>
      </c>
      <c r="K392" s="74"/>
      <c r="L392" s="70"/>
      <c r="M392" s="71">
        <v>60</v>
      </c>
      <c r="N392" s="72">
        <v>0</v>
      </c>
      <c r="O392" s="72">
        <v>0</v>
      </c>
    </row>
    <row r="393" ht="16.1" customHeight="1">
      <c r="I393" t="s" s="121">
        <v>210</v>
      </c>
      <c r="J393" s="122"/>
      <c r="K393" s="122"/>
      <c r="L393" s="123"/>
      <c r="M393" s="124">
        <v>80</v>
      </c>
      <c r="N393" s="141">
        <v>0</v>
      </c>
      <c r="O393" s="141">
        <v>0</v>
      </c>
    </row>
    <row r="394" ht="9" customHeight="1" hidden="1">
      <c r="I394" s="77"/>
      <c r="J394" s="78"/>
      <c r="K394" s="78"/>
      <c r="L394" t="s" s="79">
        <v>227</v>
      </c>
      <c r="M394" s="80">
        <v>4</v>
      </c>
      <c r="N394" s="81">
        <v>29.99</v>
      </c>
      <c r="O394" s="81">
        <v>59.98</v>
      </c>
    </row>
    <row r="395" ht="9" customHeight="1" hidden="1">
      <c r="I395" s="77"/>
      <c r="J395" s="78"/>
      <c r="K395" s="78"/>
      <c r="L395" t="s" s="79">
        <v>225</v>
      </c>
      <c r="M395" s="80">
        <v>2</v>
      </c>
      <c r="N395" s="81">
        <v>499.99</v>
      </c>
      <c r="O395" s="81">
        <v>999.98</v>
      </c>
    </row>
    <row r="396" ht="9" customHeight="1" hidden="1">
      <c r="I396" s="77"/>
      <c r="J396" s="78"/>
      <c r="K396" s="78"/>
      <c r="L396" t="s" s="79">
        <v>23</v>
      </c>
      <c r="M396" s="80">
        <v>2</v>
      </c>
      <c r="N396" s="81">
        <v>149.99</v>
      </c>
      <c r="O396" s="81">
        <v>299.98</v>
      </c>
    </row>
    <row r="397" ht="9" customHeight="1" hidden="1">
      <c r="I397" s="82"/>
      <c r="J397" s="83"/>
      <c r="K397" s="84">
        <v>45047</v>
      </c>
      <c r="L397" s="85"/>
      <c r="M397" s="28">
        <v>8</v>
      </c>
      <c r="N397" s="29">
        <v>679.97</v>
      </c>
      <c r="O397" s="29">
        <v>1359.94</v>
      </c>
    </row>
    <row r="398" ht="9" customHeight="1" hidden="1">
      <c r="I398" s="82"/>
      <c r="J398" t="s" s="86">
        <v>5428</v>
      </c>
      <c r="K398" s="87"/>
      <c r="L398" s="85"/>
      <c r="M398" s="28">
        <v>8</v>
      </c>
      <c r="N398" s="29">
        <v>679.97</v>
      </c>
      <c r="O398" s="29">
        <v>1359.94</v>
      </c>
    </row>
    <row r="399" ht="16.1" customHeight="1">
      <c r="I399" t="s" s="126">
        <v>5429</v>
      </c>
      <c r="J399" s="127"/>
      <c r="K399" s="127"/>
      <c r="L399" s="128"/>
      <c r="M399" s="129">
        <v>8</v>
      </c>
      <c r="N399" s="142">
        <v>679.97</v>
      </c>
      <c r="O399" s="142">
        <v>1359.94</v>
      </c>
    </row>
    <row r="400" ht="9" customHeight="1" hidden="1">
      <c r="I400" s="77"/>
      <c r="J400" s="78"/>
      <c r="K400" s="78"/>
      <c r="L400" t="s" s="79">
        <v>31</v>
      </c>
      <c r="M400" s="80">
        <v>1</v>
      </c>
      <c r="N400" s="81">
        <v>574.99</v>
      </c>
      <c r="O400" s="81">
        <v>574.99</v>
      </c>
    </row>
    <row r="401" ht="9" customHeight="1" hidden="1">
      <c r="I401" s="82"/>
      <c r="J401" s="83"/>
      <c r="K401" s="84">
        <v>45047</v>
      </c>
      <c r="L401" s="85"/>
      <c r="M401" s="28">
        <v>1</v>
      </c>
      <c r="N401" s="29">
        <v>574.99</v>
      </c>
      <c r="O401" s="29">
        <v>574.99</v>
      </c>
    </row>
    <row r="402" ht="9" customHeight="1" hidden="1">
      <c r="I402" s="82"/>
      <c r="J402" t="s" s="86">
        <v>5330</v>
      </c>
      <c r="K402" s="87"/>
      <c r="L402" s="85"/>
      <c r="M402" s="28">
        <v>1</v>
      </c>
      <c r="N402" s="29">
        <v>574.99</v>
      </c>
      <c r="O402" s="29">
        <v>574.99</v>
      </c>
    </row>
    <row r="403" ht="16.1" customHeight="1">
      <c r="I403" t="s" s="126">
        <v>5331</v>
      </c>
      <c r="J403" s="127"/>
      <c r="K403" s="127"/>
      <c r="L403" s="128"/>
      <c r="M403" s="129">
        <v>1</v>
      </c>
      <c r="N403" s="142">
        <v>574.99</v>
      </c>
      <c r="O403" s="142">
        <v>574.99</v>
      </c>
    </row>
    <row r="404" ht="9" customHeight="1" hidden="1">
      <c r="I404" s="77"/>
      <c r="J404" s="78"/>
      <c r="K404" s="78"/>
      <c r="L404" t="s" s="79">
        <v>59</v>
      </c>
      <c r="M404" s="80">
        <v>1</v>
      </c>
      <c r="N404" s="81">
        <v>899.9924999999999</v>
      </c>
      <c r="O404" s="81">
        <v>899.9924999999999</v>
      </c>
    </row>
    <row r="405" ht="9" customHeight="1" hidden="1">
      <c r="I405" s="77"/>
      <c r="J405" s="78"/>
      <c r="K405" s="78"/>
      <c r="L405" t="s" s="79">
        <v>63</v>
      </c>
      <c r="M405" s="80">
        <v>1</v>
      </c>
      <c r="N405" s="81">
        <v>15</v>
      </c>
      <c r="O405" s="81">
        <v>15</v>
      </c>
    </row>
    <row r="406" ht="9" customHeight="1" hidden="1">
      <c r="I406" s="82"/>
      <c r="J406" s="83"/>
      <c r="K406" s="84">
        <v>45047</v>
      </c>
      <c r="L406" s="85"/>
      <c r="M406" s="28">
        <v>2</v>
      </c>
      <c r="N406" s="29">
        <v>914.9924999999999</v>
      </c>
      <c r="O406" s="29">
        <v>914.9924999999999</v>
      </c>
    </row>
    <row r="407" ht="9" customHeight="1" hidden="1">
      <c r="I407" s="82"/>
      <c r="J407" t="s" s="86">
        <v>5543</v>
      </c>
      <c r="K407" s="87"/>
      <c r="L407" s="85"/>
      <c r="M407" s="28">
        <v>2</v>
      </c>
      <c r="N407" s="29">
        <v>914.9924999999999</v>
      </c>
      <c r="O407" s="29">
        <v>914.9924999999999</v>
      </c>
    </row>
    <row r="408" ht="16.1" customHeight="1">
      <c r="I408" t="s" s="126">
        <v>1110</v>
      </c>
      <c r="J408" s="127"/>
      <c r="K408" s="127"/>
      <c r="L408" s="128"/>
      <c r="M408" s="129">
        <v>2</v>
      </c>
      <c r="N408" s="142">
        <v>914.9924999999999</v>
      </c>
      <c r="O408" s="142">
        <v>914.9924999999999</v>
      </c>
    </row>
    <row r="409" ht="9" customHeight="1" hidden="1">
      <c r="I409" s="77"/>
      <c r="J409" s="78"/>
      <c r="K409" s="78"/>
      <c r="L409" t="s" s="79">
        <v>89</v>
      </c>
      <c r="M409" s="80">
        <v>1</v>
      </c>
      <c r="N409" s="81">
        <v>59.99</v>
      </c>
      <c r="O409" s="81">
        <v>59.99</v>
      </c>
    </row>
    <row r="410" ht="9" customHeight="1" hidden="1">
      <c r="I410" s="77"/>
      <c r="J410" s="78"/>
      <c r="K410" s="78"/>
      <c r="L410" t="s" s="79">
        <v>95</v>
      </c>
      <c r="M410" s="80">
        <v>1</v>
      </c>
      <c r="N410" s="81">
        <v>349.99</v>
      </c>
      <c r="O410" s="81">
        <v>349.99</v>
      </c>
    </row>
    <row r="411" ht="9" customHeight="1" hidden="1">
      <c r="I411" s="82"/>
      <c r="J411" s="83"/>
      <c r="K411" s="84">
        <v>45047</v>
      </c>
      <c r="L411" s="85"/>
      <c r="M411" s="28">
        <v>2</v>
      </c>
      <c r="N411" s="29">
        <v>409.98</v>
      </c>
      <c r="O411" s="29">
        <v>409.98</v>
      </c>
    </row>
    <row r="412" ht="9" customHeight="1" hidden="1">
      <c r="I412" s="82"/>
      <c r="J412" t="s" s="86">
        <v>5419</v>
      </c>
      <c r="K412" s="87"/>
      <c r="L412" s="85"/>
      <c r="M412" s="28">
        <v>2</v>
      </c>
      <c r="N412" s="29">
        <v>409.98</v>
      </c>
      <c r="O412" s="29">
        <v>409.98</v>
      </c>
    </row>
    <row r="413" ht="16.1" customHeight="1">
      <c r="I413" t="s" s="126">
        <v>5420</v>
      </c>
      <c r="J413" s="127"/>
      <c r="K413" s="127"/>
      <c r="L413" s="128"/>
      <c r="M413" s="129">
        <v>2</v>
      </c>
      <c r="N413" s="142">
        <v>409.98</v>
      </c>
      <c r="O413" s="142">
        <v>409.98</v>
      </c>
    </row>
    <row r="414" ht="9" customHeight="1" hidden="1">
      <c r="I414" s="77"/>
      <c r="J414" s="78"/>
      <c r="K414" s="78"/>
      <c r="L414" t="s" s="79">
        <v>54</v>
      </c>
      <c r="M414" s="80">
        <v>2</v>
      </c>
      <c r="N414" s="81">
        <v>9.99</v>
      </c>
      <c r="O414" s="81">
        <v>19.98</v>
      </c>
    </row>
    <row r="415" ht="9" customHeight="1" hidden="1">
      <c r="I415" s="82"/>
      <c r="J415" s="83"/>
      <c r="K415" s="84">
        <v>45047</v>
      </c>
      <c r="L415" s="85"/>
      <c r="M415" s="28">
        <v>2</v>
      </c>
      <c r="N415" s="29">
        <v>9.99</v>
      </c>
      <c r="O415" s="29">
        <v>19.98</v>
      </c>
    </row>
    <row r="416" ht="9" customHeight="1" hidden="1">
      <c r="I416" s="82"/>
      <c r="J416" t="s" s="86">
        <v>5406</v>
      </c>
      <c r="K416" s="87"/>
      <c r="L416" s="85"/>
      <c r="M416" s="28">
        <v>2</v>
      </c>
      <c r="N416" s="29">
        <v>9.99</v>
      </c>
      <c r="O416" s="29">
        <v>19.98</v>
      </c>
    </row>
    <row r="417" ht="16.1" customHeight="1">
      <c r="I417" t="s" s="126">
        <v>5407</v>
      </c>
      <c r="J417" s="127"/>
      <c r="K417" s="127"/>
      <c r="L417" s="128"/>
      <c r="M417" s="129">
        <v>2</v>
      </c>
      <c r="N417" s="142">
        <v>9.99</v>
      </c>
      <c r="O417" s="142">
        <v>19.98</v>
      </c>
    </row>
    <row r="418" ht="9" customHeight="1" hidden="1">
      <c r="I418" s="77"/>
      <c r="J418" s="78"/>
      <c r="K418" s="78"/>
      <c r="L418" t="s" s="79">
        <v>11</v>
      </c>
      <c r="M418" s="80">
        <v>1</v>
      </c>
      <c r="N418" s="81">
        <v>399.99</v>
      </c>
      <c r="O418" s="81">
        <v>399.99</v>
      </c>
    </row>
    <row r="419" ht="9" customHeight="1" hidden="1">
      <c r="I419" s="82"/>
      <c r="J419" s="83"/>
      <c r="K419" s="84">
        <v>45047</v>
      </c>
      <c r="L419" s="85"/>
      <c r="M419" s="28">
        <v>1</v>
      </c>
      <c r="N419" s="29">
        <v>399.99</v>
      </c>
      <c r="O419" s="29">
        <v>399.99</v>
      </c>
    </row>
    <row r="420" ht="9" customHeight="1" hidden="1">
      <c r="I420" s="82"/>
      <c r="J420" t="s" s="86">
        <v>5399</v>
      </c>
      <c r="K420" s="87"/>
      <c r="L420" s="85"/>
      <c r="M420" s="28">
        <v>1</v>
      </c>
      <c r="N420" s="29">
        <v>399.99</v>
      </c>
      <c r="O420" s="29">
        <v>399.99</v>
      </c>
    </row>
    <row r="421" ht="16.1" customHeight="1">
      <c r="I421" t="s" s="126">
        <v>5400</v>
      </c>
      <c r="J421" s="127"/>
      <c r="K421" s="127"/>
      <c r="L421" s="128"/>
      <c r="M421" s="129">
        <v>1</v>
      </c>
      <c r="N421" s="142">
        <v>399.99</v>
      </c>
      <c r="O421" s="142">
        <v>399.99</v>
      </c>
    </row>
    <row r="422" ht="9" customHeight="1" hidden="1">
      <c r="I422" s="77"/>
      <c r="J422" s="78"/>
      <c r="K422" s="78"/>
      <c r="L422" t="s" s="79">
        <v>1695</v>
      </c>
      <c r="M422" s="80">
        <v>4</v>
      </c>
      <c r="N422" s="81">
        <v>49.99</v>
      </c>
      <c r="O422" s="81">
        <v>199.96</v>
      </c>
    </row>
    <row r="423" ht="9" customHeight="1" hidden="1">
      <c r="I423" s="77"/>
      <c r="J423" s="78"/>
      <c r="K423" s="78"/>
      <c r="L423" t="s" s="79">
        <v>73</v>
      </c>
      <c r="M423" s="80">
        <v>1</v>
      </c>
      <c r="N423" s="81">
        <v>399.99</v>
      </c>
      <c r="O423" s="81">
        <v>399.99</v>
      </c>
    </row>
    <row r="424" ht="9" customHeight="1" hidden="1">
      <c r="I424" s="77"/>
      <c r="J424" s="78"/>
      <c r="K424" s="78"/>
      <c r="L424" t="s" s="79">
        <v>15</v>
      </c>
      <c r="M424" s="80">
        <v>4</v>
      </c>
      <c r="N424" s="81">
        <v>8.99</v>
      </c>
      <c r="O424" s="81">
        <v>35.96</v>
      </c>
    </row>
    <row r="425" ht="9" customHeight="1" hidden="1">
      <c r="I425" s="82"/>
      <c r="J425" s="83"/>
      <c r="K425" s="84">
        <v>45047</v>
      </c>
      <c r="L425" s="85"/>
      <c r="M425" s="28">
        <v>9</v>
      </c>
      <c r="N425" s="29">
        <v>458.97</v>
      </c>
      <c r="O425" s="29">
        <v>635.91</v>
      </c>
    </row>
    <row r="426" ht="9" customHeight="1" hidden="1">
      <c r="I426" s="82"/>
      <c r="J426" t="s" s="86">
        <v>5589</v>
      </c>
      <c r="K426" s="87"/>
      <c r="L426" s="85"/>
      <c r="M426" s="28">
        <v>9</v>
      </c>
      <c r="N426" s="29">
        <v>458.97</v>
      </c>
      <c r="O426" s="29">
        <v>635.91</v>
      </c>
    </row>
    <row r="427" ht="16.1" customHeight="1">
      <c r="I427" t="s" s="126">
        <v>5590</v>
      </c>
      <c r="J427" s="127"/>
      <c r="K427" s="127"/>
      <c r="L427" s="128"/>
      <c r="M427" s="129">
        <v>9</v>
      </c>
      <c r="N427" s="142">
        <v>458.97</v>
      </c>
      <c r="O427" s="142">
        <v>635.91</v>
      </c>
    </row>
    <row r="428" ht="9" customHeight="1" hidden="1">
      <c r="I428" s="77"/>
      <c r="J428" s="78"/>
      <c r="K428" s="78"/>
      <c r="L428" t="s" s="79">
        <v>1695</v>
      </c>
      <c r="M428" s="80">
        <v>1</v>
      </c>
      <c r="N428" s="81">
        <v>49.99</v>
      </c>
      <c r="O428" s="81">
        <v>49.99</v>
      </c>
    </row>
    <row r="429" ht="9" customHeight="1" hidden="1">
      <c r="I429" s="77"/>
      <c r="J429" s="78"/>
      <c r="K429" s="78"/>
      <c r="L429" t="s" s="79">
        <v>15</v>
      </c>
      <c r="M429" s="80">
        <v>1</v>
      </c>
      <c r="N429" s="81">
        <v>8.99</v>
      </c>
      <c r="O429" s="81">
        <v>8.99</v>
      </c>
    </row>
    <row r="430" ht="9" customHeight="1" hidden="1">
      <c r="I430" s="82"/>
      <c r="J430" s="83"/>
      <c r="K430" s="84">
        <v>45047</v>
      </c>
      <c r="L430" s="85"/>
      <c r="M430" s="28">
        <v>2</v>
      </c>
      <c r="N430" s="29">
        <v>58.98</v>
      </c>
      <c r="O430" s="29">
        <v>58.98</v>
      </c>
    </row>
    <row r="431" ht="9" customHeight="1" hidden="1">
      <c r="I431" s="82"/>
      <c r="J431" t="s" s="86">
        <v>5554</v>
      </c>
      <c r="K431" s="87"/>
      <c r="L431" s="85"/>
      <c r="M431" s="28">
        <v>2</v>
      </c>
      <c r="N431" s="29">
        <v>58.98</v>
      </c>
      <c r="O431" s="29">
        <v>58.98</v>
      </c>
    </row>
    <row r="432" ht="16.1" customHeight="1">
      <c r="I432" t="s" s="126">
        <v>5555</v>
      </c>
      <c r="J432" s="127"/>
      <c r="K432" s="127"/>
      <c r="L432" s="128"/>
      <c r="M432" s="129">
        <v>2</v>
      </c>
      <c r="N432" s="142">
        <v>58.98</v>
      </c>
      <c r="O432" s="142">
        <v>58.98</v>
      </c>
    </row>
    <row r="433" ht="9" customHeight="1" hidden="1">
      <c r="I433" s="77"/>
      <c r="J433" s="78"/>
      <c r="K433" s="78"/>
      <c r="L433" t="s" s="79">
        <v>470</v>
      </c>
      <c r="M433" s="80">
        <v>1</v>
      </c>
      <c r="N433" s="81">
        <v>249.99</v>
      </c>
      <c r="O433" s="81">
        <v>249.99</v>
      </c>
    </row>
    <row r="434" ht="9" customHeight="1" hidden="1">
      <c r="I434" s="82"/>
      <c r="J434" s="83"/>
      <c r="K434" s="84">
        <v>45047</v>
      </c>
      <c r="L434" s="85"/>
      <c r="M434" s="28">
        <v>1</v>
      </c>
      <c r="N434" s="29">
        <v>249.99</v>
      </c>
      <c r="O434" s="29">
        <v>249.99</v>
      </c>
    </row>
    <row r="435" ht="9" customHeight="1" hidden="1">
      <c r="I435" s="82"/>
      <c r="J435" t="s" s="86">
        <v>5549</v>
      </c>
      <c r="K435" s="87"/>
      <c r="L435" s="85"/>
      <c r="M435" s="28">
        <v>1</v>
      </c>
      <c r="N435" s="29">
        <v>249.99</v>
      </c>
      <c r="O435" s="29">
        <v>249.99</v>
      </c>
    </row>
    <row r="436" ht="16.1" customHeight="1">
      <c r="I436" t="s" s="126">
        <v>4679</v>
      </c>
      <c r="J436" s="127"/>
      <c r="K436" s="127"/>
      <c r="L436" s="128"/>
      <c r="M436" s="129">
        <v>1</v>
      </c>
      <c r="N436" s="142">
        <v>249.99</v>
      </c>
      <c r="O436" s="142">
        <v>249.99</v>
      </c>
    </row>
    <row r="437" ht="9" customHeight="1" hidden="1">
      <c r="I437" s="77"/>
      <c r="J437" s="78"/>
      <c r="K437" s="78"/>
      <c r="L437" t="s" s="79">
        <v>23</v>
      </c>
      <c r="M437" s="80">
        <v>1</v>
      </c>
      <c r="N437" s="81">
        <v>149.99</v>
      </c>
      <c r="O437" s="81">
        <v>149.99</v>
      </c>
    </row>
    <row r="438" ht="9" customHeight="1" hidden="1">
      <c r="I438" s="82"/>
      <c r="J438" s="83"/>
      <c r="K438" s="84">
        <v>45047</v>
      </c>
      <c r="L438" s="85"/>
      <c r="M438" s="28">
        <v>1</v>
      </c>
      <c r="N438" s="29">
        <v>149.99</v>
      </c>
      <c r="O438" s="29">
        <v>149.99</v>
      </c>
    </row>
    <row r="439" ht="9" customHeight="1" hidden="1">
      <c r="I439" s="82"/>
      <c r="J439" t="s" s="86">
        <v>5351</v>
      </c>
      <c r="K439" s="87"/>
      <c r="L439" s="85"/>
      <c r="M439" s="28">
        <v>1</v>
      </c>
      <c r="N439" s="29">
        <v>149.99</v>
      </c>
      <c r="O439" s="29">
        <v>149.99</v>
      </c>
    </row>
    <row r="440" ht="16.1" customHeight="1">
      <c r="I440" t="s" s="126">
        <v>5352</v>
      </c>
      <c r="J440" s="127"/>
      <c r="K440" s="127"/>
      <c r="L440" s="128"/>
      <c r="M440" s="129">
        <v>1</v>
      </c>
      <c r="N440" s="142">
        <v>149.99</v>
      </c>
      <c r="O440" s="142">
        <v>149.99</v>
      </c>
    </row>
    <row r="441" ht="9" customHeight="1" hidden="1">
      <c r="I441" s="77"/>
      <c r="J441" s="78"/>
      <c r="K441" s="78"/>
      <c r="L441" t="s" s="79">
        <v>1695</v>
      </c>
      <c r="M441" s="80">
        <v>2</v>
      </c>
      <c r="N441" s="81">
        <v>49.99</v>
      </c>
      <c r="O441" s="81">
        <v>99.98</v>
      </c>
    </row>
    <row r="442" ht="9" customHeight="1" hidden="1">
      <c r="I442" s="77"/>
      <c r="J442" s="78"/>
      <c r="K442" s="78"/>
      <c r="L442" t="s" s="79">
        <v>15</v>
      </c>
      <c r="M442" s="80">
        <v>2</v>
      </c>
      <c r="N442" s="81">
        <v>8.99</v>
      </c>
      <c r="O442" s="81">
        <v>17.98</v>
      </c>
    </row>
    <row r="443" ht="9" customHeight="1" hidden="1">
      <c r="I443" s="82"/>
      <c r="J443" s="83"/>
      <c r="K443" s="84">
        <v>45047</v>
      </c>
      <c r="L443" s="85"/>
      <c r="M443" s="28">
        <v>4</v>
      </c>
      <c r="N443" s="29">
        <v>58.98</v>
      </c>
      <c r="O443" s="29">
        <v>117.96</v>
      </c>
    </row>
    <row r="444" ht="9" customHeight="1" hidden="1">
      <c r="I444" s="82"/>
      <c r="J444" t="s" s="86">
        <v>5571</v>
      </c>
      <c r="K444" s="87"/>
      <c r="L444" s="85"/>
      <c r="M444" s="28">
        <v>4</v>
      </c>
      <c r="N444" s="29">
        <v>58.98</v>
      </c>
      <c r="O444" s="29">
        <v>117.96</v>
      </c>
    </row>
    <row r="445" ht="16.1" customHeight="1">
      <c r="I445" t="s" s="126">
        <v>5572</v>
      </c>
      <c r="J445" s="127"/>
      <c r="K445" s="127"/>
      <c r="L445" s="128"/>
      <c r="M445" s="129">
        <v>4</v>
      </c>
      <c r="N445" s="142">
        <v>58.98</v>
      </c>
      <c r="O445" s="142">
        <v>117.96</v>
      </c>
    </row>
    <row r="446" ht="9" customHeight="1" hidden="1">
      <c r="I446" s="77"/>
      <c r="J446" s="78"/>
      <c r="K446" s="78"/>
      <c r="L446" t="s" s="79">
        <v>31</v>
      </c>
      <c r="M446" s="80">
        <v>1</v>
      </c>
      <c r="N446" s="81">
        <v>599.99</v>
      </c>
      <c r="O446" s="81">
        <v>599.99</v>
      </c>
    </row>
    <row r="447" ht="9" customHeight="1" hidden="1">
      <c r="I447" s="82"/>
      <c r="J447" s="83"/>
      <c r="K447" s="84">
        <v>45047</v>
      </c>
      <c r="L447" s="85"/>
      <c r="M447" s="28">
        <v>1</v>
      </c>
      <c r="N447" s="29">
        <v>599.99</v>
      </c>
      <c r="O447" s="29">
        <v>599.99</v>
      </c>
    </row>
    <row r="448" ht="9" customHeight="1" hidden="1">
      <c r="I448" s="82"/>
      <c r="J448" t="s" s="86">
        <v>5560</v>
      </c>
      <c r="K448" s="87"/>
      <c r="L448" s="85"/>
      <c r="M448" s="28">
        <v>1</v>
      </c>
      <c r="N448" s="29">
        <v>599.99</v>
      </c>
      <c r="O448" s="29">
        <v>599.99</v>
      </c>
    </row>
    <row r="449" ht="9" customHeight="1" hidden="1">
      <c r="I449" s="77"/>
      <c r="J449" s="78"/>
      <c r="K449" s="78"/>
      <c r="L449" t="s" s="79">
        <v>19</v>
      </c>
      <c r="M449" s="80">
        <v>1</v>
      </c>
      <c r="N449" s="81">
        <v>119.99</v>
      </c>
      <c r="O449" s="81">
        <v>119.99</v>
      </c>
    </row>
    <row r="450" ht="9" customHeight="1" hidden="1">
      <c r="I450" s="77"/>
      <c r="J450" s="78"/>
      <c r="K450" s="78"/>
      <c r="L450" t="s" s="79">
        <v>133</v>
      </c>
      <c r="M450" s="80">
        <v>1</v>
      </c>
      <c r="N450" s="81">
        <v>199.99</v>
      </c>
      <c r="O450" s="81">
        <v>199.99</v>
      </c>
    </row>
    <row r="451" ht="9" customHeight="1" hidden="1">
      <c r="I451" s="77"/>
      <c r="J451" s="78"/>
      <c r="K451" s="78"/>
      <c r="L451" t="s" s="79">
        <v>15</v>
      </c>
      <c r="M451" s="80">
        <v>6</v>
      </c>
      <c r="N451" s="81">
        <v>17.98</v>
      </c>
      <c r="O451" s="81">
        <v>53.94</v>
      </c>
    </row>
    <row r="452" ht="9" customHeight="1" hidden="1">
      <c r="I452" s="82"/>
      <c r="J452" s="83"/>
      <c r="K452" s="84">
        <v>45047</v>
      </c>
      <c r="L452" s="85"/>
      <c r="M452" s="28">
        <v>8</v>
      </c>
      <c r="N452" s="29">
        <v>337.96</v>
      </c>
      <c r="O452" s="29">
        <v>373.92</v>
      </c>
    </row>
    <row r="453" ht="9" customHeight="1" hidden="1">
      <c r="I453" s="82"/>
      <c r="J453" t="s" s="86">
        <v>5557</v>
      </c>
      <c r="K453" s="87"/>
      <c r="L453" s="85"/>
      <c r="M453" s="28">
        <v>8</v>
      </c>
      <c r="N453" s="29">
        <v>337.96</v>
      </c>
      <c r="O453" s="29">
        <v>373.92</v>
      </c>
    </row>
    <row r="454" ht="9" customHeight="1" hidden="1">
      <c r="I454" s="77"/>
      <c r="J454" s="78"/>
      <c r="K454" s="78"/>
      <c r="L454" t="s" s="79">
        <v>171</v>
      </c>
      <c r="M454" s="80">
        <v>1</v>
      </c>
      <c r="N454" s="81">
        <v>549.99</v>
      </c>
      <c r="O454" s="81">
        <v>549.99</v>
      </c>
    </row>
    <row r="455" ht="9" customHeight="1" hidden="1">
      <c r="I455" s="82"/>
      <c r="J455" s="83"/>
      <c r="K455" s="84">
        <v>45047</v>
      </c>
      <c r="L455" s="85"/>
      <c r="M455" s="28">
        <v>1</v>
      </c>
      <c r="N455" s="29">
        <v>549.99</v>
      </c>
      <c r="O455" s="29">
        <v>549.99</v>
      </c>
    </row>
    <row r="456" ht="9" customHeight="1" hidden="1">
      <c r="I456" s="82"/>
      <c r="J456" t="s" s="86">
        <v>5501</v>
      </c>
      <c r="K456" s="87"/>
      <c r="L456" s="85"/>
      <c r="M456" s="28">
        <v>1</v>
      </c>
      <c r="N456" s="29">
        <v>549.99</v>
      </c>
      <c r="O456" s="29">
        <v>549.99</v>
      </c>
    </row>
    <row r="457" ht="9" customHeight="1" hidden="1">
      <c r="I457" s="77"/>
      <c r="J457" s="78"/>
      <c r="K457" s="78"/>
      <c r="L457" t="s" s="79">
        <v>1961</v>
      </c>
      <c r="M457" s="80">
        <v>1</v>
      </c>
      <c r="N457" s="81">
        <v>109.99</v>
      </c>
      <c r="O457" s="81">
        <v>109.99</v>
      </c>
    </row>
    <row r="458" ht="9" customHeight="1" hidden="1">
      <c r="I458" s="82"/>
      <c r="J458" s="83"/>
      <c r="K458" s="84">
        <v>45047</v>
      </c>
      <c r="L458" s="85"/>
      <c r="M458" s="28">
        <v>1</v>
      </c>
      <c r="N458" s="29">
        <v>109.99</v>
      </c>
      <c r="O458" s="29">
        <v>109.99</v>
      </c>
    </row>
    <row r="459" ht="9" customHeight="1" hidden="1">
      <c r="I459" s="82"/>
      <c r="J459" t="s" s="86">
        <v>5439</v>
      </c>
      <c r="K459" s="87"/>
      <c r="L459" s="85"/>
      <c r="M459" s="28">
        <v>1</v>
      </c>
      <c r="N459" s="29">
        <v>109.99</v>
      </c>
      <c r="O459" s="29">
        <v>109.99</v>
      </c>
    </row>
    <row r="460" ht="16.1" customHeight="1">
      <c r="I460" t="s" s="126">
        <v>5440</v>
      </c>
      <c r="J460" s="127"/>
      <c r="K460" s="127"/>
      <c r="L460" s="128"/>
      <c r="M460" s="129">
        <v>11</v>
      </c>
      <c r="N460" s="142">
        <v>1597.93</v>
      </c>
      <c r="O460" s="142">
        <v>1633.89</v>
      </c>
    </row>
    <row r="461" ht="9" customHeight="1" hidden="1">
      <c r="I461" s="77"/>
      <c r="J461" s="78"/>
      <c r="K461" s="78"/>
      <c r="L461" t="s" s="79">
        <v>602</v>
      </c>
      <c r="M461" s="80">
        <v>2</v>
      </c>
      <c r="N461" s="81">
        <v>299.99</v>
      </c>
      <c r="O461" s="81">
        <v>599.98</v>
      </c>
    </row>
    <row r="462" ht="9" customHeight="1" hidden="1">
      <c r="I462" s="77"/>
      <c r="J462" s="78"/>
      <c r="K462" s="78"/>
      <c r="L462" t="s" s="79">
        <v>89</v>
      </c>
      <c r="M462" s="80">
        <v>4</v>
      </c>
      <c r="N462" s="81">
        <v>59.99</v>
      </c>
      <c r="O462" s="81">
        <v>239.96</v>
      </c>
    </row>
    <row r="463" ht="9" customHeight="1" hidden="1">
      <c r="I463" s="77"/>
      <c r="J463" s="78"/>
      <c r="K463" s="78"/>
      <c r="L463" t="s" s="79">
        <v>73</v>
      </c>
      <c r="M463" s="80">
        <v>1</v>
      </c>
      <c r="N463" s="81">
        <v>399.99</v>
      </c>
      <c r="O463" s="81">
        <v>399.99</v>
      </c>
    </row>
    <row r="464" ht="9" customHeight="1" hidden="1">
      <c r="I464" s="82"/>
      <c r="J464" s="83"/>
      <c r="K464" s="84">
        <v>45047</v>
      </c>
      <c r="L464" s="85"/>
      <c r="M464" s="28">
        <v>7</v>
      </c>
      <c r="N464" s="29">
        <v>759.97</v>
      </c>
      <c r="O464" s="29">
        <v>1239.93</v>
      </c>
    </row>
    <row r="465" ht="9" customHeight="1" hidden="1">
      <c r="I465" s="82"/>
      <c r="J465" t="s" s="86">
        <v>5395</v>
      </c>
      <c r="K465" s="87"/>
      <c r="L465" s="85"/>
      <c r="M465" s="28">
        <v>7</v>
      </c>
      <c r="N465" s="29">
        <v>759.97</v>
      </c>
      <c r="O465" s="29">
        <v>1239.93</v>
      </c>
    </row>
    <row r="466" ht="16.1" customHeight="1">
      <c r="I466" t="s" s="126">
        <v>5396</v>
      </c>
      <c r="J466" s="127"/>
      <c r="K466" s="127"/>
      <c r="L466" s="128"/>
      <c r="M466" s="129">
        <v>7</v>
      </c>
      <c r="N466" s="142">
        <v>759.97</v>
      </c>
      <c r="O466" s="142">
        <v>1239.93</v>
      </c>
    </row>
    <row r="467" ht="9" customHeight="1" hidden="1">
      <c r="I467" s="77"/>
      <c r="J467" s="78"/>
      <c r="K467" s="78"/>
      <c r="L467" t="s" s="79">
        <v>165</v>
      </c>
      <c r="M467" s="80">
        <v>4</v>
      </c>
      <c r="N467" s="81">
        <v>0</v>
      </c>
      <c r="O467" s="81">
        <v>0</v>
      </c>
    </row>
    <row r="468" ht="9" customHeight="1" hidden="1">
      <c r="I468" s="77"/>
      <c r="J468" s="78"/>
      <c r="K468" s="78"/>
      <c r="L468" t="s" s="79">
        <v>369</v>
      </c>
      <c r="M468" s="80">
        <v>4</v>
      </c>
      <c r="N468" s="81">
        <v>9.7425</v>
      </c>
      <c r="O468" s="81">
        <v>38.97</v>
      </c>
    </row>
    <row r="469" ht="9" customHeight="1" hidden="1">
      <c r="I469" s="77"/>
      <c r="J469" s="78"/>
      <c r="K469" s="78"/>
      <c r="L469" t="s" s="79">
        <v>589</v>
      </c>
      <c r="M469" s="80">
        <v>4</v>
      </c>
      <c r="N469" s="81">
        <v>5.6175</v>
      </c>
      <c r="O469" s="81">
        <v>22.47</v>
      </c>
    </row>
    <row r="470" ht="9" customHeight="1" hidden="1">
      <c r="I470" s="77"/>
      <c r="J470" s="78"/>
      <c r="K470" s="78"/>
      <c r="L470" t="s" s="79">
        <v>345</v>
      </c>
      <c r="M470" s="80">
        <v>8</v>
      </c>
      <c r="N470" s="81">
        <v>164.9925</v>
      </c>
      <c r="O470" s="81">
        <v>1319.94</v>
      </c>
    </row>
    <row r="471" ht="9" customHeight="1" hidden="1">
      <c r="I471" s="77"/>
      <c r="J471" s="78"/>
      <c r="K471" s="78"/>
      <c r="L471" t="s" s="79">
        <v>4870</v>
      </c>
      <c r="M471" s="80">
        <v>4</v>
      </c>
      <c r="N471" s="81">
        <v>374.9925</v>
      </c>
      <c r="O471" s="81">
        <v>1499.97</v>
      </c>
    </row>
    <row r="472" ht="9" customHeight="1" hidden="1">
      <c r="I472" s="77"/>
      <c r="J472" s="78"/>
      <c r="K472" s="78"/>
      <c r="L472" t="s" s="79">
        <v>35</v>
      </c>
      <c r="M472" s="80">
        <v>8</v>
      </c>
      <c r="N472" s="81">
        <v>37.4925</v>
      </c>
      <c r="O472" s="81">
        <v>299.94</v>
      </c>
    </row>
    <row r="473" ht="9" customHeight="1" hidden="1">
      <c r="I473" s="77"/>
      <c r="J473" s="78"/>
      <c r="K473" s="78"/>
      <c r="L473" t="s" s="79">
        <v>89</v>
      </c>
      <c r="M473" s="80">
        <v>8</v>
      </c>
      <c r="N473" s="81">
        <v>44.9925</v>
      </c>
      <c r="O473" s="81">
        <v>359.94</v>
      </c>
    </row>
    <row r="474" ht="9" customHeight="1" hidden="1">
      <c r="I474" s="77"/>
      <c r="J474" s="78"/>
      <c r="K474" s="78"/>
      <c r="L474" t="s" s="79">
        <v>143</v>
      </c>
      <c r="M474" s="80">
        <v>2</v>
      </c>
      <c r="N474" s="81">
        <v>2399.9925</v>
      </c>
      <c r="O474" s="81">
        <v>4799.985</v>
      </c>
    </row>
    <row r="475" ht="9" customHeight="1" hidden="1">
      <c r="I475" s="77"/>
      <c r="J475" s="78"/>
      <c r="K475" s="78"/>
      <c r="L475" t="s" s="79">
        <v>59</v>
      </c>
      <c r="M475" s="80">
        <v>2</v>
      </c>
      <c r="N475" s="81">
        <v>899.9924999999999</v>
      </c>
      <c r="O475" s="81">
        <v>1799.985</v>
      </c>
    </row>
    <row r="476" ht="9" customHeight="1" hidden="1">
      <c r="I476" s="77"/>
      <c r="J476" s="78"/>
      <c r="K476" s="78"/>
      <c r="L476" t="s" s="79">
        <v>4955</v>
      </c>
      <c r="M476" s="80">
        <v>8</v>
      </c>
      <c r="N476" s="81">
        <v>164.9925</v>
      </c>
      <c r="O476" s="81">
        <v>1319.94</v>
      </c>
    </row>
    <row r="477" ht="9" customHeight="1" hidden="1">
      <c r="I477" s="77"/>
      <c r="J477" s="78"/>
      <c r="K477" s="78"/>
      <c r="L477" t="s" s="79">
        <v>2125</v>
      </c>
      <c r="M477" s="80">
        <v>4</v>
      </c>
      <c r="N477" s="81">
        <v>0</v>
      </c>
      <c r="O477" s="81">
        <v>0</v>
      </c>
    </row>
    <row r="478" ht="9" customHeight="1" hidden="1">
      <c r="I478" s="82"/>
      <c r="J478" s="83"/>
      <c r="K478" s="84">
        <v>45047</v>
      </c>
      <c r="L478" s="85"/>
      <c r="M478" s="28">
        <v>56</v>
      </c>
      <c r="N478" s="29">
        <v>4102.8075</v>
      </c>
      <c r="O478" s="29">
        <v>11461.14</v>
      </c>
    </row>
    <row r="479" ht="9" customHeight="1" hidden="1">
      <c r="I479" s="82"/>
      <c r="J479" t="s" s="86">
        <v>5379</v>
      </c>
      <c r="K479" s="87"/>
      <c r="L479" s="85"/>
      <c r="M479" s="28">
        <v>56</v>
      </c>
      <c r="N479" s="29">
        <v>4102.8075</v>
      </c>
      <c r="O479" s="29">
        <v>11461.14</v>
      </c>
    </row>
    <row r="480" ht="9" customHeight="1" hidden="1">
      <c r="I480" s="77"/>
      <c r="J480" s="78"/>
      <c r="K480" s="78"/>
      <c r="L480" t="s" s="79">
        <v>559</v>
      </c>
      <c r="M480" s="80">
        <v>1</v>
      </c>
      <c r="N480" s="81">
        <v>0</v>
      </c>
      <c r="O480" s="81">
        <v>0</v>
      </c>
    </row>
    <row r="481" ht="9" customHeight="1" hidden="1">
      <c r="I481" s="77"/>
      <c r="J481" s="78"/>
      <c r="K481" s="78"/>
      <c r="L481" t="s" s="79">
        <v>63</v>
      </c>
      <c r="M481" s="80">
        <v>1</v>
      </c>
      <c r="N481" s="81">
        <v>1521.56</v>
      </c>
      <c r="O481" s="81">
        <v>1521.56</v>
      </c>
    </row>
    <row r="482" ht="9" customHeight="1" hidden="1">
      <c r="I482" s="82"/>
      <c r="J482" s="83"/>
      <c r="K482" s="84">
        <v>45047</v>
      </c>
      <c r="L482" s="85"/>
      <c r="M482" s="28">
        <v>2</v>
      </c>
      <c r="N482" s="29">
        <v>1521.56</v>
      </c>
      <c r="O482" s="29">
        <v>1521.56</v>
      </c>
    </row>
    <row r="483" ht="9" customHeight="1" hidden="1">
      <c r="I483" s="82"/>
      <c r="J483" t="s" s="86">
        <v>5337</v>
      </c>
      <c r="K483" s="87"/>
      <c r="L483" s="85"/>
      <c r="M483" s="28">
        <v>2</v>
      </c>
      <c r="N483" s="29">
        <v>1521.56</v>
      </c>
      <c r="O483" s="29">
        <v>1521.56</v>
      </c>
    </row>
    <row r="484" ht="16.1" customHeight="1">
      <c r="I484" t="s" s="126">
        <v>3710</v>
      </c>
      <c r="J484" s="127"/>
      <c r="K484" s="127"/>
      <c r="L484" s="128"/>
      <c r="M484" s="129">
        <v>58</v>
      </c>
      <c r="N484" s="142">
        <v>5624.3675</v>
      </c>
      <c r="O484" s="142">
        <v>12982.7</v>
      </c>
    </row>
    <row r="485" ht="9" customHeight="1" hidden="1">
      <c r="I485" s="77"/>
      <c r="J485" s="78"/>
      <c r="K485" s="78"/>
      <c r="L485" t="s" s="79">
        <v>35</v>
      </c>
      <c r="M485" s="80">
        <v>2</v>
      </c>
      <c r="N485" s="81">
        <v>49.99</v>
      </c>
      <c r="O485" s="81">
        <v>99.98</v>
      </c>
    </row>
    <row r="486" ht="9" customHeight="1" hidden="1">
      <c r="I486" s="82"/>
      <c r="J486" s="83"/>
      <c r="K486" s="84">
        <v>45047</v>
      </c>
      <c r="L486" s="85"/>
      <c r="M486" s="28">
        <v>2</v>
      </c>
      <c r="N486" s="29">
        <v>49.99</v>
      </c>
      <c r="O486" s="29">
        <v>99.98</v>
      </c>
    </row>
    <row r="487" ht="9" customHeight="1" hidden="1">
      <c r="I487" s="82"/>
      <c r="J487" t="s" s="86">
        <v>5553</v>
      </c>
      <c r="K487" s="87"/>
      <c r="L487" s="85"/>
      <c r="M487" s="28">
        <v>2</v>
      </c>
      <c r="N487" s="29">
        <v>49.99</v>
      </c>
      <c r="O487" s="29">
        <v>99.98</v>
      </c>
    </row>
    <row r="488" ht="9" customHeight="1" hidden="1">
      <c r="I488" s="77"/>
      <c r="J488" s="78"/>
      <c r="K488" s="78"/>
      <c r="L488" t="s" s="79">
        <v>19</v>
      </c>
      <c r="M488" s="80">
        <v>1</v>
      </c>
      <c r="N488" s="81">
        <v>119.99</v>
      </c>
      <c r="O488" s="81">
        <v>119.99</v>
      </c>
    </row>
    <row r="489" ht="9" customHeight="1" hidden="1">
      <c r="I489" s="77"/>
      <c r="J489" s="78"/>
      <c r="K489" s="78"/>
      <c r="L489" t="s" s="79">
        <v>15</v>
      </c>
      <c r="M489" s="80">
        <v>1</v>
      </c>
      <c r="N489" s="81">
        <v>8.99</v>
      </c>
      <c r="O489" s="81">
        <v>8.99</v>
      </c>
    </row>
    <row r="490" ht="9" customHeight="1" hidden="1">
      <c r="I490" s="82"/>
      <c r="J490" s="83"/>
      <c r="K490" s="84">
        <v>45047</v>
      </c>
      <c r="L490" s="85"/>
      <c r="M490" s="28">
        <v>2</v>
      </c>
      <c r="N490" s="29">
        <v>128.98</v>
      </c>
      <c r="O490" s="29">
        <v>128.98</v>
      </c>
    </row>
    <row r="491" ht="9" customHeight="1" hidden="1">
      <c r="I491" s="82"/>
      <c r="J491" t="s" s="86">
        <v>5550</v>
      </c>
      <c r="K491" s="87"/>
      <c r="L491" s="85"/>
      <c r="M491" s="28">
        <v>2</v>
      </c>
      <c r="N491" s="29">
        <v>128.98</v>
      </c>
      <c r="O491" s="29">
        <v>128.98</v>
      </c>
    </row>
    <row r="492" ht="16.1" customHeight="1">
      <c r="I492" t="s" s="126">
        <v>5551</v>
      </c>
      <c r="J492" s="127"/>
      <c r="K492" s="127"/>
      <c r="L492" s="128"/>
      <c r="M492" s="129">
        <v>4</v>
      </c>
      <c r="N492" s="142">
        <v>178.97</v>
      </c>
      <c r="O492" s="142">
        <v>228.96</v>
      </c>
    </row>
    <row r="493" ht="9" customHeight="1" hidden="1">
      <c r="I493" s="77"/>
      <c r="J493" s="78"/>
      <c r="K493" s="78"/>
      <c r="L493" t="s" s="79">
        <v>73</v>
      </c>
      <c r="M493" s="80">
        <v>1</v>
      </c>
      <c r="N493" s="81">
        <v>399.99</v>
      </c>
      <c r="O493" s="81">
        <v>399.99</v>
      </c>
    </row>
    <row r="494" ht="9" customHeight="1" hidden="1">
      <c r="I494" s="82"/>
      <c r="J494" s="83"/>
      <c r="K494" s="84">
        <v>45047</v>
      </c>
      <c r="L494" s="85"/>
      <c r="M494" s="28">
        <v>1</v>
      </c>
      <c r="N494" s="29">
        <v>399.99</v>
      </c>
      <c r="O494" s="29">
        <v>399.99</v>
      </c>
    </row>
    <row r="495" ht="9" customHeight="1" hidden="1">
      <c r="I495" s="82"/>
      <c r="J495" t="s" s="86">
        <v>5437</v>
      </c>
      <c r="K495" s="87"/>
      <c r="L495" s="85"/>
      <c r="M495" s="28">
        <v>1</v>
      </c>
      <c r="N495" s="29">
        <v>399.99</v>
      </c>
      <c r="O495" s="29">
        <v>399.99</v>
      </c>
    </row>
    <row r="496" ht="16.1" customHeight="1">
      <c r="I496" t="s" s="126">
        <v>5438</v>
      </c>
      <c r="J496" s="127"/>
      <c r="K496" s="127"/>
      <c r="L496" s="128"/>
      <c r="M496" s="129">
        <v>1</v>
      </c>
      <c r="N496" s="142">
        <v>399.99</v>
      </c>
      <c r="O496" s="142">
        <v>399.99</v>
      </c>
    </row>
    <row r="497" ht="9" customHeight="1" hidden="1">
      <c r="I497" s="77"/>
      <c r="J497" s="78"/>
      <c r="K497" s="78"/>
      <c r="L497" t="s" s="79">
        <v>50</v>
      </c>
      <c r="M497" s="80">
        <v>1</v>
      </c>
      <c r="N497" s="81">
        <v>29.99</v>
      </c>
      <c r="O497" s="81">
        <v>29.99</v>
      </c>
    </row>
    <row r="498" ht="9" customHeight="1" hidden="1">
      <c r="I498" s="82"/>
      <c r="J498" s="83"/>
      <c r="K498" s="84">
        <v>45047</v>
      </c>
      <c r="L498" s="85"/>
      <c r="M498" s="28">
        <v>1</v>
      </c>
      <c r="N498" s="29">
        <v>29.99</v>
      </c>
      <c r="O498" s="29">
        <v>29.99</v>
      </c>
    </row>
    <row r="499" ht="9" customHeight="1" hidden="1">
      <c r="I499" s="82"/>
      <c r="J499" t="s" s="86">
        <v>5580</v>
      </c>
      <c r="K499" s="87"/>
      <c r="L499" s="85"/>
      <c r="M499" s="28">
        <v>1</v>
      </c>
      <c r="N499" s="29">
        <v>29.99</v>
      </c>
      <c r="O499" s="29">
        <v>29.99</v>
      </c>
    </row>
    <row r="500" ht="16.1" customHeight="1">
      <c r="I500" t="s" s="126">
        <v>5581</v>
      </c>
      <c r="J500" s="127"/>
      <c r="K500" s="127"/>
      <c r="L500" s="128"/>
      <c r="M500" s="129">
        <v>1</v>
      </c>
      <c r="N500" s="142">
        <v>29.99</v>
      </c>
      <c r="O500" s="142">
        <v>29.99</v>
      </c>
    </row>
    <row r="501" ht="9" customHeight="1" hidden="1">
      <c r="I501" s="77"/>
      <c r="J501" s="78"/>
      <c r="K501" s="78"/>
      <c r="L501" t="s" s="79">
        <v>73</v>
      </c>
      <c r="M501" s="80">
        <v>1</v>
      </c>
      <c r="N501" s="81">
        <v>399.99</v>
      </c>
      <c r="O501" s="81">
        <v>399.99</v>
      </c>
    </row>
    <row r="502" ht="9" customHeight="1" hidden="1">
      <c r="I502" s="82"/>
      <c r="J502" s="83"/>
      <c r="K502" s="84">
        <v>45047</v>
      </c>
      <c r="L502" s="85"/>
      <c r="M502" s="28">
        <v>1</v>
      </c>
      <c r="N502" s="29">
        <v>399.99</v>
      </c>
      <c r="O502" s="29">
        <v>399.99</v>
      </c>
    </row>
    <row r="503" ht="9" customHeight="1" hidden="1">
      <c r="I503" s="82"/>
      <c r="J503" t="s" s="86">
        <v>5486</v>
      </c>
      <c r="K503" s="87"/>
      <c r="L503" s="85"/>
      <c r="M503" s="28">
        <v>1</v>
      </c>
      <c r="N503" s="29">
        <v>399.99</v>
      </c>
      <c r="O503" s="29">
        <v>399.99</v>
      </c>
    </row>
    <row r="504" ht="16.1" customHeight="1">
      <c r="I504" t="s" s="126">
        <v>5487</v>
      </c>
      <c r="J504" s="127"/>
      <c r="K504" s="127"/>
      <c r="L504" s="128"/>
      <c r="M504" s="129">
        <v>1</v>
      </c>
      <c r="N504" s="142">
        <v>399.99</v>
      </c>
      <c r="O504" s="142">
        <v>399.99</v>
      </c>
    </row>
    <row r="505" ht="9" customHeight="1" hidden="1">
      <c r="I505" s="77"/>
      <c r="J505" s="78"/>
      <c r="K505" s="78"/>
      <c r="L505" t="s" s="79">
        <v>73</v>
      </c>
      <c r="M505" s="80">
        <v>1</v>
      </c>
      <c r="N505" s="81">
        <v>399.99</v>
      </c>
      <c r="O505" s="81">
        <v>399.99</v>
      </c>
    </row>
    <row r="506" ht="9" customHeight="1" hidden="1">
      <c r="I506" s="82"/>
      <c r="J506" s="83"/>
      <c r="K506" s="84">
        <v>45047</v>
      </c>
      <c r="L506" s="85"/>
      <c r="M506" s="28">
        <v>1</v>
      </c>
      <c r="N506" s="29">
        <v>399.99</v>
      </c>
      <c r="O506" s="29">
        <v>399.99</v>
      </c>
    </row>
    <row r="507" ht="9" customHeight="1" hidden="1">
      <c r="I507" s="82"/>
      <c r="J507" t="s" s="86">
        <v>5506</v>
      </c>
      <c r="K507" s="87"/>
      <c r="L507" s="85"/>
      <c r="M507" s="28">
        <v>1</v>
      </c>
      <c r="N507" s="29">
        <v>399.99</v>
      </c>
      <c r="O507" s="29">
        <v>399.99</v>
      </c>
    </row>
    <row r="508" ht="16.1" customHeight="1">
      <c r="I508" t="s" s="126">
        <v>5507</v>
      </c>
      <c r="J508" s="127"/>
      <c r="K508" s="127"/>
      <c r="L508" s="128"/>
      <c r="M508" s="129">
        <v>1</v>
      </c>
      <c r="N508" s="142">
        <v>399.99</v>
      </c>
      <c r="O508" s="142">
        <v>399.99</v>
      </c>
    </row>
    <row r="509" ht="9" customHeight="1" hidden="1">
      <c r="I509" s="77"/>
      <c r="J509" s="78"/>
      <c r="K509" s="78"/>
      <c r="L509" t="s" s="79">
        <v>19</v>
      </c>
      <c r="M509" s="80">
        <v>1</v>
      </c>
      <c r="N509" s="81">
        <v>119.99</v>
      </c>
      <c r="O509" s="81">
        <v>119.99</v>
      </c>
    </row>
    <row r="510" ht="9" customHeight="1" hidden="1">
      <c r="I510" s="77"/>
      <c r="J510" s="78"/>
      <c r="K510" s="78"/>
      <c r="L510" t="s" s="79">
        <v>54</v>
      </c>
      <c r="M510" s="80">
        <v>1</v>
      </c>
      <c r="N510" s="81">
        <v>9.99</v>
      </c>
      <c r="O510" s="81">
        <v>9.99</v>
      </c>
    </row>
    <row r="511" ht="9" customHeight="1" hidden="1">
      <c r="I511" s="77"/>
      <c r="J511" s="78"/>
      <c r="K511" s="78"/>
      <c r="L511" t="s" s="79">
        <v>15</v>
      </c>
      <c r="M511" s="80">
        <v>2</v>
      </c>
      <c r="N511" s="81">
        <v>17.98</v>
      </c>
      <c r="O511" s="81">
        <v>17.98</v>
      </c>
    </row>
    <row r="512" ht="9" customHeight="1" hidden="1">
      <c r="I512" s="82"/>
      <c r="J512" s="83"/>
      <c r="K512" s="84">
        <v>45047</v>
      </c>
      <c r="L512" s="85"/>
      <c r="M512" s="28">
        <v>4</v>
      </c>
      <c r="N512" s="29">
        <v>147.96</v>
      </c>
      <c r="O512" s="29">
        <v>147.96</v>
      </c>
    </row>
    <row r="513" ht="9" customHeight="1" hidden="1">
      <c r="I513" s="82"/>
      <c r="J513" t="s" s="86">
        <v>5466</v>
      </c>
      <c r="K513" s="87"/>
      <c r="L513" s="85"/>
      <c r="M513" s="28">
        <v>4</v>
      </c>
      <c r="N513" s="29">
        <v>147.96</v>
      </c>
      <c r="O513" s="29">
        <v>147.96</v>
      </c>
    </row>
    <row r="514" ht="9" customHeight="1" hidden="1">
      <c r="I514" s="77"/>
      <c r="J514" s="78"/>
      <c r="K514" s="78"/>
      <c r="L514" t="s" s="79">
        <v>95</v>
      </c>
      <c r="M514" s="80">
        <v>1</v>
      </c>
      <c r="N514" s="81">
        <v>349.99</v>
      </c>
      <c r="O514" s="81">
        <v>349.99</v>
      </c>
    </row>
    <row r="515" ht="9" customHeight="1" hidden="1">
      <c r="I515" s="82"/>
      <c r="J515" s="83"/>
      <c r="K515" s="84">
        <v>45047</v>
      </c>
      <c r="L515" s="85"/>
      <c r="M515" s="28">
        <v>1</v>
      </c>
      <c r="N515" s="29">
        <v>349.99</v>
      </c>
      <c r="O515" s="29">
        <v>349.99</v>
      </c>
    </row>
    <row r="516" ht="9" customHeight="1" hidden="1">
      <c r="I516" s="82"/>
      <c r="J516" t="s" s="86">
        <v>5326</v>
      </c>
      <c r="K516" s="87"/>
      <c r="L516" s="85"/>
      <c r="M516" s="28">
        <v>1</v>
      </c>
      <c r="N516" s="29">
        <v>349.99</v>
      </c>
      <c r="O516" s="29">
        <v>349.99</v>
      </c>
    </row>
    <row r="517" ht="16.1" customHeight="1">
      <c r="I517" t="s" s="126">
        <v>5327</v>
      </c>
      <c r="J517" s="127"/>
      <c r="K517" s="127"/>
      <c r="L517" s="128"/>
      <c r="M517" s="129">
        <v>5</v>
      </c>
      <c r="N517" s="142">
        <v>497.95</v>
      </c>
      <c r="O517" s="142">
        <v>497.95</v>
      </c>
    </row>
    <row r="518" ht="9" customHeight="1" hidden="1">
      <c r="I518" s="77"/>
      <c r="J518" s="78"/>
      <c r="K518" s="78"/>
      <c r="L518" t="s" s="79">
        <v>123</v>
      </c>
      <c r="M518" s="80">
        <v>2</v>
      </c>
      <c r="N518" s="81">
        <v>134.9925</v>
      </c>
      <c r="O518" s="81">
        <v>269.985</v>
      </c>
    </row>
    <row r="519" ht="9" customHeight="1" hidden="1">
      <c r="I519" s="77"/>
      <c r="J519" s="78"/>
      <c r="K519" s="78"/>
      <c r="L519" t="s" s="79">
        <v>125</v>
      </c>
      <c r="M519" s="80">
        <v>4</v>
      </c>
      <c r="N519" s="81">
        <v>48.7425</v>
      </c>
      <c r="O519" s="81">
        <v>194.97</v>
      </c>
    </row>
    <row r="520" ht="9" customHeight="1" hidden="1">
      <c r="I520" s="77"/>
      <c r="J520" s="78"/>
      <c r="K520" s="78"/>
      <c r="L520" t="s" s="79">
        <v>299</v>
      </c>
      <c r="M520" s="80">
        <v>4</v>
      </c>
      <c r="N520" s="81">
        <v>52.4925</v>
      </c>
      <c r="O520" s="81">
        <v>209.97</v>
      </c>
    </row>
    <row r="521" ht="9" customHeight="1" hidden="1">
      <c r="I521" s="77"/>
      <c r="J521" s="78"/>
      <c r="K521" s="78"/>
      <c r="L521" t="s" s="79">
        <v>602</v>
      </c>
      <c r="M521" s="80">
        <v>2</v>
      </c>
      <c r="N521" s="81">
        <v>224.9925</v>
      </c>
      <c r="O521" s="81">
        <v>449.985</v>
      </c>
    </row>
    <row r="522" ht="9" customHeight="1" hidden="1">
      <c r="I522" s="77"/>
      <c r="J522" s="78"/>
      <c r="K522" s="78"/>
      <c r="L522" t="s" s="79">
        <v>146</v>
      </c>
      <c r="M522" s="80">
        <v>2</v>
      </c>
      <c r="N522" s="81">
        <v>14.9925</v>
      </c>
      <c r="O522" s="81">
        <v>29.985</v>
      </c>
    </row>
    <row r="523" ht="9" customHeight="1" hidden="1">
      <c r="I523" s="77"/>
      <c r="J523" s="78"/>
      <c r="K523" s="78"/>
      <c r="L523" t="s" s="79">
        <v>11</v>
      </c>
      <c r="M523" s="80">
        <v>1</v>
      </c>
      <c r="N523" s="81">
        <v>299.9925</v>
      </c>
      <c r="O523" s="81">
        <v>299.9925</v>
      </c>
    </row>
    <row r="524" ht="9" customHeight="1" hidden="1">
      <c r="I524" s="77"/>
      <c r="J524" s="78"/>
      <c r="K524" s="78"/>
      <c r="L524" t="s" s="79">
        <v>31</v>
      </c>
      <c r="M524" s="80">
        <v>1</v>
      </c>
      <c r="N524" s="81">
        <v>449.9925</v>
      </c>
      <c r="O524" s="81">
        <v>449.9925</v>
      </c>
    </row>
    <row r="525" ht="9" customHeight="1" hidden="1">
      <c r="I525" s="77"/>
      <c r="J525" s="78"/>
      <c r="K525" s="78"/>
      <c r="L525" t="s" s="79">
        <v>59</v>
      </c>
      <c r="M525" s="80">
        <v>1</v>
      </c>
      <c r="N525" s="81">
        <v>899.9924999999999</v>
      </c>
      <c r="O525" s="81">
        <v>899.9924999999999</v>
      </c>
    </row>
    <row r="526" ht="9" customHeight="1" hidden="1">
      <c r="I526" s="77"/>
      <c r="J526" s="78"/>
      <c r="K526" s="78"/>
      <c r="L526" t="s" s="79">
        <v>47</v>
      </c>
      <c r="M526" s="80">
        <v>1</v>
      </c>
      <c r="N526" s="81">
        <v>207.05</v>
      </c>
      <c r="O526" s="81">
        <v>207.05</v>
      </c>
    </row>
    <row r="527" ht="9" customHeight="1" hidden="1">
      <c r="I527" s="82"/>
      <c r="J527" s="83"/>
      <c r="K527" s="84">
        <v>45047</v>
      </c>
      <c r="L527" s="85"/>
      <c r="M527" s="28">
        <v>18</v>
      </c>
      <c r="N527" s="29">
        <v>2333.24</v>
      </c>
      <c r="O527" s="29">
        <v>3011.9225</v>
      </c>
    </row>
    <row r="528" ht="9" customHeight="1" hidden="1">
      <c r="I528" s="82"/>
      <c r="J528" t="s" s="86">
        <v>5556</v>
      </c>
      <c r="K528" s="87"/>
      <c r="L528" s="85"/>
      <c r="M528" s="28">
        <v>18</v>
      </c>
      <c r="N528" s="29">
        <v>2333.24</v>
      </c>
      <c r="O528" s="29">
        <v>3011.9225</v>
      </c>
    </row>
    <row r="529" ht="9" customHeight="1" hidden="1">
      <c r="I529" s="77"/>
      <c r="J529" s="78"/>
      <c r="K529" s="78"/>
      <c r="L529" t="s" s="79">
        <v>589</v>
      </c>
      <c r="M529" s="80">
        <v>4</v>
      </c>
      <c r="N529" s="81">
        <v>0</v>
      </c>
      <c r="O529" s="81">
        <v>0</v>
      </c>
    </row>
    <row r="530" ht="9" customHeight="1" hidden="1">
      <c r="I530" s="77"/>
      <c r="J530" s="78"/>
      <c r="K530" s="78"/>
      <c r="L530" t="s" s="79">
        <v>559</v>
      </c>
      <c r="M530" s="80">
        <v>100</v>
      </c>
      <c r="N530" s="81">
        <v>0</v>
      </c>
      <c r="O530" s="81">
        <v>0</v>
      </c>
    </row>
    <row r="531" ht="9" customHeight="1" hidden="1">
      <c r="I531" s="82"/>
      <c r="J531" s="83"/>
      <c r="K531" s="84">
        <v>45047</v>
      </c>
      <c r="L531" s="85"/>
      <c r="M531" s="28">
        <v>104</v>
      </c>
      <c r="N531" s="29">
        <v>0</v>
      </c>
      <c r="O531" s="29">
        <v>0</v>
      </c>
    </row>
    <row r="532" ht="9" customHeight="1" hidden="1">
      <c r="I532" s="82"/>
      <c r="J532" t="s" s="86">
        <v>5508</v>
      </c>
      <c r="K532" s="87"/>
      <c r="L532" s="85"/>
      <c r="M532" s="28">
        <v>104</v>
      </c>
      <c r="N532" s="29">
        <v>0</v>
      </c>
      <c r="O532" s="29">
        <v>0</v>
      </c>
    </row>
    <row r="533" ht="16.1" customHeight="1">
      <c r="I533" t="s" s="126">
        <v>5509</v>
      </c>
      <c r="J533" s="127"/>
      <c r="K533" s="127"/>
      <c r="L533" s="128"/>
      <c r="M533" s="129">
        <v>122</v>
      </c>
      <c r="N533" s="142">
        <v>2333.24</v>
      </c>
      <c r="O533" s="142">
        <v>3011.9225</v>
      </c>
    </row>
    <row r="534" ht="9" customHeight="1" hidden="1">
      <c r="I534" s="77"/>
      <c r="J534" s="78"/>
      <c r="K534" s="78"/>
      <c r="L534" t="s" s="79">
        <v>165</v>
      </c>
      <c r="M534" s="80">
        <v>2</v>
      </c>
      <c r="N534" s="81">
        <v>0</v>
      </c>
      <c r="O534" s="81">
        <v>0</v>
      </c>
    </row>
    <row r="535" ht="9" customHeight="1" hidden="1">
      <c r="I535" s="77"/>
      <c r="J535" s="78"/>
      <c r="K535" s="78"/>
      <c r="L535" t="s" s="79">
        <v>225</v>
      </c>
      <c r="M535" s="80">
        <v>2</v>
      </c>
      <c r="N535" s="81">
        <v>499.99</v>
      </c>
      <c r="O535" s="81">
        <v>999.98</v>
      </c>
    </row>
    <row r="536" ht="9" customHeight="1" hidden="1">
      <c r="I536" s="82"/>
      <c r="J536" s="83"/>
      <c r="K536" s="84">
        <v>45047</v>
      </c>
      <c r="L536" s="85"/>
      <c r="M536" s="28">
        <v>4</v>
      </c>
      <c r="N536" s="29">
        <v>499.99</v>
      </c>
      <c r="O536" s="29">
        <v>999.98</v>
      </c>
    </row>
    <row r="537" ht="9" customHeight="1" hidden="1">
      <c r="I537" s="82"/>
      <c r="J537" t="s" s="86">
        <v>5480</v>
      </c>
      <c r="K537" s="87"/>
      <c r="L537" s="85"/>
      <c r="M537" s="28">
        <v>4</v>
      </c>
      <c r="N537" s="29">
        <v>499.99</v>
      </c>
      <c r="O537" s="29">
        <v>999.98</v>
      </c>
    </row>
    <row r="538" ht="9" customHeight="1" hidden="1">
      <c r="I538" s="77"/>
      <c r="J538" s="78"/>
      <c r="K538" s="78"/>
      <c r="L538" t="s" s="79">
        <v>1257</v>
      </c>
      <c r="M538" s="80">
        <v>2</v>
      </c>
      <c r="N538" s="81">
        <v>349.99</v>
      </c>
      <c r="O538" s="81">
        <v>699.98</v>
      </c>
    </row>
    <row r="539" ht="9" customHeight="1" hidden="1">
      <c r="I539" s="82"/>
      <c r="J539" s="83"/>
      <c r="K539" s="84">
        <v>45047</v>
      </c>
      <c r="L539" s="85"/>
      <c r="M539" s="28">
        <v>2</v>
      </c>
      <c r="N539" s="29">
        <v>349.99</v>
      </c>
      <c r="O539" s="29">
        <v>699.98</v>
      </c>
    </row>
    <row r="540" ht="9" customHeight="1" hidden="1">
      <c r="I540" s="82"/>
      <c r="J540" t="s" s="86">
        <v>5363</v>
      </c>
      <c r="K540" s="87"/>
      <c r="L540" s="85"/>
      <c r="M540" s="28">
        <v>2</v>
      </c>
      <c r="N540" s="29">
        <v>349.99</v>
      </c>
      <c r="O540" s="29">
        <v>699.98</v>
      </c>
    </row>
    <row r="541" ht="16.1" customHeight="1">
      <c r="I541" t="s" s="126">
        <v>5364</v>
      </c>
      <c r="J541" s="127"/>
      <c r="K541" s="127"/>
      <c r="L541" s="128"/>
      <c r="M541" s="129">
        <v>6</v>
      </c>
      <c r="N541" s="142">
        <v>849.98</v>
      </c>
      <c r="O541" s="142">
        <v>1699.96</v>
      </c>
    </row>
    <row r="542" ht="9" customHeight="1" hidden="1">
      <c r="I542" s="77"/>
      <c r="J542" s="78"/>
      <c r="K542" s="78"/>
      <c r="L542" t="s" s="79">
        <v>95</v>
      </c>
      <c r="M542" s="80">
        <v>1</v>
      </c>
      <c r="N542" s="81">
        <v>349.99</v>
      </c>
      <c r="O542" s="81">
        <v>349.99</v>
      </c>
    </row>
    <row r="543" ht="9" customHeight="1" hidden="1">
      <c r="I543" s="82"/>
      <c r="J543" s="83"/>
      <c r="K543" s="84">
        <v>45047</v>
      </c>
      <c r="L543" s="85"/>
      <c r="M543" s="28">
        <v>1</v>
      </c>
      <c r="N543" s="29">
        <v>349.99</v>
      </c>
      <c r="O543" s="29">
        <v>349.99</v>
      </c>
    </row>
    <row r="544" ht="9" customHeight="1" hidden="1">
      <c r="I544" s="82"/>
      <c r="J544" t="s" s="86">
        <v>5517</v>
      </c>
      <c r="K544" s="87"/>
      <c r="L544" s="85"/>
      <c r="M544" s="28">
        <v>1</v>
      </c>
      <c r="N544" s="29">
        <v>349.99</v>
      </c>
      <c r="O544" s="29">
        <v>349.99</v>
      </c>
    </row>
    <row r="545" ht="16.1" customHeight="1">
      <c r="I545" t="s" s="126">
        <v>5518</v>
      </c>
      <c r="J545" s="127"/>
      <c r="K545" s="127"/>
      <c r="L545" s="128"/>
      <c r="M545" s="129">
        <v>1</v>
      </c>
      <c r="N545" s="142">
        <v>349.99</v>
      </c>
      <c r="O545" s="142">
        <v>349.99</v>
      </c>
    </row>
    <row r="546" ht="9" customHeight="1" hidden="1">
      <c r="I546" s="77"/>
      <c r="J546" s="78"/>
      <c r="K546" s="78"/>
      <c r="L546" t="s" s="79">
        <v>95</v>
      </c>
      <c r="M546" s="80">
        <v>1</v>
      </c>
      <c r="N546" s="81">
        <v>349.99</v>
      </c>
      <c r="O546" s="81">
        <v>349.99</v>
      </c>
    </row>
    <row r="547" ht="9" customHeight="1" hidden="1">
      <c r="I547" s="82"/>
      <c r="J547" s="83"/>
      <c r="K547" s="84">
        <v>45047</v>
      </c>
      <c r="L547" s="85"/>
      <c r="M547" s="28">
        <v>1</v>
      </c>
      <c r="N547" s="29">
        <v>349.99</v>
      </c>
      <c r="O547" s="29">
        <v>349.99</v>
      </c>
    </row>
    <row r="548" ht="9" customHeight="1" hidden="1">
      <c r="I548" s="82"/>
      <c r="J548" t="s" s="86">
        <v>5584</v>
      </c>
      <c r="K548" s="87"/>
      <c r="L548" s="85"/>
      <c r="M548" s="28">
        <v>1</v>
      </c>
      <c r="N548" s="29">
        <v>349.99</v>
      </c>
      <c r="O548" s="29">
        <v>349.99</v>
      </c>
    </row>
    <row r="549" ht="16.1" customHeight="1">
      <c r="I549" t="s" s="126">
        <v>5585</v>
      </c>
      <c r="J549" s="127"/>
      <c r="K549" s="127"/>
      <c r="L549" s="128"/>
      <c r="M549" s="129">
        <v>1</v>
      </c>
      <c r="N549" s="142">
        <v>349.99</v>
      </c>
      <c r="O549" s="142">
        <v>349.99</v>
      </c>
    </row>
    <row r="550" ht="9" customHeight="1" hidden="1">
      <c r="I550" s="77"/>
      <c r="J550" s="78"/>
      <c r="K550" s="78"/>
      <c r="L550" t="s" s="79">
        <v>39</v>
      </c>
      <c r="M550" s="80">
        <v>14</v>
      </c>
      <c r="N550" s="81">
        <v>109.99</v>
      </c>
      <c r="O550" s="81">
        <v>1539.86</v>
      </c>
    </row>
    <row r="551" ht="9" customHeight="1" hidden="1">
      <c r="I551" s="82"/>
      <c r="J551" s="83"/>
      <c r="K551" s="84">
        <v>45047</v>
      </c>
      <c r="L551" s="85"/>
      <c r="M551" s="28">
        <v>14</v>
      </c>
      <c r="N551" s="29">
        <v>109.99</v>
      </c>
      <c r="O551" s="29">
        <v>1539.86</v>
      </c>
    </row>
    <row r="552" ht="9" customHeight="1" hidden="1">
      <c r="I552" s="82"/>
      <c r="J552" t="s" s="86">
        <v>5586</v>
      </c>
      <c r="K552" s="87"/>
      <c r="L552" s="85"/>
      <c r="M552" s="28">
        <v>14</v>
      </c>
      <c r="N552" s="29">
        <v>109.99</v>
      </c>
      <c r="O552" s="29">
        <v>1539.86</v>
      </c>
    </row>
    <row r="553" ht="9" customHeight="1" hidden="1">
      <c r="I553" s="77"/>
      <c r="J553" s="78"/>
      <c r="K553" s="78"/>
      <c r="L553" t="s" s="79">
        <v>1729</v>
      </c>
      <c r="M553" s="80">
        <v>15</v>
      </c>
      <c r="N553" s="81">
        <v>14.99</v>
      </c>
      <c r="O553" s="81">
        <v>224.85</v>
      </c>
    </row>
    <row r="554" ht="9" customHeight="1" hidden="1">
      <c r="I554" s="82"/>
      <c r="J554" s="83"/>
      <c r="K554" s="84">
        <v>45047</v>
      </c>
      <c r="L554" s="85"/>
      <c r="M554" s="28">
        <v>15</v>
      </c>
      <c r="N554" s="29">
        <v>14.99</v>
      </c>
      <c r="O554" s="29">
        <v>224.85</v>
      </c>
    </row>
    <row r="555" ht="9" customHeight="1" hidden="1">
      <c r="I555" s="82"/>
      <c r="J555" t="s" s="86">
        <v>5519</v>
      </c>
      <c r="K555" s="87"/>
      <c r="L555" s="85"/>
      <c r="M555" s="28">
        <v>15</v>
      </c>
      <c r="N555" s="29">
        <v>14.99</v>
      </c>
      <c r="O555" s="29">
        <v>224.85</v>
      </c>
    </row>
    <row r="556" ht="16.1" customHeight="1">
      <c r="I556" t="s" s="126">
        <v>5520</v>
      </c>
      <c r="J556" s="127"/>
      <c r="K556" s="127"/>
      <c r="L556" s="128"/>
      <c r="M556" s="129">
        <v>29</v>
      </c>
      <c r="N556" s="142">
        <v>124.98</v>
      </c>
      <c r="O556" s="142">
        <v>1764.71</v>
      </c>
    </row>
    <row r="557" ht="9" customHeight="1" hidden="1">
      <c r="I557" s="77"/>
      <c r="J557" s="78"/>
      <c r="K557" s="78"/>
      <c r="L557" t="s" s="79">
        <v>95</v>
      </c>
      <c r="M557" s="80">
        <v>1</v>
      </c>
      <c r="N557" s="81">
        <v>349.99</v>
      </c>
      <c r="O557" s="81">
        <v>349.99</v>
      </c>
    </row>
    <row r="558" ht="9" customHeight="1" hidden="1">
      <c r="I558" s="77"/>
      <c r="J558" s="78"/>
      <c r="K558" s="78"/>
      <c r="L558" t="s" s="79">
        <v>73</v>
      </c>
      <c r="M558" s="80">
        <v>1</v>
      </c>
      <c r="N558" s="81">
        <v>399.99</v>
      </c>
      <c r="O558" s="81">
        <v>399.99</v>
      </c>
    </row>
    <row r="559" ht="9" customHeight="1" hidden="1">
      <c r="I559" s="82"/>
      <c r="J559" s="83"/>
      <c r="K559" s="84">
        <v>45047</v>
      </c>
      <c r="L559" s="85"/>
      <c r="M559" s="28">
        <v>2</v>
      </c>
      <c r="N559" s="29">
        <v>749.98</v>
      </c>
      <c r="O559" s="29">
        <v>749.98</v>
      </c>
    </row>
    <row r="560" ht="9" customHeight="1" hidden="1">
      <c r="I560" s="82"/>
      <c r="J560" t="s" s="86">
        <v>5392</v>
      </c>
      <c r="K560" s="87"/>
      <c r="L560" s="85"/>
      <c r="M560" s="28">
        <v>2</v>
      </c>
      <c r="N560" s="29">
        <v>749.98</v>
      </c>
      <c r="O560" s="29">
        <v>749.98</v>
      </c>
    </row>
    <row r="561" ht="9" customHeight="1" hidden="1">
      <c r="I561" s="77"/>
      <c r="J561" s="78"/>
      <c r="K561" s="78"/>
      <c r="L561" t="s" s="79">
        <v>59</v>
      </c>
      <c r="M561" s="80">
        <v>1</v>
      </c>
      <c r="N561" s="81">
        <v>1199.99</v>
      </c>
      <c r="O561" s="81">
        <v>1199.99</v>
      </c>
    </row>
    <row r="562" ht="9" customHeight="1" hidden="1">
      <c r="I562" s="82"/>
      <c r="J562" s="83"/>
      <c r="K562" s="84">
        <v>45047</v>
      </c>
      <c r="L562" s="85"/>
      <c r="M562" s="28">
        <v>1</v>
      </c>
      <c r="N562" s="29">
        <v>1199.99</v>
      </c>
      <c r="O562" s="29">
        <v>1199.99</v>
      </c>
    </row>
    <row r="563" ht="9" customHeight="1" hidden="1">
      <c r="I563" s="82"/>
      <c r="J563" t="s" s="86">
        <v>5390</v>
      </c>
      <c r="K563" s="87"/>
      <c r="L563" s="85"/>
      <c r="M563" s="28">
        <v>1</v>
      </c>
      <c r="N563" s="29">
        <v>1199.99</v>
      </c>
      <c r="O563" s="29">
        <v>1199.99</v>
      </c>
    </row>
    <row r="564" ht="16.1" customHeight="1">
      <c r="I564" t="s" s="126">
        <v>5391</v>
      </c>
      <c r="J564" s="127"/>
      <c r="K564" s="127"/>
      <c r="L564" s="128"/>
      <c r="M564" s="129">
        <v>3</v>
      </c>
      <c r="N564" s="142">
        <v>1949.97</v>
      </c>
      <c r="O564" s="142">
        <v>1949.97</v>
      </c>
    </row>
    <row r="565" ht="9" customHeight="1" hidden="1">
      <c r="I565" s="77"/>
      <c r="J565" s="78"/>
      <c r="K565" s="78"/>
      <c r="L565" t="s" s="79">
        <v>171</v>
      </c>
      <c r="M565" s="80">
        <v>1</v>
      </c>
      <c r="N565" s="81">
        <v>549.99</v>
      </c>
      <c r="O565" s="81">
        <v>549.99</v>
      </c>
    </row>
    <row r="566" ht="9" customHeight="1" hidden="1">
      <c r="I566" s="82"/>
      <c r="J566" s="83"/>
      <c r="K566" s="84">
        <v>45047</v>
      </c>
      <c r="L566" s="85"/>
      <c r="M566" s="28">
        <v>1</v>
      </c>
      <c r="N566" s="29">
        <v>549.99</v>
      </c>
      <c r="O566" s="29">
        <v>549.99</v>
      </c>
    </row>
    <row r="567" ht="9" customHeight="1" hidden="1">
      <c r="I567" s="82"/>
      <c r="J567" t="s" s="86">
        <v>5401</v>
      </c>
      <c r="K567" s="87"/>
      <c r="L567" s="85"/>
      <c r="M567" s="28">
        <v>1</v>
      </c>
      <c r="N567" s="29">
        <v>549.99</v>
      </c>
      <c r="O567" s="29">
        <v>549.99</v>
      </c>
    </row>
    <row r="568" ht="16.1" customHeight="1">
      <c r="I568" t="s" s="126">
        <v>1060</v>
      </c>
      <c r="J568" s="127"/>
      <c r="K568" s="127"/>
      <c r="L568" s="128"/>
      <c r="M568" s="129">
        <v>1</v>
      </c>
      <c r="N568" s="142">
        <v>549.99</v>
      </c>
      <c r="O568" s="142">
        <v>549.99</v>
      </c>
    </row>
    <row r="569" ht="9" customHeight="1" hidden="1">
      <c r="I569" s="77"/>
      <c r="J569" s="78"/>
      <c r="K569" s="78"/>
      <c r="L569" t="s" s="79">
        <v>19</v>
      </c>
      <c r="M569" s="80">
        <v>2</v>
      </c>
      <c r="N569" s="81">
        <v>119.99</v>
      </c>
      <c r="O569" s="81">
        <v>239.98</v>
      </c>
    </row>
    <row r="570" ht="9" customHeight="1" hidden="1">
      <c r="I570" s="77"/>
      <c r="J570" s="78"/>
      <c r="K570" s="78"/>
      <c r="L570" t="s" s="79">
        <v>15</v>
      </c>
      <c r="M570" s="80">
        <v>2</v>
      </c>
      <c r="N570" s="81">
        <v>8.99</v>
      </c>
      <c r="O570" s="81">
        <v>17.98</v>
      </c>
    </row>
    <row r="571" ht="9" customHeight="1" hidden="1">
      <c r="I571" s="82"/>
      <c r="J571" s="83"/>
      <c r="K571" s="84">
        <v>45047</v>
      </c>
      <c r="L571" s="85"/>
      <c r="M571" s="28">
        <v>4</v>
      </c>
      <c r="N571" s="29">
        <v>128.98</v>
      </c>
      <c r="O571" s="29">
        <v>257.96</v>
      </c>
    </row>
    <row r="572" ht="9" customHeight="1" hidden="1">
      <c r="I572" s="82"/>
      <c r="J572" t="s" s="86">
        <v>5385</v>
      </c>
      <c r="K572" s="87"/>
      <c r="L572" s="85"/>
      <c r="M572" s="28">
        <v>4</v>
      </c>
      <c r="N572" s="29">
        <v>128.98</v>
      </c>
      <c r="O572" s="29">
        <v>257.96</v>
      </c>
    </row>
    <row r="573" ht="16.1" customHeight="1">
      <c r="I573" t="s" s="126">
        <v>5386</v>
      </c>
      <c r="J573" s="127"/>
      <c r="K573" s="127"/>
      <c r="L573" s="128"/>
      <c r="M573" s="129">
        <v>4</v>
      </c>
      <c r="N573" s="142">
        <v>128.98</v>
      </c>
      <c r="O573" s="142">
        <v>257.96</v>
      </c>
    </row>
    <row r="574" ht="9" customHeight="1" hidden="1">
      <c r="I574" s="77"/>
      <c r="J574" s="78"/>
      <c r="K574" s="78"/>
      <c r="L574" t="s" s="79">
        <v>73</v>
      </c>
      <c r="M574" s="80">
        <v>1</v>
      </c>
      <c r="N574" s="81">
        <v>399.99</v>
      </c>
      <c r="O574" s="81">
        <v>399.99</v>
      </c>
    </row>
    <row r="575" ht="9" customHeight="1" hidden="1">
      <c r="I575" s="82"/>
      <c r="J575" s="83"/>
      <c r="K575" s="84">
        <v>45047</v>
      </c>
      <c r="L575" s="85"/>
      <c r="M575" s="28">
        <v>1</v>
      </c>
      <c r="N575" s="29">
        <v>399.99</v>
      </c>
      <c r="O575" s="29">
        <v>399.99</v>
      </c>
    </row>
    <row r="576" ht="9" customHeight="1" hidden="1">
      <c r="I576" s="82"/>
      <c r="J576" t="s" s="86">
        <v>5588</v>
      </c>
      <c r="K576" s="87"/>
      <c r="L576" s="85"/>
      <c r="M576" s="28">
        <v>1</v>
      </c>
      <c r="N576" s="29">
        <v>399.99</v>
      </c>
      <c r="O576" s="29">
        <v>399.99</v>
      </c>
    </row>
    <row r="577" ht="16.1" customHeight="1">
      <c r="I577" t="s" s="126">
        <v>1390</v>
      </c>
      <c r="J577" s="127"/>
      <c r="K577" s="127"/>
      <c r="L577" s="128"/>
      <c r="M577" s="129">
        <v>1</v>
      </c>
      <c r="N577" s="142">
        <v>399.99</v>
      </c>
      <c r="O577" s="142">
        <v>399.99</v>
      </c>
    </row>
    <row r="578" ht="9" customHeight="1" hidden="1">
      <c r="I578" s="77"/>
      <c r="J578" s="78"/>
      <c r="K578" s="78"/>
      <c r="L578" t="s" s="79">
        <v>123</v>
      </c>
      <c r="M578" s="80">
        <v>1</v>
      </c>
      <c r="N578" s="81">
        <v>179.99</v>
      </c>
      <c r="O578" s="81">
        <v>179.99</v>
      </c>
    </row>
    <row r="579" ht="9" customHeight="1" hidden="1">
      <c r="I579" s="82"/>
      <c r="J579" s="83"/>
      <c r="K579" s="84">
        <v>45047</v>
      </c>
      <c r="L579" s="85"/>
      <c r="M579" s="28">
        <v>1</v>
      </c>
      <c r="N579" s="29">
        <v>179.99</v>
      </c>
      <c r="O579" s="29">
        <v>179.99</v>
      </c>
    </row>
    <row r="580" ht="9" customHeight="1" hidden="1">
      <c r="I580" s="82"/>
      <c r="J580" t="s" s="86">
        <v>5521</v>
      </c>
      <c r="K580" s="87"/>
      <c r="L580" s="85"/>
      <c r="M580" s="28">
        <v>1</v>
      </c>
      <c r="N580" s="29">
        <v>179.99</v>
      </c>
      <c r="O580" s="29">
        <v>179.99</v>
      </c>
    </row>
    <row r="581" ht="16.1" customHeight="1">
      <c r="I581" t="s" s="126">
        <v>5130</v>
      </c>
      <c r="J581" s="127"/>
      <c r="K581" s="127"/>
      <c r="L581" s="128"/>
      <c r="M581" s="129">
        <v>1</v>
      </c>
      <c r="N581" s="142">
        <v>179.99</v>
      </c>
      <c r="O581" s="142">
        <v>179.99</v>
      </c>
    </row>
    <row r="582" ht="9" customHeight="1" hidden="1">
      <c r="I582" s="77"/>
      <c r="J582" s="78"/>
      <c r="K582" s="78"/>
      <c r="L582" t="s" s="79">
        <v>227</v>
      </c>
      <c r="M582" s="80">
        <v>6</v>
      </c>
      <c r="N582" s="81">
        <v>22.4925</v>
      </c>
      <c r="O582" s="81">
        <v>134.955</v>
      </c>
    </row>
    <row r="583" ht="9" customHeight="1" hidden="1">
      <c r="I583" s="77"/>
      <c r="J583" s="78"/>
      <c r="K583" s="78"/>
      <c r="L583" t="s" s="79">
        <v>84</v>
      </c>
      <c r="M583" s="80">
        <v>6</v>
      </c>
      <c r="N583" s="81">
        <v>0</v>
      </c>
      <c r="O583" s="81">
        <v>0</v>
      </c>
    </row>
    <row r="584" ht="9" customHeight="1" hidden="1">
      <c r="I584" s="77"/>
      <c r="J584" s="78"/>
      <c r="K584" s="78"/>
      <c r="L584" t="s" s="79">
        <v>487</v>
      </c>
      <c r="M584" s="80">
        <v>6</v>
      </c>
      <c r="N584" s="81">
        <v>82.49250000000001</v>
      </c>
      <c r="O584" s="81">
        <v>494.955</v>
      </c>
    </row>
    <row r="585" ht="9" customHeight="1" hidden="1">
      <c r="I585" s="77"/>
      <c r="J585" s="78"/>
      <c r="K585" s="78"/>
      <c r="L585" t="s" s="79">
        <v>23</v>
      </c>
      <c r="M585" s="80">
        <v>6</v>
      </c>
      <c r="N585" s="81">
        <v>0</v>
      </c>
      <c r="O585" s="81">
        <v>0</v>
      </c>
    </row>
    <row r="586" ht="9" customHeight="1" hidden="1">
      <c r="I586" s="77"/>
      <c r="J586" s="78"/>
      <c r="K586" s="78"/>
      <c r="L586" t="s" s="79">
        <v>52</v>
      </c>
      <c r="M586" s="80">
        <v>6</v>
      </c>
      <c r="N586" s="81">
        <v>0</v>
      </c>
      <c r="O586" s="81">
        <v>0</v>
      </c>
    </row>
    <row r="587" ht="9" customHeight="1" hidden="1">
      <c r="I587" s="77"/>
      <c r="J587" s="78"/>
      <c r="K587" s="78"/>
      <c r="L587" t="s" s="79">
        <v>50</v>
      </c>
      <c r="M587" s="80">
        <v>6</v>
      </c>
      <c r="N587" s="81">
        <v>0</v>
      </c>
      <c r="O587" s="81">
        <v>0</v>
      </c>
    </row>
    <row r="588" ht="9" customHeight="1" hidden="1">
      <c r="I588" s="77"/>
      <c r="J588" s="78"/>
      <c r="K588" s="78"/>
      <c r="L588" t="s" s="79">
        <v>48</v>
      </c>
      <c r="M588" s="80">
        <v>6</v>
      </c>
      <c r="N588" s="81">
        <v>974.9924999999999</v>
      </c>
      <c r="O588" s="81">
        <v>5849.955</v>
      </c>
    </row>
    <row r="589" ht="9" customHeight="1" hidden="1">
      <c r="I589" s="77"/>
      <c r="J589" s="78"/>
      <c r="K589" s="78"/>
      <c r="L589" t="s" s="79">
        <v>73</v>
      </c>
      <c r="M589" s="80">
        <v>2</v>
      </c>
      <c r="N589" s="81">
        <v>299.9925</v>
      </c>
      <c r="O589" s="81">
        <v>599.985</v>
      </c>
    </row>
    <row r="590" ht="9" customHeight="1" hidden="1">
      <c r="I590" s="77"/>
      <c r="J590" s="78"/>
      <c r="K590" s="78"/>
      <c r="L590" t="s" s="79">
        <v>63</v>
      </c>
      <c r="M590" s="80">
        <v>1</v>
      </c>
      <c r="N590" s="81">
        <v>85</v>
      </c>
      <c r="O590" s="81">
        <v>85</v>
      </c>
    </row>
    <row r="591" ht="9" customHeight="1" hidden="1">
      <c r="I591" s="77"/>
      <c r="J591" s="78"/>
      <c r="K591" s="78"/>
      <c r="L591" t="s" s="79">
        <v>861</v>
      </c>
      <c r="M591" s="80">
        <v>1</v>
      </c>
      <c r="N591" s="81">
        <v>619.49</v>
      </c>
      <c r="O591" s="81">
        <v>619.49</v>
      </c>
    </row>
    <row r="592" ht="9" customHeight="1" hidden="1">
      <c r="I592" s="82"/>
      <c r="J592" s="83"/>
      <c r="K592" s="84">
        <v>45047</v>
      </c>
      <c r="L592" s="85"/>
      <c r="M592" s="28">
        <v>46</v>
      </c>
      <c r="N592" s="29">
        <v>2084.46</v>
      </c>
      <c r="O592" s="29">
        <v>7784.34</v>
      </c>
    </row>
    <row r="593" ht="9" customHeight="1" hidden="1">
      <c r="I593" s="82"/>
      <c r="J593" t="s" s="86">
        <v>5416</v>
      </c>
      <c r="K593" s="87"/>
      <c r="L593" s="85"/>
      <c r="M593" s="28">
        <v>46</v>
      </c>
      <c r="N593" s="29">
        <v>2084.46</v>
      </c>
      <c r="O593" s="29">
        <v>7784.34</v>
      </c>
    </row>
    <row r="594" ht="16.1" customHeight="1">
      <c r="I594" t="s" s="126">
        <v>1570</v>
      </c>
      <c r="J594" s="127"/>
      <c r="K594" s="127"/>
      <c r="L594" s="128"/>
      <c r="M594" s="129">
        <v>46</v>
      </c>
      <c r="N594" s="142">
        <v>2084.46</v>
      </c>
      <c r="O594" s="142">
        <v>7784.34</v>
      </c>
    </row>
    <row r="595" ht="9" customHeight="1" hidden="1">
      <c r="I595" s="77"/>
      <c r="J595" s="78"/>
      <c r="K595" s="78"/>
      <c r="L595" t="s" s="79">
        <v>73</v>
      </c>
      <c r="M595" s="80">
        <v>4</v>
      </c>
      <c r="N595" s="81">
        <v>399.99</v>
      </c>
      <c r="O595" s="81">
        <v>1599.96</v>
      </c>
    </row>
    <row r="596" ht="9" customHeight="1" hidden="1">
      <c r="I596" s="82"/>
      <c r="J596" s="83"/>
      <c r="K596" s="84">
        <v>45047</v>
      </c>
      <c r="L596" s="85"/>
      <c r="M596" s="28">
        <v>4</v>
      </c>
      <c r="N596" s="29">
        <v>399.99</v>
      </c>
      <c r="O596" s="29">
        <v>1599.96</v>
      </c>
    </row>
    <row r="597" ht="9" customHeight="1" hidden="1">
      <c r="I597" s="82"/>
      <c r="J597" t="s" s="86">
        <v>5431</v>
      </c>
      <c r="K597" s="87"/>
      <c r="L597" s="85"/>
      <c r="M597" s="28">
        <v>4</v>
      </c>
      <c r="N597" s="29">
        <v>399.99</v>
      </c>
      <c r="O597" s="29">
        <v>1599.96</v>
      </c>
    </row>
    <row r="598" ht="16.1" customHeight="1">
      <c r="I598" t="s" s="126">
        <v>5432</v>
      </c>
      <c r="J598" s="127"/>
      <c r="K598" s="127"/>
      <c r="L598" s="128"/>
      <c r="M598" s="129">
        <v>4</v>
      </c>
      <c r="N598" s="142">
        <v>399.99</v>
      </c>
      <c r="O598" s="142">
        <v>1599.96</v>
      </c>
    </row>
    <row r="599" ht="9" customHeight="1" hidden="1">
      <c r="I599" s="77"/>
      <c r="J599" s="78"/>
      <c r="K599" s="78"/>
      <c r="L599" t="s" s="79">
        <v>50</v>
      </c>
      <c r="M599" s="80">
        <v>3</v>
      </c>
      <c r="N599" s="81">
        <v>22.4925</v>
      </c>
      <c r="O599" s="81">
        <v>67.47750000000001</v>
      </c>
    </row>
    <row r="600" ht="9" customHeight="1" hidden="1">
      <c r="I600" s="77"/>
      <c r="J600" s="78"/>
      <c r="K600" s="78"/>
      <c r="L600" t="s" s="79">
        <v>63</v>
      </c>
      <c r="M600" s="80">
        <v>1</v>
      </c>
      <c r="N600" s="81">
        <v>36.65</v>
      </c>
      <c r="O600" s="81">
        <v>36.65</v>
      </c>
    </row>
    <row r="601" ht="9" customHeight="1" hidden="1">
      <c r="I601" s="82"/>
      <c r="J601" s="83"/>
      <c r="K601" s="84">
        <v>45047</v>
      </c>
      <c r="L601" s="85"/>
      <c r="M601" s="28">
        <v>4</v>
      </c>
      <c r="N601" s="29">
        <v>59.1425</v>
      </c>
      <c r="O601" s="29">
        <v>104.1275</v>
      </c>
    </row>
    <row r="602" ht="9" customHeight="1" hidden="1">
      <c r="I602" s="82"/>
      <c r="J602" t="s" s="86">
        <v>5582</v>
      </c>
      <c r="K602" s="87"/>
      <c r="L602" s="85"/>
      <c r="M602" s="28">
        <v>4</v>
      </c>
      <c r="N602" s="29">
        <v>59.1425</v>
      </c>
      <c r="O602" s="29">
        <v>104.1275</v>
      </c>
    </row>
    <row r="603" ht="9" customHeight="1" hidden="1">
      <c r="I603" s="77"/>
      <c r="J603" s="78"/>
      <c r="K603" s="78"/>
      <c r="L603" t="s" s="79">
        <v>48</v>
      </c>
      <c r="M603" s="80">
        <v>1</v>
      </c>
      <c r="N603" s="81">
        <v>900</v>
      </c>
      <c r="O603" s="81">
        <v>900</v>
      </c>
    </row>
    <row r="604" ht="9" customHeight="1" hidden="1">
      <c r="I604" s="77"/>
      <c r="J604" s="78"/>
      <c r="K604" s="78"/>
      <c r="L604" t="s" s="79">
        <v>207</v>
      </c>
      <c r="M604" s="80">
        <v>6</v>
      </c>
      <c r="N604" s="81">
        <v>0</v>
      </c>
      <c r="O604" s="81">
        <v>0</v>
      </c>
    </row>
    <row r="605" ht="9" customHeight="1" hidden="1">
      <c r="I605" s="77"/>
      <c r="J605" s="78"/>
      <c r="K605" s="78"/>
      <c r="L605" t="s" s="79">
        <v>63</v>
      </c>
      <c r="M605" s="80">
        <v>1</v>
      </c>
      <c r="N605" s="81">
        <v>75</v>
      </c>
      <c r="O605" s="81">
        <v>75</v>
      </c>
    </row>
    <row r="606" ht="9" customHeight="1" hidden="1">
      <c r="I606" s="82"/>
      <c r="J606" s="83"/>
      <c r="K606" s="84">
        <v>45047</v>
      </c>
      <c r="L606" s="85"/>
      <c r="M606" s="28">
        <v>8</v>
      </c>
      <c r="N606" s="29">
        <v>975</v>
      </c>
      <c r="O606" s="29">
        <v>975</v>
      </c>
    </row>
    <row r="607" ht="9" customHeight="1" hidden="1">
      <c r="I607" s="82"/>
      <c r="J607" t="s" s="86">
        <v>5531</v>
      </c>
      <c r="K607" s="87"/>
      <c r="L607" s="85"/>
      <c r="M607" s="28">
        <v>8</v>
      </c>
      <c r="N607" s="29">
        <v>975</v>
      </c>
      <c r="O607" s="29">
        <v>975</v>
      </c>
    </row>
    <row r="608" ht="9" customHeight="1" hidden="1">
      <c r="I608" s="77"/>
      <c r="J608" s="78"/>
      <c r="K608" s="78"/>
      <c r="L608" t="s" s="79">
        <v>5469</v>
      </c>
      <c r="M608" s="80">
        <v>1</v>
      </c>
      <c r="N608" s="81">
        <v>150</v>
      </c>
      <c r="O608" s="81">
        <v>150</v>
      </c>
    </row>
    <row r="609" ht="9" customHeight="1" hidden="1">
      <c r="I609" s="77"/>
      <c r="J609" s="78"/>
      <c r="K609" s="78"/>
      <c r="L609" t="s" s="79">
        <v>165</v>
      </c>
      <c r="M609" s="80">
        <v>4</v>
      </c>
      <c r="N609" s="81">
        <v>0</v>
      </c>
      <c r="O609" s="81">
        <v>0</v>
      </c>
    </row>
    <row r="610" ht="9" customHeight="1" hidden="1">
      <c r="I610" s="77"/>
      <c r="J610" s="78"/>
      <c r="K610" s="78"/>
      <c r="L610" t="s" s="79">
        <v>227</v>
      </c>
      <c r="M610" s="80">
        <v>4</v>
      </c>
      <c r="N610" s="81">
        <v>0</v>
      </c>
      <c r="O610" s="81">
        <v>0</v>
      </c>
    </row>
    <row r="611" ht="9" customHeight="1" hidden="1">
      <c r="I611" s="77"/>
      <c r="J611" s="78"/>
      <c r="K611" s="78"/>
      <c r="L611" t="s" s="79">
        <v>225</v>
      </c>
      <c r="M611" s="80">
        <v>4</v>
      </c>
      <c r="N611" s="81">
        <v>374.9925</v>
      </c>
      <c r="O611" s="81">
        <v>1499.97</v>
      </c>
    </row>
    <row r="612" ht="9" customHeight="1" hidden="1">
      <c r="I612" s="77"/>
      <c r="J612" s="78"/>
      <c r="K612" s="78"/>
      <c r="L612" t="s" s="79">
        <v>50</v>
      </c>
      <c r="M612" s="80">
        <v>8</v>
      </c>
      <c r="N612" s="81">
        <v>22.4925</v>
      </c>
      <c r="O612" s="81">
        <v>89.97</v>
      </c>
    </row>
    <row r="613" ht="9" customHeight="1" hidden="1">
      <c r="I613" s="77"/>
      <c r="J613" s="78"/>
      <c r="K613" s="78"/>
      <c r="L613" t="s" s="79">
        <v>48</v>
      </c>
      <c r="M613" s="80">
        <v>2</v>
      </c>
      <c r="N613" s="81">
        <v>900</v>
      </c>
      <c r="O613" s="81">
        <v>1800</v>
      </c>
    </row>
    <row r="614" ht="9" customHeight="1" hidden="1">
      <c r="I614" s="77"/>
      <c r="J614" s="78"/>
      <c r="K614" s="78"/>
      <c r="L614" t="s" s="79">
        <v>59</v>
      </c>
      <c r="M614" s="80">
        <v>1</v>
      </c>
      <c r="N614" s="81">
        <v>899.9924999999999</v>
      </c>
      <c r="O614" s="81">
        <v>899.9924999999999</v>
      </c>
    </row>
    <row r="615" ht="9" customHeight="1" hidden="1">
      <c r="I615" s="77"/>
      <c r="J615" s="78"/>
      <c r="K615" s="78"/>
      <c r="L615" t="s" s="79">
        <v>5470</v>
      </c>
      <c r="M615" s="80">
        <v>1</v>
      </c>
      <c r="N615" s="81">
        <v>40</v>
      </c>
      <c r="O615" s="81">
        <v>40</v>
      </c>
    </row>
    <row r="616" ht="9" customHeight="1" hidden="1">
      <c r="I616" s="77"/>
      <c r="J616" s="78"/>
      <c r="K616" s="78"/>
      <c r="L616" t="s" s="79">
        <v>47</v>
      </c>
      <c r="M616" s="80">
        <v>1</v>
      </c>
      <c r="N616" s="81">
        <v>236.42</v>
      </c>
      <c r="O616" s="81">
        <v>236.42</v>
      </c>
    </row>
    <row r="617" ht="9" customHeight="1" hidden="1">
      <c r="I617" s="82"/>
      <c r="J617" s="83"/>
      <c r="K617" s="84">
        <v>45047</v>
      </c>
      <c r="L617" s="85"/>
      <c r="M617" s="28">
        <v>26</v>
      </c>
      <c r="N617" s="29">
        <v>2623.8975</v>
      </c>
      <c r="O617" s="29">
        <v>4716.3525</v>
      </c>
    </row>
    <row r="618" ht="9" customHeight="1" hidden="1">
      <c r="I618" s="82"/>
      <c r="J618" t="s" s="86">
        <v>5476</v>
      </c>
      <c r="K618" s="87"/>
      <c r="L618" s="85"/>
      <c r="M618" s="28">
        <v>26</v>
      </c>
      <c r="N618" s="29">
        <v>2623.8975</v>
      </c>
      <c r="O618" s="29">
        <v>4716.3525</v>
      </c>
    </row>
    <row r="619" ht="9" customHeight="1" hidden="1">
      <c r="I619" s="77"/>
      <c r="J619" s="78"/>
      <c r="K619" s="78"/>
      <c r="L619" t="s" s="79">
        <v>4124</v>
      </c>
      <c r="M619" s="80">
        <v>10</v>
      </c>
      <c r="N619" s="81">
        <v>38.625</v>
      </c>
      <c r="O619" s="81">
        <v>386.25</v>
      </c>
    </row>
    <row r="620" ht="9" customHeight="1" hidden="1">
      <c r="I620" s="77"/>
      <c r="J620" s="78"/>
      <c r="K620" s="78"/>
      <c r="L620" t="s" s="79">
        <v>63</v>
      </c>
      <c r="M620" s="80">
        <v>1</v>
      </c>
      <c r="N620" s="81">
        <v>100</v>
      </c>
      <c r="O620" s="81">
        <v>100</v>
      </c>
    </row>
    <row r="621" ht="9" customHeight="1" hidden="1">
      <c r="I621" s="77"/>
      <c r="J621" s="78"/>
      <c r="K621" s="78"/>
      <c r="L621" t="s" s="79">
        <v>5463</v>
      </c>
      <c r="M621" s="80">
        <v>4</v>
      </c>
      <c r="N621" s="81">
        <v>22.5</v>
      </c>
      <c r="O621" s="81">
        <v>90</v>
      </c>
    </row>
    <row r="622" ht="9" customHeight="1" hidden="1">
      <c r="I622" s="82"/>
      <c r="J622" s="83"/>
      <c r="K622" s="84">
        <v>45047</v>
      </c>
      <c r="L622" s="85"/>
      <c r="M622" s="28">
        <v>15</v>
      </c>
      <c r="N622" s="29">
        <v>161.125</v>
      </c>
      <c r="O622" s="29">
        <v>576.25</v>
      </c>
    </row>
    <row r="623" ht="9" customHeight="1" hidden="1">
      <c r="I623" s="82"/>
      <c r="J623" t="s" s="86">
        <v>5462</v>
      </c>
      <c r="K623" s="87"/>
      <c r="L623" s="85"/>
      <c r="M623" s="28">
        <v>15</v>
      </c>
      <c r="N623" s="29">
        <v>161.125</v>
      </c>
      <c r="O623" s="29">
        <v>576.25</v>
      </c>
    </row>
    <row r="624" ht="9" customHeight="1" hidden="1">
      <c r="I624" s="77"/>
      <c r="J624" s="78"/>
      <c r="K624" s="78"/>
      <c r="L624" t="s" s="79">
        <v>2099</v>
      </c>
      <c r="M624" s="80">
        <v>10</v>
      </c>
      <c r="N624" s="81">
        <v>56.625</v>
      </c>
      <c r="O624" s="81">
        <v>566.25</v>
      </c>
    </row>
    <row r="625" ht="9" customHeight="1" hidden="1">
      <c r="I625" s="77"/>
      <c r="J625" s="78"/>
      <c r="K625" s="78"/>
      <c r="L625" t="s" s="79">
        <v>3513</v>
      </c>
      <c r="M625" s="80">
        <v>4</v>
      </c>
      <c r="N625" s="81">
        <v>111.375</v>
      </c>
      <c r="O625" s="81">
        <v>445.5</v>
      </c>
    </row>
    <row r="626" ht="9" customHeight="1" hidden="1">
      <c r="I626" s="77"/>
      <c r="J626" s="78"/>
      <c r="K626" s="78"/>
      <c r="L626" t="s" s="79">
        <v>5418</v>
      </c>
      <c r="M626" s="80">
        <v>6</v>
      </c>
      <c r="N626" s="81">
        <v>203.8125</v>
      </c>
      <c r="O626" s="81">
        <v>1222.875</v>
      </c>
    </row>
    <row r="627" ht="9" customHeight="1" hidden="1">
      <c r="I627" s="77"/>
      <c r="J627" s="78"/>
      <c r="K627" s="78"/>
      <c r="L627" t="s" s="79">
        <v>63</v>
      </c>
      <c r="M627" s="80">
        <v>1</v>
      </c>
      <c r="N627" s="81">
        <v>180.6</v>
      </c>
      <c r="O627" s="81">
        <v>180.6</v>
      </c>
    </row>
    <row r="628" ht="9" customHeight="1" hidden="1">
      <c r="I628" s="82"/>
      <c r="J628" s="83"/>
      <c r="K628" s="84">
        <v>45047</v>
      </c>
      <c r="L628" s="85"/>
      <c r="M628" s="28">
        <v>21</v>
      </c>
      <c r="N628" s="29">
        <v>552.4125</v>
      </c>
      <c r="O628" s="29">
        <v>2415.225</v>
      </c>
    </row>
    <row r="629" ht="9" customHeight="1" hidden="1">
      <c r="I629" s="82"/>
      <c r="J629" t="s" s="86">
        <v>5417</v>
      </c>
      <c r="K629" s="87"/>
      <c r="L629" s="85"/>
      <c r="M629" s="28">
        <v>21</v>
      </c>
      <c r="N629" s="29">
        <v>552.4125</v>
      </c>
      <c r="O629" s="29">
        <v>2415.225</v>
      </c>
    </row>
    <row r="630" ht="9" customHeight="1" hidden="1">
      <c r="I630" s="77"/>
      <c r="J630" s="78"/>
      <c r="K630" s="78"/>
      <c r="L630" t="s" s="79">
        <v>2099</v>
      </c>
      <c r="M630" s="80">
        <v>4</v>
      </c>
      <c r="N630" s="81">
        <v>56.625</v>
      </c>
      <c r="O630" s="81">
        <v>226.5</v>
      </c>
    </row>
    <row r="631" ht="9" customHeight="1" hidden="1">
      <c r="I631" s="77"/>
      <c r="J631" s="78"/>
      <c r="K631" s="78"/>
      <c r="L631" t="s" s="79">
        <v>5469</v>
      </c>
      <c r="M631" s="80">
        <v>1</v>
      </c>
      <c r="N631" s="81">
        <v>150</v>
      </c>
      <c r="O631" s="81">
        <v>150</v>
      </c>
    </row>
    <row r="632" ht="9" customHeight="1" hidden="1">
      <c r="I632" s="77"/>
      <c r="J632" s="78"/>
      <c r="K632" s="78"/>
      <c r="L632" t="s" s="79">
        <v>165</v>
      </c>
      <c r="M632" s="80">
        <v>4</v>
      </c>
      <c r="N632" s="81">
        <v>0</v>
      </c>
      <c r="O632" s="81">
        <v>0</v>
      </c>
    </row>
    <row r="633" ht="9" customHeight="1" hidden="1">
      <c r="I633" s="77"/>
      <c r="J633" s="78"/>
      <c r="K633" s="78"/>
      <c r="L633" t="s" s="79">
        <v>227</v>
      </c>
      <c r="M633" s="80">
        <v>4</v>
      </c>
      <c r="N633" s="81">
        <v>22.4925</v>
      </c>
      <c r="O633" s="81">
        <v>89.97</v>
      </c>
    </row>
    <row r="634" ht="9" customHeight="1" hidden="1">
      <c r="I634" s="77"/>
      <c r="J634" s="78"/>
      <c r="K634" s="78"/>
      <c r="L634" t="s" s="79">
        <v>225</v>
      </c>
      <c r="M634" s="80">
        <v>4</v>
      </c>
      <c r="N634" s="81">
        <v>374.9925</v>
      </c>
      <c r="O634" s="81">
        <v>1499.97</v>
      </c>
    </row>
    <row r="635" ht="9" customHeight="1" hidden="1">
      <c r="I635" s="77"/>
      <c r="J635" s="78"/>
      <c r="K635" s="78"/>
      <c r="L635" t="s" s="79">
        <v>50</v>
      </c>
      <c r="M635" s="80">
        <v>4</v>
      </c>
      <c r="N635" s="81">
        <v>22.4925</v>
      </c>
      <c r="O635" s="81">
        <v>89.97</v>
      </c>
    </row>
    <row r="636" ht="9" customHeight="1" hidden="1">
      <c r="I636" s="77"/>
      <c r="J636" s="78"/>
      <c r="K636" s="78"/>
      <c r="L636" t="s" s="79">
        <v>59</v>
      </c>
      <c r="M636" s="80">
        <v>1</v>
      </c>
      <c r="N636" s="81">
        <v>899.9924999999999</v>
      </c>
      <c r="O636" s="81">
        <v>899.9924999999999</v>
      </c>
    </row>
    <row r="637" ht="9" customHeight="1" hidden="1">
      <c r="I637" s="77"/>
      <c r="J637" s="78"/>
      <c r="K637" s="78"/>
      <c r="L637" t="s" s="79">
        <v>5470</v>
      </c>
      <c r="M637" s="80">
        <v>1</v>
      </c>
      <c r="N637" s="81">
        <v>40</v>
      </c>
      <c r="O637" s="81">
        <v>40</v>
      </c>
    </row>
    <row r="638" ht="9" customHeight="1" hidden="1">
      <c r="I638" s="77"/>
      <c r="J638" s="78"/>
      <c r="K638" s="78"/>
      <c r="L638" t="s" s="79">
        <v>47</v>
      </c>
      <c r="M638" s="80">
        <v>1</v>
      </c>
      <c r="N638" s="81">
        <v>85</v>
      </c>
      <c r="O638" s="81">
        <v>85</v>
      </c>
    </row>
    <row r="639" ht="9" customHeight="1" hidden="1">
      <c r="I639" s="82"/>
      <c r="J639" s="83"/>
      <c r="K639" s="84">
        <v>45047</v>
      </c>
      <c r="L639" s="85"/>
      <c r="M639" s="28">
        <v>24</v>
      </c>
      <c r="N639" s="29">
        <v>1651.595</v>
      </c>
      <c r="O639" s="29">
        <v>3081.4025</v>
      </c>
    </row>
    <row r="640" ht="9" customHeight="1" hidden="1">
      <c r="I640" s="82"/>
      <c r="J640" t="s" s="86">
        <v>5467</v>
      </c>
      <c r="K640" s="87"/>
      <c r="L640" s="85"/>
      <c r="M640" s="28">
        <v>24</v>
      </c>
      <c r="N640" s="29">
        <v>1651.595</v>
      </c>
      <c r="O640" s="29">
        <v>3081.4025</v>
      </c>
    </row>
    <row r="641" ht="9" customHeight="1" hidden="1">
      <c r="I641" s="77"/>
      <c r="J641" s="78"/>
      <c r="K641" s="78"/>
      <c r="L641" t="s" s="79">
        <v>1007</v>
      </c>
      <c r="M641" s="80">
        <v>6</v>
      </c>
      <c r="N641" s="81">
        <v>0</v>
      </c>
      <c r="O641" s="81">
        <v>0</v>
      </c>
    </row>
    <row r="642" ht="9" customHeight="1" hidden="1">
      <c r="I642" s="77"/>
      <c r="J642" s="78"/>
      <c r="K642" s="78"/>
      <c r="L642" t="s" s="79">
        <v>5381</v>
      </c>
      <c r="M642" s="80">
        <v>6</v>
      </c>
      <c r="N642" s="81">
        <v>224.9925</v>
      </c>
      <c r="O642" s="81">
        <v>1349.955</v>
      </c>
    </row>
    <row r="643" ht="9" customHeight="1" hidden="1">
      <c r="I643" s="82"/>
      <c r="J643" s="83"/>
      <c r="K643" s="84">
        <v>45047</v>
      </c>
      <c r="L643" s="85"/>
      <c r="M643" s="28">
        <v>12</v>
      </c>
      <c r="N643" s="29">
        <v>224.9925</v>
      </c>
      <c r="O643" s="29">
        <v>1349.955</v>
      </c>
    </row>
    <row r="644" ht="9" customHeight="1" hidden="1">
      <c r="I644" s="82"/>
      <c r="J644" t="s" s="86">
        <v>5380</v>
      </c>
      <c r="K644" s="87"/>
      <c r="L644" s="85"/>
      <c r="M644" s="28">
        <v>12</v>
      </c>
      <c r="N644" s="29">
        <v>224.9925</v>
      </c>
      <c r="O644" s="29">
        <v>1349.955</v>
      </c>
    </row>
    <row r="645" ht="9" customHeight="1" hidden="1">
      <c r="I645" s="77"/>
      <c r="J645" s="78"/>
      <c r="K645" s="78"/>
      <c r="L645" t="s" s="79">
        <v>1007</v>
      </c>
      <c r="M645" s="80">
        <v>8</v>
      </c>
      <c r="N645" s="81">
        <v>0</v>
      </c>
      <c r="O645" s="81">
        <v>0</v>
      </c>
    </row>
    <row r="646" ht="9" customHeight="1" hidden="1">
      <c r="I646" s="77"/>
      <c r="J646" s="78"/>
      <c r="K646" s="78"/>
      <c r="L646" t="s" s="79">
        <v>227</v>
      </c>
      <c r="M646" s="80">
        <v>4</v>
      </c>
      <c r="N646" s="81">
        <v>0</v>
      </c>
      <c r="O646" s="81">
        <v>0</v>
      </c>
    </row>
    <row r="647" ht="9" customHeight="1" hidden="1">
      <c r="I647" s="77"/>
      <c r="J647" s="78"/>
      <c r="K647" s="78"/>
      <c r="L647" t="s" s="79">
        <v>225</v>
      </c>
      <c r="M647" s="80">
        <v>4</v>
      </c>
      <c r="N647" s="81">
        <v>374.9925</v>
      </c>
      <c r="O647" s="81">
        <v>1499.97</v>
      </c>
    </row>
    <row r="648" ht="9" customHeight="1" hidden="1">
      <c r="I648" s="77"/>
      <c r="J648" s="78"/>
      <c r="K648" s="78"/>
      <c r="L648" t="s" s="79">
        <v>602</v>
      </c>
      <c r="M648" s="80">
        <v>8</v>
      </c>
      <c r="N648" s="81">
        <v>224.9925</v>
      </c>
      <c r="O648" s="81">
        <v>1799.94</v>
      </c>
    </row>
    <row r="649" ht="9" customHeight="1" hidden="1">
      <c r="I649" s="77"/>
      <c r="J649" s="78"/>
      <c r="K649" s="78"/>
      <c r="L649" t="s" s="79">
        <v>50</v>
      </c>
      <c r="M649" s="80">
        <v>4</v>
      </c>
      <c r="N649" s="81">
        <v>22.4925</v>
      </c>
      <c r="O649" s="81">
        <v>89.97</v>
      </c>
    </row>
    <row r="650" ht="9" customHeight="1" hidden="1">
      <c r="I650" s="77"/>
      <c r="J650" s="78"/>
      <c r="K650" s="78"/>
      <c r="L650" t="s" s="79">
        <v>47</v>
      </c>
      <c r="M650" s="80">
        <v>1</v>
      </c>
      <c r="N650" s="81">
        <v>105</v>
      </c>
      <c r="O650" s="81">
        <v>105</v>
      </c>
    </row>
    <row r="651" ht="9" customHeight="1" hidden="1">
      <c r="I651" s="82"/>
      <c r="J651" s="83"/>
      <c r="K651" s="84">
        <v>45047</v>
      </c>
      <c r="L651" s="85"/>
      <c r="M651" s="28">
        <v>29</v>
      </c>
      <c r="N651" s="29">
        <v>727.4775</v>
      </c>
      <c r="O651" s="29">
        <v>3494.88</v>
      </c>
    </row>
    <row r="652" ht="9" customHeight="1" hidden="1">
      <c r="I652" s="82"/>
      <c r="J652" t="s" s="86">
        <v>5479</v>
      </c>
      <c r="K652" s="87"/>
      <c r="L652" s="85"/>
      <c r="M652" s="28">
        <v>29</v>
      </c>
      <c r="N652" s="29">
        <v>727.4775</v>
      </c>
      <c r="O652" s="29">
        <v>3494.88</v>
      </c>
    </row>
    <row r="653" ht="16.1" customHeight="1">
      <c r="I653" t="s" s="126">
        <v>391</v>
      </c>
      <c r="J653" s="127"/>
      <c r="K653" s="127"/>
      <c r="L653" s="128"/>
      <c r="M653" s="129">
        <v>139</v>
      </c>
      <c r="N653" s="142">
        <v>6975.6425</v>
      </c>
      <c r="O653" s="142">
        <v>16713.1925</v>
      </c>
    </row>
    <row r="654" ht="9" customHeight="1" hidden="1">
      <c r="I654" s="77"/>
      <c r="J654" s="78"/>
      <c r="K654" s="78"/>
      <c r="L654" t="s" s="79">
        <v>171</v>
      </c>
      <c r="M654" s="80">
        <v>1</v>
      </c>
      <c r="N654" s="81">
        <v>494.991</v>
      </c>
      <c r="O654" s="81">
        <v>494.991</v>
      </c>
    </row>
    <row r="655" ht="9" customHeight="1" hidden="1">
      <c r="I655" s="82"/>
      <c r="J655" s="83"/>
      <c r="K655" s="84">
        <v>45047</v>
      </c>
      <c r="L655" s="85"/>
      <c r="M655" s="28">
        <v>1</v>
      </c>
      <c r="N655" s="29">
        <v>494.991</v>
      </c>
      <c r="O655" s="29">
        <v>494.991</v>
      </c>
    </row>
    <row r="656" ht="9" customHeight="1" hidden="1">
      <c r="I656" s="82"/>
      <c r="J656" t="s" s="86">
        <v>5596</v>
      </c>
      <c r="K656" s="87"/>
      <c r="L656" s="85"/>
      <c r="M656" s="28">
        <v>1</v>
      </c>
      <c r="N656" s="29">
        <v>494.991</v>
      </c>
      <c r="O656" s="29">
        <v>494.991</v>
      </c>
    </row>
    <row r="657" ht="9" customHeight="1" hidden="1">
      <c r="I657" s="77"/>
      <c r="J657" s="78"/>
      <c r="K657" s="78"/>
      <c r="L657" t="s" s="79">
        <v>11</v>
      </c>
      <c r="M657" s="80">
        <v>1</v>
      </c>
      <c r="N657" s="81">
        <v>359.991</v>
      </c>
      <c r="O657" s="81">
        <v>359.991</v>
      </c>
    </row>
    <row r="658" ht="9" customHeight="1" hidden="1">
      <c r="I658" s="82"/>
      <c r="J658" s="83"/>
      <c r="K658" s="84">
        <v>45047</v>
      </c>
      <c r="L658" s="85"/>
      <c r="M658" s="28">
        <v>1</v>
      </c>
      <c r="N658" s="29">
        <v>359.991</v>
      </c>
      <c r="O658" s="29">
        <v>359.991</v>
      </c>
    </row>
    <row r="659" ht="9" customHeight="1" hidden="1">
      <c r="I659" s="82"/>
      <c r="J659" t="s" s="86">
        <v>5444</v>
      </c>
      <c r="K659" s="87"/>
      <c r="L659" s="85"/>
      <c r="M659" s="28">
        <v>1</v>
      </c>
      <c r="N659" s="29">
        <v>359.991</v>
      </c>
      <c r="O659" s="29">
        <v>359.991</v>
      </c>
    </row>
    <row r="660" ht="9" customHeight="1" hidden="1">
      <c r="I660" s="77"/>
      <c r="J660" s="78"/>
      <c r="K660" s="78"/>
      <c r="L660" t="s" s="79">
        <v>11</v>
      </c>
      <c r="M660" s="80">
        <v>1</v>
      </c>
      <c r="N660" s="81">
        <v>359.991</v>
      </c>
      <c r="O660" s="81">
        <v>359.991</v>
      </c>
    </row>
    <row r="661" ht="9" customHeight="1" hidden="1">
      <c r="I661" s="82"/>
      <c r="J661" s="83"/>
      <c r="K661" s="84">
        <v>45047</v>
      </c>
      <c r="L661" s="85"/>
      <c r="M661" s="28">
        <v>1</v>
      </c>
      <c r="N661" s="29">
        <v>359.991</v>
      </c>
      <c r="O661" s="29">
        <v>359.991</v>
      </c>
    </row>
    <row r="662" ht="9" customHeight="1" hidden="1">
      <c r="I662" s="82"/>
      <c r="J662" t="s" s="86">
        <v>5441</v>
      </c>
      <c r="K662" s="87"/>
      <c r="L662" s="85"/>
      <c r="M662" s="28">
        <v>1</v>
      </c>
      <c r="N662" s="29">
        <v>359.991</v>
      </c>
      <c r="O662" s="29">
        <v>359.991</v>
      </c>
    </row>
    <row r="663" ht="16.1" customHeight="1">
      <c r="I663" t="s" s="126">
        <v>2940</v>
      </c>
      <c r="J663" s="127"/>
      <c r="K663" s="127"/>
      <c r="L663" s="128"/>
      <c r="M663" s="129">
        <v>3</v>
      </c>
      <c r="N663" s="142">
        <v>1214.973</v>
      </c>
      <c r="O663" s="142">
        <v>1214.973</v>
      </c>
    </row>
    <row r="664" ht="9" customHeight="1" hidden="1">
      <c r="I664" s="77"/>
      <c r="J664" s="78"/>
      <c r="K664" s="78"/>
      <c r="L664" t="s" s="79">
        <v>84</v>
      </c>
      <c r="M664" s="80">
        <v>4</v>
      </c>
      <c r="N664" s="81">
        <v>0</v>
      </c>
      <c r="O664" s="81">
        <v>0</v>
      </c>
    </row>
    <row r="665" ht="9" customHeight="1" hidden="1">
      <c r="I665" s="77"/>
      <c r="J665" s="78"/>
      <c r="K665" s="78"/>
      <c r="L665" t="s" s="79">
        <v>602</v>
      </c>
      <c r="M665" s="80">
        <v>4</v>
      </c>
      <c r="N665" s="81">
        <v>175</v>
      </c>
      <c r="O665" s="81">
        <v>700</v>
      </c>
    </row>
    <row r="666" ht="9" customHeight="1" hidden="1">
      <c r="I666" s="77"/>
      <c r="J666" s="78"/>
      <c r="K666" s="78"/>
      <c r="L666" t="s" s="79">
        <v>81</v>
      </c>
      <c r="M666" s="80">
        <v>4</v>
      </c>
      <c r="N666" s="81">
        <v>849.99</v>
      </c>
      <c r="O666" s="81">
        <v>3399.96</v>
      </c>
    </row>
    <row r="667" ht="9" customHeight="1" hidden="1">
      <c r="I667" s="77"/>
      <c r="J667" s="78"/>
      <c r="K667" s="78"/>
      <c r="L667" t="s" s="79">
        <v>50</v>
      </c>
      <c r="M667" s="80">
        <v>4</v>
      </c>
      <c r="N667" s="81">
        <v>0</v>
      </c>
      <c r="O667" s="81">
        <v>0</v>
      </c>
    </row>
    <row r="668" ht="9" customHeight="1" hidden="1">
      <c r="I668" s="77"/>
      <c r="J668" s="78"/>
      <c r="K668" s="78"/>
      <c r="L668" t="s" s="79">
        <v>73</v>
      </c>
      <c r="M668" s="80">
        <v>1</v>
      </c>
      <c r="N668" s="81">
        <v>399.99</v>
      </c>
      <c r="O668" s="81">
        <v>399.99</v>
      </c>
    </row>
    <row r="669" ht="9" customHeight="1" hidden="1">
      <c r="I669" s="82"/>
      <c r="J669" s="83"/>
      <c r="K669" s="84">
        <v>45047</v>
      </c>
      <c r="L669" s="85"/>
      <c r="M669" s="28">
        <v>17</v>
      </c>
      <c r="N669" s="29">
        <v>1424.98</v>
      </c>
      <c r="O669" s="29">
        <v>4499.95</v>
      </c>
    </row>
    <row r="670" ht="9" customHeight="1" hidden="1">
      <c r="I670" s="82"/>
      <c r="J670" t="s" s="86">
        <v>5424</v>
      </c>
      <c r="K670" s="87"/>
      <c r="L670" s="85"/>
      <c r="M670" s="28">
        <v>17</v>
      </c>
      <c r="N670" s="29">
        <v>1424.98</v>
      </c>
      <c r="O670" s="29">
        <v>4499.95</v>
      </c>
    </row>
    <row r="671" ht="16.1" customHeight="1">
      <c r="I671" t="s" s="126">
        <v>5425</v>
      </c>
      <c r="J671" s="127"/>
      <c r="K671" s="127"/>
      <c r="L671" s="128"/>
      <c r="M671" s="129">
        <v>17</v>
      </c>
      <c r="N671" s="142">
        <v>1424.98</v>
      </c>
      <c r="O671" s="142">
        <v>4499.95</v>
      </c>
    </row>
    <row r="672" ht="9" customHeight="1" hidden="1">
      <c r="I672" s="77"/>
      <c r="J672" s="78"/>
      <c r="K672" s="78"/>
      <c r="L672" t="s" s="79">
        <v>84</v>
      </c>
      <c r="M672" s="80">
        <v>2</v>
      </c>
      <c r="N672" s="81">
        <v>0</v>
      </c>
      <c r="O672" s="81">
        <v>0</v>
      </c>
    </row>
    <row r="673" ht="9" customHeight="1" hidden="1">
      <c r="I673" s="77"/>
      <c r="J673" s="78"/>
      <c r="K673" s="78"/>
      <c r="L673" t="s" s="79">
        <v>23</v>
      </c>
      <c r="M673" s="80">
        <v>2</v>
      </c>
      <c r="N673" s="81">
        <v>0</v>
      </c>
      <c r="O673" s="81">
        <v>0</v>
      </c>
    </row>
    <row r="674" ht="9" customHeight="1" hidden="1">
      <c r="I674" s="77"/>
      <c r="J674" s="78"/>
      <c r="K674" s="78"/>
      <c r="L674" t="s" s="79">
        <v>81</v>
      </c>
      <c r="M674" s="80">
        <v>2</v>
      </c>
      <c r="N674" s="81">
        <v>849.99</v>
      </c>
      <c r="O674" s="81">
        <v>1699.98</v>
      </c>
    </row>
    <row r="675" ht="9" customHeight="1" hidden="1">
      <c r="I675" s="77"/>
      <c r="J675" s="78"/>
      <c r="K675" s="78"/>
      <c r="L675" t="s" s="79">
        <v>50</v>
      </c>
      <c r="M675" s="80">
        <v>2</v>
      </c>
      <c r="N675" s="81">
        <v>0</v>
      </c>
      <c r="O675" s="81">
        <v>0</v>
      </c>
    </row>
    <row r="676" ht="9" customHeight="1" hidden="1">
      <c r="I676" s="82"/>
      <c r="J676" s="83"/>
      <c r="K676" s="84">
        <v>45047</v>
      </c>
      <c r="L676" s="85"/>
      <c r="M676" s="28">
        <v>8</v>
      </c>
      <c r="N676" s="29">
        <v>849.99</v>
      </c>
      <c r="O676" s="29">
        <v>1699.98</v>
      </c>
    </row>
    <row r="677" ht="9" customHeight="1" hidden="1">
      <c r="I677" s="82"/>
      <c r="J677" t="s" s="86">
        <v>5591</v>
      </c>
      <c r="K677" s="87"/>
      <c r="L677" s="85"/>
      <c r="M677" s="28">
        <v>8</v>
      </c>
      <c r="N677" s="29">
        <v>849.99</v>
      </c>
      <c r="O677" s="29">
        <v>1699.98</v>
      </c>
    </row>
    <row r="678" ht="16.1" customHeight="1">
      <c r="I678" t="s" s="126">
        <v>5592</v>
      </c>
      <c r="J678" s="127"/>
      <c r="K678" s="127"/>
      <c r="L678" s="128"/>
      <c r="M678" s="129">
        <v>8</v>
      </c>
      <c r="N678" s="142">
        <v>849.99</v>
      </c>
      <c r="O678" s="142">
        <v>1699.98</v>
      </c>
    </row>
    <row r="679" ht="9" customHeight="1" hidden="1">
      <c r="I679" s="77"/>
      <c r="J679" s="78"/>
      <c r="K679" s="78"/>
      <c r="L679" t="s" s="79">
        <v>54</v>
      </c>
      <c r="M679" s="80">
        <v>1</v>
      </c>
      <c r="N679" s="81">
        <v>9.99</v>
      </c>
      <c r="O679" s="81">
        <v>9.99</v>
      </c>
    </row>
    <row r="680" ht="9" customHeight="1" hidden="1">
      <c r="I680" s="77"/>
      <c r="J680" s="78"/>
      <c r="K680" s="78"/>
      <c r="L680" t="s" s="79">
        <v>15</v>
      </c>
      <c r="M680" s="80">
        <v>1</v>
      </c>
      <c r="N680" s="81">
        <v>8.99</v>
      </c>
      <c r="O680" s="81">
        <v>8.99</v>
      </c>
    </row>
    <row r="681" ht="9" customHeight="1" hidden="1">
      <c r="I681" s="82"/>
      <c r="J681" s="83"/>
      <c r="K681" s="84">
        <v>45047</v>
      </c>
      <c r="L681" s="85"/>
      <c r="M681" s="28">
        <v>2</v>
      </c>
      <c r="N681" s="29">
        <v>18.98</v>
      </c>
      <c r="O681" s="29">
        <v>18.98</v>
      </c>
    </row>
    <row r="682" ht="9" customHeight="1" hidden="1">
      <c r="I682" s="82"/>
      <c r="J682" t="s" s="86">
        <v>5593</v>
      </c>
      <c r="K682" s="87"/>
      <c r="L682" s="85"/>
      <c r="M682" s="28">
        <v>2</v>
      </c>
      <c r="N682" s="29">
        <v>18.98</v>
      </c>
      <c r="O682" s="29">
        <v>18.98</v>
      </c>
    </row>
    <row r="683" ht="9" customHeight="1" hidden="1">
      <c r="I683" s="77"/>
      <c r="J683" s="78"/>
      <c r="K683" s="78"/>
      <c r="L683" t="s" s="79">
        <v>1731</v>
      </c>
      <c r="M683" s="80">
        <v>1</v>
      </c>
      <c r="N683" s="81">
        <v>24.99</v>
      </c>
      <c r="O683" s="81">
        <v>24.99</v>
      </c>
    </row>
    <row r="684" ht="9" customHeight="1" hidden="1">
      <c r="I684" s="77"/>
      <c r="J684" s="78"/>
      <c r="K684" s="78"/>
      <c r="L684" t="s" s="79">
        <v>1729</v>
      </c>
      <c r="M684" s="80">
        <v>1</v>
      </c>
      <c r="N684" s="81">
        <v>14.99</v>
      </c>
      <c r="O684" s="81">
        <v>14.99</v>
      </c>
    </row>
    <row r="685" ht="9" customHeight="1" hidden="1">
      <c r="I685" s="82"/>
      <c r="J685" s="83"/>
      <c r="K685" s="84">
        <v>45047</v>
      </c>
      <c r="L685" s="85"/>
      <c r="M685" s="28">
        <v>2</v>
      </c>
      <c r="N685" s="29">
        <v>39.98</v>
      </c>
      <c r="O685" s="29">
        <v>39.98</v>
      </c>
    </row>
    <row r="686" ht="9" customHeight="1" hidden="1">
      <c r="I686" s="82"/>
      <c r="J686" t="s" s="86">
        <v>5512</v>
      </c>
      <c r="K686" s="87"/>
      <c r="L686" s="85"/>
      <c r="M686" s="28">
        <v>2</v>
      </c>
      <c r="N686" s="29">
        <v>39.98</v>
      </c>
      <c r="O686" s="29">
        <v>39.98</v>
      </c>
    </row>
    <row r="687" ht="16.1" customHeight="1">
      <c r="I687" t="s" s="126">
        <v>5513</v>
      </c>
      <c r="J687" s="127"/>
      <c r="K687" s="127"/>
      <c r="L687" s="128"/>
      <c r="M687" s="129">
        <v>4</v>
      </c>
      <c r="N687" s="142">
        <v>58.96</v>
      </c>
      <c r="O687" s="142">
        <v>58.96</v>
      </c>
    </row>
    <row r="688" ht="9" customHeight="1" hidden="1">
      <c r="I688" s="77"/>
      <c r="J688" s="78"/>
      <c r="K688" s="78"/>
      <c r="L688" t="s" s="79">
        <v>133</v>
      </c>
      <c r="M688" s="80">
        <v>1</v>
      </c>
      <c r="N688" s="81">
        <v>199.99</v>
      </c>
      <c r="O688" s="81">
        <v>199.99</v>
      </c>
    </row>
    <row r="689" ht="9" customHeight="1" hidden="1">
      <c r="I689" s="82"/>
      <c r="J689" s="83"/>
      <c r="K689" s="84">
        <v>45047</v>
      </c>
      <c r="L689" s="85"/>
      <c r="M689" s="28">
        <v>1</v>
      </c>
      <c r="N689" s="29">
        <v>199.99</v>
      </c>
      <c r="O689" s="29">
        <v>199.99</v>
      </c>
    </row>
    <row r="690" ht="9" customHeight="1" hidden="1">
      <c r="I690" s="82"/>
      <c r="J690" t="s" s="86">
        <v>5514</v>
      </c>
      <c r="K690" s="87"/>
      <c r="L690" s="85"/>
      <c r="M690" s="28">
        <v>1</v>
      </c>
      <c r="N690" s="29">
        <v>199.99</v>
      </c>
      <c r="O690" s="29">
        <v>199.99</v>
      </c>
    </row>
    <row r="691" ht="16.1" customHeight="1">
      <c r="I691" t="s" s="126">
        <v>3792</v>
      </c>
      <c r="J691" s="127"/>
      <c r="K691" s="127"/>
      <c r="L691" s="128"/>
      <c r="M691" s="129">
        <v>1</v>
      </c>
      <c r="N691" s="142">
        <v>199.99</v>
      </c>
      <c r="O691" s="142">
        <v>199.99</v>
      </c>
    </row>
    <row r="692" ht="9" customHeight="1" hidden="1">
      <c r="I692" s="77"/>
      <c r="J692" s="78"/>
      <c r="K692" s="78"/>
      <c r="L692" t="s" s="79">
        <v>73</v>
      </c>
      <c r="M692" s="80">
        <v>1</v>
      </c>
      <c r="N692" s="81">
        <v>399.99</v>
      </c>
      <c r="O692" s="81">
        <v>399.99</v>
      </c>
    </row>
    <row r="693" ht="9" customHeight="1" hidden="1">
      <c r="I693" s="82"/>
      <c r="J693" s="83"/>
      <c r="K693" s="84">
        <v>45047</v>
      </c>
      <c r="L693" s="85"/>
      <c r="M693" s="28">
        <v>1</v>
      </c>
      <c r="N693" s="29">
        <v>399.99</v>
      </c>
      <c r="O693" s="29">
        <v>399.99</v>
      </c>
    </row>
    <row r="694" ht="9" customHeight="1" hidden="1">
      <c r="I694" s="82"/>
      <c r="J694" t="s" s="86">
        <v>5547</v>
      </c>
      <c r="K694" s="87"/>
      <c r="L694" s="85"/>
      <c r="M694" s="28">
        <v>1</v>
      </c>
      <c r="N694" s="29">
        <v>399.99</v>
      </c>
      <c r="O694" s="29">
        <v>399.99</v>
      </c>
    </row>
    <row r="695" ht="16.1" customHeight="1">
      <c r="I695" t="s" s="126">
        <v>5548</v>
      </c>
      <c r="J695" s="127"/>
      <c r="K695" s="127"/>
      <c r="L695" s="128"/>
      <c r="M695" s="129">
        <v>1</v>
      </c>
      <c r="N695" s="142">
        <v>399.99</v>
      </c>
      <c r="O695" s="142">
        <v>399.99</v>
      </c>
    </row>
    <row r="696" ht="9" customHeight="1" hidden="1">
      <c r="I696" s="77"/>
      <c r="J696" s="78"/>
      <c r="K696" s="78"/>
      <c r="L696" t="s" s="79">
        <v>125</v>
      </c>
      <c r="M696" s="80">
        <v>10</v>
      </c>
      <c r="N696" s="81">
        <v>64.98999999999999</v>
      </c>
      <c r="O696" s="81">
        <v>649.9</v>
      </c>
    </row>
    <row r="697" ht="9" customHeight="1" hidden="1">
      <c r="I697" s="77"/>
      <c r="J697" s="78"/>
      <c r="K697" s="78"/>
      <c r="L697" t="s" s="79">
        <v>299</v>
      </c>
      <c r="M697" s="80">
        <v>2</v>
      </c>
      <c r="N697" s="81">
        <v>69.98999999999999</v>
      </c>
      <c r="O697" s="81">
        <v>139.98</v>
      </c>
    </row>
    <row r="698" ht="9" customHeight="1" hidden="1">
      <c r="I698" s="77"/>
      <c r="J698" s="78"/>
      <c r="K698" s="78"/>
      <c r="L698" t="s" s="79">
        <v>15</v>
      </c>
      <c r="M698" s="80">
        <v>2</v>
      </c>
      <c r="N698" s="81">
        <v>0</v>
      </c>
      <c r="O698" s="81">
        <v>0</v>
      </c>
    </row>
    <row r="699" ht="9" customHeight="1" hidden="1">
      <c r="I699" s="77"/>
      <c r="J699" s="78"/>
      <c r="K699" s="78"/>
      <c r="L699" t="s" s="79">
        <v>861</v>
      </c>
      <c r="M699" s="80">
        <v>1</v>
      </c>
      <c r="N699" s="81">
        <v>69.11</v>
      </c>
      <c r="O699" s="81">
        <v>69.11</v>
      </c>
    </row>
    <row r="700" ht="9" customHeight="1" hidden="1">
      <c r="I700" s="82"/>
      <c r="J700" s="83"/>
      <c r="K700" s="84">
        <v>45047</v>
      </c>
      <c r="L700" s="85"/>
      <c r="M700" s="28">
        <v>15</v>
      </c>
      <c r="N700" s="29">
        <v>204.09</v>
      </c>
      <c r="O700" s="29">
        <v>858.99</v>
      </c>
    </row>
    <row r="701" ht="9" customHeight="1" hidden="1">
      <c r="I701" s="82"/>
      <c r="J701" t="s" s="86">
        <v>5522</v>
      </c>
      <c r="K701" s="87"/>
      <c r="L701" s="85"/>
      <c r="M701" s="28">
        <v>15</v>
      </c>
      <c r="N701" s="29">
        <v>204.09</v>
      </c>
      <c r="O701" s="29">
        <v>858.99</v>
      </c>
    </row>
    <row r="702" ht="16.1" customHeight="1">
      <c r="I702" t="s" s="126">
        <v>3189</v>
      </c>
      <c r="J702" s="127"/>
      <c r="K702" s="127"/>
      <c r="L702" s="128"/>
      <c r="M702" s="129">
        <v>15</v>
      </c>
      <c r="N702" s="142">
        <v>204.09</v>
      </c>
      <c r="O702" s="142">
        <v>858.99</v>
      </c>
    </row>
    <row r="703" ht="9" customHeight="1" hidden="1">
      <c r="I703" s="77"/>
      <c r="J703" s="78"/>
      <c r="K703" s="78"/>
      <c r="L703" t="s" s="79">
        <v>125</v>
      </c>
      <c r="M703" s="80">
        <v>8</v>
      </c>
      <c r="N703" s="81">
        <v>64.98999999999999</v>
      </c>
      <c r="O703" s="81">
        <v>519.92</v>
      </c>
    </row>
    <row r="704" ht="9" customHeight="1" hidden="1">
      <c r="I704" s="77"/>
      <c r="J704" s="78"/>
      <c r="K704" s="78"/>
      <c r="L704" t="s" s="79">
        <v>1069</v>
      </c>
      <c r="M704" s="80">
        <v>7</v>
      </c>
      <c r="N704" s="81">
        <v>99.98999999999999</v>
      </c>
      <c r="O704" s="81">
        <v>699.9299999999999</v>
      </c>
    </row>
    <row r="705" ht="9" customHeight="1" hidden="1">
      <c r="I705" s="77"/>
      <c r="J705" s="78"/>
      <c r="K705" s="78"/>
      <c r="L705" t="s" s="79">
        <v>15</v>
      </c>
      <c r="M705" s="80">
        <v>2</v>
      </c>
      <c r="N705" s="81">
        <v>9.99</v>
      </c>
      <c r="O705" s="81">
        <v>19.98</v>
      </c>
    </row>
    <row r="706" ht="9" customHeight="1" hidden="1">
      <c r="I706" s="77"/>
      <c r="J706" s="78"/>
      <c r="K706" s="78"/>
      <c r="L706" t="s" s="79">
        <v>442</v>
      </c>
      <c r="M706" s="80">
        <v>1</v>
      </c>
      <c r="N706" s="81">
        <v>-309.9575</v>
      </c>
      <c r="O706" s="81">
        <v>-309.9575</v>
      </c>
    </row>
    <row r="707" ht="9" customHeight="1" hidden="1">
      <c r="I707" s="77"/>
      <c r="J707" s="78"/>
      <c r="K707" s="78"/>
      <c r="L707" t="s" s="79">
        <v>63</v>
      </c>
      <c r="M707" s="80">
        <v>1</v>
      </c>
      <c r="N707" s="81">
        <v>45</v>
      </c>
      <c r="O707" s="81">
        <v>45</v>
      </c>
    </row>
    <row r="708" ht="9" customHeight="1" hidden="1">
      <c r="I708" s="82"/>
      <c r="J708" s="83"/>
      <c r="K708" s="84">
        <v>45047</v>
      </c>
      <c r="L708" s="85"/>
      <c r="M708" s="28">
        <v>19</v>
      </c>
      <c r="N708" s="29">
        <v>-89.9875</v>
      </c>
      <c r="O708" s="29">
        <v>974.8724999999999</v>
      </c>
    </row>
    <row r="709" ht="9" customHeight="1" hidden="1">
      <c r="I709" s="82"/>
      <c r="J709" t="s" s="86">
        <v>5575</v>
      </c>
      <c r="K709" s="87"/>
      <c r="L709" s="85"/>
      <c r="M709" s="28">
        <v>19</v>
      </c>
      <c r="N709" s="29">
        <v>-89.9875</v>
      </c>
      <c r="O709" s="29">
        <v>974.8724999999999</v>
      </c>
    </row>
    <row r="710" ht="16.1" customHeight="1">
      <c r="I710" t="s" s="126">
        <v>5576</v>
      </c>
      <c r="J710" s="127"/>
      <c r="K710" s="127"/>
      <c r="L710" s="128"/>
      <c r="M710" s="129">
        <v>19</v>
      </c>
      <c r="N710" s="142">
        <v>-89.9875</v>
      </c>
      <c r="O710" s="142">
        <v>974.8724999999999</v>
      </c>
    </row>
    <row r="711" ht="9" customHeight="1" hidden="1">
      <c r="I711" s="77"/>
      <c r="J711" s="78"/>
      <c r="K711" s="78"/>
      <c r="L711" t="s" s="79">
        <v>31</v>
      </c>
      <c r="M711" s="80">
        <v>1</v>
      </c>
      <c r="N711" s="81">
        <v>574.99</v>
      </c>
      <c r="O711" s="81">
        <v>574.99</v>
      </c>
    </row>
    <row r="712" ht="9" customHeight="1" hidden="1">
      <c r="I712" s="82"/>
      <c r="J712" s="83"/>
      <c r="K712" s="84">
        <v>45047</v>
      </c>
      <c r="L712" s="85"/>
      <c r="M712" s="28">
        <v>1</v>
      </c>
      <c r="N712" s="29">
        <v>574.99</v>
      </c>
      <c r="O712" s="29">
        <v>574.99</v>
      </c>
    </row>
    <row r="713" ht="9" customHeight="1" hidden="1">
      <c r="I713" s="82"/>
      <c r="J713" t="s" s="86">
        <v>5510</v>
      </c>
      <c r="K713" s="87"/>
      <c r="L713" s="85"/>
      <c r="M713" s="28">
        <v>1</v>
      </c>
      <c r="N713" s="29">
        <v>574.99</v>
      </c>
      <c r="O713" s="29">
        <v>574.99</v>
      </c>
    </row>
    <row r="714" ht="16.1" customHeight="1">
      <c r="I714" t="s" s="126">
        <v>5511</v>
      </c>
      <c r="J714" s="127"/>
      <c r="K714" s="127"/>
      <c r="L714" s="128"/>
      <c r="M714" s="129">
        <v>1</v>
      </c>
      <c r="N714" s="142">
        <v>574.99</v>
      </c>
      <c r="O714" s="142">
        <v>574.99</v>
      </c>
    </row>
    <row r="715" ht="9" customHeight="1" hidden="1">
      <c r="I715" s="77"/>
      <c r="J715" s="78"/>
      <c r="K715" s="78"/>
      <c r="L715" t="s" s="79">
        <v>15</v>
      </c>
      <c r="M715" s="80">
        <v>5</v>
      </c>
      <c r="N715" s="81">
        <v>8.99</v>
      </c>
      <c r="O715" s="81">
        <v>44.95</v>
      </c>
    </row>
    <row r="716" ht="9" customHeight="1" hidden="1">
      <c r="I716" s="82"/>
      <c r="J716" s="83"/>
      <c r="K716" s="84">
        <v>45047</v>
      </c>
      <c r="L716" s="85"/>
      <c r="M716" s="28">
        <v>5</v>
      </c>
      <c r="N716" s="29">
        <v>8.99</v>
      </c>
      <c r="O716" s="29">
        <v>44.95</v>
      </c>
    </row>
    <row r="717" ht="9" customHeight="1" hidden="1">
      <c r="I717" s="82"/>
      <c r="J717" t="s" s="86">
        <v>5490</v>
      </c>
      <c r="K717" s="87"/>
      <c r="L717" s="85"/>
      <c r="M717" s="28">
        <v>5</v>
      </c>
      <c r="N717" s="29">
        <v>8.99</v>
      </c>
      <c r="O717" s="29">
        <v>44.95</v>
      </c>
    </row>
    <row r="718" ht="16.1" customHeight="1">
      <c r="I718" t="s" s="126">
        <v>5199</v>
      </c>
      <c r="J718" s="127"/>
      <c r="K718" s="127"/>
      <c r="L718" s="128"/>
      <c r="M718" s="129">
        <v>5</v>
      </c>
      <c r="N718" s="142">
        <v>8.99</v>
      </c>
      <c r="O718" s="142">
        <v>44.95</v>
      </c>
    </row>
    <row r="719" ht="9" customHeight="1" hidden="1">
      <c r="I719" s="77"/>
      <c r="J719" s="78"/>
      <c r="K719" s="78"/>
      <c r="L719" t="s" s="79">
        <v>31</v>
      </c>
      <c r="M719" s="80">
        <v>1</v>
      </c>
      <c r="N719" s="81">
        <v>599.99</v>
      </c>
      <c r="O719" s="81">
        <v>599.99</v>
      </c>
    </row>
    <row r="720" ht="9" customHeight="1" hidden="1">
      <c r="I720" s="82"/>
      <c r="J720" s="83"/>
      <c r="K720" s="84">
        <v>45047</v>
      </c>
      <c r="L720" s="85"/>
      <c r="M720" s="28">
        <v>1</v>
      </c>
      <c r="N720" s="29">
        <v>599.99</v>
      </c>
      <c r="O720" s="29">
        <v>599.99</v>
      </c>
    </row>
    <row r="721" ht="9" customHeight="1" hidden="1">
      <c r="I721" s="82"/>
      <c r="J721" t="s" s="86">
        <v>5374</v>
      </c>
      <c r="K721" s="87"/>
      <c r="L721" s="85"/>
      <c r="M721" s="28">
        <v>1</v>
      </c>
      <c r="N721" s="29">
        <v>599.99</v>
      </c>
      <c r="O721" s="29">
        <v>599.99</v>
      </c>
    </row>
    <row r="722" ht="16.1" customHeight="1">
      <c r="I722" t="s" s="126">
        <v>5375</v>
      </c>
      <c r="J722" s="127"/>
      <c r="K722" s="127"/>
      <c r="L722" s="128"/>
      <c r="M722" s="129">
        <v>1</v>
      </c>
      <c r="N722" s="142">
        <v>599.99</v>
      </c>
      <c r="O722" s="142">
        <v>599.99</v>
      </c>
    </row>
    <row r="723" ht="9" customHeight="1" hidden="1">
      <c r="I723" s="77"/>
      <c r="J723" s="78"/>
      <c r="K723" s="78"/>
      <c r="L723" t="s" s="79">
        <v>171</v>
      </c>
      <c r="M723" s="80">
        <v>1</v>
      </c>
      <c r="N723" s="81">
        <v>549.99</v>
      </c>
      <c r="O723" s="81">
        <v>549.99</v>
      </c>
    </row>
    <row r="724" ht="9" customHeight="1" hidden="1">
      <c r="I724" s="82"/>
      <c r="J724" s="83"/>
      <c r="K724" s="84">
        <v>45047</v>
      </c>
      <c r="L724" s="85"/>
      <c r="M724" s="28">
        <v>1</v>
      </c>
      <c r="N724" s="29">
        <v>549.99</v>
      </c>
      <c r="O724" s="29">
        <v>549.99</v>
      </c>
    </row>
    <row r="725" ht="9" customHeight="1" hidden="1">
      <c r="I725" s="82"/>
      <c r="J725" t="s" s="86">
        <v>5583</v>
      </c>
      <c r="K725" s="87"/>
      <c r="L725" s="85"/>
      <c r="M725" s="28">
        <v>1</v>
      </c>
      <c r="N725" s="29">
        <v>549.99</v>
      </c>
      <c r="O725" s="29">
        <v>549.99</v>
      </c>
    </row>
    <row r="726" ht="16.1" customHeight="1">
      <c r="I726" t="s" s="126">
        <v>1751</v>
      </c>
      <c r="J726" s="127"/>
      <c r="K726" s="127"/>
      <c r="L726" s="128"/>
      <c r="M726" s="129">
        <v>1</v>
      </c>
      <c r="N726" s="142">
        <v>549.99</v>
      </c>
      <c r="O726" s="142">
        <v>549.99</v>
      </c>
    </row>
    <row r="727" ht="9" customHeight="1" hidden="1">
      <c r="I727" s="77"/>
      <c r="J727" s="78"/>
      <c r="K727" s="78"/>
      <c r="L727" t="s" s="79">
        <v>19</v>
      </c>
      <c r="M727" s="80">
        <v>4</v>
      </c>
      <c r="N727" s="81">
        <v>89.99250000000001</v>
      </c>
      <c r="O727" s="81">
        <v>359.97</v>
      </c>
    </row>
    <row r="728" ht="9" customHeight="1" hidden="1">
      <c r="I728" s="77"/>
      <c r="J728" s="78"/>
      <c r="K728" s="78"/>
      <c r="L728" t="s" s="79">
        <v>84</v>
      </c>
      <c r="M728" s="80">
        <v>2</v>
      </c>
      <c r="N728" s="81">
        <v>0</v>
      </c>
      <c r="O728" s="81">
        <v>0</v>
      </c>
    </row>
    <row r="729" ht="9" customHeight="1" hidden="1">
      <c r="I729" s="77"/>
      <c r="J729" s="78"/>
      <c r="K729" s="78"/>
      <c r="L729" t="s" s="79">
        <v>23</v>
      </c>
      <c r="M729" s="80">
        <v>2</v>
      </c>
      <c r="N729" s="81">
        <v>0</v>
      </c>
      <c r="O729" s="81">
        <v>0</v>
      </c>
    </row>
    <row r="730" ht="9" customHeight="1" hidden="1">
      <c r="I730" s="77"/>
      <c r="J730" s="78"/>
      <c r="K730" s="78"/>
      <c r="L730" t="s" s="79">
        <v>722</v>
      </c>
      <c r="M730" s="80">
        <v>2</v>
      </c>
      <c r="N730" s="81">
        <v>652.4924999999999</v>
      </c>
      <c r="O730" s="81">
        <v>1304.985</v>
      </c>
    </row>
    <row r="731" ht="9" customHeight="1" hidden="1">
      <c r="I731" s="77"/>
      <c r="J731" s="78"/>
      <c r="K731" s="78"/>
      <c r="L731" t="s" s="79">
        <v>15</v>
      </c>
      <c r="M731" s="80">
        <v>4</v>
      </c>
      <c r="N731" s="81">
        <v>0</v>
      </c>
      <c r="O731" s="81">
        <v>0</v>
      </c>
    </row>
    <row r="732" ht="9" customHeight="1" hidden="1">
      <c r="I732" s="77"/>
      <c r="J732" s="78"/>
      <c r="K732" s="78"/>
      <c r="L732" t="s" s="79">
        <v>5274</v>
      </c>
      <c r="M732" s="80">
        <v>1</v>
      </c>
      <c r="N732" s="81">
        <v>49.95</v>
      </c>
      <c r="O732" s="81">
        <v>49.95</v>
      </c>
    </row>
    <row r="733" ht="9" customHeight="1" hidden="1">
      <c r="I733" s="82"/>
      <c r="J733" s="83"/>
      <c r="K733" s="84">
        <v>45047</v>
      </c>
      <c r="L733" s="85"/>
      <c r="M733" s="28">
        <v>15</v>
      </c>
      <c r="N733" s="29">
        <v>792.4349999999999</v>
      </c>
      <c r="O733" s="29">
        <v>1714.905</v>
      </c>
    </row>
    <row r="734" ht="9" customHeight="1" hidden="1">
      <c r="I734" s="82"/>
      <c r="J734" t="s" s="86">
        <v>5529</v>
      </c>
      <c r="K734" s="87"/>
      <c r="L734" s="85"/>
      <c r="M734" s="28">
        <v>15</v>
      </c>
      <c r="N734" s="29">
        <v>792.4349999999999</v>
      </c>
      <c r="O734" s="29">
        <v>1714.905</v>
      </c>
    </row>
    <row r="735" ht="16.1" customHeight="1">
      <c r="I735" t="s" s="126">
        <v>4609</v>
      </c>
      <c r="J735" s="127"/>
      <c r="K735" s="127"/>
      <c r="L735" s="128"/>
      <c r="M735" s="129">
        <v>15</v>
      </c>
      <c r="N735" s="142">
        <v>792.4349999999999</v>
      </c>
      <c r="O735" s="142">
        <v>1714.905</v>
      </c>
    </row>
    <row r="736" ht="9" customHeight="1" hidden="1">
      <c r="I736" s="77"/>
      <c r="J736" s="78"/>
      <c r="K736" s="78"/>
      <c r="L736" t="s" s="79">
        <v>31</v>
      </c>
      <c r="M736" s="80">
        <v>1</v>
      </c>
      <c r="N736" s="81">
        <v>599.99</v>
      </c>
      <c r="O736" s="81">
        <v>599.99</v>
      </c>
    </row>
    <row r="737" ht="9" customHeight="1" hidden="1">
      <c r="I737" s="82"/>
      <c r="J737" s="83"/>
      <c r="K737" s="84">
        <v>45047</v>
      </c>
      <c r="L737" s="85"/>
      <c r="M737" s="28">
        <v>1</v>
      </c>
      <c r="N737" s="29">
        <v>599.99</v>
      </c>
      <c r="O737" s="29">
        <v>599.99</v>
      </c>
    </row>
    <row r="738" ht="9" customHeight="1" hidden="1">
      <c r="I738" s="82"/>
      <c r="J738" t="s" s="86">
        <v>5541</v>
      </c>
      <c r="K738" s="87"/>
      <c r="L738" s="85"/>
      <c r="M738" s="28">
        <v>1</v>
      </c>
      <c r="N738" s="29">
        <v>599.99</v>
      </c>
      <c r="O738" s="29">
        <v>599.99</v>
      </c>
    </row>
    <row r="739" ht="16.1" customHeight="1">
      <c r="I739" t="s" s="126">
        <v>735</v>
      </c>
      <c r="J739" s="127"/>
      <c r="K739" s="127"/>
      <c r="L739" s="128"/>
      <c r="M739" s="129">
        <v>1</v>
      </c>
      <c r="N739" s="142">
        <v>599.99</v>
      </c>
      <c r="O739" s="142">
        <v>599.99</v>
      </c>
    </row>
    <row r="740" ht="9" customHeight="1" hidden="1">
      <c r="I740" s="77"/>
      <c r="J740" s="78"/>
      <c r="K740" s="78"/>
      <c r="L740" t="s" s="79">
        <v>73</v>
      </c>
      <c r="M740" s="80">
        <v>1</v>
      </c>
      <c r="N740" s="81">
        <v>399.99</v>
      </c>
      <c r="O740" s="81">
        <v>399.99</v>
      </c>
    </row>
    <row r="741" ht="9" customHeight="1" hidden="1">
      <c r="I741" s="82"/>
      <c r="J741" s="83"/>
      <c r="K741" s="84">
        <v>45047</v>
      </c>
      <c r="L741" s="85"/>
      <c r="M741" s="28">
        <v>1</v>
      </c>
      <c r="N741" s="29">
        <v>399.99</v>
      </c>
      <c r="O741" s="29">
        <v>399.99</v>
      </c>
    </row>
    <row r="742" ht="9" customHeight="1" hidden="1">
      <c r="I742" s="82"/>
      <c r="J742" t="s" s="86">
        <v>5433</v>
      </c>
      <c r="K742" s="87"/>
      <c r="L742" s="85"/>
      <c r="M742" s="28">
        <v>1</v>
      </c>
      <c r="N742" s="29">
        <v>399.99</v>
      </c>
      <c r="O742" s="29">
        <v>399.99</v>
      </c>
    </row>
    <row r="743" ht="16.1" customHeight="1">
      <c r="I743" t="s" s="126">
        <v>5434</v>
      </c>
      <c r="J743" s="127"/>
      <c r="K743" s="127"/>
      <c r="L743" s="128"/>
      <c r="M743" s="129">
        <v>1</v>
      </c>
      <c r="N743" s="142">
        <v>399.99</v>
      </c>
      <c r="O743" s="142">
        <v>399.99</v>
      </c>
    </row>
    <row r="744" ht="9" customHeight="1" hidden="1">
      <c r="I744" s="77"/>
      <c r="J744" s="78"/>
      <c r="K744" s="78"/>
      <c r="L744" t="s" s="79">
        <v>95</v>
      </c>
      <c r="M744" s="80">
        <v>1</v>
      </c>
      <c r="N744" s="81">
        <v>349.99</v>
      </c>
      <c r="O744" s="81">
        <v>349.99</v>
      </c>
    </row>
    <row r="745" ht="9" customHeight="1" hidden="1">
      <c r="I745" s="82"/>
      <c r="J745" s="83"/>
      <c r="K745" s="84">
        <v>45047</v>
      </c>
      <c r="L745" s="85"/>
      <c r="M745" s="28">
        <v>1</v>
      </c>
      <c r="N745" s="29">
        <v>349.99</v>
      </c>
      <c r="O745" s="29">
        <v>349.99</v>
      </c>
    </row>
    <row r="746" ht="9" customHeight="1" hidden="1">
      <c r="I746" s="82"/>
      <c r="J746" t="s" s="86">
        <v>5356</v>
      </c>
      <c r="K746" s="87"/>
      <c r="L746" s="85"/>
      <c r="M746" s="28">
        <v>1</v>
      </c>
      <c r="N746" s="29">
        <v>349.99</v>
      </c>
      <c r="O746" s="29">
        <v>349.99</v>
      </c>
    </row>
    <row r="747" ht="16.1" customHeight="1">
      <c r="I747" t="s" s="126">
        <v>5357</v>
      </c>
      <c r="J747" s="127"/>
      <c r="K747" s="127"/>
      <c r="L747" s="128"/>
      <c r="M747" s="129">
        <v>1</v>
      </c>
      <c r="N747" s="142">
        <v>349.99</v>
      </c>
      <c r="O747" s="142">
        <v>349.99</v>
      </c>
    </row>
    <row r="748" ht="9" customHeight="1" hidden="1">
      <c r="I748" s="77"/>
      <c r="J748" s="78"/>
      <c r="K748" s="78"/>
      <c r="L748" t="s" s="79">
        <v>59</v>
      </c>
      <c r="M748" s="80">
        <v>1</v>
      </c>
      <c r="N748" s="81">
        <v>899.9924999999999</v>
      </c>
      <c r="O748" s="81">
        <v>899.9924999999999</v>
      </c>
    </row>
    <row r="749" ht="9" customHeight="1" hidden="1">
      <c r="I749" s="77"/>
      <c r="J749" s="78"/>
      <c r="K749" s="78"/>
      <c r="L749" t="s" s="79">
        <v>63</v>
      </c>
      <c r="M749" s="80">
        <v>1</v>
      </c>
      <c r="N749" s="81">
        <v>30</v>
      </c>
      <c r="O749" s="81">
        <v>30</v>
      </c>
    </row>
    <row r="750" ht="9" customHeight="1" hidden="1">
      <c r="I750" s="82"/>
      <c r="J750" s="83"/>
      <c r="K750" s="84">
        <v>45047</v>
      </c>
      <c r="L750" s="85"/>
      <c r="M750" s="28">
        <v>2</v>
      </c>
      <c r="N750" s="29">
        <v>929.9924999999999</v>
      </c>
      <c r="O750" s="29">
        <v>929.9924999999999</v>
      </c>
    </row>
    <row r="751" ht="9" customHeight="1" hidden="1">
      <c r="I751" s="82"/>
      <c r="J751" t="s" s="86">
        <v>5533</v>
      </c>
      <c r="K751" s="87"/>
      <c r="L751" s="85"/>
      <c r="M751" s="28">
        <v>2</v>
      </c>
      <c r="N751" s="29">
        <v>929.9924999999999</v>
      </c>
      <c r="O751" s="29">
        <v>929.9924999999999</v>
      </c>
    </row>
    <row r="752" ht="9" customHeight="1" hidden="1">
      <c r="I752" s="77"/>
      <c r="J752" s="78"/>
      <c r="K752" s="78"/>
      <c r="L752" t="s" s="79">
        <v>5450</v>
      </c>
      <c r="M752" s="80">
        <v>1</v>
      </c>
      <c r="N752" s="81">
        <v>24</v>
      </c>
      <c r="O752" s="81">
        <v>24</v>
      </c>
    </row>
    <row r="753" ht="9" customHeight="1" hidden="1">
      <c r="I753" s="77"/>
      <c r="J753" s="78"/>
      <c r="K753" s="78"/>
      <c r="L753" t="s" s="79">
        <v>5448</v>
      </c>
      <c r="M753" s="80">
        <v>1</v>
      </c>
      <c r="N753" s="81">
        <v>800</v>
      </c>
      <c r="O753" s="81">
        <v>800</v>
      </c>
    </row>
    <row r="754" ht="9" customHeight="1" hidden="1">
      <c r="I754" s="77"/>
      <c r="J754" s="78"/>
      <c r="K754" s="78"/>
      <c r="L754" t="s" s="79">
        <v>5452</v>
      </c>
      <c r="M754" s="80">
        <v>2</v>
      </c>
      <c r="N754" s="81">
        <v>20</v>
      </c>
      <c r="O754" s="81">
        <v>40</v>
      </c>
    </row>
    <row r="755" ht="9" customHeight="1" hidden="1">
      <c r="I755" s="77"/>
      <c r="J755" s="78"/>
      <c r="K755" s="78"/>
      <c r="L755" t="s" s="79">
        <v>530</v>
      </c>
      <c r="M755" s="80">
        <v>2</v>
      </c>
      <c r="N755" s="81">
        <v>20</v>
      </c>
      <c r="O755" s="81">
        <v>40</v>
      </c>
    </row>
    <row r="756" ht="9" customHeight="1" hidden="1">
      <c r="I756" s="77"/>
      <c r="J756" s="78"/>
      <c r="K756" s="78"/>
      <c r="L756" t="s" s="79">
        <v>5457</v>
      </c>
      <c r="M756" s="80">
        <v>1</v>
      </c>
      <c r="N756" s="81">
        <v>50</v>
      </c>
      <c r="O756" s="81">
        <v>50</v>
      </c>
    </row>
    <row r="757" ht="9" customHeight="1" hidden="1">
      <c r="I757" s="77"/>
      <c r="J757" s="78"/>
      <c r="K757" s="78"/>
      <c r="L757" t="s" s="79">
        <v>63</v>
      </c>
      <c r="M757" s="80">
        <v>1</v>
      </c>
      <c r="N757" s="81">
        <v>40</v>
      </c>
      <c r="O757" s="81">
        <v>40</v>
      </c>
    </row>
    <row r="758" ht="9" customHeight="1" hidden="1">
      <c r="I758" s="77"/>
      <c r="J758" s="78"/>
      <c r="K758" s="78"/>
      <c r="L758" t="s" s="79">
        <v>5454</v>
      </c>
      <c r="M758" s="80">
        <v>1</v>
      </c>
      <c r="N758" s="81">
        <v>30</v>
      </c>
      <c r="O758" s="81">
        <v>30</v>
      </c>
    </row>
    <row r="759" ht="9" customHeight="1" hidden="1">
      <c r="I759" s="82"/>
      <c r="J759" s="83"/>
      <c r="K759" s="84">
        <v>45047</v>
      </c>
      <c r="L759" s="85"/>
      <c r="M759" s="28">
        <v>9</v>
      </c>
      <c r="N759" s="29">
        <v>984</v>
      </c>
      <c r="O759" s="29">
        <v>1024</v>
      </c>
    </row>
    <row r="760" ht="9" customHeight="1" hidden="1">
      <c r="I760" s="82"/>
      <c r="J760" t="s" s="86">
        <v>5461</v>
      </c>
      <c r="K760" s="87"/>
      <c r="L760" s="85"/>
      <c r="M760" s="28">
        <v>9</v>
      </c>
      <c r="N760" s="29">
        <v>984</v>
      </c>
      <c r="O760" s="29">
        <v>1024</v>
      </c>
    </row>
    <row r="761" ht="9" customHeight="1" hidden="1">
      <c r="I761" s="77"/>
      <c r="J761" s="78"/>
      <c r="K761" s="78"/>
      <c r="L761" t="s" s="79">
        <v>5335</v>
      </c>
      <c r="M761" s="80">
        <v>2</v>
      </c>
      <c r="N761" s="81">
        <v>675</v>
      </c>
      <c r="O761" s="81">
        <v>1350</v>
      </c>
    </row>
    <row r="762" ht="9" customHeight="1" hidden="1">
      <c r="I762" s="82"/>
      <c r="J762" s="83"/>
      <c r="K762" s="84">
        <v>45047</v>
      </c>
      <c r="L762" s="85"/>
      <c r="M762" s="28">
        <v>2</v>
      </c>
      <c r="N762" s="29">
        <v>675</v>
      </c>
      <c r="O762" s="29">
        <v>1350</v>
      </c>
    </row>
    <row r="763" ht="9" customHeight="1" hidden="1">
      <c r="I763" s="82"/>
      <c r="J763" t="s" s="86">
        <v>5334</v>
      </c>
      <c r="K763" s="87"/>
      <c r="L763" s="85"/>
      <c r="M763" s="28">
        <v>2</v>
      </c>
      <c r="N763" s="29">
        <v>675</v>
      </c>
      <c r="O763" s="29">
        <v>1350</v>
      </c>
    </row>
    <row r="764" ht="9" customHeight="1" hidden="1">
      <c r="I764" s="77"/>
      <c r="J764" s="78"/>
      <c r="K764" s="78"/>
      <c r="L764" t="s" s="79">
        <v>5450</v>
      </c>
      <c r="M764" s="80">
        <v>9</v>
      </c>
      <c r="N764" s="81">
        <v>24</v>
      </c>
      <c r="O764" s="81">
        <v>216</v>
      </c>
    </row>
    <row r="765" ht="9" customHeight="1" hidden="1">
      <c r="I765" s="77"/>
      <c r="J765" s="78"/>
      <c r="K765" s="78"/>
      <c r="L765" t="s" s="79">
        <v>59</v>
      </c>
      <c r="M765" s="80">
        <v>2</v>
      </c>
      <c r="N765" s="81">
        <v>899.9924999999999</v>
      </c>
      <c r="O765" s="81">
        <v>1799.985</v>
      </c>
    </row>
    <row r="766" ht="9" customHeight="1" hidden="1">
      <c r="I766" s="77"/>
      <c r="J766" s="78"/>
      <c r="K766" s="78"/>
      <c r="L766" t="s" s="79">
        <v>5448</v>
      </c>
      <c r="M766" s="80">
        <v>9</v>
      </c>
      <c r="N766" s="81">
        <v>800</v>
      </c>
      <c r="O766" s="81">
        <v>7200</v>
      </c>
    </row>
    <row r="767" ht="9" customHeight="1" hidden="1">
      <c r="I767" s="77"/>
      <c r="J767" s="78"/>
      <c r="K767" s="78"/>
      <c r="L767" t="s" s="79">
        <v>5459</v>
      </c>
      <c r="M767" s="80">
        <v>1</v>
      </c>
      <c r="N767" s="81">
        <v>-6000</v>
      </c>
      <c r="O767" s="81">
        <v>-6000</v>
      </c>
    </row>
    <row r="768" ht="9" customHeight="1" hidden="1">
      <c r="I768" s="77"/>
      <c r="J768" s="78"/>
      <c r="K768" s="78"/>
      <c r="L768" t="s" s="79">
        <v>5452</v>
      </c>
      <c r="M768" s="80">
        <v>18</v>
      </c>
      <c r="N768" s="81">
        <v>20</v>
      </c>
      <c r="O768" s="81">
        <v>360</v>
      </c>
    </row>
    <row r="769" ht="9" customHeight="1" hidden="1">
      <c r="I769" s="77"/>
      <c r="J769" s="78"/>
      <c r="K769" s="78"/>
      <c r="L769" t="s" s="79">
        <v>530</v>
      </c>
      <c r="M769" s="80">
        <v>18</v>
      </c>
      <c r="N769" s="81">
        <v>20</v>
      </c>
      <c r="O769" s="81">
        <v>360</v>
      </c>
    </row>
    <row r="770" ht="9" customHeight="1" hidden="1">
      <c r="I770" s="77"/>
      <c r="J770" s="78"/>
      <c r="K770" s="78"/>
      <c r="L770" t="s" s="79">
        <v>5457</v>
      </c>
      <c r="M770" s="80">
        <v>1</v>
      </c>
      <c r="N770" s="81">
        <v>300</v>
      </c>
      <c r="O770" s="81">
        <v>300</v>
      </c>
    </row>
    <row r="771" ht="9" customHeight="1" hidden="1">
      <c r="I771" s="77"/>
      <c r="J771" s="78"/>
      <c r="K771" s="78"/>
      <c r="L771" t="s" s="79">
        <v>63</v>
      </c>
      <c r="M771" s="80">
        <v>1</v>
      </c>
      <c r="N771" s="81">
        <v>120</v>
      </c>
      <c r="O771" s="81">
        <v>120</v>
      </c>
    </row>
    <row r="772" ht="9" customHeight="1" hidden="1">
      <c r="I772" s="77"/>
      <c r="J772" s="78"/>
      <c r="K772" s="78"/>
      <c r="L772" t="s" s="79">
        <v>5454</v>
      </c>
      <c r="M772" s="80">
        <v>9</v>
      </c>
      <c r="N772" s="81">
        <v>30</v>
      </c>
      <c r="O772" s="81">
        <v>270</v>
      </c>
    </row>
    <row r="773" ht="9" customHeight="1" hidden="1">
      <c r="I773" s="82"/>
      <c r="J773" s="83"/>
      <c r="K773" s="84">
        <v>45047</v>
      </c>
      <c r="L773" s="85"/>
      <c r="M773" s="28">
        <v>68</v>
      </c>
      <c r="N773" s="29">
        <v>-3786.0075</v>
      </c>
      <c r="O773" s="29">
        <v>4625.985</v>
      </c>
    </row>
    <row r="774" ht="9" customHeight="1" hidden="1">
      <c r="I774" s="82"/>
      <c r="J774" t="s" s="86">
        <v>5447</v>
      </c>
      <c r="K774" s="87"/>
      <c r="L774" s="85"/>
      <c r="M774" s="28">
        <v>68</v>
      </c>
      <c r="N774" s="29">
        <v>-3786.0075</v>
      </c>
      <c r="O774" s="29">
        <v>4625.985</v>
      </c>
    </row>
    <row r="775" ht="16.1" customHeight="1">
      <c r="I775" t="s" s="126">
        <v>896</v>
      </c>
      <c r="J775" s="127"/>
      <c r="K775" s="127"/>
      <c r="L775" s="128"/>
      <c r="M775" s="129">
        <v>81</v>
      </c>
      <c r="N775" s="142">
        <v>-1197.015</v>
      </c>
      <c r="O775" s="142">
        <v>7929.9775</v>
      </c>
    </row>
    <row r="776" ht="9" customHeight="1" hidden="1">
      <c r="I776" s="77"/>
      <c r="J776" s="78"/>
      <c r="K776" s="78"/>
      <c r="L776" t="s" s="79">
        <v>19</v>
      </c>
      <c r="M776" s="80">
        <v>1</v>
      </c>
      <c r="N776" s="81">
        <v>119.99</v>
      </c>
      <c r="O776" s="81">
        <v>119.99</v>
      </c>
    </row>
    <row r="777" ht="9" customHeight="1" hidden="1">
      <c r="I777" s="77"/>
      <c r="J777" s="78"/>
      <c r="K777" s="78"/>
      <c r="L777" t="s" s="79">
        <v>15</v>
      </c>
      <c r="M777" s="80">
        <v>1</v>
      </c>
      <c r="N777" s="81">
        <v>8.99</v>
      </c>
      <c r="O777" s="81">
        <v>8.99</v>
      </c>
    </row>
    <row r="778" ht="9" customHeight="1" hidden="1">
      <c r="I778" s="82"/>
      <c r="J778" s="83"/>
      <c r="K778" s="84">
        <v>45047</v>
      </c>
      <c r="L778" s="85"/>
      <c r="M778" s="28">
        <v>2</v>
      </c>
      <c r="N778" s="29">
        <v>128.98</v>
      </c>
      <c r="O778" s="29">
        <v>128.98</v>
      </c>
    </row>
    <row r="779" ht="9" customHeight="1" hidden="1">
      <c r="I779" s="82"/>
      <c r="J779" t="s" s="86">
        <v>5355</v>
      </c>
      <c r="K779" s="87"/>
      <c r="L779" s="85"/>
      <c r="M779" s="28">
        <v>2</v>
      </c>
      <c r="N779" s="29">
        <v>128.98</v>
      </c>
      <c r="O779" s="29">
        <v>128.98</v>
      </c>
    </row>
    <row r="780" ht="16.1" customHeight="1">
      <c r="I780" t="s" s="126">
        <v>679</v>
      </c>
      <c r="J780" s="127"/>
      <c r="K780" s="127"/>
      <c r="L780" s="128"/>
      <c r="M780" s="129">
        <v>2</v>
      </c>
      <c r="N780" s="142">
        <v>128.98</v>
      </c>
      <c r="O780" s="142">
        <v>128.98</v>
      </c>
    </row>
    <row r="781" ht="9" customHeight="1" hidden="1">
      <c r="I781" s="77"/>
      <c r="J781" s="78"/>
      <c r="K781" s="78"/>
      <c r="L781" t="s" s="79">
        <v>59</v>
      </c>
      <c r="M781" s="80">
        <v>2</v>
      </c>
      <c r="N781" s="81">
        <v>1199.99</v>
      </c>
      <c r="O781" s="81">
        <v>2399.98</v>
      </c>
    </row>
    <row r="782" ht="9" customHeight="1" hidden="1">
      <c r="I782" s="82"/>
      <c r="J782" s="83"/>
      <c r="K782" s="84">
        <v>45047</v>
      </c>
      <c r="L782" s="85"/>
      <c r="M782" s="28">
        <v>2</v>
      </c>
      <c r="N782" s="29">
        <v>1199.99</v>
      </c>
      <c r="O782" s="29">
        <v>2399.98</v>
      </c>
    </row>
    <row r="783" ht="9" customHeight="1" hidden="1">
      <c r="I783" s="82"/>
      <c r="J783" t="s" s="86">
        <v>5573</v>
      </c>
      <c r="K783" s="87"/>
      <c r="L783" s="85"/>
      <c r="M783" s="28">
        <v>2</v>
      </c>
      <c r="N783" s="29">
        <v>1199.99</v>
      </c>
      <c r="O783" s="29">
        <v>2399.98</v>
      </c>
    </row>
    <row r="784" ht="16.1" customHeight="1">
      <c r="I784" t="s" s="126">
        <v>1492</v>
      </c>
      <c r="J784" s="127"/>
      <c r="K784" s="127"/>
      <c r="L784" s="128"/>
      <c r="M784" s="129">
        <v>2</v>
      </c>
      <c r="N784" s="142">
        <v>1199.99</v>
      </c>
      <c r="O784" s="142">
        <v>2399.98</v>
      </c>
    </row>
    <row r="785" ht="9" customHeight="1" hidden="1">
      <c r="I785" s="77"/>
      <c r="J785" s="78"/>
      <c r="K785" s="78"/>
      <c r="L785" t="s" s="79">
        <v>84</v>
      </c>
      <c r="M785" s="80">
        <v>2</v>
      </c>
      <c r="N785" s="81">
        <v>0</v>
      </c>
      <c r="O785" s="81">
        <v>0</v>
      </c>
    </row>
    <row r="786" ht="9" customHeight="1" hidden="1">
      <c r="I786" s="77"/>
      <c r="J786" s="78"/>
      <c r="K786" s="78"/>
      <c r="L786" t="s" s="79">
        <v>133</v>
      </c>
      <c r="M786" s="80">
        <v>2</v>
      </c>
      <c r="N786" s="81">
        <v>50</v>
      </c>
      <c r="O786" s="81">
        <v>100</v>
      </c>
    </row>
    <row r="787" ht="9" customHeight="1" hidden="1">
      <c r="I787" s="77"/>
      <c r="J787" s="78"/>
      <c r="K787" s="78"/>
      <c r="L787" t="s" s="79">
        <v>89</v>
      </c>
      <c r="M787" s="80">
        <v>2</v>
      </c>
      <c r="N787" s="81">
        <v>59.99</v>
      </c>
      <c r="O787" s="81">
        <v>119.98</v>
      </c>
    </row>
    <row r="788" ht="9" customHeight="1" hidden="1">
      <c r="I788" s="77"/>
      <c r="J788" s="78"/>
      <c r="K788" s="78"/>
      <c r="L788" t="s" s="79">
        <v>81</v>
      </c>
      <c r="M788" s="80">
        <v>2</v>
      </c>
      <c r="N788" s="81">
        <v>849.99</v>
      </c>
      <c r="O788" s="81">
        <v>1699.98</v>
      </c>
    </row>
    <row r="789" ht="9" customHeight="1" hidden="1">
      <c r="I789" s="77"/>
      <c r="J789" s="78"/>
      <c r="K789" s="78"/>
      <c r="L789" t="s" s="79">
        <v>50</v>
      </c>
      <c r="M789" s="80">
        <v>2</v>
      </c>
      <c r="N789" s="81">
        <v>0</v>
      </c>
      <c r="O789" s="81">
        <v>0</v>
      </c>
    </row>
    <row r="790" ht="9" customHeight="1" hidden="1">
      <c r="I790" s="77"/>
      <c r="J790" s="78"/>
      <c r="K790" s="78"/>
      <c r="L790" t="s" s="79">
        <v>73</v>
      </c>
      <c r="M790" s="80">
        <v>1</v>
      </c>
      <c r="N790" s="81">
        <v>399.99</v>
      </c>
      <c r="O790" s="81">
        <v>399.99</v>
      </c>
    </row>
    <row r="791" ht="9" customHeight="1" hidden="1">
      <c r="I791" s="82"/>
      <c r="J791" s="83"/>
      <c r="K791" s="84">
        <v>45047</v>
      </c>
      <c r="L791" s="85"/>
      <c r="M791" s="28">
        <v>11</v>
      </c>
      <c r="N791" s="29">
        <v>1359.97</v>
      </c>
      <c r="O791" s="29">
        <v>2319.95</v>
      </c>
    </row>
    <row r="792" ht="9" customHeight="1" hidden="1">
      <c r="I792" s="82"/>
      <c r="J792" t="s" s="86">
        <v>5341</v>
      </c>
      <c r="K792" s="87"/>
      <c r="L792" s="85"/>
      <c r="M792" s="28">
        <v>11</v>
      </c>
      <c r="N792" s="29">
        <v>1359.97</v>
      </c>
      <c r="O792" s="29">
        <v>2319.95</v>
      </c>
    </row>
    <row r="793" ht="16.1" customHeight="1">
      <c r="I793" t="s" s="126">
        <v>5342</v>
      </c>
      <c r="J793" s="127"/>
      <c r="K793" s="127"/>
      <c r="L793" s="128"/>
      <c r="M793" s="129">
        <v>11</v>
      </c>
      <c r="N793" s="142">
        <v>1359.97</v>
      </c>
      <c r="O793" s="142">
        <v>2319.95</v>
      </c>
    </row>
    <row r="794" ht="9" customHeight="1" hidden="1">
      <c r="I794" s="77"/>
      <c r="J794" s="78"/>
      <c r="K794" s="78"/>
      <c r="L794" t="s" s="79">
        <v>89</v>
      </c>
      <c r="M794" s="80">
        <v>2</v>
      </c>
      <c r="N794" s="81">
        <v>59.99</v>
      </c>
      <c r="O794" s="81">
        <v>119.98</v>
      </c>
    </row>
    <row r="795" ht="9" customHeight="1" hidden="1">
      <c r="I795" s="82"/>
      <c r="J795" s="83"/>
      <c r="K795" s="84">
        <v>45047</v>
      </c>
      <c r="L795" s="85"/>
      <c r="M795" s="28">
        <v>2</v>
      </c>
      <c r="N795" s="29">
        <v>59.99</v>
      </c>
      <c r="O795" s="29">
        <v>119.98</v>
      </c>
    </row>
    <row r="796" ht="9" customHeight="1" hidden="1">
      <c r="I796" s="82"/>
      <c r="J796" t="s" s="86">
        <v>5527</v>
      </c>
      <c r="K796" s="87"/>
      <c r="L796" s="85"/>
      <c r="M796" s="28">
        <v>2</v>
      </c>
      <c r="N796" s="29">
        <v>59.99</v>
      </c>
      <c r="O796" s="29">
        <v>119.98</v>
      </c>
    </row>
    <row r="797" ht="16.1" customHeight="1">
      <c r="I797" t="s" s="126">
        <v>5528</v>
      </c>
      <c r="J797" s="127"/>
      <c r="K797" s="127"/>
      <c r="L797" s="128"/>
      <c r="M797" s="129">
        <v>2</v>
      </c>
      <c r="N797" s="142">
        <v>59.99</v>
      </c>
      <c r="O797" s="142">
        <v>119.98</v>
      </c>
    </row>
    <row r="798" ht="9" customHeight="1" hidden="1">
      <c r="I798" s="77"/>
      <c r="J798" s="78"/>
      <c r="K798" s="78"/>
      <c r="L798" t="s" s="79">
        <v>59</v>
      </c>
      <c r="M798" s="80">
        <v>1</v>
      </c>
      <c r="N798" s="81">
        <v>1199.99</v>
      </c>
      <c r="O798" s="81">
        <v>1199.99</v>
      </c>
    </row>
    <row r="799" ht="9" customHeight="1" hidden="1">
      <c r="I799" s="82"/>
      <c r="J799" s="83"/>
      <c r="K799" s="84">
        <v>45047</v>
      </c>
      <c r="L799" s="85"/>
      <c r="M799" s="28">
        <v>1</v>
      </c>
      <c r="N799" s="29">
        <v>1199.99</v>
      </c>
      <c r="O799" s="29">
        <v>1199.99</v>
      </c>
    </row>
    <row r="800" ht="9" customHeight="1" hidden="1">
      <c r="I800" s="82"/>
      <c r="J800" t="s" s="86">
        <v>5333</v>
      </c>
      <c r="K800" s="87"/>
      <c r="L800" s="85"/>
      <c r="M800" s="28">
        <v>1</v>
      </c>
      <c r="N800" s="29">
        <v>1199.99</v>
      </c>
      <c r="O800" s="29">
        <v>1199.99</v>
      </c>
    </row>
    <row r="801" ht="9" customHeight="1" hidden="1">
      <c r="I801" s="77"/>
      <c r="J801" s="78"/>
      <c r="K801" s="78"/>
      <c r="L801" t="s" s="79">
        <v>84</v>
      </c>
      <c r="M801" s="80">
        <v>2</v>
      </c>
      <c r="N801" s="81">
        <v>0</v>
      </c>
      <c r="O801" s="81">
        <v>0</v>
      </c>
    </row>
    <row r="802" ht="9" customHeight="1" hidden="1">
      <c r="I802" s="77"/>
      <c r="J802" s="78"/>
      <c r="K802" s="78"/>
      <c r="L802" t="s" s="79">
        <v>133</v>
      </c>
      <c r="M802" s="80">
        <v>2</v>
      </c>
      <c r="N802" s="81">
        <v>50</v>
      </c>
      <c r="O802" s="81">
        <v>100</v>
      </c>
    </row>
    <row r="803" ht="9" customHeight="1" hidden="1">
      <c r="I803" s="77"/>
      <c r="J803" s="78"/>
      <c r="K803" s="78"/>
      <c r="L803" t="s" s="79">
        <v>81</v>
      </c>
      <c r="M803" s="80">
        <v>2</v>
      </c>
      <c r="N803" s="81">
        <v>849.99</v>
      </c>
      <c r="O803" s="81">
        <v>1699.98</v>
      </c>
    </row>
    <row r="804" ht="9" customHeight="1" hidden="1">
      <c r="I804" s="77"/>
      <c r="J804" s="78"/>
      <c r="K804" s="78"/>
      <c r="L804" t="s" s="79">
        <v>50</v>
      </c>
      <c r="M804" s="80">
        <v>2</v>
      </c>
      <c r="N804" s="81">
        <v>0</v>
      </c>
      <c r="O804" s="81">
        <v>0</v>
      </c>
    </row>
    <row r="805" ht="9" customHeight="1" hidden="1">
      <c r="I805" s="82"/>
      <c r="J805" s="83"/>
      <c r="K805" s="84">
        <v>45047</v>
      </c>
      <c r="L805" s="85"/>
      <c r="M805" s="28">
        <v>8</v>
      </c>
      <c r="N805" s="29">
        <v>899.99</v>
      </c>
      <c r="O805" s="29">
        <v>1799.98</v>
      </c>
    </row>
    <row r="806" ht="9" customHeight="1" hidden="1">
      <c r="I806" s="82"/>
      <c r="J806" t="s" s="86">
        <v>5332</v>
      </c>
      <c r="K806" s="87"/>
      <c r="L806" s="85"/>
      <c r="M806" s="28">
        <v>8</v>
      </c>
      <c r="N806" s="29">
        <v>899.99</v>
      </c>
      <c r="O806" s="29">
        <v>1799.98</v>
      </c>
    </row>
    <row r="807" ht="16.1" customHeight="1">
      <c r="I807" t="s" s="126">
        <v>2452</v>
      </c>
      <c r="J807" s="127"/>
      <c r="K807" s="127"/>
      <c r="L807" s="128"/>
      <c r="M807" s="129">
        <v>9</v>
      </c>
      <c r="N807" s="142">
        <v>2099.98</v>
      </c>
      <c r="O807" s="142">
        <v>2999.97</v>
      </c>
    </row>
    <row r="808" ht="9" customHeight="1" hidden="1">
      <c r="I808" s="77"/>
      <c r="J808" s="78"/>
      <c r="K808" s="78"/>
      <c r="L808" t="s" s="79">
        <v>11</v>
      </c>
      <c r="M808" s="80">
        <v>2</v>
      </c>
      <c r="N808" s="81">
        <v>399.99</v>
      </c>
      <c r="O808" s="81">
        <v>799.98</v>
      </c>
    </row>
    <row r="809" ht="9" customHeight="1" hidden="1">
      <c r="I809" s="82"/>
      <c r="J809" s="83"/>
      <c r="K809" s="84">
        <v>45047</v>
      </c>
      <c r="L809" s="85"/>
      <c r="M809" s="28">
        <v>2</v>
      </c>
      <c r="N809" s="29">
        <v>399.99</v>
      </c>
      <c r="O809" s="29">
        <v>799.98</v>
      </c>
    </row>
    <row r="810" ht="9" customHeight="1" hidden="1">
      <c r="I810" s="82"/>
      <c r="J810" t="s" s="86">
        <v>5535</v>
      </c>
      <c r="K810" s="87"/>
      <c r="L810" s="85"/>
      <c r="M810" s="28">
        <v>2</v>
      </c>
      <c r="N810" s="29">
        <v>399.99</v>
      </c>
      <c r="O810" s="29">
        <v>799.98</v>
      </c>
    </row>
    <row r="811" ht="16.1" customHeight="1">
      <c r="I811" t="s" s="126">
        <v>5536</v>
      </c>
      <c r="J811" s="127"/>
      <c r="K811" s="127"/>
      <c r="L811" s="128"/>
      <c r="M811" s="129">
        <v>2</v>
      </c>
      <c r="N811" s="142">
        <v>399.99</v>
      </c>
      <c r="O811" s="142">
        <v>799.98</v>
      </c>
    </row>
    <row r="812" ht="9" customHeight="1" hidden="1">
      <c r="I812" s="77"/>
      <c r="J812" s="78"/>
      <c r="K812" s="78"/>
      <c r="L812" t="s" s="79">
        <v>19</v>
      </c>
      <c r="M812" s="80">
        <v>4</v>
      </c>
      <c r="N812" s="81">
        <v>119.99</v>
      </c>
      <c r="O812" s="81">
        <v>479.96</v>
      </c>
    </row>
    <row r="813" ht="9" customHeight="1" hidden="1">
      <c r="I813" s="77"/>
      <c r="J813" s="78"/>
      <c r="K813" s="78"/>
      <c r="L813" t="s" s="79">
        <v>15</v>
      </c>
      <c r="M813" s="80">
        <v>4</v>
      </c>
      <c r="N813" s="81">
        <v>8.99</v>
      </c>
      <c r="O813" s="81">
        <v>35.96</v>
      </c>
    </row>
    <row r="814" ht="9" customHeight="1" hidden="1">
      <c r="I814" s="82"/>
      <c r="J814" s="83"/>
      <c r="K814" s="84">
        <v>45047</v>
      </c>
      <c r="L814" s="85"/>
      <c r="M814" s="28">
        <v>8</v>
      </c>
      <c r="N814" s="29">
        <v>128.98</v>
      </c>
      <c r="O814" s="29">
        <v>515.92</v>
      </c>
    </row>
    <row r="815" ht="9" customHeight="1" hidden="1">
      <c r="I815" s="82"/>
      <c r="J815" t="s" s="86">
        <v>5546</v>
      </c>
      <c r="K815" s="87"/>
      <c r="L815" s="85"/>
      <c r="M815" s="28">
        <v>8</v>
      </c>
      <c r="N815" s="29">
        <v>128.98</v>
      </c>
      <c r="O815" s="29">
        <v>515.92</v>
      </c>
    </row>
    <row r="816" ht="16.1" customHeight="1">
      <c r="I816" t="s" s="126">
        <v>2756</v>
      </c>
      <c r="J816" s="127"/>
      <c r="K816" s="127"/>
      <c r="L816" s="128"/>
      <c r="M816" s="129">
        <v>8</v>
      </c>
      <c r="N816" s="142">
        <v>128.98</v>
      </c>
      <c r="O816" s="142">
        <v>515.92</v>
      </c>
    </row>
    <row r="817" ht="9" customHeight="1" hidden="1">
      <c r="I817" s="77"/>
      <c r="J817" s="78"/>
      <c r="K817" s="78"/>
      <c r="L817" t="s" s="79">
        <v>470</v>
      </c>
      <c r="M817" s="80">
        <v>2</v>
      </c>
      <c r="N817" s="81">
        <v>249.99</v>
      </c>
      <c r="O817" s="81">
        <v>499.98</v>
      </c>
    </row>
    <row r="818" ht="9" customHeight="1" hidden="1">
      <c r="I818" s="82"/>
      <c r="J818" s="83"/>
      <c r="K818" s="84">
        <v>45047</v>
      </c>
      <c r="L818" s="85"/>
      <c r="M818" s="28">
        <v>2</v>
      </c>
      <c r="N818" s="29">
        <v>249.99</v>
      </c>
      <c r="O818" s="29">
        <v>499.98</v>
      </c>
    </row>
    <row r="819" ht="9" customHeight="1" hidden="1">
      <c r="I819" s="82"/>
      <c r="J819" t="s" s="86">
        <v>5542</v>
      </c>
      <c r="K819" s="87"/>
      <c r="L819" s="85"/>
      <c r="M819" s="28">
        <v>2</v>
      </c>
      <c r="N819" s="29">
        <v>249.99</v>
      </c>
      <c r="O819" s="29">
        <v>499.98</v>
      </c>
    </row>
    <row r="820" ht="16.1" customHeight="1">
      <c r="I820" t="s" s="126">
        <v>1322</v>
      </c>
      <c r="J820" s="127"/>
      <c r="K820" s="127"/>
      <c r="L820" s="128"/>
      <c r="M820" s="129">
        <v>2</v>
      </c>
      <c r="N820" s="142">
        <v>249.99</v>
      </c>
      <c r="O820" s="142">
        <v>499.98</v>
      </c>
    </row>
    <row r="821" ht="9" customHeight="1" hidden="1">
      <c r="I821" s="77"/>
      <c r="J821" s="78"/>
      <c r="K821" s="78"/>
      <c r="L821" t="s" s="79">
        <v>73</v>
      </c>
      <c r="M821" s="80">
        <v>1</v>
      </c>
      <c r="N821" s="81">
        <v>399.99</v>
      </c>
      <c r="O821" s="81">
        <v>399.99</v>
      </c>
    </row>
    <row r="822" ht="9" customHeight="1" hidden="1">
      <c r="I822" s="82"/>
      <c r="J822" s="83"/>
      <c r="K822" s="84">
        <v>45047</v>
      </c>
      <c r="L822" s="85"/>
      <c r="M822" s="28">
        <v>1</v>
      </c>
      <c r="N822" s="29">
        <v>399.99</v>
      </c>
      <c r="O822" s="29">
        <v>399.99</v>
      </c>
    </row>
    <row r="823" ht="9" customHeight="1" hidden="1">
      <c r="I823" s="82"/>
      <c r="J823" t="s" s="86">
        <v>5343</v>
      </c>
      <c r="K823" s="87"/>
      <c r="L823" s="85"/>
      <c r="M823" s="28">
        <v>1</v>
      </c>
      <c r="N823" s="29">
        <v>399.99</v>
      </c>
      <c r="O823" s="29">
        <v>399.99</v>
      </c>
    </row>
    <row r="824" ht="16.1" customHeight="1">
      <c r="I824" t="s" s="126">
        <v>5344</v>
      </c>
      <c r="J824" s="127"/>
      <c r="K824" s="127"/>
      <c r="L824" s="128"/>
      <c r="M824" s="129">
        <v>1</v>
      </c>
      <c r="N824" s="142">
        <v>399.99</v>
      </c>
      <c r="O824" s="142">
        <v>399.99</v>
      </c>
    </row>
    <row r="825" ht="9" customHeight="1" hidden="1">
      <c r="I825" s="77"/>
      <c r="J825" s="78"/>
      <c r="K825" s="78"/>
      <c r="L825" t="s" s="79">
        <v>31</v>
      </c>
      <c r="M825" s="80">
        <v>1</v>
      </c>
      <c r="N825" s="81">
        <v>599.99</v>
      </c>
      <c r="O825" s="81">
        <v>599.99</v>
      </c>
    </row>
    <row r="826" ht="9" customHeight="1" hidden="1">
      <c r="I826" s="82"/>
      <c r="J826" s="83"/>
      <c r="K826" s="84">
        <v>45047</v>
      </c>
      <c r="L826" s="85"/>
      <c r="M826" s="28">
        <v>1</v>
      </c>
      <c r="N826" s="29">
        <v>599.99</v>
      </c>
      <c r="O826" s="29">
        <v>599.99</v>
      </c>
    </row>
    <row r="827" ht="9" customHeight="1" hidden="1">
      <c r="I827" s="82"/>
      <c r="J827" t="s" s="86">
        <v>5328</v>
      </c>
      <c r="K827" s="87"/>
      <c r="L827" s="85"/>
      <c r="M827" s="28">
        <v>1</v>
      </c>
      <c r="N827" s="29">
        <v>599.99</v>
      </c>
      <c r="O827" s="29">
        <v>599.99</v>
      </c>
    </row>
    <row r="828" ht="16.1" customHeight="1">
      <c r="I828" t="s" s="126">
        <v>5329</v>
      </c>
      <c r="J828" s="127"/>
      <c r="K828" s="127"/>
      <c r="L828" s="128"/>
      <c r="M828" s="129">
        <v>1</v>
      </c>
      <c r="N828" s="142">
        <v>599.99</v>
      </c>
      <c r="O828" s="142">
        <v>599.99</v>
      </c>
    </row>
    <row r="829" ht="9" customHeight="1" hidden="1">
      <c r="I829" s="77"/>
      <c r="J829" s="78"/>
      <c r="K829" s="78"/>
      <c r="L829" t="s" s="79">
        <v>15</v>
      </c>
      <c r="M829" s="80">
        <v>2</v>
      </c>
      <c r="N829" s="81">
        <v>8.99</v>
      </c>
      <c r="O829" s="81">
        <v>17.98</v>
      </c>
    </row>
    <row r="830" ht="9" customHeight="1" hidden="1">
      <c r="I830" s="82"/>
      <c r="J830" s="83"/>
      <c r="K830" s="84">
        <v>45047</v>
      </c>
      <c r="L830" s="85"/>
      <c r="M830" s="28">
        <v>2</v>
      </c>
      <c r="N830" s="29">
        <v>8.99</v>
      </c>
      <c r="O830" s="29">
        <v>17.98</v>
      </c>
    </row>
    <row r="831" ht="9" customHeight="1" hidden="1">
      <c r="I831" s="82"/>
      <c r="J831" t="s" s="86">
        <v>5389</v>
      </c>
      <c r="K831" s="87"/>
      <c r="L831" s="85"/>
      <c r="M831" s="28">
        <v>2</v>
      </c>
      <c r="N831" s="29">
        <v>8.99</v>
      </c>
      <c r="O831" s="29">
        <v>17.98</v>
      </c>
    </row>
    <row r="832" ht="16.1" customHeight="1">
      <c r="I832" t="s" s="126">
        <v>1284</v>
      </c>
      <c r="J832" s="127"/>
      <c r="K832" s="127"/>
      <c r="L832" s="128"/>
      <c r="M832" s="129">
        <v>2</v>
      </c>
      <c r="N832" s="142">
        <v>8.99</v>
      </c>
      <c r="O832" s="142">
        <v>17.98</v>
      </c>
    </row>
    <row r="833" ht="9" customHeight="1" hidden="1">
      <c r="I833" s="77"/>
      <c r="J833" s="78"/>
      <c r="K833" s="78"/>
      <c r="L833" t="s" s="79">
        <v>73</v>
      </c>
      <c r="M833" s="80">
        <v>1</v>
      </c>
      <c r="N833" s="81">
        <v>399.99</v>
      </c>
      <c r="O833" s="81">
        <v>399.99</v>
      </c>
    </row>
    <row r="834" ht="9" customHeight="1" hidden="1">
      <c r="I834" s="82"/>
      <c r="J834" s="83"/>
      <c r="K834" s="84">
        <v>45047</v>
      </c>
      <c r="L834" s="85"/>
      <c r="M834" s="28">
        <v>1</v>
      </c>
      <c r="N834" s="29">
        <v>399.99</v>
      </c>
      <c r="O834" s="29">
        <v>399.99</v>
      </c>
    </row>
    <row r="835" ht="9" customHeight="1" hidden="1">
      <c r="I835" s="82"/>
      <c r="J835" t="s" s="86">
        <v>5422</v>
      </c>
      <c r="K835" s="87"/>
      <c r="L835" s="85"/>
      <c r="M835" s="28">
        <v>1</v>
      </c>
      <c r="N835" s="29">
        <v>399.99</v>
      </c>
      <c r="O835" s="29">
        <v>399.99</v>
      </c>
    </row>
    <row r="836" ht="16.1" customHeight="1">
      <c r="I836" t="s" s="126">
        <v>5423</v>
      </c>
      <c r="J836" s="127"/>
      <c r="K836" s="127"/>
      <c r="L836" s="128"/>
      <c r="M836" s="129">
        <v>1</v>
      </c>
      <c r="N836" s="142">
        <v>399.99</v>
      </c>
      <c r="O836" s="142">
        <v>399.99</v>
      </c>
    </row>
    <row r="837" ht="9" customHeight="1" hidden="1">
      <c r="I837" s="77"/>
      <c r="J837" s="78"/>
      <c r="K837" s="78"/>
      <c r="L837" t="s" s="79">
        <v>31</v>
      </c>
      <c r="M837" s="80">
        <v>1</v>
      </c>
      <c r="N837" s="81">
        <v>574.99</v>
      </c>
      <c r="O837" s="81">
        <v>574.99</v>
      </c>
    </row>
    <row r="838" ht="9" customHeight="1" hidden="1">
      <c r="I838" s="82"/>
      <c r="J838" s="83"/>
      <c r="K838" s="84">
        <v>45047</v>
      </c>
      <c r="L838" s="85"/>
      <c r="M838" s="28">
        <v>1</v>
      </c>
      <c r="N838" s="29">
        <v>574.99</v>
      </c>
      <c r="O838" s="29">
        <v>574.99</v>
      </c>
    </row>
    <row r="839" ht="9" customHeight="1" hidden="1">
      <c r="I839" s="82"/>
      <c r="J839" t="s" s="86">
        <v>5561</v>
      </c>
      <c r="K839" s="87"/>
      <c r="L839" s="85"/>
      <c r="M839" s="28">
        <v>1</v>
      </c>
      <c r="N839" s="29">
        <v>574.99</v>
      </c>
      <c r="O839" s="29">
        <v>574.99</v>
      </c>
    </row>
    <row r="840" ht="9" customHeight="1" hidden="1">
      <c r="I840" s="77"/>
      <c r="J840" s="78"/>
      <c r="K840" s="78"/>
      <c r="L840" t="s" s="79">
        <v>35</v>
      </c>
      <c r="M840" s="80">
        <v>1</v>
      </c>
      <c r="N840" s="81">
        <v>49.99</v>
      </c>
      <c r="O840" s="81">
        <v>49.99</v>
      </c>
    </row>
    <row r="841" ht="9" customHeight="1" hidden="1">
      <c r="I841" s="82"/>
      <c r="J841" s="83"/>
      <c r="K841" s="84">
        <v>45047</v>
      </c>
      <c r="L841" s="85"/>
      <c r="M841" s="28">
        <v>1</v>
      </c>
      <c r="N841" s="29">
        <v>49.99</v>
      </c>
      <c r="O841" s="29">
        <v>49.99</v>
      </c>
    </row>
    <row r="842" ht="9" customHeight="1" hidden="1">
      <c r="I842" s="82"/>
      <c r="J842" t="s" s="86">
        <v>5525</v>
      </c>
      <c r="K842" s="87"/>
      <c r="L842" s="85"/>
      <c r="M842" s="28">
        <v>1</v>
      </c>
      <c r="N842" s="29">
        <v>49.99</v>
      </c>
      <c r="O842" s="29">
        <v>49.99</v>
      </c>
    </row>
    <row r="843" ht="16.1" customHeight="1">
      <c r="I843" t="s" s="126">
        <v>5526</v>
      </c>
      <c r="J843" s="127"/>
      <c r="K843" s="127"/>
      <c r="L843" s="128"/>
      <c r="M843" s="129">
        <v>2</v>
      </c>
      <c r="N843" s="142">
        <v>624.98</v>
      </c>
      <c r="O843" s="142">
        <v>624.98</v>
      </c>
    </row>
    <row r="844" ht="9" customHeight="1" hidden="1">
      <c r="I844" s="77"/>
      <c r="J844" s="78"/>
      <c r="K844" s="78"/>
      <c r="L844" t="s" s="79">
        <v>54</v>
      </c>
      <c r="M844" s="80">
        <v>1</v>
      </c>
      <c r="N844" s="81">
        <v>9.99</v>
      </c>
      <c r="O844" s="81">
        <v>9.99</v>
      </c>
    </row>
    <row r="845" ht="9" customHeight="1" hidden="1">
      <c r="I845" s="77"/>
      <c r="J845" s="78"/>
      <c r="K845" s="78"/>
      <c r="L845" t="s" s="79">
        <v>35</v>
      </c>
      <c r="M845" s="80">
        <v>2</v>
      </c>
      <c r="N845" s="81">
        <v>49.99</v>
      </c>
      <c r="O845" s="81">
        <v>99.98</v>
      </c>
    </row>
    <row r="846" ht="9" customHeight="1" hidden="1">
      <c r="I846" s="82"/>
      <c r="J846" s="83"/>
      <c r="K846" s="84">
        <v>45047</v>
      </c>
      <c r="L846" s="85"/>
      <c r="M846" s="28">
        <v>3</v>
      </c>
      <c r="N846" s="29">
        <v>59.98</v>
      </c>
      <c r="O846" s="29">
        <v>109.97</v>
      </c>
    </row>
    <row r="847" ht="9" customHeight="1" hidden="1">
      <c r="I847" s="82"/>
      <c r="J847" t="s" s="86">
        <v>5435</v>
      </c>
      <c r="K847" s="87"/>
      <c r="L847" s="85"/>
      <c r="M847" s="28">
        <v>3</v>
      </c>
      <c r="N847" s="29">
        <v>59.98</v>
      </c>
      <c r="O847" s="29">
        <v>109.97</v>
      </c>
    </row>
    <row r="848" ht="16.1" customHeight="1">
      <c r="I848" t="s" s="126">
        <v>5436</v>
      </c>
      <c r="J848" s="127"/>
      <c r="K848" s="127"/>
      <c r="L848" s="128"/>
      <c r="M848" s="129">
        <v>3</v>
      </c>
      <c r="N848" s="142">
        <v>59.98</v>
      </c>
      <c r="O848" s="142">
        <v>109.97</v>
      </c>
    </row>
    <row r="849" ht="9" customHeight="1" hidden="1">
      <c r="I849" s="77"/>
      <c r="J849" s="78"/>
      <c r="K849" s="78"/>
      <c r="L849" t="s" s="79">
        <v>31</v>
      </c>
      <c r="M849" s="80">
        <v>1</v>
      </c>
      <c r="N849" s="81">
        <v>599.99</v>
      </c>
      <c r="O849" s="81">
        <v>599.99</v>
      </c>
    </row>
    <row r="850" ht="9" customHeight="1" hidden="1">
      <c r="I850" s="82"/>
      <c r="J850" s="83"/>
      <c r="K850" s="84">
        <v>45047</v>
      </c>
      <c r="L850" s="85"/>
      <c r="M850" s="28">
        <v>1</v>
      </c>
      <c r="N850" s="29">
        <v>599.99</v>
      </c>
      <c r="O850" s="29">
        <v>599.99</v>
      </c>
    </row>
    <row r="851" ht="9" customHeight="1" hidden="1">
      <c r="I851" s="82"/>
      <c r="J851" t="s" s="86">
        <v>5397</v>
      </c>
      <c r="K851" s="87"/>
      <c r="L851" s="85"/>
      <c r="M851" s="28">
        <v>1</v>
      </c>
      <c r="N851" s="29">
        <v>599.99</v>
      </c>
      <c r="O851" s="29">
        <v>599.99</v>
      </c>
    </row>
    <row r="852" ht="16.1" customHeight="1">
      <c r="I852" t="s" s="126">
        <v>5398</v>
      </c>
      <c r="J852" s="127"/>
      <c r="K852" s="127"/>
      <c r="L852" s="128"/>
      <c r="M852" s="129">
        <v>1</v>
      </c>
      <c r="N852" s="142">
        <v>599.99</v>
      </c>
      <c r="O852" s="142">
        <v>599.99</v>
      </c>
    </row>
    <row r="853" ht="9" customHeight="1" hidden="1">
      <c r="I853" s="77"/>
      <c r="J853" s="78"/>
      <c r="K853" s="78"/>
      <c r="L853" t="s" s="79">
        <v>95</v>
      </c>
      <c r="M853" s="80">
        <v>2</v>
      </c>
      <c r="N853" s="81">
        <v>349.99</v>
      </c>
      <c r="O853" s="81">
        <v>699.98</v>
      </c>
    </row>
    <row r="854" ht="9" customHeight="1" hidden="1">
      <c r="I854" s="82"/>
      <c r="J854" s="83"/>
      <c r="K854" s="84">
        <v>45047</v>
      </c>
      <c r="L854" s="85"/>
      <c r="M854" s="28">
        <v>2</v>
      </c>
      <c r="N854" s="29">
        <v>349.99</v>
      </c>
      <c r="O854" s="29">
        <v>699.98</v>
      </c>
    </row>
    <row r="855" ht="9" customHeight="1" hidden="1">
      <c r="I855" s="82"/>
      <c r="J855" t="s" s="86">
        <v>5488</v>
      </c>
      <c r="K855" s="87"/>
      <c r="L855" s="85"/>
      <c r="M855" s="28">
        <v>2</v>
      </c>
      <c r="N855" s="29">
        <v>349.99</v>
      </c>
      <c r="O855" s="29">
        <v>699.98</v>
      </c>
    </row>
    <row r="856" ht="9" customHeight="1" hidden="1">
      <c r="I856" s="77"/>
      <c r="J856" s="78"/>
      <c r="K856" s="78"/>
      <c r="L856" t="s" s="79">
        <v>207</v>
      </c>
      <c r="M856" s="80">
        <v>1</v>
      </c>
      <c r="N856" s="81">
        <v>0</v>
      </c>
      <c r="O856" s="81">
        <v>0</v>
      </c>
    </row>
    <row r="857" ht="9" customHeight="1" hidden="1">
      <c r="I857" s="77"/>
      <c r="J857" s="78"/>
      <c r="K857" s="78"/>
      <c r="L857" t="s" s="79">
        <v>4685</v>
      </c>
      <c r="M857" s="80">
        <v>1</v>
      </c>
      <c r="N857" s="81">
        <v>0</v>
      </c>
      <c r="O857" s="81">
        <v>0</v>
      </c>
    </row>
    <row r="858" ht="9" customHeight="1" hidden="1">
      <c r="I858" s="77"/>
      <c r="J858" s="78"/>
      <c r="K858" s="78"/>
      <c r="L858" t="s" s="79">
        <v>254</v>
      </c>
      <c r="M858" s="80">
        <v>2</v>
      </c>
      <c r="N858" s="81">
        <v>0</v>
      </c>
      <c r="O858" s="81">
        <v>0</v>
      </c>
    </row>
    <row r="859" ht="9" customHeight="1" hidden="1">
      <c r="I859" s="82"/>
      <c r="J859" s="83"/>
      <c r="K859" s="84">
        <v>45047</v>
      </c>
      <c r="L859" s="85"/>
      <c r="M859" s="28">
        <v>4</v>
      </c>
      <c r="N859" s="29">
        <v>0</v>
      </c>
      <c r="O859" s="29">
        <v>0</v>
      </c>
    </row>
    <row r="860" ht="9" customHeight="1" hidden="1">
      <c r="I860" s="82"/>
      <c r="J860" t="s" s="86">
        <v>5498</v>
      </c>
      <c r="K860" s="87"/>
      <c r="L860" s="85"/>
      <c r="M860" s="28">
        <v>4</v>
      </c>
      <c r="N860" s="29">
        <v>0</v>
      </c>
      <c r="O860" s="29">
        <v>0</v>
      </c>
    </row>
    <row r="861" ht="16.1" customHeight="1">
      <c r="I861" t="s" s="126">
        <v>5489</v>
      </c>
      <c r="J861" s="127"/>
      <c r="K861" s="127"/>
      <c r="L861" s="128"/>
      <c r="M861" s="129">
        <v>6</v>
      </c>
      <c r="N861" s="142">
        <v>349.99</v>
      </c>
      <c r="O861" s="142">
        <v>699.98</v>
      </c>
    </row>
    <row r="862" ht="9" customHeight="1" hidden="1">
      <c r="I862" s="77"/>
      <c r="J862" s="78"/>
      <c r="K862" s="78"/>
      <c r="L862" t="s" s="79">
        <v>95</v>
      </c>
      <c r="M862" s="80">
        <v>1</v>
      </c>
      <c r="N862" s="81">
        <v>349.99</v>
      </c>
      <c r="O862" s="81">
        <v>349.99</v>
      </c>
    </row>
    <row r="863" ht="9" customHeight="1" hidden="1">
      <c r="I863" s="82"/>
      <c r="J863" s="83"/>
      <c r="K863" s="84">
        <v>45047</v>
      </c>
      <c r="L863" s="85"/>
      <c r="M863" s="28">
        <v>1</v>
      </c>
      <c r="N863" s="29">
        <v>349.99</v>
      </c>
      <c r="O863" s="29">
        <v>349.99</v>
      </c>
    </row>
    <row r="864" ht="9" customHeight="1" hidden="1">
      <c r="I864" s="82"/>
      <c r="J864" t="s" s="86">
        <v>5430</v>
      </c>
      <c r="K864" s="87"/>
      <c r="L864" s="85"/>
      <c r="M864" s="28">
        <v>1</v>
      </c>
      <c r="N864" s="29">
        <v>349.99</v>
      </c>
      <c r="O864" s="29">
        <v>349.99</v>
      </c>
    </row>
    <row r="865" ht="9" customHeight="1" hidden="1">
      <c r="I865" s="77"/>
      <c r="J865" s="78"/>
      <c r="K865" s="78"/>
      <c r="L865" t="s" s="79">
        <v>95</v>
      </c>
      <c r="M865" s="80">
        <v>1</v>
      </c>
      <c r="N865" s="81">
        <v>349.99</v>
      </c>
      <c r="O865" s="81">
        <v>349.99</v>
      </c>
    </row>
    <row r="866" ht="9" customHeight="1" hidden="1">
      <c r="I866" s="82"/>
      <c r="J866" s="83"/>
      <c r="K866" s="84">
        <v>45047</v>
      </c>
      <c r="L866" s="85"/>
      <c r="M866" s="28">
        <v>1</v>
      </c>
      <c r="N866" s="29">
        <v>349.99</v>
      </c>
      <c r="O866" s="29">
        <v>349.99</v>
      </c>
    </row>
    <row r="867" ht="9" customHeight="1" hidden="1">
      <c r="I867" s="82"/>
      <c r="J867" t="s" s="86">
        <v>5323</v>
      </c>
      <c r="K867" s="87"/>
      <c r="L867" s="85"/>
      <c r="M867" s="28">
        <v>1</v>
      </c>
      <c r="N867" s="29">
        <v>349.99</v>
      </c>
      <c r="O867" s="29">
        <v>349.99</v>
      </c>
    </row>
    <row r="868" ht="16.1" customHeight="1">
      <c r="I868" t="s" s="126">
        <v>1209</v>
      </c>
      <c r="J868" s="127"/>
      <c r="K868" s="127"/>
      <c r="L868" s="128"/>
      <c r="M868" s="129">
        <v>2</v>
      </c>
      <c r="N868" s="142">
        <v>699.98</v>
      </c>
      <c r="O868" s="142">
        <v>699.98</v>
      </c>
    </row>
    <row r="869" ht="9" customHeight="1" hidden="1">
      <c r="I869" s="77"/>
      <c r="J869" s="78"/>
      <c r="K869" s="78"/>
      <c r="L869" t="s" s="79">
        <v>19</v>
      </c>
      <c r="M869" s="80">
        <v>1</v>
      </c>
      <c r="N869" s="81">
        <v>119.99</v>
      </c>
      <c r="O869" s="81">
        <v>119.99</v>
      </c>
    </row>
    <row r="870" ht="9" customHeight="1" hidden="1">
      <c r="I870" s="77"/>
      <c r="J870" s="78"/>
      <c r="K870" s="78"/>
      <c r="L870" t="s" s="79">
        <v>15</v>
      </c>
      <c r="M870" s="80">
        <v>1</v>
      </c>
      <c r="N870" s="81">
        <v>8.99</v>
      </c>
      <c r="O870" s="81">
        <v>8.99</v>
      </c>
    </row>
    <row r="871" ht="9" customHeight="1" hidden="1">
      <c r="I871" s="82"/>
      <c r="J871" s="83"/>
      <c r="K871" s="84">
        <v>45047</v>
      </c>
      <c r="L871" s="85"/>
      <c r="M871" s="28">
        <v>2</v>
      </c>
      <c r="N871" s="29">
        <v>128.98</v>
      </c>
      <c r="O871" s="29">
        <v>128.98</v>
      </c>
    </row>
    <row r="872" ht="9" customHeight="1" hidden="1">
      <c r="I872" s="82"/>
      <c r="J872" t="s" s="86">
        <v>5539</v>
      </c>
      <c r="K872" s="87"/>
      <c r="L872" s="85"/>
      <c r="M872" s="28">
        <v>2</v>
      </c>
      <c r="N872" s="29">
        <v>128.98</v>
      </c>
      <c r="O872" s="29">
        <v>128.98</v>
      </c>
    </row>
    <row r="873" ht="16.1" customHeight="1">
      <c r="I873" t="s" s="126">
        <v>5540</v>
      </c>
      <c r="J873" s="127"/>
      <c r="K873" s="127"/>
      <c r="L873" s="128"/>
      <c r="M873" s="129">
        <v>2</v>
      </c>
      <c r="N873" s="142">
        <v>128.98</v>
      </c>
      <c r="O873" s="142">
        <v>128.98</v>
      </c>
    </row>
    <row r="874" ht="9" customHeight="1" hidden="1">
      <c r="I874" s="77"/>
      <c r="J874" s="78"/>
      <c r="K874" s="78"/>
      <c r="L874" t="s" s="79">
        <v>19</v>
      </c>
      <c r="M874" s="80">
        <v>2</v>
      </c>
      <c r="N874" s="81">
        <v>119.99</v>
      </c>
      <c r="O874" s="81">
        <v>239.98</v>
      </c>
    </row>
    <row r="875" ht="9" customHeight="1" hidden="1">
      <c r="I875" s="77"/>
      <c r="J875" s="78"/>
      <c r="K875" s="78"/>
      <c r="L875" t="s" s="79">
        <v>15</v>
      </c>
      <c r="M875" s="80">
        <v>2</v>
      </c>
      <c r="N875" s="81">
        <v>8.99</v>
      </c>
      <c r="O875" s="81">
        <v>17.98</v>
      </c>
    </row>
    <row r="876" ht="9" customHeight="1" hidden="1">
      <c r="I876" s="82"/>
      <c r="J876" s="83"/>
      <c r="K876" s="84">
        <v>45047</v>
      </c>
      <c r="L876" s="85"/>
      <c r="M876" s="28">
        <v>4</v>
      </c>
      <c r="N876" s="29">
        <v>128.98</v>
      </c>
      <c r="O876" s="29">
        <v>257.96</v>
      </c>
    </row>
    <row r="877" ht="9" customHeight="1" hidden="1">
      <c r="I877" s="82"/>
      <c r="J877" t="s" s="86">
        <v>5504</v>
      </c>
      <c r="K877" s="87"/>
      <c r="L877" s="85"/>
      <c r="M877" s="28">
        <v>4</v>
      </c>
      <c r="N877" s="29">
        <v>128.98</v>
      </c>
      <c r="O877" s="29">
        <v>257.96</v>
      </c>
    </row>
    <row r="878" ht="16.1" customHeight="1">
      <c r="I878" t="s" s="126">
        <v>5505</v>
      </c>
      <c r="J878" s="127"/>
      <c r="K878" s="127"/>
      <c r="L878" s="128"/>
      <c r="M878" s="129">
        <v>4</v>
      </c>
      <c r="N878" s="142">
        <v>128.98</v>
      </c>
      <c r="O878" s="142">
        <v>257.96</v>
      </c>
    </row>
    <row r="879" ht="9" customHeight="1" hidden="1">
      <c r="I879" s="77"/>
      <c r="J879" s="78"/>
      <c r="K879" s="78"/>
      <c r="L879" t="s" s="79">
        <v>1202</v>
      </c>
      <c r="M879" s="80">
        <v>10</v>
      </c>
      <c r="N879" s="81">
        <v>80</v>
      </c>
      <c r="O879" s="81">
        <v>800</v>
      </c>
    </row>
    <row r="880" ht="9" customHeight="1" hidden="1">
      <c r="I880" s="77"/>
      <c r="J880" s="78"/>
      <c r="K880" s="78"/>
      <c r="L880" t="s" s="79">
        <v>63</v>
      </c>
      <c r="M880" s="80">
        <v>1</v>
      </c>
      <c r="N880" s="81">
        <v>68.17</v>
      </c>
      <c r="O880" s="81">
        <v>68.17</v>
      </c>
    </row>
    <row r="881" ht="9" customHeight="1" hidden="1">
      <c r="I881" s="82"/>
      <c r="J881" s="83"/>
      <c r="K881" s="84">
        <v>45047</v>
      </c>
      <c r="L881" s="85"/>
      <c r="M881" s="28">
        <v>11</v>
      </c>
      <c r="N881" s="29">
        <v>148.17</v>
      </c>
      <c r="O881" s="29">
        <v>868.17</v>
      </c>
    </row>
    <row r="882" ht="9" customHeight="1" hidden="1">
      <c r="I882" s="82"/>
      <c r="J882" t="s" s="86">
        <v>5338</v>
      </c>
      <c r="K882" s="87"/>
      <c r="L882" s="85"/>
      <c r="M882" s="28">
        <v>11</v>
      </c>
      <c r="N882" s="29">
        <v>148.17</v>
      </c>
      <c r="O882" s="29">
        <v>868.17</v>
      </c>
    </row>
    <row r="883" ht="16.1" customHeight="1">
      <c r="I883" t="s" s="126">
        <v>3094</v>
      </c>
      <c r="J883" s="127"/>
      <c r="K883" s="127"/>
      <c r="L883" s="128"/>
      <c r="M883" s="129">
        <v>11</v>
      </c>
      <c r="N883" s="142">
        <v>148.17</v>
      </c>
      <c r="O883" s="142">
        <v>868.17</v>
      </c>
    </row>
    <row r="884" ht="9" customHeight="1" hidden="1">
      <c r="I884" s="77"/>
      <c r="J884" s="78"/>
      <c r="K884" s="78"/>
      <c r="L884" t="s" s="79">
        <v>73</v>
      </c>
      <c r="M884" s="80">
        <v>1</v>
      </c>
      <c r="N884" s="81">
        <v>399.99</v>
      </c>
      <c r="O884" s="81">
        <v>399.99</v>
      </c>
    </row>
    <row r="885" ht="9" customHeight="1" hidden="1">
      <c r="I885" s="82"/>
      <c r="J885" s="83"/>
      <c r="K885" s="84">
        <v>45047</v>
      </c>
      <c r="L885" s="85"/>
      <c r="M885" s="28">
        <v>1</v>
      </c>
      <c r="N885" s="29">
        <v>399.99</v>
      </c>
      <c r="O885" s="29">
        <v>399.99</v>
      </c>
    </row>
    <row r="886" ht="9" customHeight="1" hidden="1">
      <c r="I886" s="82"/>
      <c r="J886" t="s" s="86">
        <v>5481</v>
      </c>
      <c r="K886" s="87"/>
      <c r="L886" s="85"/>
      <c r="M886" s="28">
        <v>1</v>
      </c>
      <c r="N886" s="29">
        <v>399.99</v>
      </c>
      <c r="O886" s="29">
        <v>399.99</v>
      </c>
    </row>
    <row r="887" ht="16.1" customHeight="1">
      <c r="I887" t="s" s="126">
        <v>5482</v>
      </c>
      <c r="J887" s="127"/>
      <c r="K887" s="127"/>
      <c r="L887" s="128"/>
      <c r="M887" s="129">
        <v>1</v>
      </c>
      <c r="N887" s="142">
        <v>399.99</v>
      </c>
      <c r="O887" s="142">
        <v>399.99</v>
      </c>
    </row>
    <row r="888" ht="9" customHeight="1" hidden="1">
      <c r="I888" s="77"/>
      <c r="J888" s="78"/>
      <c r="K888" s="78"/>
      <c r="L888" t="s" s="79">
        <v>345</v>
      </c>
      <c r="M888" s="80">
        <v>1</v>
      </c>
      <c r="N888" s="81">
        <v>219.99</v>
      </c>
      <c r="O888" s="81">
        <v>219.99</v>
      </c>
    </row>
    <row r="889" ht="9" customHeight="1" hidden="1">
      <c r="I889" s="77"/>
      <c r="J889" s="78"/>
      <c r="K889" s="78"/>
      <c r="L889" t="s" s="79">
        <v>1961</v>
      </c>
      <c r="M889" s="80">
        <v>1</v>
      </c>
      <c r="N889" s="81">
        <v>109.99</v>
      </c>
      <c r="O889" s="81">
        <v>109.99</v>
      </c>
    </row>
    <row r="890" ht="9" customHeight="1" hidden="1">
      <c r="I890" s="82"/>
      <c r="J890" s="83"/>
      <c r="K890" s="84">
        <v>45047</v>
      </c>
      <c r="L890" s="85"/>
      <c r="M890" s="28">
        <v>2</v>
      </c>
      <c r="N890" s="29">
        <v>329.98</v>
      </c>
      <c r="O890" s="29">
        <v>329.98</v>
      </c>
    </row>
    <row r="891" ht="9" customHeight="1" hidden="1">
      <c r="I891" s="82"/>
      <c r="J891" t="s" s="86">
        <v>5562</v>
      </c>
      <c r="K891" s="87"/>
      <c r="L891" s="85"/>
      <c r="M891" s="28">
        <v>2</v>
      </c>
      <c r="N891" s="29">
        <v>329.98</v>
      </c>
      <c r="O891" s="29">
        <v>329.98</v>
      </c>
    </row>
    <row r="892" ht="16.1" customHeight="1">
      <c r="I892" t="s" s="126">
        <v>5563</v>
      </c>
      <c r="J892" s="127"/>
      <c r="K892" s="127"/>
      <c r="L892" s="128"/>
      <c r="M892" s="129">
        <v>2</v>
      </c>
      <c r="N892" s="142">
        <v>329.98</v>
      </c>
      <c r="O892" s="142">
        <v>329.98</v>
      </c>
    </row>
    <row r="893" ht="9" customHeight="1" hidden="1">
      <c r="I893" s="77"/>
      <c r="J893" s="78"/>
      <c r="K893" s="78"/>
      <c r="L893" t="s" s="79">
        <v>409</v>
      </c>
      <c r="M893" s="80">
        <v>1</v>
      </c>
      <c r="N893" s="81">
        <v>0</v>
      </c>
      <c r="O893" s="81">
        <v>0</v>
      </c>
    </row>
    <row r="894" ht="9" customHeight="1" hidden="1">
      <c r="I894" s="82"/>
      <c r="J894" s="83"/>
      <c r="K894" s="84">
        <v>45047</v>
      </c>
      <c r="L894" s="85"/>
      <c r="M894" s="28">
        <v>1</v>
      </c>
      <c r="N894" s="29">
        <v>0</v>
      </c>
      <c r="O894" s="29">
        <v>0</v>
      </c>
    </row>
    <row r="895" ht="9" customHeight="1" hidden="1">
      <c r="I895" s="82"/>
      <c r="J895" t="s" s="86">
        <v>5370</v>
      </c>
      <c r="K895" s="87"/>
      <c r="L895" s="85"/>
      <c r="M895" s="28">
        <v>1</v>
      </c>
      <c r="N895" s="29">
        <v>0</v>
      </c>
      <c r="O895" s="29">
        <v>0</v>
      </c>
    </row>
    <row r="896" ht="9" customHeight="1" hidden="1">
      <c r="I896" s="77"/>
      <c r="J896" s="78"/>
      <c r="K896" s="78"/>
      <c r="L896" t="s" s="79">
        <v>207</v>
      </c>
      <c r="M896" s="80">
        <v>4</v>
      </c>
      <c r="N896" s="81">
        <v>0</v>
      </c>
      <c r="O896" s="81">
        <v>0</v>
      </c>
    </row>
    <row r="897" ht="9" customHeight="1" hidden="1">
      <c r="I897" s="77"/>
      <c r="J897" s="78"/>
      <c r="K897" s="78"/>
      <c r="L897" t="s" s="79">
        <v>63</v>
      </c>
      <c r="M897" s="80">
        <v>1</v>
      </c>
      <c r="N897" s="81">
        <v>45</v>
      </c>
      <c r="O897" s="81">
        <v>45</v>
      </c>
    </row>
    <row r="898" ht="9" customHeight="1" hidden="1">
      <c r="I898" s="82"/>
      <c r="J898" s="83"/>
      <c r="K898" s="84">
        <v>45047</v>
      </c>
      <c r="L898" s="85"/>
      <c r="M898" s="28">
        <v>5</v>
      </c>
      <c r="N898" s="29">
        <v>45</v>
      </c>
      <c r="O898" s="29">
        <v>45</v>
      </c>
    </row>
    <row r="899" ht="9" customHeight="1" hidden="1">
      <c r="I899" s="82"/>
      <c r="J899" t="s" s="86">
        <v>5372</v>
      </c>
      <c r="K899" s="87"/>
      <c r="L899" s="85"/>
      <c r="M899" s="28">
        <v>5</v>
      </c>
      <c r="N899" s="29">
        <v>45</v>
      </c>
      <c r="O899" s="29">
        <v>45</v>
      </c>
    </row>
    <row r="900" ht="16.1" customHeight="1">
      <c r="I900" t="s" s="126">
        <v>5371</v>
      </c>
      <c r="J900" s="127"/>
      <c r="K900" s="127"/>
      <c r="L900" s="128"/>
      <c r="M900" s="129">
        <v>6</v>
      </c>
      <c r="N900" s="142">
        <v>45</v>
      </c>
      <c r="O900" s="142">
        <v>45</v>
      </c>
    </row>
    <row r="901" ht="9" customHeight="1" hidden="1">
      <c r="I901" s="77"/>
      <c r="J901" s="78"/>
      <c r="K901" s="78"/>
      <c r="L901" t="s" s="79">
        <v>84</v>
      </c>
      <c r="M901" s="80">
        <v>1</v>
      </c>
      <c r="N901" s="81">
        <v>15</v>
      </c>
      <c r="O901" s="81">
        <v>15</v>
      </c>
    </row>
    <row r="902" ht="9" customHeight="1" hidden="1">
      <c r="I902" s="77"/>
      <c r="J902" s="78"/>
      <c r="K902" s="78"/>
      <c r="L902" t="s" s="79">
        <v>23</v>
      </c>
      <c r="M902" s="80">
        <v>1</v>
      </c>
      <c r="N902" s="81">
        <v>149.99</v>
      </c>
      <c r="O902" s="81">
        <v>149.99</v>
      </c>
    </row>
    <row r="903" ht="9" customHeight="1" hidden="1">
      <c r="I903" s="82"/>
      <c r="J903" s="83"/>
      <c r="K903" s="84">
        <v>45047</v>
      </c>
      <c r="L903" s="85"/>
      <c r="M903" s="28">
        <v>2</v>
      </c>
      <c r="N903" s="29">
        <v>164.99</v>
      </c>
      <c r="O903" s="29">
        <v>164.99</v>
      </c>
    </row>
    <row r="904" ht="9" customHeight="1" hidden="1">
      <c r="I904" s="82"/>
      <c r="J904" t="s" s="86">
        <v>5402</v>
      </c>
      <c r="K904" s="87"/>
      <c r="L904" s="85"/>
      <c r="M904" s="28">
        <v>2</v>
      </c>
      <c r="N904" s="29">
        <v>164.99</v>
      </c>
      <c r="O904" s="29">
        <v>164.99</v>
      </c>
    </row>
    <row r="905" ht="16.1" customHeight="1">
      <c r="I905" t="s" s="126">
        <v>5403</v>
      </c>
      <c r="J905" s="127"/>
      <c r="K905" s="127"/>
      <c r="L905" s="128"/>
      <c r="M905" s="129">
        <v>2</v>
      </c>
      <c r="N905" s="142">
        <v>164.99</v>
      </c>
      <c r="O905" s="142">
        <v>164.99</v>
      </c>
    </row>
    <row r="906" ht="9" customHeight="1" hidden="1">
      <c r="I906" s="77"/>
      <c r="J906" s="78"/>
      <c r="K906" s="78"/>
      <c r="L906" t="s" s="79">
        <v>2425</v>
      </c>
      <c r="M906" s="80">
        <v>1</v>
      </c>
      <c r="N906" s="81">
        <v>0</v>
      </c>
      <c r="O906" s="81">
        <v>0</v>
      </c>
    </row>
    <row r="907" ht="9" customHeight="1" hidden="1">
      <c r="I907" s="82"/>
      <c r="J907" s="83"/>
      <c r="K907" s="84">
        <v>45047</v>
      </c>
      <c r="L907" s="85"/>
      <c r="M907" s="28">
        <v>1</v>
      </c>
      <c r="N907" s="29">
        <v>0</v>
      </c>
      <c r="O907" s="29">
        <v>0</v>
      </c>
    </row>
    <row r="908" ht="9" customHeight="1" hidden="1">
      <c r="I908" s="82"/>
      <c r="J908" t="s" s="86">
        <v>5362</v>
      </c>
      <c r="K908" s="87"/>
      <c r="L908" s="85"/>
      <c r="M908" s="28">
        <v>1</v>
      </c>
      <c r="N908" s="29">
        <v>0</v>
      </c>
      <c r="O908" s="29">
        <v>0</v>
      </c>
    </row>
    <row r="909" ht="16.1" customHeight="1">
      <c r="I909" t="s" s="126">
        <v>827</v>
      </c>
      <c r="J909" s="127"/>
      <c r="K909" s="127"/>
      <c r="L909" s="128"/>
      <c r="M909" s="129">
        <v>1</v>
      </c>
      <c r="N909" s="142">
        <v>0</v>
      </c>
      <c r="O909" s="142">
        <v>0</v>
      </c>
    </row>
    <row r="910" ht="9" customHeight="1" hidden="1">
      <c r="I910" s="77"/>
      <c r="J910" s="78"/>
      <c r="K910" s="78"/>
      <c r="L910" t="s" s="79">
        <v>95</v>
      </c>
      <c r="M910" s="80">
        <v>1</v>
      </c>
      <c r="N910" s="81">
        <v>349.99</v>
      </c>
      <c r="O910" s="81">
        <v>349.99</v>
      </c>
    </row>
    <row r="911" ht="9" customHeight="1" hidden="1">
      <c r="I911" s="82"/>
      <c r="J911" s="83"/>
      <c r="K911" s="84">
        <v>45047</v>
      </c>
      <c r="L911" s="85"/>
      <c r="M911" s="28">
        <v>1</v>
      </c>
      <c r="N911" s="29">
        <v>349.99</v>
      </c>
      <c r="O911" s="29">
        <v>349.99</v>
      </c>
    </row>
    <row r="912" ht="9" customHeight="1" hidden="1">
      <c r="I912" s="82"/>
      <c r="J912" t="s" s="86">
        <v>5324</v>
      </c>
      <c r="K912" s="87"/>
      <c r="L912" s="85"/>
      <c r="M912" s="28">
        <v>1</v>
      </c>
      <c r="N912" s="29">
        <v>349.99</v>
      </c>
      <c r="O912" s="29">
        <v>349.99</v>
      </c>
    </row>
    <row r="913" ht="16.1" customHeight="1">
      <c r="I913" t="s" s="126">
        <v>5325</v>
      </c>
      <c r="J913" s="127"/>
      <c r="K913" s="127"/>
      <c r="L913" s="128"/>
      <c r="M913" s="129">
        <v>1</v>
      </c>
      <c r="N913" s="142">
        <v>349.99</v>
      </c>
      <c r="O913" s="142">
        <v>349.99</v>
      </c>
    </row>
    <row r="914" ht="9" customHeight="1" hidden="1">
      <c r="I914" s="77"/>
      <c r="J914" s="78"/>
      <c r="K914" s="78"/>
      <c r="L914" t="s" s="79">
        <v>19</v>
      </c>
      <c r="M914" s="80">
        <v>2</v>
      </c>
      <c r="N914" s="81">
        <v>119.99</v>
      </c>
      <c r="O914" s="81">
        <v>239.98</v>
      </c>
    </row>
    <row r="915" ht="9" customHeight="1" hidden="1">
      <c r="I915" s="77"/>
      <c r="J915" s="78"/>
      <c r="K915" s="78"/>
      <c r="L915" t="s" s="79">
        <v>73</v>
      </c>
      <c r="M915" s="80">
        <v>1</v>
      </c>
      <c r="N915" s="81">
        <v>399.99</v>
      </c>
      <c r="O915" s="81">
        <v>399.99</v>
      </c>
    </row>
    <row r="916" ht="9" customHeight="1" hidden="1">
      <c r="I916" s="77"/>
      <c r="J916" s="78"/>
      <c r="K916" s="78"/>
      <c r="L916" t="s" s="79">
        <v>15</v>
      </c>
      <c r="M916" s="80">
        <v>2</v>
      </c>
      <c r="N916" s="81">
        <v>8.99</v>
      </c>
      <c r="O916" s="81">
        <v>17.98</v>
      </c>
    </row>
    <row r="917" ht="9" customHeight="1" hidden="1">
      <c r="I917" s="82"/>
      <c r="J917" s="83"/>
      <c r="K917" s="84">
        <v>45047</v>
      </c>
      <c r="L917" s="85"/>
      <c r="M917" s="28">
        <v>5</v>
      </c>
      <c r="N917" s="29">
        <v>528.97</v>
      </c>
      <c r="O917" s="29">
        <v>657.95</v>
      </c>
    </row>
    <row r="918" ht="9" customHeight="1" hidden="1">
      <c r="I918" s="82"/>
      <c r="J918" t="s" s="86">
        <v>5545</v>
      </c>
      <c r="K918" s="87"/>
      <c r="L918" s="85"/>
      <c r="M918" s="28">
        <v>5</v>
      </c>
      <c r="N918" s="29">
        <v>528.97</v>
      </c>
      <c r="O918" s="29">
        <v>657.95</v>
      </c>
    </row>
    <row r="919" ht="9" customHeight="1" hidden="1">
      <c r="I919" s="77"/>
      <c r="J919" s="78"/>
      <c r="K919" s="78"/>
      <c r="L919" t="s" s="79">
        <v>54</v>
      </c>
      <c r="M919" s="80">
        <v>3</v>
      </c>
      <c r="N919" s="81">
        <v>9.99</v>
      </c>
      <c r="O919" s="81">
        <v>29.97</v>
      </c>
    </row>
    <row r="920" ht="9" customHeight="1" hidden="1">
      <c r="I920" s="82"/>
      <c r="J920" s="83"/>
      <c r="K920" s="84">
        <v>45047</v>
      </c>
      <c r="L920" s="85"/>
      <c r="M920" s="28">
        <v>3</v>
      </c>
      <c r="N920" s="29">
        <v>9.99</v>
      </c>
      <c r="O920" s="29">
        <v>29.97</v>
      </c>
    </row>
    <row r="921" ht="9" customHeight="1" hidden="1">
      <c r="I921" s="82"/>
      <c r="J921" t="s" s="86">
        <v>5483</v>
      </c>
      <c r="K921" s="87"/>
      <c r="L921" s="85"/>
      <c r="M921" s="28">
        <v>3</v>
      </c>
      <c r="N921" s="29">
        <v>9.99</v>
      </c>
      <c r="O921" s="29">
        <v>29.97</v>
      </c>
    </row>
    <row r="922" ht="16.1" customHeight="1">
      <c r="I922" t="s" s="126">
        <v>4732</v>
      </c>
      <c r="J922" s="127"/>
      <c r="K922" s="127"/>
      <c r="L922" s="128"/>
      <c r="M922" s="129">
        <v>8</v>
      </c>
      <c r="N922" s="142">
        <v>538.96</v>
      </c>
      <c r="O922" s="142">
        <v>687.92</v>
      </c>
    </row>
    <row r="923" ht="9" customHeight="1" hidden="1">
      <c r="I923" s="77"/>
      <c r="J923" s="78"/>
      <c r="K923" s="78"/>
      <c r="L923" t="s" s="79">
        <v>412</v>
      </c>
      <c r="M923" s="80">
        <v>5</v>
      </c>
      <c r="N923" s="81">
        <v>1.99</v>
      </c>
      <c r="O923" s="81">
        <v>9.949999999999999</v>
      </c>
    </row>
    <row r="924" ht="9" customHeight="1" hidden="1">
      <c r="I924" s="77"/>
      <c r="J924" s="78"/>
      <c r="K924" s="78"/>
      <c r="L924" t="s" s="79">
        <v>35</v>
      </c>
      <c r="M924" s="80">
        <v>1</v>
      </c>
      <c r="N924" s="81">
        <v>49.99</v>
      </c>
      <c r="O924" s="81">
        <v>49.99</v>
      </c>
    </row>
    <row r="925" ht="9" customHeight="1" hidden="1">
      <c r="I925" s="77"/>
      <c r="J925" s="78"/>
      <c r="K925" s="78"/>
      <c r="L925" t="s" s="79">
        <v>31</v>
      </c>
      <c r="M925" s="80">
        <v>1</v>
      </c>
      <c r="N925" s="81">
        <v>599.99</v>
      </c>
      <c r="O925" s="81">
        <v>599.99</v>
      </c>
    </row>
    <row r="926" ht="9" customHeight="1" hidden="1">
      <c r="I926" s="77"/>
      <c r="J926" s="78"/>
      <c r="K926" s="78"/>
      <c r="L926" t="s" s="79">
        <v>15</v>
      </c>
      <c r="M926" s="80">
        <v>2</v>
      </c>
      <c r="N926" s="81">
        <v>8.99</v>
      </c>
      <c r="O926" s="81">
        <v>17.98</v>
      </c>
    </row>
    <row r="927" ht="9" customHeight="1" hidden="1">
      <c r="I927" s="82"/>
      <c r="J927" s="83"/>
      <c r="K927" s="84">
        <v>45047</v>
      </c>
      <c r="L927" s="85"/>
      <c r="M927" s="28">
        <v>9</v>
      </c>
      <c r="N927" s="29">
        <v>660.96</v>
      </c>
      <c r="O927" s="29">
        <v>677.91</v>
      </c>
    </row>
    <row r="928" ht="9" customHeight="1" hidden="1">
      <c r="I928" s="82"/>
      <c r="J928" t="s" s="86">
        <v>5484</v>
      </c>
      <c r="K928" s="87"/>
      <c r="L928" s="85"/>
      <c r="M928" s="28">
        <v>9</v>
      </c>
      <c r="N928" s="29">
        <v>660.96</v>
      </c>
      <c r="O928" s="29">
        <v>677.91</v>
      </c>
    </row>
    <row r="929" ht="16.1" customHeight="1">
      <c r="I929" t="s" s="126">
        <v>5485</v>
      </c>
      <c r="J929" s="127"/>
      <c r="K929" s="127"/>
      <c r="L929" s="128"/>
      <c r="M929" s="129">
        <v>9</v>
      </c>
      <c r="N929" s="142">
        <v>660.96</v>
      </c>
      <c r="O929" s="142">
        <v>677.91</v>
      </c>
    </row>
    <row r="930" ht="9" customHeight="1" hidden="1">
      <c r="I930" s="77"/>
      <c r="J930" s="78"/>
      <c r="K930" s="78"/>
      <c r="L930" t="s" s="79">
        <v>84</v>
      </c>
      <c r="M930" s="80">
        <v>1</v>
      </c>
      <c r="N930" s="81">
        <v>15</v>
      </c>
      <c r="O930" s="81">
        <v>15</v>
      </c>
    </row>
    <row r="931" ht="9" customHeight="1" hidden="1">
      <c r="I931" s="77"/>
      <c r="J931" s="78"/>
      <c r="K931" s="78"/>
      <c r="L931" t="s" s="79">
        <v>39</v>
      </c>
      <c r="M931" s="80">
        <v>1</v>
      </c>
      <c r="N931" s="81">
        <v>109.99</v>
      </c>
      <c r="O931" s="81">
        <v>109.99</v>
      </c>
    </row>
    <row r="932" ht="9" customHeight="1" hidden="1">
      <c r="I932" s="82"/>
      <c r="J932" s="83"/>
      <c r="K932" s="84">
        <v>45047</v>
      </c>
      <c r="L932" s="85"/>
      <c r="M932" s="28">
        <v>2</v>
      </c>
      <c r="N932" s="29">
        <v>124.99</v>
      </c>
      <c r="O932" s="29">
        <v>124.99</v>
      </c>
    </row>
    <row r="933" ht="9" customHeight="1" hidden="1">
      <c r="I933" s="82"/>
      <c r="J933" t="s" s="86">
        <v>5515</v>
      </c>
      <c r="K933" s="87"/>
      <c r="L933" s="85"/>
      <c r="M933" s="28">
        <v>2</v>
      </c>
      <c r="N933" s="29">
        <v>124.99</v>
      </c>
      <c r="O933" s="29">
        <v>124.99</v>
      </c>
    </row>
    <row r="934" ht="16.1" customHeight="1">
      <c r="I934" t="s" s="126">
        <v>5516</v>
      </c>
      <c r="J934" s="127"/>
      <c r="K934" s="127"/>
      <c r="L934" s="128"/>
      <c r="M934" s="129">
        <v>2</v>
      </c>
      <c r="N934" s="142">
        <v>124.99</v>
      </c>
      <c r="O934" s="142">
        <v>124.99</v>
      </c>
    </row>
    <row r="935" ht="9" customHeight="1" hidden="1">
      <c r="I935" s="77"/>
      <c r="J935" s="78"/>
      <c r="K935" s="78"/>
      <c r="L935" t="s" s="79">
        <v>89</v>
      </c>
      <c r="M935" s="80">
        <v>12</v>
      </c>
      <c r="N935" s="81">
        <v>59.99</v>
      </c>
      <c r="O935" s="81">
        <v>719.88</v>
      </c>
    </row>
    <row r="936" ht="9" customHeight="1" hidden="1">
      <c r="I936" s="82"/>
      <c r="J936" s="83"/>
      <c r="K936" s="84">
        <v>45047</v>
      </c>
      <c r="L936" s="85"/>
      <c r="M936" s="28">
        <v>12</v>
      </c>
      <c r="N936" s="29">
        <v>59.99</v>
      </c>
      <c r="O936" s="29">
        <v>719.88</v>
      </c>
    </row>
    <row r="937" ht="9" customHeight="1" hidden="1">
      <c r="I937" s="82"/>
      <c r="J937" t="s" s="86">
        <v>5426</v>
      </c>
      <c r="K937" s="87"/>
      <c r="L937" s="85"/>
      <c r="M937" s="28">
        <v>12</v>
      </c>
      <c r="N937" s="29">
        <v>59.99</v>
      </c>
      <c r="O937" s="29">
        <v>719.88</v>
      </c>
    </row>
    <row r="938" ht="16.1" customHeight="1">
      <c r="I938" t="s" s="126">
        <v>5427</v>
      </c>
      <c r="J938" s="127"/>
      <c r="K938" s="127"/>
      <c r="L938" s="128"/>
      <c r="M938" s="129">
        <v>12</v>
      </c>
      <c r="N938" s="142">
        <v>59.99</v>
      </c>
      <c r="O938" s="142">
        <v>719.88</v>
      </c>
    </row>
    <row r="939" ht="9" customHeight="1" hidden="1">
      <c r="I939" s="77"/>
      <c r="J939" s="78"/>
      <c r="K939" s="78"/>
      <c r="L939" t="s" s="79">
        <v>19</v>
      </c>
      <c r="M939" s="80">
        <v>3</v>
      </c>
      <c r="N939" s="81">
        <v>89.99250000000001</v>
      </c>
      <c r="O939" s="81">
        <v>269.9775</v>
      </c>
    </row>
    <row r="940" ht="9" customHeight="1" hidden="1">
      <c r="I940" s="77"/>
      <c r="J940" s="78"/>
      <c r="K940" s="78"/>
      <c r="L940" t="s" s="79">
        <v>23</v>
      </c>
      <c r="M940" s="80">
        <v>3</v>
      </c>
      <c r="N940" s="81">
        <v>112.4925</v>
      </c>
      <c r="O940" s="81">
        <v>112.4925</v>
      </c>
    </row>
    <row r="941" ht="9" customHeight="1" hidden="1">
      <c r="I941" s="77"/>
      <c r="J941" s="78"/>
      <c r="K941" s="78"/>
      <c r="L941" t="s" s="79">
        <v>133</v>
      </c>
      <c r="M941" s="80">
        <v>3</v>
      </c>
      <c r="N941" s="81">
        <v>149.9925</v>
      </c>
      <c r="O941" s="81">
        <v>449.9775</v>
      </c>
    </row>
    <row r="942" ht="9" customHeight="1" hidden="1">
      <c r="I942" s="77"/>
      <c r="J942" s="78"/>
      <c r="K942" s="78"/>
      <c r="L942" t="s" s="79">
        <v>31</v>
      </c>
      <c r="M942" s="80">
        <v>1</v>
      </c>
      <c r="N942" s="81">
        <v>449.9925</v>
      </c>
      <c r="O942" s="81">
        <v>449.9925</v>
      </c>
    </row>
    <row r="943" ht="9" customHeight="1" hidden="1">
      <c r="I943" s="77"/>
      <c r="J943" s="78"/>
      <c r="K943" s="78"/>
      <c r="L943" t="s" s="79">
        <v>48</v>
      </c>
      <c r="M943" s="80">
        <v>2</v>
      </c>
      <c r="N943" s="81">
        <v>974.9924999999999</v>
      </c>
      <c r="O943" s="81">
        <v>1949.985</v>
      </c>
    </row>
    <row r="944" ht="9" customHeight="1" hidden="1">
      <c r="I944" s="82"/>
      <c r="J944" s="83"/>
      <c r="K944" s="84">
        <v>45047</v>
      </c>
      <c r="L944" s="85"/>
      <c r="M944" s="28">
        <v>12</v>
      </c>
      <c r="N944" s="29">
        <v>1777.4625</v>
      </c>
      <c r="O944" s="29">
        <v>3232.425</v>
      </c>
    </row>
    <row r="945" ht="9" customHeight="1" hidden="1">
      <c r="I945" s="82"/>
      <c r="J945" t="s" s="86">
        <v>5574</v>
      </c>
      <c r="K945" s="87"/>
      <c r="L945" s="85"/>
      <c r="M945" s="28">
        <v>12</v>
      </c>
      <c r="N945" s="29">
        <v>1777.4625</v>
      </c>
      <c r="O945" s="29">
        <v>3232.425</v>
      </c>
    </row>
    <row r="946" ht="16.1" customHeight="1">
      <c r="I946" t="s" s="126">
        <v>704</v>
      </c>
      <c r="J946" s="127"/>
      <c r="K946" s="127"/>
      <c r="L946" s="128"/>
      <c r="M946" s="129">
        <v>12</v>
      </c>
      <c r="N946" s="142">
        <v>1777.4625</v>
      </c>
      <c r="O946" s="142">
        <v>3232.425</v>
      </c>
    </row>
    <row r="947" ht="9" customHeight="1" hidden="1">
      <c r="I947" s="77"/>
      <c r="J947" s="78"/>
      <c r="K947" s="78"/>
      <c r="L947" t="s" s="79">
        <v>165</v>
      </c>
      <c r="M947" s="80">
        <v>4</v>
      </c>
      <c r="N947" s="81">
        <v>0</v>
      </c>
      <c r="O947" s="81">
        <v>0</v>
      </c>
    </row>
    <row r="948" ht="9" customHeight="1" hidden="1">
      <c r="I948" s="77"/>
      <c r="J948" s="78"/>
      <c r="K948" s="78"/>
      <c r="L948" t="s" s="79">
        <v>19</v>
      </c>
      <c r="M948" s="80">
        <v>10</v>
      </c>
      <c r="N948" s="81">
        <v>89.99250000000001</v>
      </c>
      <c r="O948" s="81">
        <v>899.925</v>
      </c>
    </row>
    <row r="949" ht="9" customHeight="1" hidden="1">
      <c r="I949" s="77"/>
      <c r="J949" s="78"/>
      <c r="K949" s="78"/>
      <c r="L949" t="s" s="79">
        <v>54</v>
      </c>
      <c r="M949" s="80">
        <v>9</v>
      </c>
      <c r="N949" s="81">
        <v>0</v>
      </c>
      <c r="O949" s="81">
        <v>0</v>
      </c>
    </row>
    <row r="950" ht="9" customHeight="1" hidden="1">
      <c r="I950" s="77"/>
      <c r="J950" s="78"/>
      <c r="K950" s="78"/>
      <c r="L950" t="s" s="79">
        <v>225</v>
      </c>
      <c r="M950" s="80">
        <v>4</v>
      </c>
      <c r="N950" s="81">
        <v>374.9925</v>
      </c>
      <c r="O950" s="81">
        <v>1499.97</v>
      </c>
    </row>
    <row r="951" ht="9" customHeight="1" hidden="1">
      <c r="I951" s="77"/>
      <c r="J951" s="78"/>
      <c r="K951" s="78"/>
      <c r="L951" t="s" s="79">
        <v>602</v>
      </c>
      <c r="M951" s="80">
        <v>10</v>
      </c>
      <c r="N951" s="81">
        <v>356.2425</v>
      </c>
      <c r="O951" s="81">
        <v>1406.2425</v>
      </c>
    </row>
    <row r="952" ht="9" customHeight="1" hidden="1">
      <c r="I952" s="77"/>
      <c r="J952" s="78"/>
      <c r="K952" s="78"/>
      <c r="L952" t="s" s="79">
        <v>52</v>
      </c>
      <c r="M952" s="80">
        <v>9</v>
      </c>
      <c r="N952" s="81">
        <v>0</v>
      </c>
      <c r="O952" s="81">
        <v>0</v>
      </c>
    </row>
    <row r="953" ht="9" customHeight="1" hidden="1">
      <c r="I953" s="77"/>
      <c r="J953" s="78"/>
      <c r="K953" s="78"/>
      <c r="L953" t="s" s="79">
        <v>50</v>
      </c>
      <c r="M953" s="80">
        <v>9</v>
      </c>
      <c r="N953" s="81">
        <v>0</v>
      </c>
      <c r="O953" s="81">
        <v>0</v>
      </c>
    </row>
    <row r="954" ht="9" customHeight="1" hidden="1">
      <c r="I954" s="77"/>
      <c r="J954" s="78"/>
      <c r="K954" s="78"/>
      <c r="L954" t="s" s="79">
        <v>48</v>
      </c>
      <c r="M954" s="80">
        <v>9</v>
      </c>
      <c r="N954" s="81">
        <v>974.9924999999999</v>
      </c>
      <c r="O954" s="81">
        <v>8774.932500000001</v>
      </c>
    </row>
    <row r="955" ht="9" customHeight="1" hidden="1">
      <c r="I955" s="77"/>
      <c r="J955" s="78"/>
      <c r="K955" s="78"/>
      <c r="L955" t="s" s="79">
        <v>15</v>
      </c>
      <c r="M955" s="80">
        <v>9</v>
      </c>
      <c r="N955" s="81">
        <v>0</v>
      </c>
      <c r="O955" s="81">
        <v>0</v>
      </c>
    </row>
    <row r="956" ht="9" customHeight="1" hidden="1">
      <c r="I956" s="77"/>
      <c r="J956" s="78"/>
      <c r="K956" s="78"/>
      <c r="L956" t="s" s="79">
        <v>47</v>
      </c>
      <c r="M956" s="80">
        <v>1</v>
      </c>
      <c r="N956" s="81">
        <v>285</v>
      </c>
      <c r="O956" s="81">
        <v>285</v>
      </c>
    </row>
    <row r="957" ht="9" customHeight="1" hidden="1">
      <c r="I957" s="82"/>
      <c r="J957" s="83"/>
      <c r="K957" s="84">
        <v>45047</v>
      </c>
      <c r="L957" s="85"/>
      <c r="M957" s="28">
        <v>74</v>
      </c>
      <c r="N957" s="29">
        <v>2081.22</v>
      </c>
      <c r="O957" s="29">
        <v>12866.07</v>
      </c>
    </row>
    <row r="958" ht="9" customHeight="1" hidden="1">
      <c r="I958" s="82"/>
      <c r="J958" t="s" s="86">
        <v>5348</v>
      </c>
      <c r="K958" s="87"/>
      <c r="L958" s="85"/>
      <c r="M958" s="28">
        <v>74</v>
      </c>
      <c r="N958" s="29">
        <v>2081.22</v>
      </c>
      <c r="O958" s="29">
        <v>12866.07</v>
      </c>
    </row>
    <row r="959" ht="16.1" customHeight="1">
      <c r="I959" t="s" s="126">
        <v>3437</v>
      </c>
      <c r="J959" s="127"/>
      <c r="K959" s="127"/>
      <c r="L959" s="128"/>
      <c r="M959" s="129">
        <v>74</v>
      </c>
      <c r="N959" s="142">
        <v>2081.22</v>
      </c>
      <c r="O959" s="142">
        <v>12866.07</v>
      </c>
    </row>
    <row r="960" ht="9" customHeight="1" hidden="1">
      <c r="I960" s="77"/>
      <c r="J960" s="78"/>
      <c r="K960" s="78"/>
      <c r="L960" t="s" s="79">
        <v>227</v>
      </c>
      <c r="M960" s="80">
        <v>2</v>
      </c>
      <c r="N960" s="81">
        <v>29.99</v>
      </c>
      <c r="O960" s="81">
        <v>59.98</v>
      </c>
    </row>
    <row r="961" ht="9" customHeight="1" hidden="1">
      <c r="I961" s="77"/>
      <c r="J961" s="78"/>
      <c r="K961" s="78"/>
      <c r="L961" t="s" s="79">
        <v>23</v>
      </c>
      <c r="M961" s="80">
        <v>2</v>
      </c>
      <c r="N961" s="81">
        <v>0</v>
      </c>
      <c r="O961" s="81">
        <v>0</v>
      </c>
    </row>
    <row r="962" ht="9" customHeight="1" hidden="1">
      <c r="I962" s="77"/>
      <c r="J962" s="78"/>
      <c r="K962" s="78"/>
      <c r="L962" t="s" s="79">
        <v>52</v>
      </c>
      <c r="M962" s="80">
        <v>2</v>
      </c>
      <c r="N962" s="81">
        <v>0</v>
      </c>
      <c r="O962" s="81">
        <v>0</v>
      </c>
    </row>
    <row r="963" ht="9" customHeight="1" hidden="1">
      <c r="I963" s="77"/>
      <c r="J963" s="78"/>
      <c r="K963" s="78"/>
      <c r="L963" t="s" s="79">
        <v>11</v>
      </c>
      <c r="M963" s="80">
        <v>1</v>
      </c>
      <c r="N963" s="81">
        <v>399.99</v>
      </c>
      <c r="O963" s="81">
        <v>399.99</v>
      </c>
    </row>
    <row r="964" ht="9" customHeight="1" hidden="1">
      <c r="I964" s="77"/>
      <c r="J964" s="78"/>
      <c r="K964" s="78"/>
      <c r="L964" t="s" s="79">
        <v>50</v>
      </c>
      <c r="M964" s="80">
        <v>2</v>
      </c>
      <c r="N964" s="81">
        <v>0</v>
      </c>
      <c r="O964" s="81">
        <v>0</v>
      </c>
    </row>
    <row r="965" ht="9" customHeight="1" hidden="1">
      <c r="I965" s="77"/>
      <c r="J965" s="78"/>
      <c r="K965" s="78"/>
      <c r="L965" t="s" s="79">
        <v>48</v>
      </c>
      <c r="M965" s="80">
        <v>2</v>
      </c>
      <c r="N965" s="81">
        <v>1299.99</v>
      </c>
      <c r="O965" s="81">
        <v>2599.98</v>
      </c>
    </row>
    <row r="966" ht="9" customHeight="1" hidden="1">
      <c r="I966" s="77"/>
      <c r="J966" s="78"/>
      <c r="K966" s="78"/>
      <c r="L966" t="s" s="79">
        <v>73</v>
      </c>
      <c r="M966" s="80">
        <v>1</v>
      </c>
      <c r="N966" s="81">
        <v>399.99</v>
      </c>
      <c r="O966" s="81">
        <v>399.99</v>
      </c>
    </row>
    <row r="967" ht="9" customHeight="1" hidden="1">
      <c r="I967" s="77"/>
      <c r="J967" s="78"/>
      <c r="K967" s="78"/>
      <c r="L967" t="s" s="79">
        <v>63</v>
      </c>
      <c r="M967" s="80">
        <v>1</v>
      </c>
      <c r="N967" s="81">
        <v>255.91</v>
      </c>
      <c r="O967" s="81">
        <v>255.91</v>
      </c>
    </row>
    <row r="968" ht="9" customHeight="1" hidden="1">
      <c r="I968" s="82"/>
      <c r="J968" s="83"/>
      <c r="K968" s="84">
        <v>45047</v>
      </c>
      <c r="L968" s="85"/>
      <c r="M968" s="28">
        <v>13</v>
      </c>
      <c r="N968" s="29">
        <v>2385.87</v>
      </c>
      <c r="O968" s="29">
        <v>3715.85</v>
      </c>
    </row>
    <row r="969" ht="9" customHeight="1" hidden="1">
      <c r="I969" s="82"/>
      <c r="J969" t="s" s="86">
        <v>5345</v>
      </c>
      <c r="K969" s="87"/>
      <c r="L969" s="85"/>
      <c r="M969" s="28">
        <v>13</v>
      </c>
      <c r="N969" s="29">
        <v>2385.87</v>
      </c>
      <c r="O969" s="29">
        <v>3715.85</v>
      </c>
    </row>
    <row r="970" ht="16.1" customHeight="1">
      <c r="I970" t="s" s="126">
        <v>5346</v>
      </c>
      <c r="J970" s="127"/>
      <c r="K970" s="127"/>
      <c r="L970" s="128"/>
      <c r="M970" s="129">
        <v>13</v>
      </c>
      <c r="N970" s="142">
        <v>2385.87</v>
      </c>
      <c r="O970" s="142">
        <v>3715.85</v>
      </c>
    </row>
    <row r="971" ht="9" customHeight="1" hidden="1">
      <c r="I971" s="77"/>
      <c r="J971" s="78"/>
      <c r="K971" s="78"/>
      <c r="L971" t="s" s="79">
        <v>19</v>
      </c>
      <c r="M971" s="80">
        <v>1</v>
      </c>
      <c r="N971" s="81">
        <v>119.99</v>
      </c>
      <c r="O971" s="81">
        <v>119.99</v>
      </c>
    </row>
    <row r="972" ht="9" customHeight="1" hidden="1">
      <c r="I972" s="77"/>
      <c r="J972" s="78"/>
      <c r="K972" s="78"/>
      <c r="L972" t="s" s="79">
        <v>89</v>
      </c>
      <c r="M972" s="80">
        <v>1</v>
      </c>
      <c r="N972" s="81">
        <v>59.99</v>
      </c>
      <c r="O972" s="81">
        <v>59.99</v>
      </c>
    </row>
    <row r="973" ht="9" customHeight="1" hidden="1">
      <c r="I973" s="77"/>
      <c r="J973" s="78"/>
      <c r="K973" s="78"/>
      <c r="L973" t="s" s="79">
        <v>15</v>
      </c>
      <c r="M973" s="80">
        <v>1</v>
      </c>
      <c r="N973" s="81">
        <v>8.99</v>
      </c>
      <c r="O973" s="81">
        <v>8.99</v>
      </c>
    </row>
    <row r="974" ht="9" customHeight="1" hidden="1">
      <c r="I974" s="82"/>
      <c r="J974" s="83"/>
      <c r="K974" s="84">
        <v>45047</v>
      </c>
      <c r="L974" s="85"/>
      <c r="M974" s="28">
        <v>3</v>
      </c>
      <c r="N974" s="29">
        <v>188.97</v>
      </c>
      <c r="O974" s="29">
        <v>188.97</v>
      </c>
    </row>
    <row r="975" ht="9" customHeight="1" hidden="1">
      <c r="I975" s="82"/>
      <c r="J975" t="s" s="86">
        <v>5534</v>
      </c>
      <c r="K975" s="87"/>
      <c r="L975" s="85"/>
      <c r="M975" s="28">
        <v>3</v>
      </c>
      <c r="N975" s="29">
        <v>188.97</v>
      </c>
      <c r="O975" s="29">
        <v>188.97</v>
      </c>
    </row>
    <row r="976" ht="16.1" customHeight="1">
      <c r="I976" t="s" s="126">
        <v>4313</v>
      </c>
      <c r="J976" s="127"/>
      <c r="K976" s="127"/>
      <c r="L976" s="128"/>
      <c r="M976" s="129">
        <v>3</v>
      </c>
      <c r="N976" s="142">
        <v>188.97</v>
      </c>
      <c r="O976" s="142">
        <v>188.97</v>
      </c>
    </row>
    <row r="977" ht="9" customHeight="1" hidden="1">
      <c r="I977" s="77"/>
      <c r="J977" s="78"/>
      <c r="K977" s="78"/>
      <c r="L977" t="s" s="79">
        <v>462</v>
      </c>
      <c r="M977" s="80">
        <v>2</v>
      </c>
      <c r="N977" s="81">
        <v>199.99</v>
      </c>
      <c r="O977" s="81">
        <v>399.98</v>
      </c>
    </row>
    <row r="978" ht="9" customHeight="1" hidden="1">
      <c r="I978" s="82"/>
      <c r="J978" s="83"/>
      <c r="K978" s="84">
        <v>45047</v>
      </c>
      <c r="L978" s="85"/>
      <c r="M978" s="28">
        <v>2</v>
      </c>
      <c r="N978" s="29">
        <v>199.99</v>
      </c>
      <c r="O978" s="29">
        <v>399.98</v>
      </c>
    </row>
    <row r="979" ht="9" customHeight="1" hidden="1">
      <c r="I979" s="82"/>
      <c r="J979" t="s" s="86">
        <v>5442</v>
      </c>
      <c r="K979" s="87"/>
      <c r="L979" s="85"/>
      <c r="M979" s="28">
        <v>2</v>
      </c>
      <c r="N979" s="29">
        <v>199.99</v>
      </c>
      <c r="O979" s="29">
        <v>399.98</v>
      </c>
    </row>
    <row r="980" ht="16.1" customHeight="1">
      <c r="I980" t="s" s="126">
        <v>5443</v>
      </c>
      <c r="J980" s="127"/>
      <c r="K980" s="127"/>
      <c r="L980" s="128"/>
      <c r="M980" s="129">
        <v>2</v>
      </c>
      <c r="N980" s="142">
        <v>199.99</v>
      </c>
      <c r="O980" s="142">
        <v>399.98</v>
      </c>
    </row>
    <row r="981" ht="9" customHeight="1" hidden="1">
      <c r="I981" s="77"/>
      <c r="J981" s="78"/>
      <c r="K981" s="78"/>
      <c r="L981" t="s" s="79">
        <v>171</v>
      </c>
      <c r="M981" s="80">
        <v>1</v>
      </c>
      <c r="N981" s="81">
        <v>549.99</v>
      </c>
      <c r="O981" s="81">
        <v>549.99</v>
      </c>
    </row>
    <row r="982" ht="9" customHeight="1" hidden="1">
      <c r="I982" s="82"/>
      <c r="J982" s="83"/>
      <c r="K982" s="84">
        <v>45047</v>
      </c>
      <c r="L982" s="85"/>
      <c r="M982" s="28">
        <v>1</v>
      </c>
      <c r="N982" s="29">
        <v>549.99</v>
      </c>
      <c r="O982" s="29">
        <v>549.99</v>
      </c>
    </row>
    <row r="983" ht="9" customHeight="1" hidden="1">
      <c r="I983" s="82"/>
      <c r="J983" t="s" s="86">
        <v>5404</v>
      </c>
      <c r="K983" s="87"/>
      <c r="L983" s="85"/>
      <c r="M983" s="28">
        <v>1</v>
      </c>
      <c r="N983" s="29">
        <v>549.99</v>
      </c>
      <c r="O983" s="29">
        <v>549.99</v>
      </c>
    </row>
    <row r="984" ht="16.1" customHeight="1">
      <c r="I984" t="s" s="126">
        <v>5405</v>
      </c>
      <c r="J984" s="127"/>
      <c r="K984" s="127"/>
      <c r="L984" s="128"/>
      <c r="M984" s="129">
        <v>1</v>
      </c>
      <c r="N984" s="142">
        <v>549.99</v>
      </c>
      <c r="O984" s="142">
        <v>549.99</v>
      </c>
    </row>
    <row r="985" ht="9" customHeight="1" hidden="1">
      <c r="I985" s="77"/>
      <c r="J985" s="78"/>
      <c r="K985" s="78"/>
      <c r="L985" t="s" s="79">
        <v>95</v>
      </c>
      <c r="M985" s="80">
        <v>2</v>
      </c>
      <c r="N985" s="81">
        <v>349.99</v>
      </c>
      <c r="O985" s="81">
        <v>699.98</v>
      </c>
    </row>
    <row r="986" ht="9" customHeight="1" hidden="1">
      <c r="I986" s="82"/>
      <c r="J986" s="83"/>
      <c r="K986" s="84">
        <v>45047</v>
      </c>
      <c r="L986" s="85"/>
      <c r="M986" s="28">
        <v>2</v>
      </c>
      <c r="N986" s="29">
        <v>349.99</v>
      </c>
      <c r="O986" s="29">
        <v>699.98</v>
      </c>
    </row>
    <row r="987" ht="9" customHeight="1" hidden="1">
      <c r="I987" s="82"/>
      <c r="J987" t="s" s="86">
        <v>5393</v>
      </c>
      <c r="K987" s="87"/>
      <c r="L987" s="85"/>
      <c r="M987" s="28">
        <v>2</v>
      </c>
      <c r="N987" s="29">
        <v>349.99</v>
      </c>
      <c r="O987" s="29">
        <v>699.98</v>
      </c>
    </row>
    <row r="988" ht="16.1" customHeight="1">
      <c r="I988" t="s" s="126">
        <v>5394</v>
      </c>
      <c r="J988" s="127"/>
      <c r="K988" s="127"/>
      <c r="L988" s="128"/>
      <c r="M988" s="129">
        <v>2</v>
      </c>
      <c r="N988" s="142">
        <v>349.99</v>
      </c>
      <c r="O988" s="142">
        <v>699.98</v>
      </c>
    </row>
    <row r="989" ht="9" customHeight="1" hidden="1">
      <c r="I989" s="77"/>
      <c r="J989" s="78"/>
      <c r="K989" s="78"/>
      <c r="L989" t="s" s="79">
        <v>52</v>
      </c>
      <c r="M989" s="80">
        <v>8</v>
      </c>
      <c r="N989" s="81">
        <v>0</v>
      </c>
      <c r="O989" s="81">
        <v>0</v>
      </c>
    </row>
    <row r="990" ht="9" customHeight="1" hidden="1">
      <c r="I990" s="77"/>
      <c r="J990" s="78"/>
      <c r="K990" s="78"/>
      <c r="L990" t="s" s="79">
        <v>607</v>
      </c>
      <c r="M990" s="80">
        <v>16</v>
      </c>
      <c r="N990" s="81">
        <v>22.4925</v>
      </c>
      <c r="O990" s="81">
        <v>359.88</v>
      </c>
    </row>
    <row r="991" ht="9" customHeight="1" hidden="1">
      <c r="I991" s="77"/>
      <c r="J991" s="78"/>
      <c r="K991" s="78"/>
      <c r="L991" t="s" s="79">
        <v>50</v>
      </c>
      <c r="M991" s="80">
        <v>8</v>
      </c>
      <c r="N991" s="81">
        <v>0</v>
      </c>
      <c r="O991" s="81">
        <v>0</v>
      </c>
    </row>
    <row r="992" ht="9" customHeight="1" hidden="1">
      <c r="I992" s="77"/>
      <c r="J992" s="78"/>
      <c r="K992" s="78"/>
      <c r="L992" t="s" s="79">
        <v>48</v>
      </c>
      <c r="M992" s="80">
        <v>8</v>
      </c>
      <c r="N992" s="81">
        <v>900</v>
      </c>
      <c r="O992" s="81">
        <v>7200</v>
      </c>
    </row>
    <row r="993" ht="9" customHeight="1" hidden="1">
      <c r="I993" s="77"/>
      <c r="J993" s="78"/>
      <c r="K993" s="78"/>
      <c r="L993" t="s" s="79">
        <v>47</v>
      </c>
      <c r="M993" s="80">
        <v>1</v>
      </c>
      <c r="N993" s="81">
        <v>80</v>
      </c>
      <c r="O993" s="81">
        <v>80</v>
      </c>
    </row>
    <row r="994" ht="9" customHeight="1" hidden="1">
      <c r="I994" s="82"/>
      <c r="J994" s="83"/>
      <c r="K994" s="84">
        <v>45047</v>
      </c>
      <c r="L994" s="85"/>
      <c r="M994" s="28">
        <v>41</v>
      </c>
      <c r="N994" s="29">
        <v>1002.4925</v>
      </c>
      <c r="O994" s="29">
        <v>7639.88</v>
      </c>
    </row>
    <row r="995" ht="9" customHeight="1" hidden="1">
      <c r="I995" s="82"/>
      <c r="J995" t="s" s="86">
        <v>5472</v>
      </c>
      <c r="K995" s="87"/>
      <c r="L995" s="85"/>
      <c r="M995" s="28">
        <v>41</v>
      </c>
      <c r="N995" s="29">
        <v>1002.4925</v>
      </c>
      <c r="O995" s="29">
        <v>7639.88</v>
      </c>
    </row>
    <row r="996" ht="16.1" customHeight="1">
      <c r="I996" t="s" s="126">
        <v>42</v>
      </c>
      <c r="J996" s="127"/>
      <c r="K996" s="127"/>
      <c r="L996" s="128"/>
      <c r="M996" s="129">
        <v>41</v>
      </c>
      <c r="N996" s="142">
        <v>1002.4925</v>
      </c>
      <c r="O996" s="142">
        <v>7639.88</v>
      </c>
    </row>
    <row r="997" ht="9" customHeight="1" hidden="1">
      <c r="I997" s="77"/>
      <c r="J997" s="78"/>
      <c r="K997" s="78"/>
      <c r="L997" t="s" s="79">
        <v>1236</v>
      </c>
      <c r="M997" s="80">
        <v>1</v>
      </c>
      <c r="N997" s="81">
        <v>0</v>
      </c>
      <c r="O997" s="81">
        <v>0</v>
      </c>
    </row>
    <row r="998" ht="9" customHeight="1" hidden="1">
      <c r="I998" s="77"/>
      <c r="J998" s="78"/>
      <c r="K998" s="78"/>
      <c r="L998" t="s" s="79">
        <v>762</v>
      </c>
      <c r="M998" s="80">
        <v>1</v>
      </c>
      <c r="N998" s="81">
        <v>0</v>
      </c>
      <c r="O998" s="81">
        <v>0</v>
      </c>
    </row>
    <row r="999" ht="9" customHeight="1" hidden="1">
      <c r="I999" s="82"/>
      <c r="J999" s="83"/>
      <c r="K999" s="84">
        <v>45047</v>
      </c>
      <c r="L999" s="85"/>
      <c r="M999" s="28">
        <v>2</v>
      </c>
      <c r="N999" s="29">
        <v>0</v>
      </c>
      <c r="O999" s="29">
        <v>0</v>
      </c>
    </row>
    <row r="1000" ht="9" customHeight="1" hidden="1">
      <c r="I1000" s="82"/>
      <c r="J1000" t="s" s="86">
        <v>5594</v>
      </c>
      <c r="K1000" s="87"/>
      <c r="L1000" s="85"/>
      <c r="M1000" s="28">
        <v>2</v>
      </c>
      <c r="N1000" s="29">
        <v>0</v>
      </c>
      <c r="O1000" s="29">
        <v>0</v>
      </c>
    </row>
    <row r="1001" ht="16.1" customHeight="1">
      <c r="I1001" t="s" s="126">
        <v>182</v>
      </c>
      <c r="J1001" s="127"/>
      <c r="K1001" s="127"/>
      <c r="L1001" s="128"/>
      <c r="M1001" s="129">
        <v>2</v>
      </c>
      <c r="N1001" s="142">
        <v>0</v>
      </c>
      <c r="O1001" s="142">
        <v>0</v>
      </c>
    </row>
    <row r="1002" ht="9" customHeight="1" hidden="1">
      <c r="I1002" s="77"/>
      <c r="J1002" s="78"/>
      <c r="K1002" s="78"/>
      <c r="L1002" t="s" s="79">
        <v>227</v>
      </c>
      <c r="M1002" s="80">
        <v>6</v>
      </c>
      <c r="N1002" s="81">
        <v>0</v>
      </c>
      <c r="O1002" s="81">
        <v>0</v>
      </c>
    </row>
    <row r="1003" ht="9" customHeight="1" hidden="1">
      <c r="I1003" s="77"/>
      <c r="J1003" s="78"/>
      <c r="K1003" s="78"/>
      <c r="L1003" t="s" s="79">
        <v>225</v>
      </c>
      <c r="M1003" s="80">
        <v>6</v>
      </c>
      <c r="N1003" s="81">
        <v>499.99</v>
      </c>
      <c r="O1003" s="81">
        <v>2999.94</v>
      </c>
    </row>
    <row r="1004" ht="9" customHeight="1" hidden="1">
      <c r="I1004" s="77"/>
      <c r="J1004" s="78"/>
      <c r="K1004" s="78"/>
      <c r="L1004" t="s" s="79">
        <v>73</v>
      </c>
      <c r="M1004" s="80">
        <v>1</v>
      </c>
      <c r="N1004" s="81">
        <v>399.99</v>
      </c>
      <c r="O1004" s="81">
        <v>399.99</v>
      </c>
    </row>
    <row r="1005" ht="9" customHeight="1" hidden="1">
      <c r="I1005" s="82"/>
      <c r="J1005" s="83"/>
      <c r="K1005" s="84">
        <v>45047</v>
      </c>
      <c r="L1005" s="85"/>
      <c r="M1005" s="28">
        <v>13</v>
      </c>
      <c r="N1005" s="29">
        <v>899.98</v>
      </c>
      <c r="O1005" s="29">
        <v>3399.93</v>
      </c>
    </row>
    <row r="1006" ht="9" customHeight="1" hidden="1">
      <c r="I1006" s="82"/>
      <c r="J1006" t="s" s="86">
        <v>5491</v>
      </c>
      <c r="K1006" s="87"/>
      <c r="L1006" s="85"/>
      <c r="M1006" s="28">
        <v>13</v>
      </c>
      <c r="N1006" s="29">
        <v>899.98</v>
      </c>
      <c r="O1006" s="29">
        <v>3399.93</v>
      </c>
    </row>
    <row r="1007" ht="16.1" customHeight="1">
      <c r="I1007" t="s" s="126">
        <v>4739</v>
      </c>
      <c r="J1007" s="127"/>
      <c r="K1007" s="127"/>
      <c r="L1007" s="128"/>
      <c r="M1007" s="129">
        <v>13</v>
      </c>
      <c r="N1007" s="142">
        <v>899.98</v>
      </c>
      <c r="O1007" s="142">
        <v>3399.93</v>
      </c>
    </row>
    <row r="1008" ht="9" customHeight="1" hidden="1">
      <c r="I1008" s="77"/>
      <c r="J1008" s="78"/>
      <c r="K1008" s="78"/>
      <c r="L1008" t="s" s="79">
        <v>54</v>
      </c>
      <c r="M1008" s="80">
        <v>1</v>
      </c>
      <c r="N1008" s="81">
        <v>9.99</v>
      </c>
      <c r="O1008" s="81">
        <v>9.99</v>
      </c>
    </row>
    <row r="1009" ht="9" customHeight="1" hidden="1">
      <c r="I1009" s="77"/>
      <c r="J1009" s="78"/>
      <c r="K1009" s="78"/>
      <c r="L1009" t="s" s="79">
        <v>95</v>
      </c>
      <c r="M1009" s="80">
        <v>1</v>
      </c>
      <c r="N1009" s="81">
        <v>349.99</v>
      </c>
      <c r="O1009" s="81">
        <v>349.99</v>
      </c>
    </row>
    <row r="1010" ht="9" customHeight="1" hidden="1">
      <c r="I1010" s="82"/>
      <c r="J1010" s="83"/>
      <c r="K1010" s="84">
        <v>45047</v>
      </c>
      <c r="L1010" s="85"/>
      <c r="M1010" s="28">
        <v>2</v>
      </c>
      <c r="N1010" s="29">
        <v>359.98</v>
      </c>
      <c r="O1010" s="29">
        <v>359.98</v>
      </c>
    </row>
    <row r="1011" ht="9" customHeight="1" hidden="1">
      <c r="I1011" s="82"/>
      <c r="J1011" t="s" s="86">
        <v>5421</v>
      </c>
      <c r="K1011" s="87"/>
      <c r="L1011" s="85"/>
      <c r="M1011" s="28">
        <v>2</v>
      </c>
      <c r="N1011" s="29">
        <v>359.98</v>
      </c>
      <c r="O1011" s="29">
        <v>359.98</v>
      </c>
    </row>
    <row r="1012" ht="16.1" customHeight="1">
      <c r="I1012" t="s" s="126">
        <v>2338</v>
      </c>
      <c r="J1012" s="127"/>
      <c r="K1012" s="127"/>
      <c r="L1012" s="128"/>
      <c r="M1012" s="129">
        <v>2</v>
      </c>
      <c r="N1012" s="142">
        <v>359.98</v>
      </c>
      <c r="O1012" s="142">
        <v>359.98</v>
      </c>
    </row>
    <row r="1013" ht="9" customHeight="1" hidden="1">
      <c r="I1013" s="77"/>
      <c r="J1013" s="78"/>
      <c r="K1013" s="78"/>
      <c r="L1013" t="s" s="79">
        <v>1695</v>
      </c>
      <c r="M1013" s="80">
        <v>1</v>
      </c>
      <c r="N1013" s="81">
        <v>49.99</v>
      </c>
      <c r="O1013" s="81">
        <v>49.99</v>
      </c>
    </row>
    <row r="1014" ht="9" customHeight="1" hidden="1">
      <c r="I1014" s="77"/>
      <c r="J1014" s="78"/>
      <c r="K1014" s="78"/>
      <c r="L1014" t="s" s="79">
        <v>15</v>
      </c>
      <c r="M1014" s="80">
        <v>1</v>
      </c>
      <c r="N1014" s="81">
        <v>8.99</v>
      </c>
      <c r="O1014" s="81">
        <v>8.99</v>
      </c>
    </row>
    <row r="1015" ht="9" customHeight="1" hidden="1">
      <c r="I1015" s="82"/>
      <c r="J1015" s="83"/>
      <c r="K1015" s="84">
        <v>45047</v>
      </c>
      <c r="L1015" s="85"/>
      <c r="M1015" s="28">
        <v>2</v>
      </c>
      <c r="N1015" s="29">
        <v>58.98</v>
      </c>
      <c r="O1015" s="29">
        <v>58.98</v>
      </c>
    </row>
    <row r="1016" ht="9" customHeight="1" hidden="1">
      <c r="I1016" s="82"/>
      <c r="J1016" t="s" s="86">
        <v>5558</v>
      </c>
      <c r="K1016" s="87"/>
      <c r="L1016" s="85"/>
      <c r="M1016" s="28">
        <v>2</v>
      </c>
      <c r="N1016" s="29">
        <v>58.98</v>
      </c>
      <c r="O1016" s="29">
        <v>58.98</v>
      </c>
    </row>
    <row r="1017" ht="16.1" customHeight="1">
      <c r="I1017" t="s" s="126">
        <v>5559</v>
      </c>
      <c r="J1017" s="127"/>
      <c r="K1017" s="127"/>
      <c r="L1017" s="128"/>
      <c r="M1017" s="129">
        <v>2</v>
      </c>
      <c r="N1017" s="142">
        <v>58.98</v>
      </c>
      <c r="O1017" s="142">
        <v>58.98</v>
      </c>
    </row>
    <row r="1018" ht="9" customHeight="1" hidden="1">
      <c r="I1018" s="77"/>
      <c r="J1018" s="78"/>
      <c r="K1018" s="78"/>
      <c r="L1018" t="s" s="79">
        <v>1030</v>
      </c>
      <c r="M1018" s="80">
        <v>1</v>
      </c>
      <c r="N1018" s="81">
        <v>0</v>
      </c>
      <c r="O1018" s="81">
        <v>0</v>
      </c>
    </row>
    <row r="1019" ht="9" customHeight="1" hidden="1">
      <c r="I1019" s="77"/>
      <c r="J1019" s="78"/>
      <c r="K1019" s="78"/>
      <c r="L1019" t="s" s="79">
        <v>2672</v>
      </c>
      <c r="M1019" s="80">
        <v>1</v>
      </c>
      <c r="N1019" s="81">
        <v>0</v>
      </c>
      <c r="O1019" s="81">
        <v>0</v>
      </c>
    </row>
    <row r="1020" ht="9" customHeight="1" hidden="1">
      <c r="I1020" s="77"/>
      <c r="J1020" s="78"/>
      <c r="K1020" s="78"/>
      <c r="L1020" t="s" s="79">
        <v>2711</v>
      </c>
      <c r="M1020" s="80">
        <v>1</v>
      </c>
      <c r="N1020" s="81">
        <v>0</v>
      </c>
      <c r="O1020" s="81">
        <v>0</v>
      </c>
    </row>
    <row r="1021" ht="9" customHeight="1" hidden="1">
      <c r="I1021" s="77"/>
      <c r="J1021" s="78"/>
      <c r="K1021" s="78"/>
      <c r="L1021" t="s" s="79">
        <v>3685</v>
      </c>
      <c r="M1021" s="80">
        <v>1</v>
      </c>
      <c r="N1021" s="81">
        <v>0</v>
      </c>
      <c r="O1021" s="81">
        <v>0</v>
      </c>
    </row>
    <row r="1022" ht="9" customHeight="1" hidden="1">
      <c r="I1022" s="82"/>
      <c r="J1022" s="83"/>
      <c r="K1022" s="84">
        <v>45047</v>
      </c>
      <c r="L1022" s="85"/>
      <c r="M1022" s="28">
        <v>4</v>
      </c>
      <c r="N1022" s="29">
        <v>0</v>
      </c>
      <c r="O1022" s="29">
        <v>0</v>
      </c>
    </row>
    <row r="1023" ht="9" customHeight="1" hidden="1">
      <c r="I1023" s="82"/>
      <c r="J1023" t="s" s="86">
        <v>5544</v>
      </c>
      <c r="K1023" s="87"/>
      <c r="L1023" s="85"/>
      <c r="M1023" s="28">
        <v>4</v>
      </c>
      <c r="N1023" s="29">
        <v>0</v>
      </c>
      <c r="O1023" s="29">
        <v>0</v>
      </c>
    </row>
    <row r="1024" ht="16.1" customHeight="1">
      <c r="I1024" t="s" s="126">
        <v>721</v>
      </c>
      <c r="J1024" s="127"/>
      <c r="K1024" s="127"/>
      <c r="L1024" s="128"/>
      <c r="M1024" s="129">
        <v>4</v>
      </c>
      <c r="N1024" s="142">
        <v>0</v>
      </c>
      <c r="O1024" s="142">
        <v>0</v>
      </c>
    </row>
    <row r="1025" ht="9" customHeight="1" hidden="1">
      <c r="I1025" s="77"/>
      <c r="J1025" s="78"/>
      <c r="K1025" s="78"/>
      <c r="L1025" t="s" s="79">
        <v>31</v>
      </c>
      <c r="M1025" s="80">
        <v>1</v>
      </c>
      <c r="N1025" s="81">
        <v>599.99</v>
      </c>
      <c r="O1025" s="81">
        <v>599.99</v>
      </c>
    </row>
    <row r="1026" ht="9" customHeight="1" hidden="1">
      <c r="I1026" s="82"/>
      <c r="J1026" s="83"/>
      <c r="K1026" s="84">
        <v>45047</v>
      </c>
      <c r="L1026" s="85"/>
      <c r="M1026" s="28">
        <v>1</v>
      </c>
      <c r="N1026" s="29">
        <v>599.99</v>
      </c>
      <c r="O1026" s="29">
        <v>599.99</v>
      </c>
    </row>
    <row r="1027" ht="9" customHeight="1" hidden="1">
      <c r="I1027" s="82"/>
      <c r="J1027" t="s" s="86">
        <v>5464</v>
      </c>
      <c r="K1027" s="87"/>
      <c r="L1027" s="85"/>
      <c r="M1027" s="28">
        <v>1</v>
      </c>
      <c r="N1027" s="29">
        <v>599.99</v>
      </c>
      <c r="O1027" s="29">
        <v>599.99</v>
      </c>
    </row>
    <row r="1028" ht="16.1" customHeight="1">
      <c r="I1028" t="s" s="126">
        <v>5465</v>
      </c>
      <c r="J1028" s="127"/>
      <c r="K1028" s="127"/>
      <c r="L1028" s="128"/>
      <c r="M1028" s="129">
        <v>1</v>
      </c>
      <c r="N1028" s="142">
        <v>599.99</v>
      </c>
      <c r="O1028" s="142">
        <v>599.99</v>
      </c>
    </row>
    <row r="1029" ht="9" customHeight="1" hidden="1">
      <c r="I1029" s="77"/>
      <c r="J1029" s="78"/>
      <c r="K1029" s="78"/>
      <c r="L1029" t="s" s="79">
        <v>19</v>
      </c>
      <c r="M1029" s="80">
        <v>6</v>
      </c>
      <c r="N1029" s="81">
        <v>119.99</v>
      </c>
      <c r="O1029" s="81">
        <v>719.9400000000001</v>
      </c>
    </row>
    <row r="1030" ht="9" customHeight="1" hidden="1">
      <c r="I1030" s="77"/>
      <c r="J1030" s="78"/>
      <c r="K1030" s="78"/>
      <c r="L1030" t="s" s="79">
        <v>54</v>
      </c>
      <c r="M1030" s="80">
        <v>6</v>
      </c>
      <c r="N1030" s="81">
        <v>0</v>
      </c>
      <c r="O1030" s="81">
        <v>0</v>
      </c>
    </row>
    <row r="1031" ht="9" customHeight="1" hidden="1">
      <c r="I1031" s="77"/>
      <c r="J1031" s="78"/>
      <c r="K1031" s="78"/>
      <c r="L1031" t="s" s="79">
        <v>23</v>
      </c>
      <c r="M1031" s="80">
        <v>2</v>
      </c>
      <c r="N1031" s="81">
        <v>0</v>
      </c>
      <c r="O1031" s="81">
        <v>0</v>
      </c>
    </row>
    <row r="1032" ht="9" customHeight="1" hidden="1">
      <c r="I1032" s="77"/>
      <c r="J1032" s="78"/>
      <c r="K1032" s="78"/>
      <c r="L1032" t="s" s="79">
        <v>133</v>
      </c>
      <c r="M1032" s="80">
        <v>3</v>
      </c>
      <c r="N1032" s="81">
        <v>199.9925</v>
      </c>
      <c r="O1032" s="81">
        <v>249.9925</v>
      </c>
    </row>
    <row r="1033" ht="9" customHeight="1" hidden="1">
      <c r="I1033" s="77"/>
      <c r="J1033" s="78"/>
      <c r="K1033" s="78"/>
      <c r="L1033" t="s" s="79">
        <v>470</v>
      </c>
      <c r="M1033" s="80">
        <v>2</v>
      </c>
      <c r="N1033" s="81">
        <v>100</v>
      </c>
      <c r="O1033" s="81">
        <v>200</v>
      </c>
    </row>
    <row r="1034" ht="9" customHeight="1" hidden="1">
      <c r="I1034" s="77"/>
      <c r="J1034" s="78"/>
      <c r="K1034" s="78"/>
      <c r="L1034" t="s" s="79">
        <v>81</v>
      </c>
      <c r="M1034" s="80">
        <v>6</v>
      </c>
      <c r="N1034" s="81">
        <v>849.99</v>
      </c>
      <c r="O1034" s="81">
        <v>5099.94</v>
      </c>
    </row>
    <row r="1035" ht="9" customHeight="1" hidden="1">
      <c r="I1035" s="77"/>
      <c r="J1035" s="78"/>
      <c r="K1035" s="78"/>
      <c r="L1035" t="s" s="79">
        <v>50</v>
      </c>
      <c r="M1035" s="80">
        <v>6</v>
      </c>
      <c r="N1035" s="81">
        <v>0</v>
      </c>
      <c r="O1035" s="81">
        <v>0</v>
      </c>
    </row>
    <row r="1036" ht="9" customHeight="1" hidden="1">
      <c r="I1036" s="77"/>
      <c r="J1036" s="78"/>
      <c r="K1036" s="78"/>
      <c r="L1036" t="s" s="79">
        <v>73</v>
      </c>
      <c r="M1036" s="80">
        <v>1</v>
      </c>
      <c r="N1036" s="81">
        <v>399.99</v>
      </c>
      <c r="O1036" s="81">
        <v>399.99</v>
      </c>
    </row>
    <row r="1037" ht="9" customHeight="1" hidden="1">
      <c r="I1037" s="77"/>
      <c r="J1037" s="78"/>
      <c r="K1037" s="78"/>
      <c r="L1037" t="s" s="79">
        <v>15</v>
      </c>
      <c r="M1037" s="80">
        <v>6</v>
      </c>
      <c r="N1037" s="81">
        <v>0</v>
      </c>
      <c r="O1037" s="81">
        <v>0</v>
      </c>
    </row>
    <row r="1038" ht="9" customHeight="1" hidden="1">
      <c r="I1038" s="82"/>
      <c r="J1038" s="83"/>
      <c r="K1038" s="84">
        <v>45047</v>
      </c>
      <c r="L1038" s="85"/>
      <c r="M1038" s="28">
        <v>38</v>
      </c>
      <c r="N1038" s="29">
        <v>1669.9625</v>
      </c>
      <c r="O1038" s="29">
        <v>6669.8625</v>
      </c>
    </row>
    <row r="1039" ht="9" customHeight="1" hidden="1">
      <c r="I1039" s="82"/>
      <c r="J1039" t="s" s="86">
        <v>5492</v>
      </c>
      <c r="K1039" s="87"/>
      <c r="L1039" s="85"/>
      <c r="M1039" s="28">
        <v>38</v>
      </c>
      <c r="N1039" s="29">
        <v>1669.9625</v>
      </c>
      <c r="O1039" s="29">
        <v>6669.8625</v>
      </c>
    </row>
    <row r="1040" ht="16.1" customHeight="1">
      <c r="I1040" t="s" s="126">
        <v>1669</v>
      </c>
      <c r="J1040" s="127"/>
      <c r="K1040" s="127"/>
      <c r="L1040" s="128"/>
      <c r="M1040" s="129">
        <v>38</v>
      </c>
      <c r="N1040" s="142">
        <v>1669.9625</v>
      </c>
      <c r="O1040" s="142">
        <v>6669.8625</v>
      </c>
    </row>
    <row r="1041" ht="9" customHeight="1" hidden="1">
      <c r="I1041" s="77"/>
      <c r="J1041" s="78"/>
      <c r="K1041" s="78"/>
      <c r="L1041" t="s" s="79">
        <v>19</v>
      </c>
      <c r="M1041" s="80">
        <v>2</v>
      </c>
      <c r="N1041" s="81">
        <v>119.99</v>
      </c>
      <c r="O1041" s="81">
        <v>239.98</v>
      </c>
    </row>
    <row r="1042" ht="9" customHeight="1" hidden="1">
      <c r="I1042" s="77"/>
      <c r="J1042" s="78"/>
      <c r="K1042" s="78"/>
      <c r="L1042" t="s" s="79">
        <v>89</v>
      </c>
      <c r="M1042" s="80">
        <v>4</v>
      </c>
      <c r="N1042" s="81">
        <v>59.99</v>
      </c>
      <c r="O1042" s="81">
        <v>239.96</v>
      </c>
    </row>
    <row r="1043" ht="9" customHeight="1" hidden="1">
      <c r="I1043" s="77"/>
      <c r="J1043" s="78"/>
      <c r="K1043" s="78"/>
      <c r="L1043" t="s" s="79">
        <v>15</v>
      </c>
      <c r="M1043" s="80">
        <v>2</v>
      </c>
      <c r="N1043" s="81">
        <v>8.99</v>
      </c>
      <c r="O1043" s="81">
        <v>17.98</v>
      </c>
    </row>
    <row r="1044" ht="9" customHeight="1" hidden="1">
      <c r="I1044" s="82"/>
      <c r="J1044" s="83"/>
      <c r="K1044" s="84">
        <v>45047</v>
      </c>
      <c r="L1044" s="85"/>
      <c r="M1044" s="28">
        <v>8</v>
      </c>
      <c r="N1044" s="29">
        <v>188.97</v>
      </c>
      <c r="O1044" s="29">
        <v>497.92</v>
      </c>
    </row>
    <row r="1045" ht="9" customHeight="1" hidden="1">
      <c r="I1045" s="82"/>
      <c r="J1045" t="s" s="86">
        <v>5360</v>
      </c>
      <c r="K1045" s="87"/>
      <c r="L1045" s="85"/>
      <c r="M1045" s="28">
        <v>8</v>
      </c>
      <c r="N1045" s="29">
        <v>188.97</v>
      </c>
      <c r="O1045" s="29">
        <v>497.92</v>
      </c>
    </row>
    <row r="1046" ht="16.1" customHeight="1">
      <c r="I1046" t="s" s="126">
        <v>5361</v>
      </c>
      <c r="J1046" s="127"/>
      <c r="K1046" s="127"/>
      <c r="L1046" s="128"/>
      <c r="M1046" s="129">
        <v>8</v>
      </c>
      <c r="N1046" s="142">
        <v>188.97</v>
      </c>
      <c r="O1046" s="142">
        <v>497.92</v>
      </c>
    </row>
    <row r="1047" ht="9" customHeight="1" hidden="1">
      <c r="I1047" s="77"/>
      <c r="J1047" s="78"/>
      <c r="K1047" s="78"/>
      <c r="L1047" t="s" s="79">
        <v>1695</v>
      </c>
      <c r="M1047" s="80">
        <v>2</v>
      </c>
      <c r="N1047" s="81">
        <v>49.99</v>
      </c>
      <c r="O1047" s="81">
        <v>99.98</v>
      </c>
    </row>
    <row r="1048" ht="9" customHeight="1" hidden="1">
      <c r="I1048" s="77"/>
      <c r="J1048" s="78"/>
      <c r="K1048" s="78"/>
      <c r="L1048" t="s" s="79">
        <v>39</v>
      </c>
      <c r="M1048" s="80">
        <v>4</v>
      </c>
      <c r="N1048" s="81">
        <v>109.99</v>
      </c>
      <c r="O1048" s="81">
        <v>439.96</v>
      </c>
    </row>
    <row r="1049" ht="9" customHeight="1" hidden="1">
      <c r="I1049" s="77"/>
      <c r="J1049" s="78"/>
      <c r="K1049" s="78"/>
      <c r="L1049" t="s" s="79">
        <v>133</v>
      </c>
      <c r="M1049" s="80">
        <v>1</v>
      </c>
      <c r="N1049" s="81">
        <v>50</v>
      </c>
      <c r="O1049" s="81">
        <v>50</v>
      </c>
    </row>
    <row r="1050" ht="9" customHeight="1" hidden="1">
      <c r="I1050" s="77"/>
      <c r="J1050" s="78"/>
      <c r="K1050" s="78"/>
      <c r="L1050" t="s" s="79">
        <v>602</v>
      </c>
      <c r="M1050" s="80">
        <v>1</v>
      </c>
      <c r="N1050" s="81">
        <v>175</v>
      </c>
      <c r="O1050" s="81">
        <v>175</v>
      </c>
    </row>
    <row r="1051" ht="9" customHeight="1" hidden="1">
      <c r="I1051" s="77"/>
      <c r="J1051" s="78"/>
      <c r="K1051" s="78"/>
      <c r="L1051" t="s" s="79">
        <v>81</v>
      </c>
      <c r="M1051" s="80">
        <v>4</v>
      </c>
      <c r="N1051" s="81">
        <v>849.99</v>
      </c>
      <c r="O1051" s="81">
        <v>3399.96</v>
      </c>
    </row>
    <row r="1052" ht="9" customHeight="1" hidden="1">
      <c r="I1052" s="77"/>
      <c r="J1052" s="78"/>
      <c r="K1052" s="78"/>
      <c r="L1052" t="s" s="79">
        <v>73</v>
      </c>
      <c r="M1052" s="80">
        <v>1</v>
      </c>
      <c r="N1052" s="81">
        <v>399.99</v>
      </c>
      <c r="O1052" s="81">
        <v>399.99</v>
      </c>
    </row>
    <row r="1053" ht="9" customHeight="1" hidden="1">
      <c r="I1053" s="82"/>
      <c r="J1053" s="83"/>
      <c r="K1053" s="84">
        <v>45047</v>
      </c>
      <c r="L1053" s="85"/>
      <c r="M1053" s="28">
        <v>13</v>
      </c>
      <c r="N1053" s="29">
        <v>1634.96</v>
      </c>
      <c r="O1053" s="29">
        <v>4564.89</v>
      </c>
    </row>
    <row r="1054" ht="9" customHeight="1" hidden="1">
      <c r="I1054" s="82"/>
      <c r="J1054" t="s" s="86">
        <v>5366</v>
      </c>
      <c r="K1054" s="87"/>
      <c r="L1054" s="85"/>
      <c r="M1054" s="28">
        <v>13</v>
      </c>
      <c r="N1054" s="29">
        <v>1634.96</v>
      </c>
      <c r="O1054" s="29">
        <v>4564.89</v>
      </c>
    </row>
    <row r="1055" ht="16.1" customHeight="1">
      <c r="I1055" t="s" s="126">
        <v>3137</v>
      </c>
      <c r="J1055" s="127"/>
      <c r="K1055" s="127"/>
      <c r="L1055" s="128"/>
      <c r="M1055" s="129">
        <v>13</v>
      </c>
      <c r="N1055" s="142">
        <v>1634.96</v>
      </c>
      <c r="O1055" s="142">
        <v>4564.89</v>
      </c>
    </row>
    <row r="1056" ht="9" customHeight="1" hidden="1">
      <c r="I1056" s="77"/>
      <c r="J1056" s="78"/>
      <c r="K1056" s="78"/>
      <c r="L1056" t="s" s="79">
        <v>589</v>
      </c>
      <c r="M1056" s="80">
        <v>20</v>
      </c>
      <c r="N1056" s="81">
        <v>5.6175</v>
      </c>
      <c r="O1056" s="81">
        <v>112.35</v>
      </c>
    </row>
    <row r="1057" ht="9" customHeight="1" hidden="1">
      <c r="I1057" s="77"/>
      <c r="J1057" s="78"/>
      <c r="K1057" s="78"/>
      <c r="L1057" t="s" s="79">
        <v>73</v>
      </c>
      <c r="M1057" s="80">
        <v>6</v>
      </c>
      <c r="N1057" s="81">
        <v>299.9925</v>
      </c>
      <c r="O1057" s="81">
        <v>1799.955</v>
      </c>
    </row>
    <row r="1058" ht="9" customHeight="1" hidden="1">
      <c r="I1058" s="77"/>
      <c r="J1058" s="78"/>
      <c r="K1058" s="78"/>
      <c r="L1058" t="s" s="79">
        <v>63</v>
      </c>
      <c r="M1058" s="80">
        <v>1</v>
      </c>
      <c r="N1058" s="81">
        <v>25</v>
      </c>
      <c r="O1058" s="81">
        <v>25</v>
      </c>
    </row>
    <row r="1059" ht="9" customHeight="1" hidden="1">
      <c r="I1059" s="82"/>
      <c r="J1059" s="83"/>
      <c r="K1059" s="84">
        <v>45047</v>
      </c>
      <c r="L1059" s="85"/>
      <c r="M1059" s="28">
        <v>27</v>
      </c>
      <c r="N1059" s="29">
        <v>330.61</v>
      </c>
      <c r="O1059" s="29">
        <v>1937.305</v>
      </c>
    </row>
    <row r="1060" ht="9" customHeight="1" hidden="1">
      <c r="I1060" s="82"/>
      <c r="J1060" t="s" s="86">
        <v>5595</v>
      </c>
      <c r="K1060" s="87"/>
      <c r="L1060" s="85"/>
      <c r="M1060" s="28">
        <v>27</v>
      </c>
      <c r="N1060" s="29">
        <v>330.61</v>
      </c>
      <c r="O1060" s="29">
        <v>1937.305</v>
      </c>
    </row>
    <row r="1061" ht="16.1" customHeight="1">
      <c r="I1061" t="s" s="126">
        <v>122</v>
      </c>
      <c r="J1061" s="127"/>
      <c r="K1061" s="127"/>
      <c r="L1061" s="128"/>
      <c r="M1061" s="129">
        <v>27</v>
      </c>
      <c r="N1061" s="142">
        <v>330.61</v>
      </c>
      <c r="O1061" s="142">
        <v>1937.305</v>
      </c>
    </row>
    <row r="1062" ht="9" customHeight="1" hidden="1">
      <c r="I1062" s="77"/>
      <c r="J1062" s="78"/>
      <c r="K1062" s="78"/>
      <c r="L1062" t="s" s="79">
        <v>1132</v>
      </c>
      <c r="M1062" s="80">
        <v>2</v>
      </c>
      <c r="N1062" s="81">
        <v>90</v>
      </c>
      <c r="O1062" s="81">
        <v>180</v>
      </c>
    </row>
    <row r="1063" ht="9" customHeight="1" hidden="1">
      <c r="I1063" s="82"/>
      <c r="J1063" s="83"/>
      <c r="K1063" s="84">
        <v>45047</v>
      </c>
      <c r="L1063" s="85"/>
      <c r="M1063" s="28">
        <v>2</v>
      </c>
      <c r="N1063" s="29">
        <v>90</v>
      </c>
      <c r="O1063" s="29">
        <v>180</v>
      </c>
    </row>
    <row r="1064" ht="9" customHeight="1" hidden="1">
      <c r="I1064" s="82"/>
      <c r="J1064" t="s" s="86">
        <v>5373</v>
      </c>
      <c r="K1064" s="87"/>
      <c r="L1064" s="85"/>
      <c r="M1064" s="28">
        <v>2</v>
      </c>
      <c r="N1064" s="29">
        <v>90</v>
      </c>
      <c r="O1064" s="29">
        <v>180</v>
      </c>
    </row>
    <row r="1065" ht="16.1" customHeight="1">
      <c r="I1065" t="s" s="126">
        <v>1622</v>
      </c>
      <c r="J1065" s="127"/>
      <c r="K1065" s="127"/>
      <c r="L1065" s="128"/>
      <c r="M1065" s="129">
        <v>2</v>
      </c>
      <c r="N1065" s="142">
        <v>90</v>
      </c>
      <c r="O1065" s="142">
        <v>180</v>
      </c>
    </row>
    <row r="1066" ht="9" customHeight="1" hidden="1">
      <c r="I1066" s="77"/>
      <c r="J1066" s="78"/>
      <c r="K1066" s="78"/>
      <c r="L1066" t="s" s="79">
        <v>1232</v>
      </c>
      <c r="M1066" s="80">
        <v>125</v>
      </c>
      <c r="N1066" s="81">
        <v>5</v>
      </c>
      <c r="O1066" s="81">
        <v>625</v>
      </c>
    </row>
    <row r="1067" ht="9" customHeight="1" hidden="1">
      <c r="I1067" s="77"/>
      <c r="J1067" s="78"/>
      <c r="K1067" s="78"/>
      <c r="L1067" t="s" s="79">
        <v>5579</v>
      </c>
      <c r="M1067" s="80">
        <v>8</v>
      </c>
      <c r="N1067" s="81">
        <v>5</v>
      </c>
      <c r="O1067" s="81">
        <v>40</v>
      </c>
    </row>
    <row r="1068" ht="9" customHeight="1" hidden="1">
      <c r="I1068" s="77"/>
      <c r="J1068" s="78"/>
      <c r="K1068" s="78"/>
      <c r="L1068" t="s" s="79">
        <v>63</v>
      </c>
      <c r="M1068" s="80">
        <v>1</v>
      </c>
      <c r="N1068" s="81">
        <v>30.75</v>
      </c>
      <c r="O1068" s="81">
        <v>30.75</v>
      </c>
    </row>
    <row r="1069" ht="9" customHeight="1" hidden="1">
      <c r="I1069" s="82"/>
      <c r="J1069" s="83"/>
      <c r="K1069" s="84">
        <v>45047</v>
      </c>
      <c r="L1069" s="85"/>
      <c r="M1069" s="28">
        <v>134</v>
      </c>
      <c r="N1069" s="29">
        <v>40.75</v>
      </c>
      <c r="O1069" s="29">
        <v>695.75</v>
      </c>
    </row>
    <row r="1070" ht="9" customHeight="1" hidden="1">
      <c r="I1070" s="82"/>
      <c r="J1070" t="s" s="86">
        <v>5577</v>
      </c>
      <c r="K1070" s="87"/>
      <c r="L1070" s="85"/>
      <c r="M1070" s="28">
        <v>134</v>
      </c>
      <c r="N1070" s="29">
        <v>40.75</v>
      </c>
      <c r="O1070" s="29">
        <v>695.75</v>
      </c>
    </row>
    <row r="1071" ht="16.1" customHeight="1">
      <c r="I1071" t="s" s="126">
        <v>2931</v>
      </c>
      <c r="J1071" s="127"/>
      <c r="K1071" s="127"/>
      <c r="L1071" s="128"/>
      <c r="M1071" s="129">
        <v>134</v>
      </c>
      <c r="N1071" s="142">
        <v>40.75</v>
      </c>
      <c r="O1071" s="142">
        <v>695.75</v>
      </c>
    </row>
    <row r="1072" ht="9" customHeight="1" hidden="1">
      <c r="I1072" s="77"/>
      <c r="J1072" s="78"/>
      <c r="K1072" s="78"/>
      <c r="L1072" t="s" s="79">
        <v>1695</v>
      </c>
      <c r="M1072" s="80">
        <v>2</v>
      </c>
      <c r="N1072" s="81">
        <v>49.99</v>
      </c>
      <c r="O1072" s="81">
        <v>99.98</v>
      </c>
    </row>
    <row r="1073" ht="9" customHeight="1" hidden="1">
      <c r="I1073" s="77"/>
      <c r="J1073" s="78"/>
      <c r="K1073" s="78"/>
      <c r="L1073" t="s" s="79">
        <v>15</v>
      </c>
      <c r="M1073" s="80">
        <v>2</v>
      </c>
      <c r="N1073" s="81">
        <v>8.99</v>
      </c>
      <c r="O1073" s="81">
        <v>17.98</v>
      </c>
    </row>
    <row r="1074" ht="9" customHeight="1" hidden="1">
      <c r="I1074" s="82"/>
      <c r="J1074" s="83"/>
      <c r="K1074" s="84">
        <v>45047</v>
      </c>
      <c r="L1074" s="85"/>
      <c r="M1074" s="28">
        <v>4</v>
      </c>
      <c r="N1074" s="29">
        <v>58.98</v>
      </c>
      <c r="O1074" s="29">
        <v>117.96</v>
      </c>
    </row>
    <row r="1075" ht="9" customHeight="1" hidden="1">
      <c r="I1075" s="82"/>
      <c r="J1075" t="s" s="86">
        <v>5445</v>
      </c>
      <c r="K1075" s="87"/>
      <c r="L1075" s="85"/>
      <c r="M1075" s="28">
        <v>4</v>
      </c>
      <c r="N1075" s="29">
        <v>58.98</v>
      </c>
      <c r="O1075" s="29">
        <v>117.96</v>
      </c>
    </row>
    <row r="1076" ht="16.1" customHeight="1">
      <c r="I1076" t="s" s="126">
        <v>5446</v>
      </c>
      <c r="J1076" s="127"/>
      <c r="K1076" s="127"/>
      <c r="L1076" s="128"/>
      <c r="M1076" s="129">
        <v>4</v>
      </c>
      <c r="N1076" s="142">
        <v>58.98</v>
      </c>
      <c r="O1076" s="142">
        <v>117.96</v>
      </c>
    </row>
    <row r="1077" ht="9" customHeight="1" hidden="1">
      <c r="I1077" s="77"/>
      <c r="J1077" s="78"/>
      <c r="K1077" s="78"/>
      <c r="L1077" t="s" s="79">
        <v>165</v>
      </c>
      <c r="M1077" s="80">
        <v>2</v>
      </c>
      <c r="N1077" s="81">
        <v>0</v>
      </c>
      <c r="O1077" s="81">
        <v>0</v>
      </c>
    </row>
    <row r="1078" ht="9" customHeight="1" hidden="1">
      <c r="I1078" s="77"/>
      <c r="J1078" s="78"/>
      <c r="K1078" s="78"/>
      <c r="L1078" t="s" s="79">
        <v>225</v>
      </c>
      <c r="M1078" s="80">
        <v>2</v>
      </c>
      <c r="N1078" s="81">
        <v>499.99</v>
      </c>
      <c r="O1078" s="81">
        <v>999.98</v>
      </c>
    </row>
    <row r="1079" ht="9" customHeight="1" hidden="1">
      <c r="I1079" s="82"/>
      <c r="J1079" s="83"/>
      <c r="K1079" s="84">
        <v>45047</v>
      </c>
      <c r="L1079" s="85"/>
      <c r="M1079" s="28">
        <v>4</v>
      </c>
      <c r="N1079" s="29">
        <v>499.99</v>
      </c>
      <c r="O1079" s="29">
        <v>999.98</v>
      </c>
    </row>
    <row r="1080" ht="9" customHeight="1" hidden="1">
      <c r="I1080" s="82"/>
      <c r="J1080" t="s" s="86">
        <v>5408</v>
      </c>
      <c r="K1080" s="87"/>
      <c r="L1080" s="85"/>
      <c r="M1080" s="28">
        <v>4</v>
      </c>
      <c r="N1080" s="29">
        <v>499.99</v>
      </c>
      <c r="O1080" s="29">
        <v>999.98</v>
      </c>
    </row>
    <row r="1081" ht="9" customHeight="1" hidden="1">
      <c r="I1081" s="77"/>
      <c r="J1081" s="78"/>
      <c r="K1081" s="78"/>
      <c r="L1081" t="s" s="79">
        <v>54</v>
      </c>
      <c r="M1081" s="80">
        <v>1</v>
      </c>
      <c r="N1081" s="81">
        <v>9.99</v>
      </c>
      <c r="O1081" s="81">
        <v>9.99</v>
      </c>
    </row>
    <row r="1082" ht="9" customHeight="1" hidden="1">
      <c r="I1082" s="77"/>
      <c r="J1082" s="78"/>
      <c r="K1082" s="78"/>
      <c r="L1082" t="s" s="79">
        <v>133</v>
      </c>
      <c r="M1082" s="80">
        <v>2</v>
      </c>
      <c r="N1082" s="81">
        <v>199.99</v>
      </c>
      <c r="O1082" s="81">
        <v>399.98</v>
      </c>
    </row>
    <row r="1083" ht="9" customHeight="1" hidden="1">
      <c r="I1083" s="82"/>
      <c r="J1083" s="83"/>
      <c r="K1083" s="84">
        <v>45047</v>
      </c>
      <c r="L1083" s="85"/>
      <c r="M1083" s="28">
        <v>3</v>
      </c>
      <c r="N1083" s="29">
        <v>209.98</v>
      </c>
      <c r="O1083" s="29">
        <v>409.97</v>
      </c>
    </row>
    <row r="1084" ht="9" customHeight="1" hidden="1">
      <c r="I1084" s="82"/>
      <c r="J1084" t="s" s="86">
        <v>5339</v>
      </c>
      <c r="K1084" s="87"/>
      <c r="L1084" s="85"/>
      <c r="M1084" s="28">
        <v>3</v>
      </c>
      <c r="N1084" s="29">
        <v>209.98</v>
      </c>
      <c r="O1084" s="29">
        <v>409.97</v>
      </c>
    </row>
    <row r="1085" ht="16.1" customHeight="1">
      <c r="I1085" t="s" s="126">
        <v>5340</v>
      </c>
      <c r="J1085" s="127"/>
      <c r="K1085" s="127"/>
      <c r="L1085" s="128"/>
      <c r="M1085" s="129">
        <v>7</v>
      </c>
      <c r="N1085" s="142">
        <v>709.97</v>
      </c>
      <c r="O1085" s="142">
        <v>1409.95</v>
      </c>
    </row>
    <row r="1086" ht="9" customHeight="1" hidden="1">
      <c r="I1086" s="77"/>
      <c r="J1086" s="78"/>
      <c r="K1086" s="78"/>
      <c r="L1086" t="s" s="79">
        <v>11</v>
      </c>
      <c r="M1086" s="80">
        <v>1</v>
      </c>
      <c r="N1086" s="81">
        <v>374.99</v>
      </c>
      <c r="O1086" s="81">
        <v>374.99</v>
      </c>
    </row>
    <row r="1087" ht="9" customHeight="1" hidden="1">
      <c r="I1087" s="82"/>
      <c r="J1087" s="83"/>
      <c r="K1087" s="84">
        <v>45047</v>
      </c>
      <c r="L1087" s="85"/>
      <c r="M1087" s="28">
        <v>1</v>
      </c>
      <c r="N1087" s="29">
        <v>374.99</v>
      </c>
      <c r="O1087" s="29">
        <v>374.99</v>
      </c>
    </row>
    <row r="1088" ht="9" customHeight="1" hidden="1">
      <c r="I1088" s="82"/>
      <c r="J1088" t="s" s="86">
        <v>5502</v>
      </c>
      <c r="K1088" s="87"/>
      <c r="L1088" s="85"/>
      <c r="M1088" s="28">
        <v>1</v>
      </c>
      <c r="N1088" s="29">
        <v>374.99</v>
      </c>
      <c r="O1088" s="29">
        <v>374.99</v>
      </c>
    </row>
    <row r="1089" ht="16.1" customHeight="1">
      <c r="I1089" t="s" s="126">
        <v>5503</v>
      </c>
      <c r="J1089" s="127"/>
      <c r="K1089" s="127"/>
      <c r="L1089" s="128"/>
      <c r="M1089" s="129">
        <v>1</v>
      </c>
      <c r="N1089" s="142">
        <v>374.99</v>
      </c>
      <c r="O1089" s="142">
        <v>374.99</v>
      </c>
    </row>
    <row r="1090" ht="9" customHeight="1" hidden="1">
      <c r="I1090" s="77"/>
      <c r="J1090" s="78"/>
      <c r="K1090" s="78"/>
      <c r="L1090" t="s" s="79">
        <v>31</v>
      </c>
      <c r="M1090" s="80">
        <v>1</v>
      </c>
      <c r="N1090" s="81">
        <v>574.99</v>
      </c>
      <c r="O1090" s="81">
        <v>574.99</v>
      </c>
    </row>
    <row r="1091" ht="9" customHeight="1" hidden="1">
      <c r="I1091" s="82"/>
      <c r="J1091" s="83"/>
      <c r="K1091" s="84">
        <v>45047</v>
      </c>
      <c r="L1091" s="85"/>
      <c r="M1091" s="28">
        <v>1</v>
      </c>
      <c r="N1091" s="29">
        <v>574.99</v>
      </c>
      <c r="O1091" s="29">
        <v>574.99</v>
      </c>
    </row>
    <row r="1092" ht="9" customHeight="1" hidden="1">
      <c r="I1092" s="82"/>
      <c r="J1092" t="s" s="86">
        <v>5353</v>
      </c>
      <c r="K1092" s="87"/>
      <c r="L1092" s="85"/>
      <c r="M1092" s="28">
        <v>1</v>
      </c>
      <c r="N1092" s="29">
        <v>574.99</v>
      </c>
      <c r="O1092" s="29">
        <v>574.99</v>
      </c>
    </row>
    <row r="1093" ht="16.1" customHeight="1">
      <c r="I1093" t="s" s="126">
        <v>5354</v>
      </c>
      <c r="J1093" s="127"/>
      <c r="K1093" s="127"/>
      <c r="L1093" s="128"/>
      <c r="M1093" s="129">
        <v>1</v>
      </c>
      <c r="N1093" s="142">
        <v>574.99</v>
      </c>
      <c r="O1093" s="142">
        <v>574.99</v>
      </c>
    </row>
    <row r="1094" ht="9" customHeight="1" hidden="1">
      <c r="I1094" s="77"/>
      <c r="J1094" s="78"/>
      <c r="K1094" s="78"/>
      <c r="L1094" t="s" s="79">
        <v>35</v>
      </c>
      <c r="M1094" s="80">
        <v>1</v>
      </c>
      <c r="N1094" s="81">
        <v>49.99</v>
      </c>
      <c r="O1094" s="81">
        <v>49.99</v>
      </c>
    </row>
    <row r="1095" ht="9" customHeight="1" hidden="1">
      <c r="I1095" s="82"/>
      <c r="J1095" s="83"/>
      <c r="K1095" s="84">
        <v>45047</v>
      </c>
      <c r="L1095" s="85"/>
      <c r="M1095" s="28">
        <v>1</v>
      </c>
      <c r="N1095" s="29">
        <v>49.99</v>
      </c>
      <c r="O1095" s="29">
        <v>49.99</v>
      </c>
    </row>
    <row r="1096" ht="9" customHeight="1" hidden="1">
      <c r="I1096" s="82"/>
      <c r="J1096" t="s" s="86">
        <v>5358</v>
      </c>
      <c r="K1096" s="87"/>
      <c r="L1096" s="85"/>
      <c r="M1096" s="28">
        <v>1</v>
      </c>
      <c r="N1096" s="29">
        <v>49.99</v>
      </c>
      <c r="O1096" s="29">
        <v>49.99</v>
      </c>
    </row>
    <row r="1097" ht="16.1" customHeight="1">
      <c r="I1097" t="s" s="126">
        <v>5359</v>
      </c>
      <c r="J1097" s="127"/>
      <c r="K1097" s="127"/>
      <c r="L1097" s="128"/>
      <c r="M1097" s="129">
        <v>1</v>
      </c>
      <c r="N1097" s="142">
        <v>49.99</v>
      </c>
      <c r="O1097" s="142">
        <v>49.99</v>
      </c>
    </row>
    <row r="1098" ht="9" customHeight="1" hidden="1">
      <c r="I1098" s="77"/>
      <c r="J1098" s="78"/>
      <c r="K1098" s="78"/>
      <c r="L1098" t="s" s="79">
        <v>95</v>
      </c>
      <c r="M1098" s="80">
        <v>1</v>
      </c>
      <c r="N1098" s="81">
        <v>349.99</v>
      </c>
      <c r="O1098" s="81">
        <v>349.99</v>
      </c>
    </row>
    <row r="1099" ht="9" customHeight="1" hidden="1">
      <c r="I1099" s="82"/>
      <c r="J1099" s="83"/>
      <c r="K1099" s="84">
        <v>45047</v>
      </c>
      <c r="L1099" s="85"/>
      <c r="M1099" s="28">
        <v>1</v>
      </c>
      <c r="N1099" s="29">
        <v>349.99</v>
      </c>
      <c r="O1099" s="29">
        <v>349.99</v>
      </c>
    </row>
    <row r="1100" ht="9" customHeight="1" hidden="1">
      <c r="I1100" s="82"/>
      <c r="J1100" t="s" s="86">
        <v>5523</v>
      </c>
      <c r="K1100" s="87"/>
      <c r="L1100" s="85"/>
      <c r="M1100" s="28">
        <v>1</v>
      </c>
      <c r="N1100" s="29">
        <v>349.99</v>
      </c>
      <c r="O1100" s="29">
        <v>349.99</v>
      </c>
    </row>
    <row r="1101" ht="16.1" customHeight="1">
      <c r="I1101" t="s" s="126">
        <v>5524</v>
      </c>
      <c r="J1101" s="127"/>
      <c r="K1101" s="127"/>
      <c r="L1101" s="128"/>
      <c r="M1101" s="129">
        <v>1</v>
      </c>
      <c r="N1101" s="142">
        <v>349.99</v>
      </c>
      <c r="O1101" s="142">
        <v>349.99</v>
      </c>
    </row>
    <row r="1102" ht="9" customHeight="1" hidden="1">
      <c r="I1102" s="77"/>
      <c r="J1102" s="78"/>
      <c r="K1102" s="78"/>
      <c r="L1102" t="s" s="79">
        <v>89</v>
      </c>
      <c r="M1102" s="80">
        <v>1</v>
      </c>
      <c r="N1102" s="81">
        <v>59.99</v>
      </c>
      <c r="O1102" s="81">
        <v>59.99</v>
      </c>
    </row>
    <row r="1103" ht="9" customHeight="1" hidden="1">
      <c r="I1103" s="77"/>
      <c r="J1103" s="78"/>
      <c r="K1103" s="78"/>
      <c r="L1103" t="s" s="79">
        <v>31</v>
      </c>
      <c r="M1103" s="80">
        <v>1</v>
      </c>
      <c r="N1103" s="81">
        <v>599.99</v>
      </c>
      <c r="O1103" s="81">
        <v>599.99</v>
      </c>
    </row>
    <row r="1104" ht="9" customHeight="1" hidden="1">
      <c r="I1104" s="82"/>
      <c r="J1104" s="83"/>
      <c r="K1104" s="84">
        <v>45047</v>
      </c>
      <c r="L1104" s="85"/>
      <c r="M1104" s="28">
        <v>2</v>
      </c>
      <c r="N1104" s="29">
        <v>659.98</v>
      </c>
      <c r="O1104" s="29">
        <v>659.98</v>
      </c>
    </row>
    <row r="1105" ht="9" customHeight="1" hidden="1">
      <c r="I1105" s="82"/>
      <c r="J1105" t="s" s="86">
        <v>5537</v>
      </c>
      <c r="K1105" s="87"/>
      <c r="L1105" s="85"/>
      <c r="M1105" s="28">
        <v>2</v>
      </c>
      <c r="N1105" s="29">
        <v>659.98</v>
      </c>
      <c r="O1105" s="29">
        <v>659.98</v>
      </c>
    </row>
    <row r="1106" ht="16.1" customHeight="1">
      <c r="I1106" t="s" s="126">
        <v>5538</v>
      </c>
      <c r="J1106" s="127"/>
      <c r="K1106" s="127"/>
      <c r="L1106" s="128"/>
      <c r="M1106" s="129">
        <v>2</v>
      </c>
      <c r="N1106" s="142">
        <v>659.98</v>
      </c>
      <c r="O1106" s="142">
        <v>659.98</v>
      </c>
    </row>
    <row r="1107" ht="9" customHeight="1" hidden="1">
      <c r="I1107" s="77"/>
      <c r="J1107" s="78"/>
      <c r="K1107" s="78"/>
      <c r="L1107" t="s" s="79">
        <v>73</v>
      </c>
      <c r="M1107" s="80">
        <v>1</v>
      </c>
      <c r="N1107" s="81">
        <v>399.99</v>
      </c>
      <c r="O1107" s="81">
        <v>399.99</v>
      </c>
    </row>
    <row r="1108" ht="9" customHeight="1" hidden="1">
      <c r="I1108" s="82"/>
      <c r="J1108" s="83"/>
      <c r="K1108" s="84">
        <v>45047</v>
      </c>
      <c r="L1108" s="85"/>
      <c r="M1108" s="28">
        <v>1</v>
      </c>
      <c r="N1108" s="29">
        <v>399.99</v>
      </c>
      <c r="O1108" s="29">
        <v>399.99</v>
      </c>
    </row>
    <row r="1109" ht="9" customHeight="1" hidden="1">
      <c r="I1109" s="82"/>
      <c r="J1109" t="s" s="86">
        <v>5587</v>
      </c>
      <c r="K1109" s="87"/>
      <c r="L1109" s="85"/>
      <c r="M1109" s="28">
        <v>1</v>
      </c>
      <c r="N1109" s="29">
        <v>399.99</v>
      </c>
      <c r="O1109" s="29">
        <v>399.99</v>
      </c>
    </row>
    <row r="1110" ht="16.1" customHeight="1">
      <c r="I1110" t="s" s="126">
        <v>5001</v>
      </c>
      <c r="J1110" s="127"/>
      <c r="K1110" s="127"/>
      <c r="L1110" s="128"/>
      <c r="M1110" s="129">
        <v>1</v>
      </c>
      <c r="N1110" s="142">
        <v>399.99</v>
      </c>
      <c r="O1110" s="142">
        <v>399.99</v>
      </c>
    </row>
    <row r="1111" ht="9" customHeight="1" hidden="1">
      <c r="I1111" s="77"/>
      <c r="J1111" s="78"/>
      <c r="K1111" s="78"/>
      <c r="L1111" t="s" s="79">
        <v>165</v>
      </c>
      <c r="M1111" s="80">
        <v>8</v>
      </c>
      <c r="N1111" s="81">
        <v>29.99</v>
      </c>
      <c r="O1111" s="81">
        <v>119.96</v>
      </c>
    </row>
    <row r="1112" ht="9" customHeight="1" hidden="1">
      <c r="I1112" s="77"/>
      <c r="J1112" s="78"/>
      <c r="K1112" s="78"/>
      <c r="L1112" t="s" s="79">
        <v>227</v>
      </c>
      <c r="M1112" s="80">
        <v>6</v>
      </c>
      <c r="N1112" s="81">
        <v>29.99</v>
      </c>
      <c r="O1112" s="81">
        <v>179.94</v>
      </c>
    </row>
    <row r="1113" ht="9" customHeight="1" hidden="1">
      <c r="I1113" s="77"/>
      <c r="J1113" s="78"/>
      <c r="K1113" s="78"/>
      <c r="L1113" t="s" s="79">
        <v>4870</v>
      </c>
      <c r="M1113" s="80">
        <v>4</v>
      </c>
      <c r="N1113" s="81">
        <v>499.99</v>
      </c>
      <c r="O1113" s="81">
        <v>1999.96</v>
      </c>
    </row>
    <row r="1114" ht="9" customHeight="1" hidden="1">
      <c r="I1114" s="77"/>
      <c r="J1114" s="78"/>
      <c r="K1114" s="78"/>
      <c r="L1114" t="s" s="79">
        <v>1069</v>
      </c>
      <c r="M1114" s="80">
        <v>6</v>
      </c>
      <c r="N1114" s="81">
        <v>99.98999999999999</v>
      </c>
      <c r="O1114" s="81">
        <v>599.9400000000001</v>
      </c>
    </row>
    <row r="1115" ht="9" customHeight="1" hidden="1">
      <c r="I1115" s="77"/>
      <c r="J1115" s="78"/>
      <c r="K1115" s="78"/>
      <c r="L1115" t="s" s="79">
        <v>470</v>
      </c>
      <c r="M1115" s="80">
        <v>6</v>
      </c>
      <c r="N1115" s="81">
        <v>100</v>
      </c>
      <c r="O1115" s="81">
        <v>600</v>
      </c>
    </row>
    <row r="1116" ht="9" customHeight="1" hidden="1">
      <c r="I1116" s="77"/>
      <c r="J1116" s="78"/>
      <c r="K1116" s="78"/>
      <c r="L1116" t="s" s="79">
        <v>52</v>
      </c>
      <c r="M1116" s="80">
        <v>6</v>
      </c>
      <c r="N1116" s="81">
        <v>0</v>
      </c>
      <c r="O1116" s="81">
        <v>0</v>
      </c>
    </row>
    <row r="1117" ht="9" customHeight="1" hidden="1">
      <c r="I1117" s="77"/>
      <c r="J1117" s="78"/>
      <c r="K1117" s="78"/>
      <c r="L1117" t="s" s="79">
        <v>50</v>
      </c>
      <c r="M1117" s="80">
        <v>6</v>
      </c>
      <c r="N1117" s="81">
        <v>0</v>
      </c>
      <c r="O1117" s="81">
        <v>0</v>
      </c>
    </row>
    <row r="1118" ht="9" customHeight="1" hidden="1">
      <c r="I1118" s="77"/>
      <c r="J1118" s="78"/>
      <c r="K1118" s="78"/>
      <c r="L1118" t="s" s="79">
        <v>933</v>
      </c>
      <c r="M1118" s="80">
        <v>6</v>
      </c>
      <c r="N1118" s="81">
        <v>1299.99</v>
      </c>
      <c r="O1118" s="81">
        <v>7799.94</v>
      </c>
    </row>
    <row r="1119" ht="9" customHeight="1" hidden="1">
      <c r="I1119" s="77"/>
      <c r="J1119" s="78"/>
      <c r="K1119" s="78"/>
      <c r="L1119" t="s" s="79">
        <v>59</v>
      </c>
      <c r="M1119" s="80">
        <v>1</v>
      </c>
      <c r="N1119" s="81">
        <v>1199.99</v>
      </c>
      <c r="O1119" s="81">
        <v>1199.99</v>
      </c>
    </row>
    <row r="1120" ht="9" customHeight="1" hidden="1">
      <c r="I1120" s="77"/>
      <c r="J1120" s="78"/>
      <c r="K1120" s="78"/>
      <c r="L1120" t="s" s="79">
        <v>73</v>
      </c>
      <c r="M1120" s="80">
        <v>1</v>
      </c>
      <c r="N1120" s="81">
        <v>399.99</v>
      </c>
      <c r="O1120" s="81">
        <v>399.99</v>
      </c>
    </row>
    <row r="1121" ht="9" customHeight="1" hidden="1">
      <c r="I1121" s="77"/>
      <c r="J1121" s="78"/>
      <c r="K1121" s="78"/>
      <c r="L1121" t="s" s="79">
        <v>47</v>
      </c>
      <c r="M1121" s="80">
        <v>1</v>
      </c>
      <c r="N1121" s="81">
        <v>775</v>
      </c>
      <c r="O1121" s="81">
        <v>775</v>
      </c>
    </row>
    <row r="1122" ht="9" customHeight="1" hidden="1">
      <c r="I1122" s="82"/>
      <c r="J1122" s="83"/>
      <c r="K1122" s="84">
        <v>45047</v>
      </c>
      <c r="L1122" s="85"/>
      <c r="M1122" s="28">
        <v>51</v>
      </c>
      <c r="N1122" s="29">
        <v>4434.93</v>
      </c>
      <c r="O1122" s="29">
        <v>13674.72</v>
      </c>
    </row>
    <row r="1123" ht="9" customHeight="1" hidden="1">
      <c r="I1123" s="82"/>
      <c r="J1123" t="s" s="86">
        <v>5409</v>
      </c>
      <c r="K1123" s="87"/>
      <c r="L1123" s="85"/>
      <c r="M1123" s="28">
        <v>51</v>
      </c>
      <c r="N1123" s="29">
        <v>4434.93</v>
      </c>
      <c r="O1123" s="29">
        <v>13674.72</v>
      </c>
    </row>
    <row r="1124" ht="16.1" customHeight="1">
      <c r="I1124" t="s" s="126">
        <v>5410</v>
      </c>
      <c r="J1124" s="127"/>
      <c r="K1124" s="127"/>
      <c r="L1124" s="128"/>
      <c r="M1124" s="129">
        <v>51</v>
      </c>
      <c r="N1124" s="142">
        <v>4434.93</v>
      </c>
      <c r="O1124" s="142">
        <v>13674.72</v>
      </c>
    </row>
    <row r="1125" ht="9" customHeight="1" hidden="1">
      <c r="I1125" s="77"/>
      <c r="J1125" s="78"/>
      <c r="K1125" s="78"/>
      <c r="L1125" t="s" s="79">
        <v>31</v>
      </c>
      <c r="M1125" s="80">
        <v>1</v>
      </c>
      <c r="N1125" s="81">
        <v>599.99</v>
      </c>
      <c r="O1125" s="81">
        <v>599.99</v>
      </c>
    </row>
    <row r="1126" ht="9" customHeight="1" hidden="1">
      <c r="I1126" s="82"/>
      <c r="J1126" s="83"/>
      <c r="K1126" s="84">
        <v>45047</v>
      </c>
      <c r="L1126" s="85"/>
      <c r="M1126" s="28">
        <v>1</v>
      </c>
      <c r="N1126" s="29">
        <v>599.99</v>
      </c>
      <c r="O1126" s="29">
        <v>599.99</v>
      </c>
    </row>
    <row r="1127" ht="9" customHeight="1" hidden="1">
      <c r="I1127" s="82"/>
      <c r="J1127" t="s" s="86">
        <v>5383</v>
      </c>
      <c r="K1127" s="87"/>
      <c r="L1127" s="85"/>
      <c r="M1127" s="28">
        <v>1</v>
      </c>
      <c r="N1127" s="29">
        <v>599.99</v>
      </c>
      <c r="O1127" s="29">
        <v>599.99</v>
      </c>
    </row>
    <row r="1128" ht="16.1" customHeight="1">
      <c r="I1128" t="s" s="126">
        <v>5384</v>
      </c>
      <c r="J1128" s="127"/>
      <c r="K1128" s="127"/>
      <c r="L1128" s="128"/>
      <c r="M1128" s="129">
        <v>1</v>
      </c>
      <c r="N1128" s="142">
        <v>599.99</v>
      </c>
      <c r="O1128" s="142">
        <v>599.99</v>
      </c>
    </row>
    <row r="1129" ht="9" customHeight="1" hidden="1">
      <c r="I1129" s="77"/>
      <c r="J1129" s="78"/>
      <c r="K1129" s="78"/>
      <c r="L1129" t="s" s="79">
        <v>54</v>
      </c>
      <c r="M1129" s="80">
        <v>5</v>
      </c>
      <c r="N1129" s="81">
        <v>9.99</v>
      </c>
      <c r="O1129" s="81">
        <v>49.95</v>
      </c>
    </row>
    <row r="1130" ht="9" customHeight="1" hidden="1">
      <c r="I1130" s="82"/>
      <c r="J1130" s="83"/>
      <c r="K1130" s="84">
        <v>45047</v>
      </c>
      <c r="L1130" s="85"/>
      <c r="M1130" s="28">
        <v>5</v>
      </c>
      <c r="N1130" s="29">
        <v>9.99</v>
      </c>
      <c r="O1130" s="29">
        <v>49.95</v>
      </c>
    </row>
    <row r="1131" ht="9" customHeight="1" hidden="1">
      <c r="I1131" s="82"/>
      <c r="J1131" t="s" s="86">
        <v>5387</v>
      </c>
      <c r="K1131" s="87"/>
      <c r="L1131" s="85"/>
      <c r="M1131" s="28">
        <v>5</v>
      </c>
      <c r="N1131" s="29">
        <v>9.99</v>
      </c>
      <c r="O1131" s="29">
        <v>49.95</v>
      </c>
    </row>
    <row r="1132" ht="16.1" customHeight="1">
      <c r="I1132" t="s" s="126">
        <v>5388</v>
      </c>
      <c r="J1132" s="127"/>
      <c r="K1132" s="127"/>
      <c r="L1132" s="128"/>
      <c r="M1132" s="129">
        <v>5</v>
      </c>
      <c r="N1132" s="142">
        <v>9.99</v>
      </c>
      <c r="O1132" s="142">
        <v>49.95</v>
      </c>
    </row>
    <row r="1133" ht="9" customHeight="1" hidden="1">
      <c r="I1133" s="77"/>
      <c r="J1133" s="78"/>
      <c r="K1133" s="78"/>
      <c r="L1133" t="s" s="79">
        <v>54</v>
      </c>
      <c r="M1133" s="80">
        <v>8</v>
      </c>
      <c r="N1133" s="81">
        <v>9.99</v>
      </c>
      <c r="O1133" s="81">
        <v>79.92</v>
      </c>
    </row>
    <row r="1134" ht="9" customHeight="1" hidden="1">
      <c r="I1134" s="82"/>
      <c r="J1134" s="83"/>
      <c r="K1134" s="84">
        <v>45047</v>
      </c>
      <c r="L1134" s="85"/>
      <c r="M1134" s="28">
        <v>8</v>
      </c>
      <c r="N1134" s="29">
        <v>9.99</v>
      </c>
      <c r="O1134" s="29">
        <v>79.92</v>
      </c>
    </row>
    <row r="1135" ht="9" customHeight="1" hidden="1">
      <c r="I1135" s="82"/>
      <c r="J1135" t="s" s="86">
        <v>5552</v>
      </c>
      <c r="K1135" s="87"/>
      <c r="L1135" s="85"/>
      <c r="M1135" s="28">
        <v>8</v>
      </c>
      <c r="N1135" s="29">
        <v>9.99</v>
      </c>
      <c r="O1135" s="29">
        <v>79.92</v>
      </c>
    </row>
    <row r="1136" ht="16.1" customHeight="1">
      <c r="I1136" t="s" s="132">
        <v>2261</v>
      </c>
      <c r="J1136" s="133"/>
      <c r="K1136" s="133"/>
      <c r="L1136" s="134"/>
      <c r="M1136" s="135">
        <v>8</v>
      </c>
      <c r="N1136" s="143">
        <v>9.99</v>
      </c>
      <c r="O1136" s="143">
        <v>79.92</v>
      </c>
    </row>
    <row r="1137" ht="16.1" customHeight="1">
      <c r="I1137" t="s" s="33">
        <v>620</v>
      </c>
      <c r="J1137" s="90"/>
      <c r="K1137" s="90"/>
      <c r="L1137" s="91"/>
      <c r="M1137" s="34">
        <v>1330</v>
      </c>
      <c r="N1137" s="35">
        <v>72572.1755</v>
      </c>
      <c r="O1137" s="35">
        <v>167284.058</v>
      </c>
    </row>
    <row r="1139" ht="15.55" customHeight="1">
      <c r="P1139" t="s" s="2">
        <v>5598</v>
      </c>
      <c r="Q1139" s="2"/>
    </row>
    <row r="1140" ht="13.1" customHeight="1">
      <c r="P1140" t="s" s="37">
        <v>4</v>
      </c>
      <c r="Q1140" t="s" s="145">
        <v>617</v>
      </c>
    </row>
    <row r="1141" ht="13.1" customHeight="1">
      <c r="P1141" t="s" s="38">
        <v>1232</v>
      </c>
      <c r="Q1141" s="34">
        <v>125</v>
      </c>
    </row>
    <row r="1142" ht="12.9" customHeight="1">
      <c r="P1142" t="s" s="40">
        <v>559</v>
      </c>
      <c r="Q1142" s="146">
        <v>101</v>
      </c>
    </row>
    <row r="1143" ht="12.9" customHeight="1">
      <c r="P1143" t="s" s="40">
        <v>50</v>
      </c>
      <c r="Q1143" s="146">
        <v>67</v>
      </c>
    </row>
    <row r="1144" ht="12.9" customHeight="1">
      <c r="P1144" t="s" s="40">
        <v>15</v>
      </c>
      <c r="Q1144" s="146">
        <v>67</v>
      </c>
    </row>
    <row r="1145" ht="12.9" customHeight="1">
      <c r="P1145" t="s" s="40">
        <v>19</v>
      </c>
      <c r="Q1145" s="146">
        <v>41</v>
      </c>
    </row>
    <row r="1146" ht="12.9" customHeight="1">
      <c r="P1146" t="s" s="40">
        <v>54</v>
      </c>
      <c r="Q1146" s="146">
        <v>38</v>
      </c>
    </row>
    <row r="1147" ht="12.9" customHeight="1">
      <c r="P1147" t="s" s="40">
        <v>227</v>
      </c>
      <c r="Q1147" s="146">
        <v>36</v>
      </c>
    </row>
    <row r="1148" ht="12.9" customHeight="1">
      <c r="P1148" t="s" s="40">
        <v>89</v>
      </c>
      <c r="Q1148" s="146">
        <v>35</v>
      </c>
    </row>
    <row r="1149" ht="12.9" customHeight="1">
      <c r="P1149" t="s" s="40">
        <v>73</v>
      </c>
      <c r="Q1149" s="146">
        <v>33</v>
      </c>
    </row>
    <row r="1150" ht="12.9" customHeight="1">
      <c r="P1150" t="s" s="40">
        <v>52</v>
      </c>
      <c r="Q1150" s="146">
        <v>31</v>
      </c>
    </row>
    <row r="1151" ht="12.9" customHeight="1">
      <c r="P1151" t="s" s="40">
        <v>1186</v>
      </c>
      <c r="Q1151" s="146">
        <v>30</v>
      </c>
    </row>
    <row r="1152" ht="12.9" customHeight="1">
      <c r="P1152" t="s" s="40">
        <v>1187</v>
      </c>
      <c r="Q1152" s="146">
        <v>30</v>
      </c>
    </row>
    <row r="1153" ht="12.9" customHeight="1">
      <c r="P1153" t="s" s="40">
        <v>48</v>
      </c>
      <c r="Q1153" s="146">
        <v>30</v>
      </c>
    </row>
    <row r="1154" ht="12.9" customHeight="1">
      <c r="P1154" t="s" s="40">
        <v>165</v>
      </c>
      <c r="Q1154" s="146">
        <v>28</v>
      </c>
    </row>
    <row r="1155" ht="12.9" customHeight="1">
      <c r="P1155" t="s" s="40">
        <v>589</v>
      </c>
      <c r="Q1155" s="146">
        <v>28</v>
      </c>
    </row>
    <row r="1156" ht="12.9" customHeight="1">
      <c r="P1156" t="s" s="40">
        <v>225</v>
      </c>
      <c r="Q1156" s="146">
        <v>28</v>
      </c>
    </row>
    <row r="1157" ht="12.9" customHeight="1">
      <c r="P1157" t="s" s="40">
        <v>602</v>
      </c>
      <c r="Q1157" s="146">
        <v>27</v>
      </c>
    </row>
    <row r="1158" ht="12.9" customHeight="1">
      <c r="P1158" t="s" s="40">
        <v>125</v>
      </c>
      <c r="Q1158" s="146">
        <v>22</v>
      </c>
    </row>
    <row r="1159" ht="12.9" customHeight="1">
      <c r="P1159" t="s" s="40">
        <v>23</v>
      </c>
      <c r="Q1159" s="146">
        <v>21</v>
      </c>
    </row>
    <row r="1160" ht="12.9" customHeight="1">
      <c r="P1160" t="s" s="40">
        <v>84</v>
      </c>
      <c r="Q1160" s="146">
        <v>20</v>
      </c>
    </row>
    <row r="1161" ht="12.9" customHeight="1">
      <c r="P1161" t="s" s="40">
        <v>81</v>
      </c>
      <c r="Q1161" s="146">
        <v>20</v>
      </c>
    </row>
    <row r="1162" ht="12.9" customHeight="1">
      <c r="P1162" t="s" s="40">
        <v>5452</v>
      </c>
      <c r="Q1162" s="146">
        <v>20</v>
      </c>
    </row>
    <row r="1163" ht="12.9" customHeight="1">
      <c r="P1163" t="s" s="40">
        <v>530</v>
      </c>
      <c r="Q1163" s="146">
        <v>20</v>
      </c>
    </row>
    <row r="1164" ht="12.9" customHeight="1">
      <c r="P1164" t="s" s="40">
        <v>39</v>
      </c>
      <c r="Q1164" s="146">
        <v>19</v>
      </c>
    </row>
    <row r="1165" ht="12.9" customHeight="1">
      <c r="P1165" t="s" s="40">
        <v>607</v>
      </c>
      <c r="Q1165" s="146">
        <v>16</v>
      </c>
    </row>
    <row r="1166" ht="12.9" customHeight="1">
      <c r="P1166" t="s" s="40">
        <v>1729</v>
      </c>
      <c r="Q1166" s="146">
        <v>16</v>
      </c>
    </row>
    <row r="1167" ht="12.9" customHeight="1">
      <c r="P1167" t="s" s="40">
        <v>63</v>
      </c>
      <c r="Q1167" s="146">
        <v>16</v>
      </c>
    </row>
    <row r="1168" ht="12.9" customHeight="1">
      <c r="P1168" t="s" s="40">
        <v>133</v>
      </c>
      <c r="Q1168" s="146">
        <v>15</v>
      </c>
    </row>
    <row r="1169" ht="12.9" customHeight="1">
      <c r="P1169" t="s" s="40">
        <v>35</v>
      </c>
      <c r="Q1169" s="146">
        <v>15</v>
      </c>
    </row>
    <row r="1170" ht="12.9" customHeight="1">
      <c r="P1170" t="s" s="40">
        <v>95</v>
      </c>
      <c r="Q1170" s="146">
        <v>15</v>
      </c>
    </row>
    <row r="1171" ht="12.9" customHeight="1">
      <c r="P1171" t="s" s="40">
        <v>31</v>
      </c>
      <c r="Q1171" s="146">
        <v>15</v>
      </c>
    </row>
    <row r="1172" ht="12.9" customHeight="1">
      <c r="P1172" t="s" s="40">
        <v>2099</v>
      </c>
      <c r="Q1172" s="146">
        <v>14</v>
      </c>
    </row>
    <row r="1173" ht="12.9" customHeight="1">
      <c r="P1173" t="s" s="40">
        <v>1007</v>
      </c>
      <c r="Q1173" s="146">
        <v>14</v>
      </c>
    </row>
    <row r="1174" ht="12.9" customHeight="1">
      <c r="P1174" t="s" s="40">
        <v>59</v>
      </c>
      <c r="Q1174" s="146">
        <v>14</v>
      </c>
    </row>
    <row r="1175" ht="12.9" customHeight="1">
      <c r="P1175" t="s" s="40">
        <v>207</v>
      </c>
      <c r="Q1175" s="146">
        <v>14</v>
      </c>
    </row>
    <row r="1176" ht="12.9" customHeight="1">
      <c r="P1176" t="s" s="40">
        <v>1069</v>
      </c>
      <c r="Q1176" s="146">
        <v>13</v>
      </c>
    </row>
    <row r="1177" ht="12.9" customHeight="1">
      <c r="P1177" t="s" s="40">
        <v>1695</v>
      </c>
      <c r="Q1177" s="146">
        <v>12</v>
      </c>
    </row>
    <row r="1178" ht="12.9" customHeight="1">
      <c r="P1178" t="s" s="40">
        <v>412</v>
      </c>
      <c r="Q1178" s="146">
        <v>11</v>
      </c>
    </row>
    <row r="1179" ht="12.9" customHeight="1">
      <c r="P1179" t="s" s="40">
        <v>470</v>
      </c>
      <c r="Q1179" s="146">
        <v>11</v>
      </c>
    </row>
    <row r="1180" ht="12.9" customHeight="1">
      <c r="P1180" t="s" s="40">
        <v>5450</v>
      </c>
      <c r="Q1180" s="146">
        <v>10</v>
      </c>
    </row>
    <row r="1181" ht="12.9" customHeight="1">
      <c r="P1181" t="s" s="40">
        <v>4124</v>
      </c>
      <c r="Q1181" s="146">
        <v>10</v>
      </c>
    </row>
    <row r="1182" ht="12.9" customHeight="1">
      <c r="P1182" t="s" s="40">
        <v>1202</v>
      </c>
      <c r="Q1182" s="146">
        <v>10</v>
      </c>
    </row>
    <row r="1183" ht="12.9" customHeight="1">
      <c r="P1183" t="s" s="40">
        <v>5448</v>
      </c>
      <c r="Q1183" s="146">
        <v>10</v>
      </c>
    </row>
    <row r="1184" ht="12.9" customHeight="1">
      <c r="P1184" t="s" s="40">
        <v>5454</v>
      </c>
      <c r="Q1184" s="146">
        <v>10</v>
      </c>
    </row>
    <row r="1185" ht="12.9" customHeight="1">
      <c r="P1185" t="s" s="40">
        <v>345</v>
      </c>
      <c r="Q1185" s="146">
        <v>9</v>
      </c>
    </row>
    <row r="1186" ht="12.9" customHeight="1">
      <c r="P1186" t="s" s="40">
        <v>5579</v>
      </c>
      <c r="Q1186" s="146">
        <v>8</v>
      </c>
    </row>
    <row r="1187" ht="12.9" customHeight="1">
      <c r="P1187" t="s" s="40">
        <v>4870</v>
      </c>
      <c r="Q1187" s="146">
        <v>8</v>
      </c>
    </row>
    <row r="1188" ht="12.9" customHeight="1">
      <c r="P1188" t="s" s="40">
        <v>11</v>
      </c>
      <c r="Q1188" s="146">
        <v>8</v>
      </c>
    </row>
    <row r="1189" ht="12.9" customHeight="1">
      <c r="P1189" t="s" s="40">
        <v>4955</v>
      </c>
      <c r="Q1189" s="146">
        <v>8</v>
      </c>
    </row>
    <row r="1190" ht="12.9" customHeight="1">
      <c r="P1190" t="s" s="40">
        <v>47</v>
      </c>
      <c r="Q1190" s="146">
        <v>7</v>
      </c>
    </row>
    <row r="1191" ht="12.9" customHeight="1">
      <c r="P1191" t="s" s="40">
        <v>5418</v>
      </c>
      <c r="Q1191" s="146">
        <v>6</v>
      </c>
    </row>
    <row r="1192" ht="12.9" customHeight="1">
      <c r="P1192" t="s" s="40">
        <v>5381</v>
      </c>
      <c r="Q1192" s="146">
        <v>6</v>
      </c>
    </row>
    <row r="1193" ht="12.9" customHeight="1">
      <c r="P1193" t="s" s="40">
        <v>299</v>
      </c>
      <c r="Q1193" s="146">
        <v>6</v>
      </c>
    </row>
    <row r="1194" ht="12.9" customHeight="1">
      <c r="P1194" t="s" s="40">
        <v>487</v>
      </c>
      <c r="Q1194" s="146">
        <v>6</v>
      </c>
    </row>
    <row r="1195" ht="12.9" customHeight="1">
      <c r="P1195" t="s" s="40">
        <v>933</v>
      </c>
      <c r="Q1195" s="146">
        <v>6</v>
      </c>
    </row>
    <row r="1196" ht="12.9" customHeight="1">
      <c r="P1196" t="s" s="40">
        <v>254</v>
      </c>
      <c r="Q1196" s="146">
        <v>6</v>
      </c>
    </row>
    <row r="1197" ht="12.9" customHeight="1">
      <c r="P1197" t="s" s="40">
        <v>171</v>
      </c>
      <c r="Q1197" s="146">
        <v>5</v>
      </c>
    </row>
    <row r="1198" ht="12.9" customHeight="1">
      <c r="P1198" t="s" s="40">
        <v>2125</v>
      </c>
      <c r="Q1198" s="146">
        <v>5</v>
      </c>
    </row>
    <row r="1199" ht="12.9" customHeight="1">
      <c r="P1199" t="s" s="40">
        <v>3513</v>
      </c>
      <c r="Q1199" s="146">
        <v>4</v>
      </c>
    </row>
    <row r="1200" ht="12.9" customHeight="1">
      <c r="P1200" t="s" s="40">
        <v>369</v>
      </c>
      <c r="Q1200" s="146">
        <v>4</v>
      </c>
    </row>
    <row r="1201" ht="12.9" customHeight="1">
      <c r="P1201" t="s" s="40">
        <v>5463</v>
      </c>
      <c r="Q1201" s="146">
        <v>4</v>
      </c>
    </row>
    <row r="1202" ht="12.9" customHeight="1">
      <c r="P1202" t="s" s="40">
        <v>123</v>
      </c>
      <c r="Q1202" s="146">
        <v>3</v>
      </c>
    </row>
    <row r="1203" ht="12.9" customHeight="1">
      <c r="P1203" t="s" s="40">
        <v>5469</v>
      </c>
      <c r="Q1203" s="146">
        <v>2</v>
      </c>
    </row>
    <row r="1204" ht="12.9" customHeight="1">
      <c r="P1204" t="s" s="40">
        <v>1961</v>
      </c>
      <c r="Q1204" s="146">
        <v>2</v>
      </c>
    </row>
    <row r="1205" ht="12.9" customHeight="1">
      <c r="P1205" t="s" s="40">
        <v>462</v>
      </c>
      <c r="Q1205" s="146">
        <v>2</v>
      </c>
    </row>
    <row r="1206" ht="12.9" customHeight="1">
      <c r="P1206" t="s" s="40">
        <v>1257</v>
      </c>
      <c r="Q1206" s="146">
        <v>2</v>
      </c>
    </row>
    <row r="1207" ht="12.9" customHeight="1">
      <c r="P1207" t="s" s="40">
        <v>146</v>
      </c>
      <c r="Q1207" s="146">
        <v>2</v>
      </c>
    </row>
    <row r="1208" ht="12.9" customHeight="1">
      <c r="P1208" t="s" s="40">
        <v>722</v>
      </c>
      <c r="Q1208" s="146">
        <v>2</v>
      </c>
    </row>
    <row r="1209" ht="12.9" customHeight="1">
      <c r="P1209" t="s" s="40">
        <v>143</v>
      </c>
      <c r="Q1209" s="146">
        <v>2</v>
      </c>
    </row>
    <row r="1210" ht="12.9" customHeight="1">
      <c r="P1210" t="s" s="40">
        <v>5470</v>
      </c>
      <c r="Q1210" s="146">
        <v>2</v>
      </c>
    </row>
    <row r="1211" ht="12.9" customHeight="1">
      <c r="P1211" t="s" s="40">
        <v>5335</v>
      </c>
      <c r="Q1211" s="146">
        <v>2</v>
      </c>
    </row>
    <row r="1212" ht="12.9" customHeight="1">
      <c r="P1212" t="s" s="40">
        <v>1132</v>
      </c>
      <c r="Q1212" s="146">
        <v>2</v>
      </c>
    </row>
    <row r="1213" ht="12.9" customHeight="1">
      <c r="P1213" t="s" s="40">
        <v>5457</v>
      </c>
      <c r="Q1213" s="146">
        <v>2</v>
      </c>
    </row>
    <row r="1214" ht="12.9" customHeight="1">
      <c r="P1214" t="s" s="40">
        <v>861</v>
      </c>
      <c r="Q1214" s="146">
        <v>2</v>
      </c>
    </row>
    <row r="1215" ht="12.9" customHeight="1">
      <c r="P1215" t="s" s="40">
        <v>2672</v>
      </c>
      <c r="Q1215" s="146">
        <v>2</v>
      </c>
    </row>
    <row r="1216" ht="12.9" customHeight="1">
      <c r="P1216" t="s" s="40">
        <v>1891</v>
      </c>
      <c r="Q1216" s="146">
        <v>1</v>
      </c>
    </row>
    <row r="1217" ht="12.9" customHeight="1">
      <c r="P1217" t="s" s="40">
        <v>5568</v>
      </c>
      <c r="Q1217" s="146">
        <v>1</v>
      </c>
    </row>
    <row r="1218" ht="12.9" customHeight="1">
      <c r="P1218" t="s" s="40">
        <v>1892</v>
      </c>
      <c r="Q1218" s="146">
        <v>1</v>
      </c>
    </row>
    <row r="1219" ht="12.9" customHeight="1">
      <c r="P1219" t="s" s="40">
        <v>1731</v>
      </c>
      <c r="Q1219" s="146">
        <v>1</v>
      </c>
    </row>
    <row r="1220" ht="12.9" customHeight="1">
      <c r="P1220" t="s" s="40">
        <v>1030</v>
      </c>
      <c r="Q1220" s="146">
        <v>1</v>
      </c>
    </row>
    <row r="1221" ht="12.9" customHeight="1">
      <c r="P1221" t="s" s="40">
        <v>5459</v>
      </c>
      <c r="Q1221" s="146">
        <v>1</v>
      </c>
    </row>
    <row r="1222" ht="12.9" customHeight="1">
      <c r="P1222" t="s" s="40">
        <v>5274</v>
      </c>
      <c r="Q1222" s="146">
        <v>1</v>
      </c>
    </row>
    <row r="1223" ht="12.9" customHeight="1">
      <c r="P1223" t="s" s="40">
        <v>442</v>
      </c>
      <c r="Q1223" s="146">
        <v>1</v>
      </c>
    </row>
    <row r="1224" ht="12.9" customHeight="1">
      <c r="P1224" t="s" s="40">
        <v>3063</v>
      </c>
      <c r="Q1224" s="146">
        <v>1</v>
      </c>
    </row>
    <row r="1225" ht="12.9" customHeight="1">
      <c r="P1225" t="s" s="40">
        <v>2425</v>
      </c>
      <c r="Q1225" s="146">
        <v>1</v>
      </c>
    </row>
    <row r="1226" ht="12.9" customHeight="1">
      <c r="P1226" t="s" s="40">
        <v>4685</v>
      </c>
      <c r="Q1226" s="146">
        <v>1</v>
      </c>
    </row>
    <row r="1227" ht="12.9" customHeight="1">
      <c r="P1227" t="s" s="40">
        <v>409</v>
      </c>
      <c r="Q1227" s="146">
        <v>1</v>
      </c>
    </row>
    <row r="1228" ht="12.9" customHeight="1">
      <c r="P1228" t="s" s="40">
        <v>2512</v>
      </c>
      <c r="Q1228" s="146">
        <v>1</v>
      </c>
    </row>
    <row r="1229" ht="12.9" customHeight="1">
      <c r="P1229" t="s" s="40">
        <v>1236</v>
      </c>
      <c r="Q1229" s="146">
        <v>1</v>
      </c>
    </row>
    <row r="1230" ht="12.9" customHeight="1">
      <c r="P1230" t="s" s="40">
        <v>762</v>
      </c>
      <c r="Q1230" s="146">
        <v>1</v>
      </c>
    </row>
    <row r="1231" ht="12.9" customHeight="1">
      <c r="P1231" t="s" s="40">
        <v>2711</v>
      </c>
      <c r="Q1231" s="146">
        <v>1</v>
      </c>
    </row>
    <row r="1232" ht="13.1" customHeight="1">
      <c r="P1232" t="s" s="42">
        <v>3685</v>
      </c>
      <c r="Q1232" s="147">
        <v>1</v>
      </c>
    </row>
    <row r="1233" ht="13.1" customHeight="1">
      <c r="P1233" t="s" s="44">
        <v>620</v>
      </c>
      <c r="Q1233" s="34">
        <v>1330</v>
      </c>
    </row>
    <row r="1235" ht="15.55" customHeight="1">
      <c r="R1235" t="s" s="2">
        <v>5599</v>
      </c>
      <c r="S1235" s="2"/>
    </row>
    <row r="1236" ht="13.1" customHeight="1">
      <c r="R1236" t="s" s="37">
        <v>4</v>
      </c>
      <c r="S1236" t="s" s="145">
        <v>619</v>
      </c>
    </row>
    <row r="1237" ht="13.1" customHeight="1">
      <c r="R1237" t="s" s="38">
        <v>48</v>
      </c>
      <c r="S1237" s="50">
        <v>29074.8525</v>
      </c>
    </row>
    <row r="1238" ht="12.9" customHeight="1">
      <c r="R1238" t="s" s="40">
        <v>81</v>
      </c>
      <c r="S1238" s="150">
        <v>16999.8</v>
      </c>
    </row>
    <row r="1239" ht="12.9" customHeight="1">
      <c r="R1239" t="s" s="40">
        <v>59</v>
      </c>
      <c r="S1239" s="150">
        <v>14099.8825</v>
      </c>
    </row>
    <row r="1240" ht="12.9" customHeight="1">
      <c r="R1240" t="s" s="40">
        <v>73</v>
      </c>
      <c r="S1240" s="150">
        <v>12399.69</v>
      </c>
    </row>
    <row r="1241" ht="12.9" customHeight="1">
      <c r="R1241" t="s" s="40">
        <v>225</v>
      </c>
      <c r="S1241" s="150">
        <v>11999.76</v>
      </c>
    </row>
    <row r="1242" ht="12.9" customHeight="1">
      <c r="R1242" t="s" s="40">
        <v>31</v>
      </c>
      <c r="S1242" s="150">
        <v>8599.855</v>
      </c>
    </row>
    <row r="1243" ht="12.9" customHeight="1">
      <c r="R1243" t="s" s="40">
        <v>5448</v>
      </c>
      <c r="S1243" s="150">
        <v>8000</v>
      </c>
    </row>
    <row r="1244" ht="12.9" customHeight="1">
      <c r="R1244" t="s" s="40">
        <v>933</v>
      </c>
      <c r="S1244" s="150">
        <v>7799.94</v>
      </c>
    </row>
    <row r="1245" ht="12.9" customHeight="1">
      <c r="R1245" t="s" s="40">
        <v>95</v>
      </c>
      <c r="S1245" s="150">
        <v>5249.85</v>
      </c>
    </row>
    <row r="1246" ht="12.9" customHeight="1">
      <c r="R1246" t="s" s="40">
        <v>602</v>
      </c>
      <c r="S1246" s="150">
        <v>5131.1475</v>
      </c>
    </row>
    <row r="1247" ht="12.9" customHeight="1">
      <c r="R1247" t="s" s="40">
        <v>143</v>
      </c>
      <c r="S1247" s="150">
        <v>4799.985</v>
      </c>
    </row>
    <row r="1248" ht="12.9" customHeight="1">
      <c r="R1248" t="s" s="40">
        <v>19</v>
      </c>
      <c r="S1248" s="150">
        <v>4409.6325</v>
      </c>
    </row>
    <row r="1249" ht="12.9" customHeight="1">
      <c r="R1249" t="s" s="40">
        <v>4870</v>
      </c>
      <c r="S1249" s="150">
        <v>3499.93</v>
      </c>
    </row>
    <row r="1250" ht="12.9" customHeight="1">
      <c r="R1250" t="s" s="40">
        <v>11</v>
      </c>
      <c r="S1250" s="150">
        <v>2994.9245</v>
      </c>
    </row>
    <row r="1251" ht="12.9" customHeight="1">
      <c r="R1251" t="s" s="40">
        <v>171</v>
      </c>
      <c r="S1251" s="150">
        <v>2694.951</v>
      </c>
    </row>
    <row r="1252" ht="12.9" customHeight="1">
      <c r="R1252" t="s" s="40">
        <v>63</v>
      </c>
      <c r="S1252" s="150">
        <v>2673.64</v>
      </c>
    </row>
    <row r="1253" ht="12.9" customHeight="1">
      <c r="R1253" t="s" s="40">
        <v>39</v>
      </c>
      <c r="S1253" s="150">
        <v>2089.81</v>
      </c>
    </row>
    <row r="1254" ht="12.9" customHeight="1">
      <c r="R1254" t="s" s="40">
        <v>89</v>
      </c>
      <c r="S1254" s="150">
        <v>1979.67</v>
      </c>
    </row>
    <row r="1255" ht="12.9" customHeight="1">
      <c r="R1255" t="s" s="40">
        <v>47</v>
      </c>
      <c r="S1255" s="150">
        <v>1773.47</v>
      </c>
    </row>
    <row r="1256" ht="12.9" customHeight="1">
      <c r="R1256" t="s" s="40">
        <v>133</v>
      </c>
      <c r="S1256" s="150">
        <v>1749.93</v>
      </c>
    </row>
    <row r="1257" ht="12.9" customHeight="1">
      <c r="R1257" t="s" s="40">
        <v>470</v>
      </c>
      <c r="S1257" s="150">
        <v>1549.97</v>
      </c>
    </row>
    <row r="1258" ht="12.9" customHeight="1">
      <c r="R1258" t="s" s="40">
        <v>345</v>
      </c>
      <c r="S1258" s="150">
        <v>1539.93</v>
      </c>
    </row>
    <row r="1259" ht="12.9" customHeight="1">
      <c r="R1259" t="s" s="40">
        <v>125</v>
      </c>
      <c r="S1259" s="150">
        <v>1364.79</v>
      </c>
    </row>
    <row r="1260" ht="12.9" customHeight="1">
      <c r="R1260" t="s" s="40">
        <v>5335</v>
      </c>
      <c r="S1260" s="150">
        <v>1350</v>
      </c>
    </row>
    <row r="1261" ht="12.9" customHeight="1">
      <c r="R1261" t="s" s="40">
        <v>5381</v>
      </c>
      <c r="S1261" s="150">
        <v>1349.955</v>
      </c>
    </row>
    <row r="1262" ht="12.9" customHeight="1">
      <c r="R1262" t="s" s="40">
        <v>4955</v>
      </c>
      <c r="S1262" s="150">
        <v>1319.94</v>
      </c>
    </row>
    <row r="1263" ht="12.9" customHeight="1">
      <c r="R1263" t="s" s="40">
        <v>722</v>
      </c>
      <c r="S1263" s="150">
        <v>1304.985</v>
      </c>
    </row>
    <row r="1264" ht="12.9" customHeight="1">
      <c r="R1264" t="s" s="40">
        <v>1069</v>
      </c>
      <c r="S1264" s="150">
        <v>1299.87</v>
      </c>
    </row>
    <row r="1265" ht="12.9" customHeight="1">
      <c r="R1265" t="s" s="40">
        <v>5418</v>
      </c>
      <c r="S1265" s="150">
        <v>1222.875</v>
      </c>
    </row>
    <row r="1266" ht="12.9" customHeight="1">
      <c r="R1266" t="s" s="40">
        <v>1202</v>
      </c>
      <c r="S1266" s="150">
        <v>800</v>
      </c>
    </row>
    <row r="1267" ht="12.9" customHeight="1">
      <c r="R1267" t="s" s="40">
        <v>2099</v>
      </c>
      <c r="S1267" s="150">
        <v>792.75</v>
      </c>
    </row>
    <row r="1268" ht="12.9" customHeight="1">
      <c r="R1268" t="s" s="40">
        <v>23</v>
      </c>
      <c r="S1268" s="150">
        <v>712.4525</v>
      </c>
    </row>
    <row r="1269" ht="12.9" customHeight="1">
      <c r="R1269" t="s" s="40">
        <v>1257</v>
      </c>
      <c r="S1269" s="150">
        <v>699.98</v>
      </c>
    </row>
    <row r="1270" ht="12.9" customHeight="1">
      <c r="R1270" t="s" s="40">
        <v>861</v>
      </c>
      <c r="S1270" s="150">
        <v>688.6</v>
      </c>
    </row>
    <row r="1271" ht="12.9" customHeight="1">
      <c r="R1271" t="s" s="40">
        <v>35</v>
      </c>
      <c r="S1271" s="150">
        <v>649.87</v>
      </c>
    </row>
    <row r="1272" ht="12.9" customHeight="1">
      <c r="R1272" t="s" s="40">
        <v>1232</v>
      </c>
      <c r="S1272" s="150">
        <v>625</v>
      </c>
    </row>
    <row r="1273" ht="12.9" customHeight="1">
      <c r="R1273" t="s" s="40">
        <v>1695</v>
      </c>
      <c r="S1273" s="150">
        <v>599.88</v>
      </c>
    </row>
    <row r="1274" ht="12.9" customHeight="1">
      <c r="R1274" t="s" s="40">
        <v>227</v>
      </c>
      <c r="S1274" s="150">
        <v>524.825</v>
      </c>
    </row>
    <row r="1275" ht="12.9" customHeight="1">
      <c r="R1275" t="s" s="40">
        <v>487</v>
      </c>
      <c r="S1275" s="150">
        <v>494.955</v>
      </c>
    </row>
    <row r="1276" ht="12.9" customHeight="1">
      <c r="R1276" t="s" s="40">
        <v>123</v>
      </c>
      <c r="S1276" s="150">
        <v>449.975</v>
      </c>
    </row>
    <row r="1277" ht="12.9" customHeight="1">
      <c r="R1277" t="s" s="40">
        <v>3513</v>
      </c>
      <c r="S1277" s="150">
        <v>445.5</v>
      </c>
    </row>
    <row r="1278" ht="12.9" customHeight="1">
      <c r="R1278" t="s" s="40">
        <v>15</v>
      </c>
      <c r="S1278" s="150">
        <v>415.54</v>
      </c>
    </row>
    <row r="1279" ht="12.9" customHeight="1">
      <c r="R1279" t="s" s="40">
        <v>530</v>
      </c>
      <c r="S1279" s="150">
        <v>400</v>
      </c>
    </row>
    <row r="1280" ht="12.9" customHeight="1">
      <c r="R1280" t="s" s="40">
        <v>5452</v>
      </c>
      <c r="S1280" s="150">
        <v>400</v>
      </c>
    </row>
    <row r="1281" ht="12.9" customHeight="1">
      <c r="R1281" t="s" s="40">
        <v>462</v>
      </c>
      <c r="S1281" s="150">
        <v>399.98</v>
      </c>
    </row>
    <row r="1282" ht="12.9" customHeight="1">
      <c r="R1282" t="s" s="40">
        <v>4124</v>
      </c>
      <c r="S1282" s="150">
        <v>386.25</v>
      </c>
    </row>
    <row r="1283" ht="12.9" customHeight="1">
      <c r="R1283" t="s" s="40">
        <v>50</v>
      </c>
      <c r="S1283" s="150">
        <v>367.3775</v>
      </c>
    </row>
    <row r="1284" ht="12.9" customHeight="1">
      <c r="R1284" t="s" s="40">
        <v>607</v>
      </c>
      <c r="S1284" s="150">
        <v>359.88</v>
      </c>
    </row>
    <row r="1285" ht="12.9" customHeight="1">
      <c r="R1285" t="s" s="40">
        <v>5457</v>
      </c>
      <c r="S1285" s="150">
        <v>350</v>
      </c>
    </row>
    <row r="1286" ht="12.9" customHeight="1">
      <c r="R1286" t="s" s="40">
        <v>299</v>
      </c>
      <c r="S1286" s="150">
        <v>349.95</v>
      </c>
    </row>
    <row r="1287" ht="12.9" customHeight="1">
      <c r="R1287" t="s" s="40">
        <v>5454</v>
      </c>
      <c r="S1287" s="150">
        <v>300</v>
      </c>
    </row>
    <row r="1288" ht="12.9" customHeight="1">
      <c r="R1288" t="s" s="40">
        <v>5469</v>
      </c>
      <c r="S1288" s="150">
        <v>300</v>
      </c>
    </row>
    <row r="1289" ht="12.9" customHeight="1">
      <c r="R1289" t="s" s="40">
        <v>5450</v>
      </c>
      <c r="S1289" s="150">
        <v>240</v>
      </c>
    </row>
    <row r="1290" ht="12.9" customHeight="1">
      <c r="R1290" t="s" s="40">
        <v>1729</v>
      </c>
      <c r="S1290" s="150">
        <v>239.84</v>
      </c>
    </row>
    <row r="1291" ht="12.9" customHeight="1">
      <c r="R1291" t="s" s="40">
        <v>54</v>
      </c>
      <c r="S1291" s="150">
        <v>229.77</v>
      </c>
    </row>
    <row r="1292" ht="12.9" customHeight="1">
      <c r="R1292" t="s" s="40">
        <v>1961</v>
      </c>
      <c r="S1292" s="150">
        <v>219.98</v>
      </c>
    </row>
    <row r="1293" ht="12.9" customHeight="1">
      <c r="R1293" t="s" s="40">
        <v>1132</v>
      </c>
      <c r="S1293" s="150">
        <v>180</v>
      </c>
    </row>
    <row r="1294" ht="12.9" customHeight="1">
      <c r="R1294" t="s" s="40">
        <v>589</v>
      </c>
      <c r="S1294" s="150">
        <v>134.82</v>
      </c>
    </row>
    <row r="1295" ht="12.9" customHeight="1">
      <c r="R1295" t="s" s="40">
        <v>165</v>
      </c>
      <c r="S1295" s="150">
        <v>119.96</v>
      </c>
    </row>
    <row r="1296" ht="12.9" customHeight="1">
      <c r="R1296" t="s" s="40">
        <v>5463</v>
      </c>
      <c r="S1296" s="150">
        <v>90</v>
      </c>
    </row>
    <row r="1297" ht="12.9" customHeight="1">
      <c r="R1297" t="s" s="40">
        <v>5470</v>
      </c>
      <c r="S1297" s="150">
        <v>80</v>
      </c>
    </row>
    <row r="1298" ht="12.9" customHeight="1">
      <c r="R1298" t="s" s="40">
        <v>5274</v>
      </c>
      <c r="S1298" s="150">
        <v>49.95</v>
      </c>
    </row>
    <row r="1299" ht="12.9" customHeight="1">
      <c r="R1299" t="s" s="40">
        <v>5579</v>
      </c>
      <c r="S1299" s="150">
        <v>40</v>
      </c>
    </row>
    <row r="1300" ht="12.9" customHeight="1">
      <c r="R1300" t="s" s="40">
        <v>369</v>
      </c>
      <c r="S1300" s="150">
        <v>38.97</v>
      </c>
    </row>
    <row r="1301" ht="12.9" customHeight="1">
      <c r="R1301" t="s" s="40">
        <v>84</v>
      </c>
      <c r="S1301" s="150">
        <v>30</v>
      </c>
    </row>
    <row r="1302" ht="12.9" customHeight="1">
      <c r="R1302" t="s" s="40">
        <v>146</v>
      </c>
      <c r="S1302" s="150">
        <v>29.985</v>
      </c>
    </row>
    <row r="1303" ht="12.9" customHeight="1">
      <c r="R1303" t="s" s="40">
        <v>1731</v>
      </c>
      <c r="S1303" s="150">
        <v>24.99</v>
      </c>
    </row>
    <row r="1304" ht="12.9" customHeight="1">
      <c r="R1304" t="s" s="40">
        <v>412</v>
      </c>
      <c r="S1304" s="150">
        <v>9.949999999999999</v>
      </c>
    </row>
    <row r="1305" ht="12.9" customHeight="1">
      <c r="R1305" t="s" s="40">
        <v>3685</v>
      </c>
      <c r="S1305" s="149">
        <v>0</v>
      </c>
    </row>
    <row r="1306" ht="12.9" customHeight="1">
      <c r="R1306" t="s" s="40">
        <v>2711</v>
      </c>
      <c r="S1306" s="149">
        <v>0</v>
      </c>
    </row>
    <row r="1307" ht="12.9" customHeight="1">
      <c r="R1307" t="s" s="40">
        <v>762</v>
      </c>
      <c r="S1307" s="149">
        <v>0</v>
      </c>
    </row>
    <row r="1308" ht="12.9" customHeight="1">
      <c r="R1308" t="s" s="40">
        <v>2125</v>
      </c>
      <c r="S1308" s="149">
        <v>0</v>
      </c>
    </row>
    <row r="1309" ht="12.9" customHeight="1">
      <c r="R1309" t="s" s="40">
        <v>2672</v>
      </c>
      <c r="S1309" s="149">
        <v>0</v>
      </c>
    </row>
    <row r="1310" ht="12.9" customHeight="1">
      <c r="R1310" t="s" s="40">
        <v>1236</v>
      </c>
      <c r="S1310" s="149">
        <v>0</v>
      </c>
    </row>
    <row r="1311" ht="12.9" customHeight="1">
      <c r="R1311" t="s" s="40">
        <v>2512</v>
      </c>
      <c r="S1311" s="149">
        <v>0</v>
      </c>
    </row>
    <row r="1312" ht="12.9" customHeight="1">
      <c r="R1312" t="s" s="40">
        <v>254</v>
      </c>
      <c r="S1312" s="149">
        <v>0</v>
      </c>
    </row>
    <row r="1313" ht="12.9" customHeight="1">
      <c r="R1313" t="s" s="40">
        <v>409</v>
      </c>
      <c r="S1313" s="149">
        <v>0</v>
      </c>
    </row>
    <row r="1314" ht="12.9" customHeight="1">
      <c r="R1314" t="s" s="40">
        <v>4685</v>
      </c>
      <c r="S1314" s="149">
        <v>0</v>
      </c>
    </row>
    <row r="1315" ht="12.9" customHeight="1">
      <c r="R1315" t="s" s="40">
        <v>2425</v>
      </c>
      <c r="S1315" s="149">
        <v>0</v>
      </c>
    </row>
    <row r="1316" ht="12.9" customHeight="1">
      <c r="R1316" t="s" s="40">
        <v>3063</v>
      </c>
      <c r="S1316" s="149">
        <v>0</v>
      </c>
    </row>
    <row r="1317" ht="12.9" customHeight="1">
      <c r="R1317" t="s" s="40">
        <v>207</v>
      </c>
      <c r="S1317" s="149">
        <v>0</v>
      </c>
    </row>
    <row r="1318" ht="12.9" customHeight="1">
      <c r="R1318" t="s" s="40">
        <v>1030</v>
      </c>
      <c r="S1318" s="149">
        <v>0</v>
      </c>
    </row>
    <row r="1319" ht="12.9" customHeight="1">
      <c r="R1319" t="s" s="40">
        <v>559</v>
      </c>
      <c r="S1319" s="149">
        <v>0</v>
      </c>
    </row>
    <row r="1320" ht="12.9" customHeight="1">
      <c r="R1320" t="s" s="40">
        <v>52</v>
      </c>
      <c r="S1320" s="149">
        <v>0</v>
      </c>
    </row>
    <row r="1321" ht="12.9" customHeight="1">
      <c r="R1321" t="s" s="40">
        <v>1007</v>
      </c>
      <c r="S1321" s="149">
        <v>0</v>
      </c>
    </row>
    <row r="1322" ht="12.9" customHeight="1">
      <c r="R1322" t="s" s="40">
        <v>1892</v>
      </c>
      <c r="S1322" s="149">
        <v>0</v>
      </c>
    </row>
    <row r="1323" ht="12.9" customHeight="1">
      <c r="R1323" t="s" s="40">
        <v>5568</v>
      </c>
      <c r="S1323" s="149">
        <v>0</v>
      </c>
    </row>
    <row r="1324" ht="12.9" customHeight="1">
      <c r="R1324" t="s" s="40">
        <v>1187</v>
      </c>
      <c r="S1324" s="149">
        <v>0</v>
      </c>
    </row>
    <row r="1325" ht="12.9" customHeight="1">
      <c r="R1325" t="s" s="40">
        <v>1891</v>
      </c>
      <c r="S1325" s="149">
        <v>0</v>
      </c>
    </row>
    <row r="1326" ht="12.9" customHeight="1">
      <c r="R1326" t="s" s="40">
        <v>1186</v>
      </c>
      <c r="S1326" s="149">
        <v>0</v>
      </c>
    </row>
    <row r="1327" ht="12.9" customHeight="1">
      <c r="R1327" t="s" s="40">
        <v>442</v>
      </c>
      <c r="S1327" s="150">
        <v>-309.9575</v>
      </c>
    </row>
    <row r="1328" ht="13.1" customHeight="1">
      <c r="R1328" t="s" s="42">
        <v>5459</v>
      </c>
      <c r="S1328" s="324">
        <v>-6000</v>
      </c>
    </row>
    <row r="1329" ht="13.1" customHeight="1">
      <c r="R1329" t="s" s="44">
        <v>620</v>
      </c>
      <c r="S1329" s="50">
        <v>167284.058</v>
      </c>
    </row>
  </sheetData>
  <mergeCells count="4">
    <mergeCell ref="A1:H1"/>
    <mergeCell ref="I375:O375"/>
    <mergeCell ref="P1139:Q1139"/>
    <mergeCell ref="R1235:S1235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3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05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56" customWidth="1"/>
    <col min="6" max="6" width="12.4062" style="356" customWidth="1"/>
    <col min="7" max="8" width="16.3516" style="356" customWidth="1"/>
    <col min="9" max="9" width="33.3359" style="357" customWidth="1"/>
    <col min="10" max="15" width="13.3516" style="357" customWidth="1"/>
    <col min="16" max="16" width="35.7266" style="358" customWidth="1"/>
    <col min="17" max="17" width="13.3516" style="358" customWidth="1"/>
    <col min="18" max="18" width="34.6719" style="359" customWidth="1"/>
    <col min="19" max="19" width="13.3516" style="359" customWidth="1"/>
    <col min="20" max="16384" width="16.3516" style="359" customWidth="1"/>
  </cols>
  <sheetData>
    <row r="1" ht="15.55" customHeight="1">
      <c r="A1" t="s" s="2">
        <v>5600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5601</v>
      </c>
      <c r="B3" t="s" s="5">
        <v>5489</v>
      </c>
      <c r="C3" s="6">
        <v>45046.915397604163</v>
      </c>
      <c r="D3" t="s" s="7">
        <v>81</v>
      </c>
      <c r="E3" t="s" s="7">
        <v>82</v>
      </c>
      <c r="F3" s="8">
        <v>1</v>
      </c>
      <c r="G3" s="9">
        <v>849.99</v>
      </c>
      <c r="H3" s="9">
        <v>849.99</v>
      </c>
    </row>
    <row r="4" ht="12.9" customHeight="1">
      <c r="A4" t="s" s="10">
        <v>5601</v>
      </c>
      <c r="B4" t="s" s="11">
        <v>5489</v>
      </c>
      <c r="C4" s="12">
        <v>45046.915397604163</v>
      </c>
      <c r="D4" t="s" s="13">
        <v>602</v>
      </c>
      <c r="E4" t="s" s="13">
        <v>828</v>
      </c>
      <c r="F4" s="14">
        <v>1</v>
      </c>
      <c r="G4" s="15">
        <v>175</v>
      </c>
      <c r="H4" s="15">
        <v>175</v>
      </c>
    </row>
    <row r="5" ht="12.9" customHeight="1">
      <c r="A5" t="s" s="10">
        <v>5601</v>
      </c>
      <c r="B5" t="s" s="11">
        <v>5489</v>
      </c>
      <c r="C5" s="12">
        <v>45046.915397604163</v>
      </c>
      <c r="D5" t="s" s="13">
        <v>227</v>
      </c>
      <c r="E5" t="s" s="13">
        <v>228</v>
      </c>
      <c r="F5" s="14">
        <v>2</v>
      </c>
      <c r="G5" s="15">
        <v>29.99</v>
      </c>
      <c r="H5" s="15">
        <v>59.98</v>
      </c>
    </row>
    <row r="6" ht="12.9" customHeight="1">
      <c r="A6" t="s" s="10">
        <v>5601</v>
      </c>
      <c r="B6" t="s" s="11">
        <v>5489</v>
      </c>
      <c r="C6" s="12">
        <v>45046.915397604163</v>
      </c>
      <c r="D6" t="s" s="13">
        <v>50</v>
      </c>
      <c r="E6" t="s" s="13">
        <v>83</v>
      </c>
      <c r="F6" s="14">
        <v>1</v>
      </c>
      <c r="G6" s="15">
        <v>0</v>
      </c>
      <c r="H6" s="15">
        <v>0</v>
      </c>
    </row>
    <row r="7" ht="12.9" customHeight="1">
      <c r="A7" t="s" s="10">
        <v>5601</v>
      </c>
      <c r="B7" t="s" s="11">
        <v>5489</v>
      </c>
      <c r="C7" s="12">
        <v>45046.915397604163</v>
      </c>
      <c r="D7" t="s" s="13">
        <v>84</v>
      </c>
      <c r="E7" t="s" s="13">
        <v>4225</v>
      </c>
      <c r="F7" s="14">
        <v>1</v>
      </c>
      <c r="G7" s="15">
        <v>0</v>
      </c>
      <c r="H7" s="15">
        <v>0</v>
      </c>
    </row>
    <row r="8" ht="12.9" customHeight="1">
      <c r="A8" t="s" s="10">
        <v>5602</v>
      </c>
      <c r="B8" t="s" s="11">
        <v>5603</v>
      </c>
      <c r="C8" s="12">
        <v>45045.541836388889</v>
      </c>
      <c r="D8" t="s" s="13">
        <v>89</v>
      </c>
      <c r="E8" t="s" s="13">
        <v>90</v>
      </c>
      <c r="F8" s="14">
        <v>1</v>
      </c>
      <c r="G8" s="15">
        <v>59.99</v>
      </c>
      <c r="H8" s="15">
        <v>59.99</v>
      </c>
    </row>
    <row r="9" ht="12.9" customHeight="1">
      <c r="A9" t="s" s="10">
        <v>5604</v>
      </c>
      <c r="B9" t="s" s="11">
        <v>5605</v>
      </c>
      <c r="C9" s="12">
        <v>45045.203180208337</v>
      </c>
      <c r="D9" t="s" s="13">
        <v>35</v>
      </c>
      <c r="E9" t="s" s="13">
        <v>36</v>
      </c>
      <c r="F9" s="14">
        <v>1</v>
      </c>
      <c r="G9" s="15">
        <v>49.99</v>
      </c>
      <c r="H9" s="15">
        <v>49.99</v>
      </c>
    </row>
    <row r="10" ht="12.9" customHeight="1">
      <c r="A10" t="s" s="10">
        <v>5606</v>
      </c>
      <c r="B10" t="s" s="11">
        <v>2115</v>
      </c>
      <c r="C10" s="12">
        <v>45045.024920162039</v>
      </c>
      <c r="D10" t="s" s="13">
        <v>54</v>
      </c>
      <c r="E10" t="s" s="13">
        <v>93</v>
      </c>
      <c r="F10" s="14">
        <v>2</v>
      </c>
      <c r="G10" s="15">
        <v>9.99</v>
      </c>
      <c r="H10" s="15">
        <v>19.98</v>
      </c>
    </row>
    <row r="11" ht="12.9" customHeight="1">
      <c r="A11" t="s" s="10">
        <v>5607</v>
      </c>
      <c r="B11" t="s" s="11">
        <v>4679</v>
      </c>
      <c r="C11" s="12">
        <v>45044.9104712037</v>
      </c>
      <c r="D11" t="s" s="13">
        <v>589</v>
      </c>
      <c r="E11" t="s" s="13">
        <v>590</v>
      </c>
      <c r="F11" s="14">
        <v>1</v>
      </c>
      <c r="G11" s="15">
        <v>7.49</v>
      </c>
      <c r="H11" s="15">
        <v>7.49</v>
      </c>
    </row>
    <row r="12" ht="12.9" customHeight="1">
      <c r="A12" t="s" s="10">
        <v>5607</v>
      </c>
      <c r="B12" t="s" s="11">
        <v>4679</v>
      </c>
      <c r="C12" s="12">
        <v>45044.9104712037</v>
      </c>
      <c r="D12" t="s" s="13">
        <v>412</v>
      </c>
      <c r="E12" t="s" s="13">
        <v>413</v>
      </c>
      <c r="F12" s="14">
        <v>6</v>
      </c>
      <c r="G12" s="15">
        <v>1.99</v>
      </c>
      <c r="H12" s="15">
        <v>11.94</v>
      </c>
    </row>
    <row r="13" ht="12.9" customHeight="1">
      <c r="A13" t="s" s="10">
        <v>5607</v>
      </c>
      <c r="B13" t="s" s="11">
        <v>4679</v>
      </c>
      <c r="C13" s="12">
        <v>45044.9104712037</v>
      </c>
      <c r="D13" t="s" s="13">
        <v>54</v>
      </c>
      <c r="E13" t="s" s="13">
        <v>93</v>
      </c>
      <c r="F13" s="14">
        <v>1</v>
      </c>
      <c r="G13" s="15">
        <v>9.99</v>
      </c>
      <c r="H13" s="15">
        <v>9.99</v>
      </c>
    </row>
    <row r="14" ht="12.9" customHeight="1">
      <c r="A14" t="s" s="10">
        <v>5607</v>
      </c>
      <c r="B14" t="s" s="11">
        <v>4679</v>
      </c>
      <c r="C14" s="12">
        <v>45044.9104712037</v>
      </c>
      <c r="D14" t="s" s="13">
        <v>15</v>
      </c>
      <c r="E14" t="s" s="13">
        <v>4757</v>
      </c>
      <c r="F14" s="14">
        <v>10</v>
      </c>
      <c r="G14" s="15">
        <v>8.49</v>
      </c>
      <c r="H14" s="15">
        <v>84.90000000000001</v>
      </c>
    </row>
    <row r="15" ht="12.9" customHeight="1">
      <c r="A15" t="s" s="10">
        <v>5608</v>
      </c>
      <c r="B15" t="s" s="11">
        <v>5609</v>
      </c>
      <c r="C15" s="12">
        <v>45044.890147511571</v>
      </c>
      <c r="D15" t="s" s="13">
        <v>11</v>
      </c>
      <c r="E15" t="s" s="13">
        <v>12</v>
      </c>
      <c r="F15" s="14">
        <v>2</v>
      </c>
      <c r="G15" s="15">
        <v>399.99</v>
      </c>
      <c r="H15" s="15">
        <v>799.98</v>
      </c>
    </row>
    <row r="16" ht="12.9" customHeight="1">
      <c r="A16" t="s" s="10">
        <v>5610</v>
      </c>
      <c r="B16" t="s" s="11">
        <v>1200</v>
      </c>
      <c r="C16" s="12">
        <v>45044</v>
      </c>
      <c r="D16" t="s" s="13">
        <v>227</v>
      </c>
      <c r="E16" t="s" s="13">
        <v>228</v>
      </c>
      <c r="F16" s="14">
        <v>1</v>
      </c>
      <c r="G16" s="15">
        <v>0</v>
      </c>
      <c r="H16" s="15">
        <v>0</v>
      </c>
    </row>
    <row r="17" ht="12.9" customHeight="1">
      <c r="A17" t="s" s="10">
        <v>5611</v>
      </c>
      <c r="B17" t="s" s="11">
        <v>67</v>
      </c>
      <c r="C17" s="12">
        <v>45044</v>
      </c>
      <c r="D17" t="s" s="13">
        <v>171</v>
      </c>
      <c r="E17" t="s" s="13">
        <v>172</v>
      </c>
      <c r="F17" s="14">
        <v>1</v>
      </c>
      <c r="G17" s="15">
        <v>549.99</v>
      </c>
      <c r="H17" s="15">
        <v>549.99</v>
      </c>
    </row>
    <row r="18" ht="12.9" customHeight="1">
      <c r="A18" t="s" s="10">
        <v>5611</v>
      </c>
      <c r="B18" t="s" s="11">
        <v>67</v>
      </c>
      <c r="C18" s="12">
        <v>45044</v>
      </c>
      <c r="D18" t="s" s="13">
        <v>35</v>
      </c>
      <c r="E18" t="s" s="13">
        <v>36</v>
      </c>
      <c r="F18" s="14">
        <v>1</v>
      </c>
      <c r="G18" s="15">
        <v>49.99</v>
      </c>
      <c r="H18" s="15">
        <v>49.99</v>
      </c>
    </row>
    <row r="19" ht="12.9" customHeight="1">
      <c r="A19" t="s" s="10">
        <v>5611</v>
      </c>
      <c r="B19" t="s" s="11">
        <v>67</v>
      </c>
      <c r="C19" s="12">
        <v>45044</v>
      </c>
      <c r="D19" t="s" s="13">
        <v>442</v>
      </c>
      <c r="E19" s="16"/>
      <c r="F19" s="14">
        <v>1</v>
      </c>
      <c r="G19" s="15">
        <v>-119.996</v>
      </c>
      <c r="H19" s="15">
        <v>-119.996</v>
      </c>
    </row>
    <row r="20" ht="12.9" customHeight="1">
      <c r="A20" t="s" s="10">
        <v>5612</v>
      </c>
      <c r="B20" t="s" s="11">
        <v>69</v>
      </c>
      <c r="C20" s="12">
        <v>45044</v>
      </c>
      <c r="D20" t="s" s="13">
        <v>412</v>
      </c>
      <c r="E20" t="s" s="13">
        <v>413</v>
      </c>
      <c r="F20" s="14">
        <v>25</v>
      </c>
      <c r="G20" s="15">
        <v>0</v>
      </c>
      <c r="H20" s="15">
        <v>0</v>
      </c>
    </row>
    <row r="21" ht="12.9" customHeight="1">
      <c r="A21" t="s" s="10">
        <v>5613</v>
      </c>
      <c r="B21" t="s" s="11">
        <v>5614</v>
      </c>
      <c r="C21" s="12">
        <v>45043.890403634257</v>
      </c>
      <c r="D21" t="s" s="13">
        <v>1695</v>
      </c>
      <c r="E21" t="s" s="13">
        <v>140</v>
      </c>
      <c r="F21" s="14">
        <v>1</v>
      </c>
      <c r="G21" s="15">
        <v>49.99</v>
      </c>
      <c r="H21" s="15">
        <v>49.99</v>
      </c>
    </row>
    <row r="22" ht="12.9" customHeight="1">
      <c r="A22" t="s" s="10">
        <v>5613</v>
      </c>
      <c r="B22" t="s" s="11">
        <v>5614</v>
      </c>
      <c r="C22" s="12">
        <v>45043.890403634257</v>
      </c>
      <c r="D22" t="s" s="13">
        <v>15</v>
      </c>
      <c r="E22" t="s" s="13">
        <v>4757</v>
      </c>
      <c r="F22" s="14">
        <v>1</v>
      </c>
      <c r="G22" s="15">
        <v>8.99</v>
      </c>
      <c r="H22" s="15">
        <v>8.99</v>
      </c>
    </row>
    <row r="23" ht="12.9" customHeight="1">
      <c r="A23" t="s" s="10">
        <v>5613</v>
      </c>
      <c r="B23" t="s" s="11">
        <v>5614</v>
      </c>
      <c r="C23" s="12">
        <v>45043.890403634257</v>
      </c>
      <c r="D23" t="s" s="13">
        <v>15</v>
      </c>
      <c r="E23" t="s" s="13">
        <v>4757</v>
      </c>
      <c r="F23" s="14">
        <v>1</v>
      </c>
      <c r="G23" s="15">
        <v>8.99</v>
      </c>
      <c r="H23" s="15">
        <v>8.99</v>
      </c>
    </row>
    <row r="24" ht="12.9" customHeight="1">
      <c r="A24" t="s" s="10">
        <v>5615</v>
      </c>
      <c r="B24" t="s" s="11">
        <v>5616</v>
      </c>
      <c r="C24" s="12">
        <v>45043.743719884260</v>
      </c>
      <c r="D24" t="s" s="13">
        <v>89</v>
      </c>
      <c r="E24" t="s" s="13">
        <v>90</v>
      </c>
      <c r="F24" s="14">
        <v>1</v>
      </c>
      <c r="G24" s="15">
        <v>59.99</v>
      </c>
      <c r="H24" s="15">
        <v>59.99</v>
      </c>
    </row>
    <row r="25" ht="12.9" customHeight="1">
      <c r="A25" t="s" s="10">
        <v>5617</v>
      </c>
      <c r="B25" t="s" s="11">
        <v>2854</v>
      </c>
      <c r="C25" s="12">
        <v>45043.702938263887</v>
      </c>
      <c r="D25" t="s" s="13">
        <v>19</v>
      </c>
      <c r="E25" t="s" s="13">
        <v>20</v>
      </c>
      <c r="F25" s="14">
        <v>4</v>
      </c>
      <c r="G25" s="15">
        <v>119.99</v>
      </c>
      <c r="H25" s="15">
        <v>479.96</v>
      </c>
    </row>
    <row r="26" ht="12.9" customHeight="1">
      <c r="A26" t="s" s="10">
        <v>5617</v>
      </c>
      <c r="B26" t="s" s="11">
        <v>2854</v>
      </c>
      <c r="C26" s="12">
        <v>45043.702938263887</v>
      </c>
      <c r="D26" t="s" s="13">
        <v>15</v>
      </c>
      <c r="E26" t="s" s="13">
        <v>4757</v>
      </c>
      <c r="F26" s="14">
        <v>4</v>
      </c>
      <c r="G26" s="15">
        <v>8.99</v>
      </c>
      <c r="H26" s="15">
        <v>35.96</v>
      </c>
    </row>
    <row r="27" ht="12.9" customHeight="1">
      <c r="A27" t="s" s="10">
        <v>5618</v>
      </c>
      <c r="B27" t="s" s="11">
        <v>5619</v>
      </c>
      <c r="C27" s="12">
        <v>45043.127114861112</v>
      </c>
      <c r="D27" t="s" s="13">
        <v>133</v>
      </c>
      <c r="E27" t="s" s="13">
        <v>4835</v>
      </c>
      <c r="F27" s="14">
        <v>1</v>
      </c>
      <c r="G27" s="15">
        <v>199.99</v>
      </c>
      <c r="H27" s="15">
        <v>199.99</v>
      </c>
    </row>
    <row r="28" ht="12.9" customHeight="1">
      <c r="A28" t="s" s="10">
        <v>5618</v>
      </c>
      <c r="B28" t="s" s="11">
        <v>5619</v>
      </c>
      <c r="C28" s="12">
        <v>45043.127114861112</v>
      </c>
      <c r="D28" t="s" s="13">
        <v>19</v>
      </c>
      <c r="E28" t="s" s="13">
        <v>20</v>
      </c>
      <c r="F28" s="14">
        <v>1</v>
      </c>
      <c r="G28" s="15">
        <v>119.99</v>
      </c>
      <c r="H28" s="15">
        <v>119.99</v>
      </c>
    </row>
    <row r="29" ht="12.9" customHeight="1">
      <c r="A29" t="s" s="10">
        <v>5618</v>
      </c>
      <c r="B29" t="s" s="11">
        <v>5619</v>
      </c>
      <c r="C29" s="12">
        <v>45043.127114861112</v>
      </c>
      <c r="D29" t="s" s="13">
        <v>15</v>
      </c>
      <c r="E29" t="s" s="13">
        <v>4757</v>
      </c>
      <c r="F29" s="14">
        <v>1</v>
      </c>
      <c r="G29" s="15">
        <v>8.99</v>
      </c>
      <c r="H29" s="15">
        <v>8.99</v>
      </c>
    </row>
    <row r="30" ht="12.9" customHeight="1">
      <c r="A30" t="s" s="10">
        <v>5618</v>
      </c>
      <c r="B30" t="s" s="11">
        <v>5619</v>
      </c>
      <c r="C30" s="12">
        <v>45043.127114861112</v>
      </c>
      <c r="D30" t="s" s="13">
        <v>54</v>
      </c>
      <c r="E30" t="s" s="13">
        <v>93</v>
      </c>
      <c r="F30" s="14">
        <v>1</v>
      </c>
      <c r="G30" s="15">
        <v>9.99</v>
      </c>
      <c r="H30" s="15">
        <v>9.99</v>
      </c>
    </row>
    <row r="31" ht="12.9" customHeight="1">
      <c r="A31" t="s" s="10">
        <v>5620</v>
      </c>
      <c r="B31" t="s" s="11">
        <v>5621</v>
      </c>
      <c r="C31" s="12">
        <v>45042.853334120373</v>
      </c>
      <c r="D31" t="s" s="13">
        <v>95</v>
      </c>
      <c r="E31" t="s" s="13">
        <v>12</v>
      </c>
      <c r="F31" s="14">
        <v>1</v>
      </c>
      <c r="G31" s="15">
        <v>349.99</v>
      </c>
      <c r="H31" s="15">
        <v>349.99</v>
      </c>
    </row>
    <row r="32" ht="12.9" customHeight="1">
      <c r="A32" t="s" s="10">
        <v>5622</v>
      </c>
      <c r="B32" t="s" s="11">
        <v>5623</v>
      </c>
      <c r="C32" s="12">
        <v>45042.746073761577</v>
      </c>
      <c r="D32" t="s" s="13">
        <v>722</v>
      </c>
      <c r="E32" t="s" s="13">
        <v>82</v>
      </c>
      <c r="F32" s="14">
        <v>12</v>
      </c>
      <c r="G32" s="15">
        <v>869.99</v>
      </c>
      <c r="H32" s="15">
        <v>10439.88</v>
      </c>
    </row>
    <row r="33" ht="12.9" customHeight="1">
      <c r="A33" t="s" s="10">
        <v>5622</v>
      </c>
      <c r="B33" t="s" s="11">
        <v>5623</v>
      </c>
      <c r="C33" s="12">
        <v>45042.746073761577</v>
      </c>
      <c r="D33" t="s" s="13">
        <v>133</v>
      </c>
      <c r="E33" t="s" s="13">
        <v>4835</v>
      </c>
      <c r="F33" s="14">
        <v>12</v>
      </c>
      <c r="G33" s="15">
        <v>50</v>
      </c>
      <c r="H33" s="15">
        <v>600</v>
      </c>
    </row>
    <row r="34" ht="12.9" customHeight="1">
      <c r="A34" t="s" s="10">
        <v>5622</v>
      </c>
      <c r="B34" t="s" s="11">
        <v>5623</v>
      </c>
      <c r="C34" s="12">
        <v>45042.746073761577</v>
      </c>
      <c r="D34" t="s" s="13">
        <v>50</v>
      </c>
      <c r="E34" t="s" s="13">
        <v>83</v>
      </c>
      <c r="F34" s="14">
        <v>12</v>
      </c>
      <c r="G34" s="15">
        <v>0</v>
      </c>
      <c r="H34" s="15">
        <v>0</v>
      </c>
    </row>
    <row r="35" ht="12.9" customHeight="1">
      <c r="A35" t="s" s="10">
        <v>5622</v>
      </c>
      <c r="B35" t="s" s="11">
        <v>5623</v>
      </c>
      <c r="C35" s="12">
        <v>45042.746073761577</v>
      </c>
      <c r="D35" t="s" s="13">
        <v>84</v>
      </c>
      <c r="E35" t="s" s="13">
        <v>4225</v>
      </c>
      <c r="F35" s="14">
        <v>12</v>
      </c>
      <c r="G35" s="15">
        <v>0</v>
      </c>
      <c r="H35" s="15">
        <v>0</v>
      </c>
    </row>
    <row r="36" ht="12.9" customHeight="1">
      <c r="A36" t="s" s="10">
        <v>5622</v>
      </c>
      <c r="B36" t="s" s="11">
        <v>5623</v>
      </c>
      <c r="C36" s="12">
        <v>45042.746073761577</v>
      </c>
      <c r="D36" t="s" s="13">
        <v>59</v>
      </c>
      <c r="E36" t="s" s="13">
        <v>60</v>
      </c>
      <c r="F36" s="14">
        <v>1</v>
      </c>
      <c r="G36" s="15">
        <v>1199.99</v>
      </c>
      <c r="H36" s="15">
        <v>1199.99</v>
      </c>
    </row>
    <row r="37" ht="12.9" customHeight="1">
      <c r="A37" t="s" s="10">
        <v>5624</v>
      </c>
      <c r="B37" t="s" s="11">
        <v>2261</v>
      </c>
      <c r="C37" s="12">
        <v>45042.1990690625</v>
      </c>
      <c r="D37" t="s" s="13">
        <v>73</v>
      </c>
      <c r="E37" t="s" s="13">
        <v>74</v>
      </c>
      <c r="F37" s="14">
        <v>1</v>
      </c>
      <c r="G37" s="15">
        <v>399.99</v>
      </c>
      <c r="H37" s="15">
        <v>399.99</v>
      </c>
    </row>
    <row r="38" ht="12.9" customHeight="1">
      <c r="A38" t="s" s="10">
        <v>5624</v>
      </c>
      <c r="B38" t="s" s="11">
        <v>2261</v>
      </c>
      <c r="C38" s="12">
        <v>45042.1990690625</v>
      </c>
      <c r="D38" t="s" s="13">
        <v>54</v>
      </c>
      <c r="E38" t="s" s="13">
        <v>93</v>
      </c>
      <c r="F38" s="14">
        <v>2</v>
      </c>
      <c r="G38" s="15">
        <v>9.99</v>
      </c>
      <c r="H38" s="15">
        <v>19.98</v>
      </c>
    </row>
    <row r="39" ht="12.9" customHeight="1">
      <c r="A39" t="s" s="10">
        <v>5625</v>
      </c>
      <c r="B39" t="s" s="11">
        <v>2940</v>
      </c>
      <c r="C39" s="12">
        <v>45042</v>
      </c>
      <c r="D39" t="s" s="13">
        <v>11</v>
      </c>
      <c r="E39" t="s" s="13">
        <v>12</v>
      </c>
      <c r="F39" s="14">
        <v>1</v>
      </c>
      <c r="G39" s="15">
        <v>359.991</v>
      </c>
      <c r="H39" s="15">
        <v>359.991</v>
      </c>
    </row>
    <row r="40" ht="12.9" customHeight="1">
      <c r="A40" t="s" s="10">
        <v>5626</v>
      </c>
      <c r="B40" t="s" s="11">
        <v>5627</v>
      </c>
      <c r="C40" s="12">
        <v>45041.992645706021</v>
      </c>
      <c r="D40" t="s" s="13">
        <v>171</v>
      </c>
      <c r="E40" t="s" s="13">
        <v>172</v>
      </c>
      <c r="F40" s="14">
        <v>1</v>
      </c>
      <c r="G40" s="15">
        <v>549.99</v>
      </c>
      <c r="H40" s="15">
        <v>549.99</v>
      </c>
    </row>
    <row r="41" ht="12.9" customHeight="1">
      <c r="A41" t="s" s="10">
        <v>5628</v>
      </c>
      <c r="B41" t="s" s="11">
        <v>473</v>
      </c>
      <c r="C41" s="12">
        <v>45041</v>
      </c>
      <c r="D41" t="s" s="13">
        <v>359</v>
      </c>
      <c r="E41" t="s" s="13">
        <v>4897</v>
      </c>
      <c r="F41" s="14">
        <v>16</v>
      </c>
      <c r="G41" s="15">
        <v>22.4925</v>
      </c>
      <c r="H41" s="15">
        <v>359.88</v>
      </c>
    </row>
    <row r="42" ht="12.9" customHeight="1">
      <c r="A42" t="s" s="10">
        <v>5628</v>
      </c>
      <c r="B42" t="s" s="11">
        <v>473</v>
      </c>
      <c r="C42" s="12">
        <v>45041</v>
      </c>
      <c r="D42" t="s" s="13">
        <v>77</v>
      </c>
      <c r="E42" t="s" s="13">
        <v>5629</v>
      </c>
      <c r="F42" s="14">
        <v>16</v>
      </c>
      <c r="G42" s="15">
        <v>18.7425</v>
      </c>
      <c r="H42" s="15">
        <v>299.88</v>
      </c>
    </row>
    <row r="43" ht="12.9" customHeight="1">
      <c r="A43" t="s" s="10">
        <v>5628</v>
      </c>
      <c r="B43" t="s" s="11">
        <v>473</v>
      </c>
      <c r="C43" s="12">
        <v>45041</v>
      </c>
      <c r="D43" t="s" s="13">
        <v>47</v>
      </c>
      <c r="E43" s="16"/>
      <c r="F43" s="14">
        <v>1</v>
      </c>
      <c r="G43" s="15">
        <v>15</v>
      </c>
      <c r="H43" s="15">
        <v>15</v>
      </c>
    </row>
    <row r="44" ht="12.9" customHeight="1">
      <c r="A44" t="s" s="10">
        <v>5630</v>
      </c>
      <c r="B44" t="s" s="11">
        <v>391</v>
      </c>
      <c r="C44" s="12">
        <v>45041</v>
      </c>
      <c r="D44" t="s" s="13">
        <v>225</v>
      </c>
      <c r="E44" t="s" s="13">
        <v>5631</v>
      </c>
      <c r="F44" s="14">
        <v>4</v>
      </c>
      <c r="G44" s="15">
        <v>374.9925</v>
      </c>
      <c r="H44" s="15">
        <v>1499.97</v>
      </c>
    </row>
    <row r="45" ht="12.9" customHeight="1">
      <c r="A45" t="s" s="10">
        <v>5630</v>
      </c>
      <c r="B45" t="s" s="11">
        <v>391</v>
      </c>
      <c r="C45" s="12">
        <v>45041</v>
      </c>
      <c r="D45" t="s" s="13">
        <v>50</v>
      </c>
      <c r="E45" t="s" s="13">
        <v>83</v>
      </c>
      <c r="F45" s="14">
        <v>4</v>
      </c>
      <c r="G45" s="15">
        <v>19.4935</v>
      </c>
      <c r="H45" s="15">
        <v>77.974</v>
      </c>
    </row>
    <row r="46" ht="12.9" customHeight="1">
      <c r="A46" t="s" s="10">
        <v>5630</v>
      </c>
      <c r="B46" t="s" s="11">
        <v>391</v>
      </c>
      <c r="C46" s="12">
        <v>45041</v>
      </c>
      <c r="D46" t="s" s="13">
        <v>165</v>
      </c>
      <c r="E46" t="s" s="13">
        <v>392</v>
      </c>
      <c r="F46" s="14">
        <v>4</v>
      </c>
      <c r="G46" s="15">
        <v>0</v>
      </c>
      <c r="H46" s="15">
        <v>0</v>
      </c>
    </row>
    <row r="47" ht="12.9" customHeight="1">
      <c r="A47" t="s" s="10">
        <v>5630</v>
      </c>
      <c r="B47" t="s" s="11">
        <v>391</v>
      </c>
      <c r="C47" s="12">
        <v>45041</v>
      </c>
      <c r="D47" t="s" s="13">
        <v>59</v>
      </c>
      <c r="E47" t="s" s="13">
        <v>60</v>
      </c>
      <c r="F47" s="14">
        <v>1</v>
      </c>
      <c r="G47" s="15">
        <v>899.9924999999999</v>
      </c>
      <c r="H47" s="15">
        <v>899.9924999999999</v>
      </c>
    </row>
    <row r="48" ht="12.9" customHeight="1">
      <c r="A48" t="s" s="10">
        <v>5630</v>
      </c>
      <c r="B48" t="s" s="11">
        <v>391</v>
      </c>
      <c r="C48" s="12">
        <v>45041</v>
      </c>
      <c r="D48" t="s" s="13">
        <v>63</v>
      </c>
      <c r="E48" s="16"/>
      <c r="F48" s="14">
        <v>1</v>
      </c>
      <c r="G48" s="15">
        <v>40</v>
      </c>
      <c r="H48" s="15">
        <v>40</v>
      </c>
    </row>
    <row r="49" ht="12.9" customHeight="1">
      <c r="A49" t="s" s="10">
        <v>5632</v>
      </c>
      <c r="B49" t="s" s="11">
        <v>5633</v>
      </c>
      <c r="C49" s="12">
        <v>45040.896003807873</v>
      </c>
      <c r="D49" t="s" s="13">
        <v>359</v>
      </c>
      <c r="E49" t="s" s="13">
        <v>4199</v>
      </c>
      <c r="F49" s="14">
        <v>4</v>
      </c>
      <c r="G49" s="15">
        <v>29.99</v>
      </c>
      <c r="H49" s="15">
        <v>119.96</v>
      </c>
    </row>
    <row r="50" ht="12.9" customHeight="1">
      <c r="A50" t="s" s="10">
        <v>5634</v>
      </c>
      <c r="B50" t="s" s="11">
        <v>4525</v>
      </c>
      <c r="C50" s="12">
        <v>45040.835597245372</v>
      </c>
      <c r="D50" t="s" s="13">
        <v>11</v>
      </c>
      <c r="E50" t="s" s="13">
        <v>12</v>
      </c>
      <c r="F50" s="14">
        <v>1</v>
      </c>
      <c r="G50" s="15">
        <v>399.99</v>
      </c>
      <c r="H50" s="15">
        <v>399.99</v>
      </c>
    </row>
    <row r="51" ht="12.9" customHeight="1">
      <c r="A51" t="s" s="10">
        <v>5635</v>
      </c>
      <c r="B51" t="s" s="11">
        <v>5636</v>
      </c>
      <c r="C51" s="12">
        <v>45040.751229317131</v>
      </c>
      <c r="D51" t="s" s="13">
        <v>35</v>
      </c>
      <c r="E51" t="s" s="13">
        <v>36</v>
      </c>
      <c r="F51" s="14">
        <v>1</v>
      </c>
      <c r="G51" s="15">
        <v>49.99</v>
      </c>
      <c r="H51" s="15">
        <v>49.99</v>
      </c>
    </row>
    <row r="52" ht="12.9" customHeight="1">
      <c r="A52" t="s" s="10">
        <v>5637</v>
      </c>
      <c r="B52" t="s" s="11">
        <v>4437</v>
      </c>
      <c r="C52" s="12">
        <v>45040.655566284724</v>
      </c>
      <c r="D52" t="s" s="13">
        <v>95</v>
      </c>
      <c r="E52" t="s" s="13">
        <v>12</v>
      </c>
      <c r="F52" s="14">
        <v>1</v>
      </c>
      <c r="G52" s="15">
        <v>324.99</v>
      </c>
      <c r="H52" s="15">
        <v>324.99</v>
      </c>
    </row>
    <row r="53" ht="12.9" customHeight="1">
      <c r="A53" t="s" s="10">
        <v>5638</v>
      </c>
      <c r="B53" t="s" s="11">
        <v>5639</v>
      </c>
      <c r="C53" s="12">
        <v>45040.310675497683</v>
      </c>
      <c r="D53" t="s" s="13">
        <v>1695</v>
      </c>
      <c r="E53" t="s" s="13">
        <v>140</v>
      </c>
      <c r="F53" s="14">
        <v>1</v>
      </c>
      <c r="G53" s="15">
        <v>49.99</v>
      </c>
      <c r="H53" s="15">
        <v>49.99</v>
      </c>
    </row>
    <row r="54" ht="12.9" customHeight="1">
      <c r="A54" t="s" s="10">
        <v>5638</v>
      </c>
      <c r="B54" t="s" s="11">
        <v>5639</v>
      </c>
      <c r="C54" s="12">
        <v>45040.310675497683</v>
      </c>
      <c r="D54" t="s" s="13">
        <v>15</v>
      </c>
      <c r="E54" t="s" s="13">
        <v>4757</v>
      </c>
      <c r="F54" s="14">
        <v>1</v>
      </c>
      <c r="G54" s="15">
        <v>8.99</v>
      </c>
      <c r="H54" s="15">
        <v>8.99</v>
      </c>
    </row>
    <row r="55" ht="12.9" customHeight="1">
      <c r="A55" t="s" s="10">
        <v>5638</v>
      </c>
      <c r="B55" t="s" s="11">
        <v>5639</v>
      </c>
      <c r="C55" s="12">
        <v>45040.310675497683</v>
      </c>
      <c r="D55" t="s" s="13">
        <v>52</v>
      </c>
      <c r="E55" t="s" s="13">
        <v>4287</v>
      </c>
      <c r="F55" s="14">
        <v>2</v>
      </c>
      <c r="G55" s="15">
        <v>19.99</v>
      </c>
      <c r="H55" s="15">
        <v>39.98</v>
      </c>
    </row>
    <row r="56" ht="12.9" customHeight="1">
      <c r="A56" t="s" s="10">
        <v>5640</v>
      </c>
      <c r="B56" t="s" s="11">
        <v>5641</v>
      </c>
      <c r="C56" s="12">
        <v>45040</v>
      </c>
      <c r="D56" t="s" s="13">
        <v>59</v>
      </c>
      <c r="E56" t="s" s="13">
        <v>60</v>
      </c>
      <c r="F56" s="14">
        <v>1</v>
      </c>
      <c r="G56" s="15">
        <v>899.9924999999999</v>
      </c>
      <c r="H56" s="15">
        <v>899.9924999999999</v>
      </c>
    </row>
    <row r="57" ht="12.9" customHeight="1">
      <c r="A57" t="s" s="10">
        <v>5640</v>
      </c>
      <c r="B57" t="s" s="11">
        <v>5641</v>
      </c>
      <c r="C57" s="12">
        <v>45040</v>
      </c>
      <c r="D57" t="s" s="13">
        <v>63</v>
      </c>
      <c r="E57" s="16"/>
      <c r="F57" s="14">
        <v>1</v>
      </c>
      <c r="G57" s="15">
        <v>25</v>
      </c>
      <c r="H57" s="15">
        <v>25</v>
      </c>
    </row>
    <row r="58" ht="12.9" customHeight="1">
      <c r="A58" t="s" s="10">
        <v>5642</v>
      </c>
      <c r="B58" t="s" s="11">
        <v>5643</v>
      </c>
      <c r="C58" s="12">
        <v>45039.675778148150</v>
      </c>
      <c r="D58" t="s" s="13">
        <v>50</v>
      </c>
      <c r="E58" t="s" s="13">
        <v>83</v>
      </c>
      <c r="F58" s="14">
        <v>1</v>
      </c>
      <c r="G58" s="15">
        <v>29.99</v>
      </c>
      <c r="H58" s="15">
        <v>29.99</v>
      </c>
    </row>
    <row r="59" ht="12.9" customHeight="1">
      <c r="A59" t="s" s="10">
        <v>5644</v>
      </c>
      <c r="B59" t="s" s="11">
        <v>5645</v>
      </c>
      <c r="C59" s="12">
        <v>45039.203250543978</v>
      </c>
      <c r="D59" t="s" s="13">
        <v>35</v>
      </c>
      <c r="E59" t="s" s="13">
        <v>36</v>
      </c>
      <c r="F59" s="14">
        <v>1</v>
      </c>
      <c r="G59" s="15">
        <v>49.99</v>
      </c>
      <c r="H59" s="15">
        <v>49.99</v>
      </c>
    </row>
    <row r="60" ht="12.9" customHeight="1">
      <c r="A60" t="s" s="10">
        <v>5646</v>
      </c>
      <c r="B60" t="s" s="11">
        <v>5647</v>
      </c>
      <c r="C60" s="12">
        <v>45038.802531770831</v>
      </c>
      <c r="D60" t="s" s="13">
        <v>35</v>
      </c>
      <c r="E60" t="s" s="13">
        <v>36</v>
      </c>
      <c r="F60" s="14">
        <v>2</v>
      </c>
      <c r="G60" s="15">
        <v>49.99</v>
      </c>
      <c r="H60" s="15">
        <v>99.98</v>
      </c>
    </row>
    <row r="61" ht="12.9" customHeight="1">
      <c r="A61" t="s" s="10">
        <v>5648</v>
      </c>
      <c r="B61" t="s" s="11">
        <v>3383</v>
      </c>
      <c r="C61" s="12">
        <v>45038.750964004626</v>
      </c>
      <c r="D61" t="s" s="13">
        <v>19</v>
      </c>
      <c r="E61" t="s" s="13">
        <v>20</v>
      </c>
      <c r="F61" s="14">
        <v>1</v>
      </c>
      <c r="G61" s="15">
        <v>119.99</v>
      </c>
      <c r="H61" s="15">
        <v>119.99</v>
      </c>
    </row>
    <row r="62" ht="12.9" customHeight="1">
      <c r="A62" t="s" s="10">
        <v>5648</v>
      </c>
      <c r="B62" t="s" s="11">
        <v>3383</v>
      </c>
      <c r="C62" s="12">
        <v>45038.750964004626</v>
      </c>
      <c r="D62" t="s" s="13">
        <v>15</v>
      </c>
      <c r="E62" t="s" s="13">
        <v>4757</v>
      </c>
      <c r="F62" s="14">
        <v>1</v>
      </c>
      <c r="G62" s="15">
        <v>8.99</v>
      </c>
      <c r="H62" s="15">
        <v>8.99</v>
      </c>
    </row>
    <row r="63" ht="12.9" customHeight="1">
      <c r="A63" t="s" s="10">
        <v>5649</v>
      </c>
      <c r="B63" t="s" s="11">
        <v>5650</v>
      </c>
      <c r="C63" s="12">
        <v>45038.577200254629</v>
      </c>
      <c r="D63" t="s" s="13">
        <v>59</v>
      </c>
      <c r="E63" t="s" s="13">
        <v>60</v>
      </c>
      <c r="F63" s="14">
        <v>1</v>
      </c>
      <c r="G63" s="15">
        <v>1199.99</v>
      </c>
      <c r="H63" s="15">
        <v>1199.99</v>
      </c>
    </row>
    <row r="64" ht="12.9" customHeight="1">
      <c r="A64" t="s" s="10">
        <v>5651</v>
      </c>
      <c r="B64" t="s" s="11">
        <v>523</v>
      </c>
      <c r="C64" s="12">
        <v>45037.870449930553</v>
      </c>
      <c r="D64" t="s" s="13">
        <v>31</v>
      </c>
      <c r="E64" t="s" s="13">
        <v>32</v>
      </c>
      <c r="F64" s="14">
        <v>2</v>
      </c>
      <c r="G64" s="15">
        <v>599.99</v>
      </c>
      <c r="H64" s="15">
        <v>1199.98</v>
      </c>
    </row>
    <row r="65" ht="12.9" customHeight="1">
      <c r="A65" t="s" s="10">
        <v>5652</v>
      </c>
      <c r="B65" t="s" s="11">
        <v>5653</v>
      </c>
      <c r="C65" s="12">
        <v>45037.787936319444</v>
      </c>
      <c r="D65" t="s" s="13">
        <v>95</v>
      </c>
      <c r="E65" t="s" s="13">
        <v>12</v>
      </c>
      <c r="F65" s="14">
        <v>1</v>
      </c>
      <c r="G65" s="15">
        <v>349.99</v>
      </c>
      <c r="H65" s="15">
        <v>349.99</v>
      </c>
    </row>
    <row r="66" ht="12.9" customHeight="1">
      <c r="A66" t="s" s="10">
        <v>5654</v>
      </c>
      <c r="B66" t="s" s="11">
        <v>5655</v>
      </c>
      <c r="C66" s="12">
        <v>45037.773199537034</v>
      </c>
      <c r="D66" t="s" s="13">
        <v>35</v>
      </c>
      <c r="E66" t="s" s="13">
        <v>36</v>
      </c>
      <c r="F66" s="14">
        <v>1</v>
      </c>
      <c r="G66" s="15">
        <v>49.99</v>
      </c>
      <c r="H66" s="15">
        <v>49.99</v>
      </c>
    </row>
    <row r="67" ht="12.9" customHeight="1">
      <c r="A67" t="s" s="10">
        <v>5654</v>
      </c>
      <c r="B67" t="s" s="11">
        <v>5655</v>
      </c>
      <c r="C67" s="12">
        <v>45037.773199537034</v>
      </c>
      <c r="D67" t="s" s="13">
        <v>171</v>
      </c>
      <c r="E67" t="s" s="13">
        <v>172</v>
      </c>
      <c r="F67" s="14">
        <v>1</v>
      </c>
      <c r="G67" s="15">
        <v>549.99</v>
      </c>
      <c r="H67" s="15">
        <v>549.99</v>
      </c>
    </row>
    <row r="68" ht="12.9" customHeight="1">
      <c r="A68" t="s" s="10">
        <v>5656</v>
      </c>
      <c r="B68" t="s" s="11">
        <v>5657</v>
      </c>
      <c r="C68" s="12">
        <v>45037.764227754633</v>
      </c>
      <c r="D68" t="s" s="13">
        <v>171</v>
      </c>
      <c r="E68" t="s" s="13">
        <v>172</v>
      </c>
      <c r="F68" s="14">
        <v>2</v>
      </c>
      <c r="G68" s="15">
        <v>549.99</v>
      </c>
      <c r="H68" s="15">
        <v>1099.98</v>
      </c>
    </row>
    <row r="69" ht="12.9" customHeight="1">
      <c r="A69" t="s" s="10">
        <v>5658</v>
      </c>
      <c r="B69" t="s" s="11">
        <v>5659</v>
      </c>
      <c r="C69" s="12">
        <v>45037.679530289352</v>
      </c>
      <c r="D69" t="s" s="13">
        <v>95</v>
      </c>
      <c r="E69" t="s" s="13">
        <v>12</v>
      </c>
      <c r="F69" s="14">
        <v>1</v>
      </c>
      <c r="G69" s="15">
        <v>349.99</v>
      </c>
      <c r="H69" s="15">
        <v>349.99</v>
      </c>
    </row>
    <row r="70" ht="12.9" customHeight="1">
      <c r="A70" t="s" s="10">
        <v>5660</v>
      </c>
      <c r="B70" t="s" s="11">
        <v>5661</v>
      </c>
      <c r="C70" s="12">
        <v>45037.261115787034</v>
      </c>
      <c r="D70" t="s" s="13">
        <v>31</v>
      </c>
      <c r="E70" t="s" s="13">
        <v>32</v>
      </c>
      <c r="F70" s="14">
        <v>1</v>
      </c>
      <c r="G70" s="15">
        <v>599.99</v>
      </c>
      <c r="H70" s="15">
        <v>599.99</v>
      </c>
    </row>
    <row r="71" ht="12.9" customHeight="1">
      <c r="A71" t="s" s="10">
        <v>5660</v>
      </c>
      <c r="B71" t="s" s="11">
        <v>5661</v>
      </c>
      <c r="C71" s="12">
        <v>45037.261115787034</v>
      </c>
      <c r="D71" t="s" s="13">
        <v>35</v>
      </c>
      <c r="E71" t="s" s="13">
        <v>36</v>
      </c>
      <c r="F71" s="14">
        <v>2</v>
      </c>
      <c r="G71" s="15">
        <v>49.99</v>
      </c>
      <c r="H71" s="15">
        <v>99.98</v>
      </c>
    </row>
    <row r="72" ht="12.9" customHeight="1">
      <c r="A72" t="s" s="10">
        <v>5662</v>
      </c>
      <c r="B72" t="s" s="11">
        <v>5663</v>
      </c>
      <c r="C72" s="12">
        <v>45037.027249444443</v>
      </c>
      <c r="D72" t="s" s="13">
        <v>95</v>
      </c>
      <c r="E72" t="s" s="13">
        <v>12</v>
      </c>
      <c r="F72" s="14">
        <v>1</v>
      </c>
      <c r="G72" s="15">
        <v>349.99</v>
      </c>
      <c r="H72" s="15">
        <v>349.99</v>
      </c>
    </row>
    <row r="73" ht="12.9" customHeight="1">
      <c r="A73" t="s" s="10">
        <v>5664</v>
      </c>
      <c r="B73" t="s" s="11">
        <v>5665</v>
      </c>
      <c r="C73" s="12">
        <v>45036.868032465274</v>
      </c>
      <c r="D73" t="s" s="13">
        <v>35</v>
      </c>
      <c r="E73" t="s" s="13">
        <v>36</v>
      </c>
      <c r="F73" s="14">
        <v>2</v>
      </c>
      <c r="G73" s="15">
        <v>49.99</v>
      </c>
      <c r="H73" s="15">
        <v>99.98</v>
      </c>
    </row>
    <row r="74" ht="12.9" customHeight="1">
      <c r="A74" t="s" s="10">
        <v>5664</v>
      </c>
      <c r="B74" t="s" s="11">
        <v>5665</v>
      </c>
      <c r="C74" s="12">
        <v>45036.868032465274</v>
      </c>
      <c r="D74" t="s" s="13">
        <v>15</v>
      </c>
      <c r="E74" t="s" s="13">
        <v>4757</v>
      </c>
      <c r="F74" s="14">
        <v>1</v>
      </c>
      <c r="G74" s="15">
        <v>8.99</v>
      </c>
      <c r="H74" s="15">
        <v>8.99</v>
      </c>
    </row>
    <row r="75" ht="12.9" customHeight="1">
      <c r="A75" t="s" s="10">
        <v>5664</v>
      </c>
      <c r="B75" t="s" s="11">
        <v>5665</v>
      </c>
      <c r="C75" s="12">
        <v>45036.868032465274</v>
      </c>
      <c r="D75" t="s" s="13">
        <v>412</v>
      </c>
      <c r="E75" t="s" s="13">
        <v>413</v>
      </c>
      <c r="F75" s="14">
        <v>2</v>
      </c>
      <c r="G75" s="15">
        <v>1.99</v>
      </c>
      <c r="H75" s="15">
        <v>3.98</v>
      </c>
    </row>
    <row r="76" ht="12.9" customHeight="1">
      <c r="A76" t="s" s="10">
        <v>5666</v>
      </c>
      <c r="B76" t="s" s="11">
        <v>5667</v>
      </c>
      <c r="C76" s="12">
        <v>45036.060437754626</v>
      </c>
      <c r="D76" t="s" s="13">
        <v>11</v>
      </c>
      <c r="E76" t="s" s="13">
        <v>12</v>
      </c>
      <c r="F76" s="14">
        <v>1</v>
      </c>
      <c r="G76" s="15">
        <v>399.99</v>
      </c>
      <c r="H76" s="15">
        <v>399.99</v>
      </c>
    </row>
    <row r="77" ht="12.9" customHeight="1">
      <c r="A77" t="s" s="10">
        <v>5668</v>
      </c>
      <c r="B77" t="s" s="11">
        <v>5667</v>
      </c>
      <c r="C77" s="12">
        <v>45036.060437754626</v>
      </c>
      <c r="D77" t="s" s="13">
        <v>11</v>
      </c>
      <c r="E77" t="s" s="13">
        <v>5669</v>
      </c>
      <c r="F77" s="14">
        <v>1</v>
      </c>
      <c r="G77" s="15">
        <v>0</v>
      </c>
      <c r="H77" s="15">
        <v>0</v>
      </c>
    </row>
    <row r="78" ht="12.9" customHeight="1">
      <c r="A78" t="s" s="10">
        <v>5670</v>
      </c>
      <c r="B78" t="s" s="11">
        <v>1649</v>
      </c>
      <c r="C78" s="12">
        <v>45035.931956608794</v>
      </c>
      <c r="D78" t="s" s="13">
        <v>19</v>
      </c>
      <c r="E78" t="s" s="13">
        <v>20</v>
      </c>
      <c r="F78" s="14">
        <v>6</v>
      </c>
      <c r="G78" s="15">
        <v>89.99250000000001</v>
      </c>
      <c r="H78" s="15">
        <v>539.955</v>
      </c>
    </row>
    <row r="79" ht="12.9" customHeight="1">
      <c r="A79" t="s" s="10">
        <v>5670</v>
      </c>
      <c r="B79" t="s" s="11">
        <v>1649</v>
      </c>
      <c r="C79" s="12">
        <v>45035.931956608794</v>
      </c>
      <c r="D79" t="s" s="13">
        <v>15</v>
      </c>
      <c r="E79" t="s" s="13">
        <v>4757</v>
      </c>
      <c r="F79" s="14">
        <v>6</v>
      </c>
      <c r="G79" s="15">
        <v>6.7425</v>
      </c>
      <c r="H79" s="15">
        <v>40.455</v>
      </c>
    </row>
    <row r="80" ht="12.9" customHeight="1">
      <c r="A80" t="s" s="10">
        <v>5670</v>
      </c>
      <c r="B80" t="s" s="11">
        <v>1649</v>
      </c>
      <c r="C80" s="12">
        <v>45035.931956608794</v>
      </c>
      <c r="D80" t="s" s="13">
        <v>589</v>
      </c>
      <c r="E80" t="s" s="13">
        <v>590</v>
      </c>
      <c r="F80" s="14">
        <v>1</v>
      </c>
      <c r="G80" s="15">
        <v>5.6175</v>
      </c>
      <c r="H80" s="15">
        <v>5.6175</v>
      </c>
    </row>
    <row r="81" ht="12.9" customHeight="1">
      <c r="A81" t="s" s="10">
        <v>5670</v>
      </c>
      <c r="B81" t="s" s="11">
        <v>1649</v>
      </c>
      <c r="C81" s="12">
        <v>45035.931956608794</v>
      </c>
      <c r="D81" t="s" s="13">
        <v>15</v>
      </c>
      <c r="E81" t="s" s="13">
        <v>4757</v>
      </c>
      <c r="F81" s="14">
        <v>3</v>
      </c>
      <c r="G81" s="15">
        <v>6.7425</v>
      </c>
      <c r="H81" s="15">
        <v>20.2275</v>
      </c>
    </row>
    <row r="82" ht="12.9" customHeight="1">
      <c r="A82" t="s" s="10">
        <v>5671</v>
      </c>
      <c r="B82" t="s" s="11">
        <v>5672</v>
      </c>
      <c r="C82" s="12">
        <v>45035.831361400466</v>
      </c>
      <c r="D82" t="s" s="13">
        <v>73</v>
      </c>
      <c r="E82" t="s" s="13">
        <v>74</v>
      </c>
      <c r="F82" s="14">
        <v>1</v>
      </c>
      <c r="G82" s="15">
        <v>399.99</v>
      </c>
      <c r="H82" s="15">
        <v>399.99</v>
      </c>
    </row>
    <row r="83" ht="12.9" customHeight="1">
      <c r="A83" t="s" s="10">
        <v>5673</v>
      </c>
      <c r="B83" t="s" s="11">
        <v>5674</v>
      </c>
      <c r="C83" s="12">
        <v>45035.823787372683</v>
      </c>
      <c r="D83" t="s" s="13">
        <v>133</v>
      </c>
      <c r="E83" t="s" s="13">
        <v>4835</v>
      </c>
      <c r="F83" s="14">
        <v>1</v>
      </c>
      <c r="G83" s="15">
        <v>199.99</v>
      </c>
      <c r="H83" s="15">
        <v>199.99</v>
      </c>
    </row>
    <row r="84" ht="12.9" customHeight="1">
      <c r="A84" t="s" s="10">
        <v>5673</v>
      </c>
      <c r="B84" t="s" s="11">
        <v>5674</v>
      </c>
      <c r="C84" s="12">
        <v>45035.823787372683</v>
      </c>
      <c r="D84" t="s" s="13">
        <v>470</v>
      </c>
      <c r="E84" t="s" s="13">
        <v>828</v>
      </c>
      <c r="F84" s="14">
        <v>1</v>
      </c>
      <c r="G84" s="15">
        <v>249.99</v>
      </c>
      <c r="H84" s="15">
        <v>249.99</v>
      </c>
    </row>
    <row r="85" ht="12.9" customHeight="1">
      <c r="A85" t="s" s="10">
        <v>5675</v>
      </c>
      <c r="B85" t="s" s="11">
        <v>5676</v>
      </c>
      <c r="C85" s="12">
        <v>45035.734070162034</v>
      </c>
      <c r="D85" t="s" s="13">
        <v>31</v>
      </c>
      <c r="E85" t="s" s="13">
        <v>32</v>
      </c>
      <c r="F85" s="14">
        <v>1</v>
      </c>
      <c r="G85" s="15">
        <v>599.99</v>
      </c>
      <c r="H85" s="15">
        <v>599.99</v>
      </c>
    </row>
    <row r="86" ht="12.9" customHeight="1">
      <c r="A86" t="s" s="10">
        <v>5677</v>
      </c>
      <c r="B86" t="s" s="11">
        <v>5650</v>
      </c>
      <c r="C86" s="12">
        <v>45035.622875555557</v>
      </c>
      <c r="D86" t="s" s="13">
        <v>73</v>
      </c>
      <c r="E86" t="s" s="13">
        <v>74</v>
      </c>
      <c r="F86" s="14">
        <v>2</v>
      </c>
      <c r="G86" s="15">
        <v>399.99</v>
      </c>
      <c r="H86" s="15">
        <v>799.98</v>
      </c>
    </row>
    <row r="87" ht="12.9" customHeight="1">
      <c r="A87" t="s" s="10">
        <v>5677</v>
      </c>
      <c r="B87" t="s" s="11">
        <v>5650</v>
      </c>
      <c r="C87" s="12">
        <v>45035.622875555557</v>
      </c>
      <c r="D87" t="s" s="13">
        <v>35</v>
      </c>
      <c r="E87" t="s" s="13">
        <v>36</v>
      </c>
      <c r="F87" s="14">
        <v>2</v>
      </c>
      <c r="G87" s="15">
        <v>49.99</v>
      </c>
      <c r="H87" s="15">
        <v>99.98</v>
      </c>
    </row>
    <row r="88" ht="12.9" customHeight="1">
      <c r="A88" t="s" s="10">
        <v>5677</v>
      </c>
      <c r="B88" t="s" s="11">
        <v>5650</v>
      </c>
      <c r="C88" s="12">
        <v>45035.622875555557</v>
      </c>
      <c r="D88" t="s" s="13">
        <v>89</v>
      </c>
      <c r="E88" t="s" s="13">
        <v>90</v>
      </c>
      <c r="F88" s="14">
        <v>2</v>
      </c>
      <c r="G88" s="15">
        <v>59.99</v>
      </c>
      <c r="H88" s="15">
        <v>119.98</v>
      </c>
    </row>
    <row r="89" ht="12.9" customHeight="1">
      <c r="A89" t="s" s="10">
        <v>5677</v>
      </c>
      <c r="B89" t="s" s="11">
        <v>5650</v>
      </c>
      <c r="C89" s="12">
        <v>45035.622875555557</v>
      </c>
      <c r="D89" t="s" s="13">
        <v>1695</v>
      </c>
      <c r="E89" t="s" s="13">
        <v>140</v>
      </c>
      <c r="F89" s="14">
        <v>2</v>
      </c>
      <c r="G89" s="15">
        <v>49.99</v>
      </c>
      <c r="H89" s="15">
        <v>99.98</v>
      </c>
    </row>
    <row r="90" ht="12.9" customHeight="1">
      <c r="A90" t="s" s="10">
        <v>5677</v>
      </c>
      <c r="B90" t="s" s="11">
        <v>5650</v>
      </c>
      <c r="C90" s="12">
        <v>45035.622875555557</v>
      </c>
      <c r="D90" t="s" s="13">
        <v>15</v>
      </c>
      <c r="E90" t="s" s="13">
        <v>4757</v>
      </c>
      <c r="F90" s="14">
        <v>2</v>
      </c>
      <c r="G90" s="15">
        <v>8.99</v>
      </c>
      <c r="H90" s="15">
        <v>17.98</v>
      </c>
    </row>
    <row r="91" ht="12.9" customHeight="1">
      <c r="A91" t="s" s="10">
        <v>5678</v>
      </c>
      <c r="B91" t="s" s="11">
        <v>3383</v>
      </c>
      <c r="C91" s="12">
        <v>45035.091099675927</v>
      </c>
      <c r="D91" t="s" s="13">
        <v>19</v>
      </c>
      <c r="E91" t="s" s="13">
        <v>20</v>
      </c>
      <c r="F91" s="14">
        <v>1</v>
      </c>
      <c r="G91" s="15">
        <v>119.99</v>
      </c>
      <c r="H91" s="15">
        <v>119.99</v>
      </c>
    </row>
    <row r="92" ht="12.9" customHeight="1">
      <c r="A92" t="s" s="10">
        <v>5678</v>
      </c>
      <c r="B92" t="s" s="11">
        <v>3383</v>
      </c>
      <c r="C92" s="12">
        <v>45035.091099675927</v>
      </c>
      <c r="D92" t="s" s="13">
        <v>15</v>
      </c>
      <c r="E92" t="s" s="13">
        <v>4757</v>
      </c>
      <c r="F92" s="14">
        <v>1</v>
      </c>
      <c r="G92" s="15">
        <v>8.99</v>
      </c>
      <c r="H92" s="15">
        <v>8.99</v>
      </c>
    </row>
    <row r="93" ht="12.9" customHeight="1">
      <c r="A93" t="s" s="10">
        <v>5679</v>
      </c>
      <c r="B93" t="s" s="11">
        <v>5680</v>
      </c>
      <c r="C93" s="12">
        <v>45035.039628796294</v>
      </c>
      <c r="D93" t="s" s="13">
        <v>11</v>
      </c>
      <c r="E93" t="s" s="13">
        <v>12</v>
      </c>
      <c r="F93" s="14">
        <v>1</v>
      </c>
      <c r="G93" s="15">
        <v>399.99</v>
      </c>
      <c r="H93" s="15">
        <v>399.99</v>
      </c>
    </row>
    <row r="94" ht="12.9" customHeight="1">
      <c r="A94" t="s" s="10">
        <v>5681</v>
      </c>
      <c r="B94" t="s" s="11">
        <v>391</v>
      </c>
      <c r="C94" s="12">
        <v>45035</v>
      </c>
      <c r="D94" t="s" s="13">
        <v>2099</v>
      </c>
      <c r="E94" t="s" s="13">
        <v>112</v>
      </c>
      <c r="F94" s="14">
        <v>10</v>
      </c>
      <c r="G94" s="15">
        <v>56.625</v>
      </c>
      <c r="H94" s="15">
        <v>566.25</v>
      </c>
    </row>
    <row r="95" ht="12.9" customHeight="1">
      <c r="A95" t="s" s="10">
        <v>5681</v>
      </c>
      <c r="B95" t="s" s="11">
        <v>391</v>
      </c>
      <c r="C95" s="12">
        <v>45035</v>
      </c>
      <c r="D95" t="s" s="13">
        <v>3513</v>
      </c>
      <c r="E95" t="s" s="13">
        <v>112</v>
      </c>
      <c r="F95" s="14">
        <v>10</v>
      </c>
      <c r="G95" s="15">
        <v>111.375</v>
      </c>
      <c r="H95" s="15">
        <v>1113.75</v>
      </c>
    </row>
    <row r="96" ht="12.9" customHeight="1">
      <c r="A96" t="s" s="10">
        <v>5681</v>
      </c>
      <c r="B96" t="s" s="11">
        <v>391</v>
      </c>
      <c r="C96" s="12">
        <v>45035</v>
      </c>
      <c r="D96" t="s" s="13">
        <v>5418</v>
      </c>
      <c r="E96" t="s" s="13">
        <v>112</v>
      </c>
      <c r="F96" s="14">
        <v>5</v>
      </c>
      <c r="G96" s="15">
        <v>203.8125</v>
      </c>
      <c r="H96" s="15">
        <v>1019.0625</v>
      </c>
    </row>
    <row r="97" ht="12.9" customHeight="1">
      <c r="A97" t="s" s="10">
        <v>5681</v>
      </c>
      <c r="B97" t="s" s="11">
        <v>391</v>
      </c>
      <c r="C97" s="12">
        <v>45035</v>
      </c>
      <c r="D97" t="s" s="13">
        <v>63</v>
      </c>
      <c r="E97" s="16"/>
      <c r="F97" s="14">
        <v>1</v>
      </c>
      <c r="G97" s="15">
        <v>299.92</v>
      </c>
      <c r="H97" s="15">
        <v>299.92</v>
      </c>
    </row>
    <row r="98" ht="12.9" customHeight="1">
      <c r="A98" t="s" s="10">
        <v>5682</v>
      </c>
      <c r="B98" t="s" s="11">
        <v>5683</v>
      </c>
      <c r="C98" s="12">
        <v>45034.761427893522</v>
      </c>
      <c r="D98" t="s" s="13">
        <v>59</v>
      </c>
      <c r="E98" t="s" s="13">
        <v>60</v>
      </c>
      <c r="F98" s="14">
        <v>1</v>
      </c>
      <c r="G98" s="15">
        <v>1199.99</v>
      </c>
      <c r="H98" s="15">
        <v>1199.99</v>
      </c>
    </row>
    <row r="99" ht="12.9" customHeight="1">
      <c r="A99" t="s" s="10">
        <v>5682</v>
      </c>
      <c r="B99" t="s" s="11">
        <v>5683</v>
      </c>
      <c r="C99" s="12">
        <v>45034.761427893522</v>
      </c>
      <c r="D99" t="s" s="13">
        <v>73</v>
      </c>
      <c r="E99" t="s" s="13">
        <v>74</v>
      </c>
      <c r="F99" s="14">
        <v>1</v>
      </c>
      <c r="G99" s="15">
        <v>399.99</v>
      </c>
      <c r="H99" s="15">
        <v>399.99</v>
      </c>
    </row>
    <row r="100" ht="12.9" customHeight="1">
      <c r="A100" t="s" s="10">
        <v>5682</v>
      </c>
      <c r="B100" t="s" s="11">
        <v>5683</v>
      </c>
      <c r="C100" s="12">
        <v>45034.761427893522</v>
      </c>
      <c r="D100" t="s" s="13">
        <v>1695</v>
      </c>
      <c r="E100" t="s" s="13">
        <v>140</v>
      </c>
      <c r="F100" s="14">
        <v>1</v>
      </c>
      <c r="G100" s="15">
        <v>49.99</v>
      </c>
      <c r="H100" s="15">
        <v>49.99</v>
      </c>
    </row>
    <row r="101" ht="12.9" customHeight="1">
      <c r="A101" t="s" s="10">
        <v>5682</v>
      </c>
      <c r="B101" t="s" s="11">
        <v>5683</v>
      </c>
      <c r="C101" s="12">
        <v>45034.761427893522</v>
      </c>
      <c r="D101" t="s" s="13">
        <v>15</v>
      </c>
      <c r="E101" t="s" s="13">
        <v>4757</v>
      </c>
      <c r="F101" s="14">
        <v>1</v>
      </c>
      <c r="G101" s="15">
        <v>8.99</v>
      </c>
      <c r="H101" s="15">
        <v>8.99</v>
      </c>
    </row>
    <row r="102" ht="12.9" customHeight="1">
      <c r="A102" t="s" s="10">
        <v>5682</v>
      </c>
      <c r="B102" t="s" s="11">
        <v>5683</v>
      </c>
      <c r="C102" s="12">
        <v>45034.761427893522</v>
      </c>
      <c r="D102" t="s" s="13">
        <v>179</v>
      </c>
      <c r="E102" t="s" s="13">
        <v>180</v>
      </c>
      <c r="F102" s="14">
        <v>1</v>
      </c>
      <c r="G102" s="15">
        <v>49.99</v>
      </c>
      <c r="H102" s="15">
        <v>49.99</v>
      </c>
    </row>
    <row r="103" ht="12.9" customHeight="1">
      <c r="A103" t="s" s="10">
        <v>5684</v>
      </c>
      <c r="B103" t="s" s="11">
        <v>4732</v>
      </c>
      <c r="C103" s="12">
        <v>45034.372905300923</v>
      </c>
      <c r="D103" t="s" s="13">
        <v>35</v>
      </c>
      <c r="E103" t="s" s="13">
        <v>36</v>
      </c>
      <c r="F103" s="14">
        <v>2</v>
      </c>
      <c r="G103" s="15">
        <v>49.99</v>
      </c>
      <c r="H103" s="15">
        <v>99.98</v>
      </c>
    </row>
    <row r="104" ht="12.9" customHeight="1">
      <c r="A104" t="s" s="10">
        <v>5685</v>
      </c>
      <c r="B104" t="s" s="11">
        <v>5686</v>
      </c>
      <c r="C104" s="12">
        <v>45034</v>
      </c>
      <c r="D104" t="s" s="13">
        <v>48</v>
      </c>
      <c r="E104" t="s" s="13">
        <v>49</v>
      </c>
      <c r="F104" s="14">
        <v>4</v>
      </c>
      <c r="G104" s="15">
        <v>974.9924999999999</v>
      </c>
      <c r="H104" s="15">
        <v>3899.97</v>
      </c>
    </row>
    <row r="105" ht="12.9" customHeight="1">
      <c r="A105" t="s" s="10">
        <v>5685</v>
      </c>
      <c r="B105" t="s" s="11">
        <v>5686</v>
      </c>
      <c r="C105" s="12">
        <v>45034</v>
      </c>
      <c r="D105" t="s" s="13">
        <v>602</v>
      </c>
      <c r="E105" t="s" s="13">
        <v>5687</v>
      </c>
      <c r="F105" s="14">
        <v>2</v>
      </c>
      <c r="G105" s="15">
        <v>131.25</v>
      </c>
      <c r="H105" s="15">
        <v>262.5</v>
      </c>
    </row>
    <row r="106" ht="12.9" customHeight="1">
      <c r="A106" t="s" s="10">
        <v>5685</v>
      </c>
      <c r="B106" t="s" s="11">
        <v>5686</v>
      </c>
      <c r="C106" s="12">
        <v>45034</v>
      </c>
      <c r="D106" t="s" s="13">
        <v>2332</v>
      </c>
      <c r="E106" t="s" s="13">
        <v>5688</v>
      </c>
      <c r="F106" s="14">
        <v>2</v>
      </c>
      <c r="G106" s="15">
        <v>37.5</v>
      </c>
      <c r="H106" s="15">
        <v>75</v>
      </c>
    </row>
    <row r="107" ht="12.9" customHeight="1">
      <c r="A107" t="s" s="10">
        <v>5685</v>
      </c>
      <c r="B107" t="s" s="11">
        <v>5686</v>
      </c>
      <c r="C107" s="12">
        <v>45034</v>
      </c>
      <c r="D107" t="s" s="13">
        <v>2332</v>
      </c>
      <c r="E107" t="s" s="13">
        <v>5689</v>
      </c>
      <c r="F107" s="14">
        <v>1</v>
      </c>
      <c r="G107" s="15">
        <v>149.9925</v>
      </c>
      <c r="H107" s="15">
        <v>149.9925</v>
      </c>
    </row>
    <row r="108" ht="12.9" customHeight="1">
      <c r="A108" t="s" s="10">
        <v>5685</v>
      </c>
      <c r="B108" t="s" s="11">
        <v>5686</v>
      </c>
      <c r="C108" s="12">
        <v>45034</v>
      </c>
      <c r="D108" t="s" s="13">
        <v>59</v>
      </c>
      <c r="E108" t="s" s="13">
        <v>60</v>
      </c>
      <c r="F108" s="14">
        <v>1</v>
      </c>
      <c r="G108" s="15">
        <v>899.9924999999999</v>
      </c>
      <c r="H108" s="15">
        <v>899.9924999999999</v>
      </c>
    </row>
    <row r="109" ht="12.9" customHeight="1">
      <c r="A109" t="s" s="10">
        <v>5685</v>
      </c>
      <c r="B109" t="s" s="11">
        <v>5686</v>
      </c>
      <c r="C109" s="12">
        <v>45034</v>
      </c>
      <c r="D109" t="s" s="13">
        <v>50</v>
      </c>
      <c r="E109" t="s" s="13">
        <v>83</v>
      </c>
      <c r="F109" s="14">
        <v>4</v>
      </c>
      <c r="G109" s="15">
        <v>0</v>
      </c>
      <c r="H109" s="15">
        <v>0</v>
      </c>
    </row>
    <row r="110" ht="12.9" customHeight="1">
      <c r="A110" t="s" s="10">
        <v>5685</v>
      </c>
      <c r="B110" t="s" s="11">
        <v>5686</v>
      </c>
      <c r="C110" s="12">
        <v>45034</v>
      </c>
      <c r="D110" t="s" s="13">
        <v>54</v>
      </c>
      <c r="E110" t="s" s="13">
        <v>93</v>
      </c>
      <c r="F110" s="14">
        <v>4</v>
      </c>
      <c r="G110" s="15">
        <v>0</v>
      </c>
      <c r="H110" s="15">
        <v>0</v>
      </c>
    </row>
    <row r="111" ht="12.9" customHeight="1">
      <c r="A111" t="s" s="10">
        <v>5685</v>
      </c>
      <c r="B111" t="s" s="11">
        <v>5686</v>
      </c>
      <c r="C111" s="12">
        <v>45034</v>
      </c>
      <c r="D111" t="s" s="13">
        <v>15</v>
      </c>
      <c r="E111" t="s" s="13">
        <v>5690</v>
      </c>
      <c r="F111" s="14">
        <v>4</v>
      </c>
      <c r="G111" s="15">
        <v>0</v>
      </c>
      <c r="H111" s="15">
        <v>0</v>
      </c>
    </row>
    <row r="112" ht="12.9" customHeight="1">
      <c r="A112" t="s" s="10">
        <v>5685</v>
      </c>
      <c r="B112" t="s" s="11">
        <v>5686</v>
      </c>
      <c r="C112" s="12">
        <v>45034</v>
      </c>
      <c r="D112" t="s" s="13">
        <v>47</v>
      </c>
      <c r="E112" s="16"/>
      <c r="F112" s="14">
        <v>1</v>
      </c>
      <c r="G112" s="15">
        <v>100</v>
      </c>
      <c r="H112" s="15">
        <v>100</v>
      </c>
    </row>
    <row r="113" ht="12.9" customHeight="1">
      <c r="A113" t="s" s="10">
        <v>5691</v>
      </c>
      <c r="B113" t="s" s="11">
        <v>161</v>
      </c>
      <c r="C113" s="12">
        <v>45034</v>
      </c>
      <c r="D113" t="s" s="13">
        <v>1232</v>
      </c>
      <c r="E113" t="s" s="13">
        <v>5578</v>
      </c>
      <c r="F113" s="14">
        <v>12</v>
      </c>
      <c r="G113" s="15">
        <v>0</v>
      </c>
      <c r="H113" s="15">
        <v>0</v>
      </c>
    </row>
    <row r="114" ht="12.9" customHeight="1">
      <c r="A114" t="s" s="10">
        <v>5691</v>
      </c>
      <c r="B114" t="s" s="11">
        <v>161</v>
      </c>
      <c r="C114" s="12">
        <v>45034</v>
      </c>
      <c r="D114" t="s" s="13">
        <v>1233</v>
      </c>
      <c r="E114" t="s" s="13">
        <v>5578</v>
      </c>
      <c r="F114" s="14">
        <v>12</v>
      </c>
      <c r="G114" s="15">
        <v>0</v>
      </c>
      <c r="H114" s="15">
        <v>0</v>
      </c>
    </row>
    <row r="115" ht="12.9" customHeight="1">
      <c r="A115" t="s" s="10">
        <v>5692</v>
      </c>
      <c r="B115" t="s" s="11">
        <v>896</v>
      </c>
      <c r="C115" s="12">
        <v>45034</v>
      </c>
      <c r="D115" t="s" s="13">
        <v>23</v>
      </c>
      <c r="E115" t="s" s="13">
        <v>5693</v>
      </c>
      <c r="F115" s="14">
        <v>4</v>
      </c>
      <c r="G115" s="15">
        <v>112.4925</v>
      </c>
      <c r="H115" s="15">
        <v>449.97</v>
      </c>
    </row>
    <row r="116" ht="12.9" customHeight="1">
      <c r="A116" t="s" s="10">
        <v>5692</v>
      </c>
      <c r="B116" t="s" s="11">
        <v>896</v>
      </c>
      <c r="C116" s="12">
        <v>45034</v>
      </c>
      <c r="D116" t="s" s="13">
        <v>63</v>
      </c>
      <c r="E116" s="16"/>
      <c r="F116" s="14">
        <v>1</v>
      </c>
      <c r="G116" s="15">
        <v>39.25</v>
      </c>
      <c r="H116" s="15">
        <v>39.25</v>
      </c>
    </row>
    <row r="117" ht="12.9" customHeight="1">
      <c r="A117" t="s" s="10">
        <v>5694</v>
      </c>
      <c r="B117" t="s" s="11">
        <v>5695</v>
      </c>
      <c r="C117" s="12">
        <v>45033.938736770833</v>
      </c>
      <c r="D117" t="s" s="13">
        <v>19</v>
      </c>
      <c r="E117" t="s" s="13">
        <v>20</v>
      </c>
      <c r="F117" s="14">
        <v>1</v>
      </c>
      <c r="G117" s="15">
        <v>119.99</v>
      </c>
      <c r="H117" s="15">
        <v>119.99</v>
      </c>
    </row>
    <row r="118" ht="12.9" customHeight="1">
      <c r="A118" t="s" s="10">
        <v>5694</v>
      </c>
      <c r="B118" t="s" s="11">
        <v>5695</v>
      </c>
      <c r="C118" s="12">
        <v>45033.938736770833</v>
      </c>
      <c r="D118" t="s" s="13">
        <v>15</v>
      </c>
      <c r="E118" t="s" s="13">
        <v>4757</v>
      </c>
      <c r="F118" s="14">
        <v>1</v>
      </c>
      <c r="G118" s="15">
        <v>8.99</v>
      </c>
      <c r="H118" s="15">
        <v>8.99</v>
      </c>
    </row>
    <row r="119" ht="12.9" customHeight="1">
      <c r="A119" t="s" s="10">
        <v>5696</v>
      </c>
      <c r="B119" t="s" s="11">
        <v>4039</v>
      </c>
      <c r="C119" s="12">
        <v>45033.911714178241</v>
      </c>
      <c r="D119" t="s" s="13">
        <v>89</v>
      </c>
      <c r="E119" t="s" s="13">
        <v>90</v>
      </c>
      <c r="F119" s="14">
        <v>2</v>
      </c>
      <c r="G119" s="15">
        <v>59.99</v>
      </c>
      <c r="H119" s="15">
        <v>119.98</v>
      </c>
    </row>
    <row r="120" ht="12.9" customHeight="1">
      <c r="A120" t="s" s="10">
        <v>5697</v>
      </c>
      <c r="B120" t="s" s="11">
        <v>5698</v>
      </c>
      <c r="C120" s="12">
        <v>45033.646888888892</v>
      </c>
      <c r="D120" t="s" s="13">
        <v>73</v>
      </c>
      <c r="E120" t="s" s="13">
        <v>74</v>
      </c>
      <c r="F120" s="14">
        <v>1</v>
      </c>
      <c r="G120" s="15">
        <v>399.99</v>
      </c>
      <c r="H120" s="15">
        <v>399.99</v>
      </c>
    </row>
    <row r="121" ht="12.9" customHeight="1">
      <c r="A121" t="s" s="10">
        <v>5699</v>
      </c>
      <c r="B121" t="s" s="11">
        <v>5603</v>
      </c>
      <c r="C121" s="12">
        <v>45033.6006371412</v>
      </c>
      <c r="D121" t="s" s="13">
        <v>11</v>
      </c>
      <c r="E121" t="s" s="13">
        <v>12</v>
      </c>
      <c r="F121" s="14">
        <v>1</v>
      </c>
      <c r="G121" s="15">
        <v>399.99</v>
      </c>
      <c r="H121" s="15">
        <v>399.99</v>
      </c>
    </row>
    <row r="122" ht="12.9" customHeight="1">
      <c r="A122" t="s" s="10">
        <v>5700</v>
      </c>
      <c r="B122" t="s" s="11">
        <v>164</v>
      </c>
      <c r="C122" s="12">
        <v>45033.106459247683</v>
      </c>
      <c r="D122" t="s" s="13">
        <v>95</v>
      </c>
      <c r="E122" t="s" s="13">
        <v>12</v>
      </c>
      <c r="F122" s="14">
        <v>2</v>
      </c>
      <c r="G122" s="15">
        <v>349.99</v>
      </c>
      <c r="H122" s="15">
        <v>699.98</v>
      </c>
    </row>
    <row r="123" ht="12.9" customHeight="1">
      <c r="A123" t="s" s="10">
        <v>5701</v>
      </c>
      <c r="B123" t="s" s="11">
        <v>5702</v>
      </c>
      <c r="C123" s="12">
        <v>45033.0605519213</v>
      </c>
      <c r="D123" t="s" s="13">
        <v>171</v>
      </c>
      <c r="E123" t="s" s="13">
        <v>172</v>
      </c>
      <c r="F123" s="14">
        <v>1</v>
      </c>
      <c r="G123" s="15">
        <v>549.99</v>
      </c>
      <c r="H123" s="15">
        <v>549.99</v>
      </c>
    </row>
    <row r="124" ht="12.9" customHeight="1">
      <c r="A124" t="s" s="10">
        <v>5703</v>
      </c>
      <c r="B124" t="s" s="11">
        <v>704</v>
      </c>
      <c r="C124" s="12">
        <v>45033</v>
      </c>
      <c r="D124" t="s" s="13">
        <v>52</v>
      </c>
      <c r="E124" t="s" s="13">
        <v>4287</v>
      </c>
      <c r="F124" s="14">
        <v>4</v>
      </c>
      <c r="G124" s="15">
        <v>0</v>
      </c>
      <c r="H124" s="15">
        <v>0</v>
      </c>
    </row>
    <row r="125" ht="12.9" customHeight="1">
      <c r="A125" t="s" s="10">
        <v>5704</v>
      </c>
      <c r="B125" t="s" s="11">
        <v>5705</v>
      </c>
      <c r="C125" s="12">
        <v>45033</v>
      </c>
      <c r="D125" t="s" s="13">
        <v>4955</v>
      </c>
      <c r="E125" t="s" s="13">
        <v>1617</v>
      </c>
      <c r="F125" s="14">
        <v>1</v>
      </c>
      <c r="G125" s="15">
        <v>249.99</v>
      </c>
      <c r="H125" s="15">
        <v>249.99</v>
      </c>
    </row>
    <row r="126" ht="12.9" customHeight="1">
      <c r="A126" t="s" s="10">
        <v>5704</v>
      </c>
      <c r="B126" t="s" s="11">
        <v>5705</v>
      </c>
      <c r="C126" s="12">
        <v>45033</v>
      </c>
      <c r="D126" t="s" s="13">
        <v>2009</v>
      </c>
      <c r="E126" t="s" s="13">
        <v>2010</v>
      </c>
      <c r="F126" s="14">
        <v>1</v>
      </c>
      <c r="G126" s="15">
        <v>0</v>
      </c>
      <c r="H126" s="15">
        <v>0</v>
      </c>
    </row>
    <row r="127" ht="12.9" customHeight="1">
      <c r="A127" t="s" s="10">
        <v>5706</v>
      </c>
      <c r="B127" t="s" s="11">
        <v>2115</v>
      </c>
      <c r="C127" s="12">
        <v>45033</v>
      </c>
      <c r="D127" t="s" s="13">
        <v>52</v>
      </c>
      <c r="E127" t="s" s="13">
        <v>4287</v>
      </c>
      <c r="F127" s="14">
        <v>2</v>
      </c>
      <c r="G127" s="15">
        <v>0</v>
      </c>
      <c r="H127" s="15">
        <v>0</v>
      </c>
    </row>
    <row r="128" ht="12.9" customHeight="1">
      <c r="A128" t="s" s="10">
        <v>5707</v>
      </c>
      <c r="B128" t="s" s="11">
        <v>5708</v>
      </c>
      <c r="C128" s="12">
        <v>45033</v>
      </c>
      <c r="D128" t="s" s="13">
        <v>48</v>
      </c>
      <c r="E128" t="s" s="13">
        <v>49</v>
      </c>
      <c r="F128" s="14">
        <v>2</v>
      </c>
      <c r="G128" s="15">
        <v>1149.99</v>
      </c>
      <c r="H128" s="15">
        <v>2299.98</v>
      </c>
    </row>
    <row r="129" ht="12.9" customHeight="1">
      <c r="A129" t="s" s="10">
        <v>5707</v>
      </c>
      <c r="B129" t="s" s="11">
        <v>5708</v>
      </c>
      <c r="C129" s="12">
        <v>45033</v>
      </c>
      <c r="D129" t="s" s="13">
        <v>52</v>
      </c>
      <c r="E129" t="s" s="13">
        <v>4287</v>
      </c>
      <c r="F129" s="14">
        <v>2</v>
      </c>
      <c r="G129" s="15">
        <v>0</v>
      </c>
      <c r="H129" s="15">
        <v>0</v>
      </c>
    </row>
    <row r="130" ht="12.9" customHeight="1">
      <c r="A130" t="s" s="10">
        <v>5707</v>
      </c>
      <c r="B130" t="s" s="11">
        <v>5708</v>
      </c>
      <c r="C130" s="12">
        <v>45033</v>
      </c>
      <c r="D130" t="s" s="13">
        <v>50</v>
      </c>
      <c r="E130" t="s" s="13">
        <v>83</v>
      </c>
      <c r="F130" s="14">
        <v>2</v>
      </c>
      <c r="G130" s="15">
        <v>0</v>
      </c>
      <c r="H130" s="15">
        <v>0</v>
      </c>
    </row>
    <row r="131" ht="12.9" customHeight="1">
      <c r="A131" t="s" s="10">
        <v>5707</v>
      </c>
      <c r="B131" t="s" s="11">
        <v>5708</v>
      </c>
      <c r="C131" s="12">
        <v>45033</v>
      </c>
      <c r="D131" t="s" s="13">
        <v>63</v>
      </c>
      <c r="E131" s="16"/>
      <c r="F131" s="14">
        <v>1</v>
      </c>
      <c r="G131" s="15">
        <v>17</v>
      </c>
      <c r="H131" s="15">
        <v>17</v>
      </c>
    </row>
    <row r="132" ht="12.9" customHeight="1">
      <c r="A132" t="s" s="10">
        <v>5709</v>
      </c>
      <c r="B132" t="s" s="11">
        <v>896</v>
      </c>
      <c r="C132" s="12">
        <v>45033</v>
      </c>
      <c r="D132" t="s" s="13">
        <v>48</v>
      </c>
      <c r="E132" t="s" s="13">
        <v>5710</v>
      </c>
      <c r="F132" s="14">
        <v>18</v>
      </c>
      <c r="G132" s="15">
        <v>900</v>
      </c>
      <c r="H132" s="15">
        <v>16200</v>
      </c>
    </row>
    <row r="133" ht="12.9" customHeight="1">
      <c r="A133" t="s" s="10">
        <v>5709</v>
      </c>
      <c r="B133" t="s" s="11">
        <v>896</v>
      </c>
      <c r="C133" s="12">
        <v>45033</v>
      </c>
      <c r="D133" t="s" s="13">
        <v>50</v>
      </c>
      <c r="E133" t="s" s="13">
        <v>83</v>
      </c>
      <c r="F133" s="14">
        <v>18</v>
      </c>
      <c r="G133" s="15">
        <v>0</v>
      </c>
      <c r="H133" s="15">
        <v>0</v>
      </c>
    </row>
    <row r="134" ht="12.9" customHeight="1">
      <c r="A134" t="s" s="10">
        <v>5709</v>
      </c>
      <c r="B134" t="s" s="11">
        <v>896</v>
      </c>
      <c r="C134" s="12">
        <v>45033</v>
      </c>
      <c r="D134" t="s" s="13">
        <v>63</v>
      </c>
      <c r="E134" s="16"/>
      <c r="F134" s="14">
        <v>1</v>
      </c>
      <c r="G134" s="15">
        <v>291.15</v>
      </c>
      <c r="H134" s="15">
        <v>291.15</v>
      </c>
    </row>
    <row r="135" ht="12.9" customHeight="1">
      <c r="A135" t="s" s="10">
        <v>5711</v>
      </c>
      <c r="B135" t="s" s="11">
        <v>5712</v>
      </c>
      <c r="C135" s="12">
        <v>45033</v>
      </c>
      <c r="D135" t="s" s="13">
        <v>52</v>
      </c>
      <c r="E135" t="s" s="13">
        <v>4287</v>
      </c>
      <c r="F135" s="14">
        <v>4</v>
      </c>
      <c r="G135" s="15">
        <v>0</v>
      </c>
      <c r="H135" s="15">
        <v>0</v>
      </c>
    </row>
    <row r="136" ht="12.9" customHeight="1">
      <c r="A136" t="s" s="10">
        <v>5713</v>
      </c>
      <c r="B136" t="s" s="11">
        <v>5714</v>
      </c>
      <c r="C136" s="12">
        <v>45033</v>
      </c>
      <c r="D136" t="s" s="13">
        <v>52</v>
      </c>
      <c r="E136" t="s" s="13">
        <v>4287</v>
      </c>
      <c r="F136" s="14">
        <v>8</v>
      </c>
      <c r="G136" s="15">
        <v>0</v>
      </c>
      <c r="H136" s="15">
        <v>0</v>
      </c>
    </row>
    <row r="137" ht="12.9" customHeight="1">
      <c r="A137" t="s" s="10">
        <v>5715</v>
      </c>
      <c r="B137" t="s" s="11">
        <v>5716</v>
      </c>
      <c r="C137" s="12">
        <v>45033</v>
      </c>
      <c r="D137" t="s" s="13">
        <v>52</v>
      </c>
      <c r="E137" t="s" s="13">
        <v>4287</v>
      </c>
      <c r="F137" s="14">
        <v>7</v>
      </c>
      <c r="G137" s="15">
        <v>0</v>
      </c>
      <c r="H137" s="15">
        <v>0</v>
      </c>
    </row>
    <row r="138" ht="12.9" customHeight="1">
      <c r="A138" t="s" s="10">
        <v>5717</v>
      </c>
      <c r="B138" t="s" s="11">
        <v>5718</v>
      </c>
      <c r="C138" s="12">
        <v>45032.552319537041</v>
      </c>
      <c r="D138" t="s" s="13">
        <v>19</v>
      </c>
      <c r="E138" t="s" s="13">
        <v>20</v>
      </c>
      <c r="F138" s="14">
        <v>1</v>
      </c>
      <c r="G138" s="15">
        <v>119.99</v>
      </c>
      <c r="H138" s="15">
        <v>119.99</v>
      </c>
    </row>
    <row r="139" ht="12.9" customHeight="1">
      <c r="A139" t="s" s="10">
        <v>5717</v>
      </c>
      <c r="B139" t="s" s="11">
        <v>5718</v>
      </c>
      <c r="C139" s="12">
        <v>45032.552319537041</v>
      </c>
      <c r="D139" t="s" s="13">
        <v>15</v>
      </c>
      <c r="E139" t="s" s="13">
        <v>4757</v>
      </c>
      <c r="F139" s="14">
        <v>1</v>
      </c>
      <c r="G139" s="15">
        <v>8.99</v>
      </c>
      <c r="H139" s="15">
        <v>8.99</v>
      </c>
    </row>
    <row r="140" ht="12.9" customHeight="1">
      <c r="A140" t="s" s="10">
        <v>5717</v>
      </c>
      <c r="B140" t="s" s="11">
        <v>5718</v>
      </c>
      <c r="C140" s="12">
        <v>45032.552319537041</v>
      </c>
      <c r="D140" t="s" s="13">
        <v>35</v>
      </c>
      <c r="E140" t="s" s="13">
        <v>36</v>
      </c>
      <c r="F140" s="14">
        <v>2</v>
      </c>
      <c r="G140" s="15">
        <v>49.99</v>
      </c>
      <c r="H140" s="15">
        <v>99.98</v>
      </c>
    </row>
    <row r="141" ht="12.9" customHeight="1">
      <c r="A141" t="s" s="10">
        <v>5719</v>
      </c>
      <c r="B141" t="s" s="11">
        <v>5720</v>
      </c>
      <c r="C141" s="12">
        <v>45031.926812534723</v>
      </c>
      <c r="D141" t="s" s="13">
        <v>31</v>
      </c>
      <c r="E141" t="s" s="13">
        <v>32</v>
      </c>
      <c r="F141" s="14">
        <v>1</v>
      </c>
      <c r="G141" s="15">
        <v>599.99</v>
      </c>
      <c r="H141" s="15">
        <v>599.99</v>
      </c>
    </row>
    <row r="142" ht="12.9" customHeight="1">
      <c r="A142" t="s" s="10">
        <v>5721</v>
      </c>
      <c r="B142" t="s" s="11">
        <v>5722</v>
      </c>
      <c r="C142" s="12">
        <v>45031.897829664355</v>
      </c>
      <c r="D142" t="s" s="13">
        <v>589</v>
      </c>
      <c r="E142" t="s" s="13">
        <v>590</v>
      </c>
      <c r="F142" s="14">
        <v>2</v>
      </c>
      <c r="G142" s="15">
        <v>7.49</v>
      </c>
      <c r="H142" s="15">
        <v>14.98</v>
      </c>
    </row>
    <row r="143" ht="12.9" customHeight="1">
      <c r="A143" t="s" s="10">
        <v>5723</v>
      </c>
      <c r="B143" t="s" s="11">
        <v>5724</v>
      </c>
      <c r="C143" s="12">
        <v>45031.051547569441</v>
      </c>
      <c r="D143" t="s" s="13">
        <v>1695</v>
      </c>
      <c r="E143" t="s" s="13">
        <v>140</v>
      </c>
      <c r="F143" s="14">
        <v>1</v>
      </c>
      <c r="G143" s="15">
        <v>49.99</v>
      </c>
      <c r="H143" s="15">
        <v>49.99</v>
      </c>
    </row>
    <row r="144" ht="12.9" customHeight="1">
      <c r="A144" t="s" s="10">
        <v>5723</v>
      </c>
      <c r="B144" t="s" s="11">
        <v>5724</v>
      </c>
      <c r="C144" s="12">
        <v>45031.051547569441</v>
      </c>
      <c r="D144" t="s" s="13">
        <v>15</v>
      </c>
      <c r="E144" t="s" s="13">
        <v>4757</v>
      </c>
      <c r="F144" s="14">
        <v>1</v>
      </c>
      <c r="G144" s="15">
        <v>8.99</v>
      </c>
      <c r="H144" s="15">
        <v>8.99</v>
      </c>
    </row>
    <row r="145" ht="12.9" customHeight="1">
      <c r="A145" t="s" s="10">
        <v>5725</v>
      </c>
      <c r="B145" t="s" s="11">
        <v>5590</v>
      </c>
      <c r="C145" s="12">
        <v>45030.858467199076</v>
      </c>
      <c r="D145" t="s" s="13">
        <v>73</v>
      </c>
      <c r="E145" t="s" s="13">
        <v>74</v>
      </c>
      <c r="F145" s="14">
        <v>1</v>
      </c>
      <c r="G145" s="15">
        <v>399.99</v>
      </c>
      <c r="H145" s="15">
        <v>399.99</v>
      </c>
    </row>
    <row r="146" ht="12.9" customHeight="1">
      <c r="A146" t="s" s="10">
        <v>5726</v>
      </c>
      <c r="B146" t="s" s="11">
        <v>985</v>
      </c>
      <c r="C146" s="12">
        <v>45030.748192939813</v>
      </c>
      <c r="D146" t="s" s="13">
        <v>2332</v>
      </c>
      <c r="E146" t="s" s="13">
        <v>828</v>
      </c>
      <c r="F146" s="14">
        <v>2</v>
      </c>
      <c r="G146" s="15">
        <v>199.99</v>
      </c>
      <c r="H146" s="15">
        <v>399.98</v>
      </c>
    </row>
    <row r="147" ht="12.9" customHeight="1">
      <c r="A147" t="s" s="10">
        <v>5726</v>
      </c>
      <c r="B147" t="s" s="11">
        <v>985</v>
      </c>
      <c r="C147" s="12">
        <v>45030.748192939813</v>
      </c>
      <c r="D147" t="s" s="13">
        <v>73</v>
      </c>
      <c r="E147" t="s" s="13">
        <v>74</v>
      </c>
      <c r="F147" s="14">
        <v>1</v>
      </c>
      <c r="G147" s="15">
        <v>399.99</v>
      </c>
      <c r="H147" s="15">
        <v>399.99</v>
      </c>
    </row>
    <row r="148" ht="12.9" customHeight="1">
      <c r="A148" t="s" s="10">
        <v>5727</v>
      </c>
      <c r="B148" t="s" s="11">
        <v>3792</v>
      </c>
      <c r="C148" s="12">
        <v>45030.659952534719</v>
      </c>
      <c r="D148" t="s" s="13">
        <v>225</v>
      </c>
      <c r="E148" t="s" s="13">
        <v>226</v>
      </c>
      <c r="F148" s="14">
        <v>2</v>
      </c>
      <c r="G148" s="15">
        <v>499.99</v>
      </c>
      <c r="H148" s="15">
        <v>999.98</v>
      </c>
    </row>
    <row r="149" ht="12.9" customHeight="1">
      <c r="A149" t="s" s="10">
        <v>5727</v>
      </c>
      <c r="B149" t="s" s="11">
        <v>3792</v>
      </c>
      <c r="C149" s="12">
        <v>45030.659952534719</v>
      </c>
      <c r="D149" t="s" s="13">
        <v>165</v>
      </c>
      <c r="E149" t="s" s="13">
        <v>392</v>
      </c>
      <c r="F149" s="14">
        <v>2</v>
      </c>
      <c r="G149" s="15">
        <v>0</v>
      </c>
      <c r="H149" s="15">
        <v>0</v>
      </c>
    </row>
    <row r="150" ht="12.9" customHeight="1">
      <c r="A150" t="s" s="10">
        <v>5727</v>
      </c>
      <c r="B150" t="s" s="11">
        <v>3792</v>
      </c>
      <c r="C150" s="12">
        <v>45030.659952534719</v>
      </c>
      <c r="D150" t="s" s="13">
        <v>23</v>
      </c>
      <c r="E150" t="s" s="13">
        <v>828</v>
      </c>
      <c r="F150" s="14">
        <v>1</v>
      </c>
      <c r="G150" s="15">
        <v>149.99</v>
      </c>
      <c r="H150" s="15">
        <v>149.99</v>
      </c>
    </row>
    <row r="151" ht="12.9" customHeight="1">
      <c r="A151" t="s" s="10">
        <v>5727</v>
      </c>
      <c r="B151" t="s" s="11">
        <v>3792</v>
      </c>
      <c r="C151" s="12">
        <v>45030.659952534719</v>
      </c>
      <c r="D151" t="s" s="13">
        <v>470</v>
      </c>
      <c r="E151" t="s" s="13">
        <v>828</v>
      </c>
      <c r="F151" s="14">
        <v>1</v>
      </c>
      <c r="G151" s="15">
        <v>249.99</v>
      </c>
      <c r="H151" s="15">
        <v>249.99</v>
      </c>
    </row>
    <row r="152" ht="12.9" customHeight="1">
      <c r="A152" t="s" s="10">
        <v>5727</v>
      </c>
      <c r="B152" t="s" s="11">
        <v>3792</v>
      </c>
      <c r="C152" s="12">
        <v>45030.659952534719</v>
      </c>
      <c r="D152" t="s" s="13">
        <v>123</v>
      </c>
      <c r="E152" t="s" s="13">
        <v>124</v>
      </c>
      <c r="F152" s="14">
        <v>1</v>
      </c>
      <c r="G152" s="15">
        <v>179.99</v>
      </c>
      <c r="H152" s="15">
        <v>179.99</v>
      </c>
    </row>
    <row r="153" ht="12.9" customHeight="1">
      <c r="A153" t="s" s="10">
        <v>5727</v>
      </c>
      <c r="B153" t="s" s="11">
        <v>3792</v>
      </c>
      <c r="C153" s="12">
        <v>45030.659952534719</v>
      </c>
      <c r="D153" t="s" s="13">
        <v>125</v>
      </c>
      <c r="E153" t="s" s="13">
        <v>126</v>
      </c>
      <c r="F153" s="14">
        <v>2</v>
      </c>
      <c r="G153" s="15">
        <v>64.98999999999999</v>
      </c>
      <c r="H153" s="15">
        <v>129.98</v>
      </c>
    </row>
    <row r="154" ht="12.9" customHeight="1">
      <c r="A154" t="s" s="10">
        <v>5727</v>
      </c>
      <c r="B154" t="s" s="11">
        <v>3792</v>
      </c>
      <c r="C154" s="12">
        <v>45030.659952534719</v>
      </c>
      <c r="D154" t="s" s="13">
        <v>299</v>
      </c>
      <c r="E154" t="s" s="13">
        <v>300</v>
      </c>
      <c r="F154" s="14">
        <v>2</v>
      </c>
      <c r="G154" s="15">
        <v>69.98999999999999</v>
      </c>
      <c r="H154" s="15">
        <v>139.98</v>
      </c>
    </row>
    <row r="155" ht="12.9" customHeight="1">
      <c r="A155" t="s" s="10">
        <v>5727</v>
      </c>
      <c r="B155" t="s" s="11">
        <v>3792</v>
      </c>
      <c r="C155" s="12">
        <v>45030.659952534719</v>
      </c>
      <c r="D155" t="s" s="13">
        <v>146</v>
      </c>
      <c r="E155" t="s" s="13">
        <v>147</v>
      </c>
      <c r="F155" s="14">
        <v>1</v>
      </c>
      <c r="G155" s="15">
        <v>19.99</v>
      </c>
      <c r="H155" s="15">
        <v>19.99</v>
      </c>
    </row>
    <row r="156" ht="12.9" customHeight="1">
      <c r="A156" t="s" s="10">
        <v>5727</v>
      </c>
      <c r="B156" t="s" s="11">
        <v>3792</v>
      </c>
      <c r="C156" s="12">
        <v>45030.659952534719</v>
      </c>
      <c r="D156" t="s" s="13">
        <v>73</v>
      </c>
      <c r="E156" t="s" s="13">
        <v>74</v>
      </c>
      <c r="F156" s="14">
        <v>1</v>
      </c>
      <c r="G156" s="15">
        <v>399.99</v>
      </c>
      <c r="H156" s="15">
        <v>399.99</v>
      </c>
    </row>
    <row r="157" ht="12.9" customHeight="1">
      <c r="A157" t="s" s="10">
        <v>5727</v>
      </c>
      <c r="B157" t="s" s="11">
        <v>3792</v>
      </c>
      <c r="C157" s="12">
        <v>45030.659952534719</v>
      </c>
      <c r="D157" t="s" s="13">
        <v>1695</v>
      </c>
      <c r="E157" t="s" s="13">
        <v>140</v>
      </c>
      <c r="F157" s="14">
        <v>1</v>
      </c>
      <c r="G157" s="15">
        <v>49.99</v>
      </c>
      <c r="H157" s="15">
        <v>49.99</v>
      </c>
    </row>
    <row r="158" ht="12.9" customHeight="1">
      <c r="A158" t="s" s="10">
        <v>5727</v>
      </c>
      <c r="B158" t="s" s="11">
        <v>3792</v>
      </c>
      <c r="C158" s="12">
        <v>45030.659952534719</v>
      </c>
      <c r="D158" t="s" s="13">
        <v>15</v>
      </c>
      <c r="E158" t="s" s="13">
        <v>4757</v>
      </c>
      <c r="F158" s="14">
        <v>1</v>
      </c>
      <c r="G158" s="15">
        <v>8.99</v>
      </c>
      <c r="H158" s="15">
        <v>8.99</v>
      </c>
    </row>
    <row r="159" ht="12.9" customHeight="1">
      <c r="A159" t="s" s="10">
        <v>5727</v>
      </c>
      <c r="B159" t="s" s="11">
        <v>3792</v>
      </c>
      <c r="C159" s="12">
        <v>45030.659952534719</v>
      </c>
      <c r="D159" t="s" s="13">
        <v>54</v>
      </c>
      <c r="E159" t="s" s="13">
        <v>93</v>
      </c>
      <c r="F159" s="14">
        <v>4</v>
      </c>
      <c r="G159" s="15">
        <v>9.99</v>
      </c>
      <c r="H159" s="15">
        <v>39.96</v>
      </c>
    </row>
    <row r="160" ht="12.9" customHeight="1">
      <c r="A160" t="s" s="10">
        <v>5728</v>
      </c>
      <c r="B160" t="s" s="11">
        <v>1200</v>
      </c>
      <c r="C160" s="12">
        <v>45030</v>
      </c>
      <c r="D160" t="s" s="13">
        <v>1731</v>
      </c>
      <c r="E160" t="s" s="13">
        <v>4657</v>
      </c>
      <c r="F160" s="14">
        <v>6</v>
      </c>
      <c r="G160" s="15">
        <v>0</v>
      </c>
      <c r="H160" s="15">
        <v>0</v>
      </c>
    </row>
    <row r="161" ht="12.9" customHeight="1">
      <c r="A161" t="s" s="10">
        <v>5728</v>
      </c>
      <c r="B161" t="s" s="11">
        <v>1200</v>
      </c>
      <c r="C161" s="12">
        <v>45030</v>
      </c>
      <c r="D161" t="s" s="13">
        <v>1729</v>
      </c>
      <c r="E161" t="s" s="13">
        <v>4639</v>
      </c>
      <c r="F161" s="14">
        <v>5</v>
      </c>
      <c r="G161" s="15">
        <v>0</v>
      </c>
      <c r="H161" s="15">
        <v>0</v>
      </c>
    </row>
    <row r="162" ht="12.9" customHeight="1">
      <c r="A162" t="s" s="10">
        <v>5728</v>
      </c>
      <c r="B162" t="s" s="11">
        <v>1200</v>
      </c>
      <c r="C162" s="12">
        <v>45030</v>
      </c>
      <c r="D162" t="s" s="13">
        <v>3952</v>
      </c>
      <c r="E162" t="s" s="13">
        <v>3952</v>
      </c>
      <c r="F162" s="14">
        <v>1</v>
      </c>
      <c r="G162" s="15">
        <v>0</v>
      </c>
      <c r="H162" s="15">
        <v>0</v>
      </c>
    </row>
    <row r="163" ht="12.9" customHeight="1">
      <c r="A163" t="s" s="10">
        <v>5728</v>
      </c>
      <c r="B163" t="s" s="11">
        <v>1200</v>
      </c>
      <c r="C163" s="12">
        <v>45030</v>
      </c>
      <c r="D163" t="s" s="13">
        <v>2787</v>
      </c>
      <c r="E163" t="s" s="13">
        <v>2788</v>
      </c>
      <c r="F163" s="14">
        <v>1</v>
      </c>
      <c r="G163" s="15">
        <v>0</v>
      </c>
      <c r="H163" s="15">
        <v>0</v>
      </c>
    </row>
    <row r="164" ht="12.9" customHeight="1">
      <c r="A164" t="s" s="10">
        <v>5728</v>
      </c>
      <c r="B164" t="s" s="11">
        <v>1200</v>
      </c>
      <c r="C164" s="12">
        <v>45030</v>
      </c>
      <c r="D164" t="s" s="13">
        <v>50</v>
      </c>
      <c r="E164" t="s" s="13">
        <v>83</v>
      </c>
      <c r="F164" s="14">
        <v>4</v>
      </c>
      <c r="G164" s="15">
        <v>0</v>
      </c>
      <c r="H164" s="15">
        <v>0</v>
      </c>
    </row>
    <row r="165" ht="12.9" customHeight="1">
      <c r="A165" t="s" s="10">
        <v>5729</v>
      </c>
      <c r="B165" t="s" s="11">
        <v>1110</v>
      </c>
      <c r="C165" s="12">
        <v>45030</v>
      </c>
      <c r="D165" t="s" s="13">
        <v>3078</v>
      </c>
      <c r="E165" t="s" s="13">
        <v>3079</v>
      </c>
      <c r="F165" s="14">
        <v>1</v>
      </c>
      <c r="G165" s="15">
        <v>262.4925</v>
      </c>
      <c r="H165" s="15">
        <v>262.4925</v>
      </c>
    </row>
    <row r="166" ht="12.9" customHeight="1">
      <c r="A166" t="s" s="10">
        <v>5729</v>
      </c>
      <c r="B166" t="s" s="11">
        <v>1110</v>
      </c>
      <c r="C166" s="12">
        <v>45030</v>
      </c>
      <c r="D166" t="s" s="13">
        <v>63</v>
      </c>
      <c r="E166" s="16"/>
      <c r="F166" s="14">
        <v>1</v>
      </c>
      <c r="G166" s="15">
        <v>20</v>
      </c>
      <c r="H166" s="15">
        <v>20</v>
      </c>
    </row>
    <row r="167" ht="12.9" customHeight="1">
      <c r="A167" t="s" s="10">
        <v>5730</v>
      </c>
      <c r="B167" t="s" s="11">
        <v>5731</v>
      </c>
      <c r="C167" s="12">
        <v>45029.896559884262</v>
      </c>
      <c r="D167" t="s" s="13">
        <v>54</v>
      </c>
      <c r="E167" t="s" s="13">
        <v>93</v>
      </c>
      <c r="F167" s="14">
        <v>1</v>
      </c>
      <c r="G167" s="15">
        <v>9.99</v>
      </c>
      <c r="H167" s="15">
        <v>9.99</v>
      </c>
    </row>
    <row r="168" ht="12.9" customHeight="1">
      <c r="A168" t="s" s="10">
        <v>5730</v>
      </c>
      <c r="B168" t="s" s="11">
        <v>5731</v>
      </c>
      <c r="C168" s="12">
        <v>45029.896559884262</v>
      </c>
      <c r="D168" t="s" s="13">
        <v>35</v>
      </c>
      <c r="E168" t="s" s="13">
        <v>36</v>
      </c>
      <c r="F168" s="14">
        <v>1</v>
      </c>
      <c r="G168" s="15">
        <v>49.99</v>
      </c>
      <c r="H168" s="15">
        <v>49.99</v>
      </c>
    </row>
    <row r="169" ht="12.9" customHeight="1">
      <c r="A169" t="s" s="10">
        <v>5732</v>
      </c>
      <c r="B169" t="s" s="11">
        <v>5733</v>
      </c>
      <c r="C169" s="12">
        <v>45029.704319270830</v>
      </c>
      <c r="D169" t="s" s="13">
        <v>95</v>
      </c>
      <c r="E169" t="s" s="13">
        <v>12</v>
      </c>
      <c r="F169" s="14">
        <v>1</v>
      </c>
      <c r="G169" s="15">
        <v>349.99</v>
      </c>
      <c r="H169" s="15">
        <v>349.99</v>
      </c>
    </row>
    <row r="170" ht="12.9" customHeight="1">
      <c r="A170" t="s" s="10">
        <v>5734</v>
      </c>
      <c r="B170" t="s" s="11">
        <v>5735</v>
      </c>
      <c r="C170" s="12">
        <v>45029.572323252316</v>
      </c>
      <c r="D170" t="s" s="13">
        <v>35</v>
      </c>
      <c r="E170" t="s" s="13">
        <v>36</v>
      </c>
      <c r="F170" s="14">
        <v>1</v>
      </c>
      <c r="G170" s="15">
        <v>49.99</v>
      </c>
      <c r="H170" s="15">
        <v>49.99</v>
      </c>
    </row>
    <row r="171" ht="12.9" customHeight="1">
      <c r="A171" t="s" s="10">
        <v>5734</v>
      </c>
      <c r="B171" t="s" s="11">
        <v>5735</v>
      </c>
      <c r="C171" s="12">
        <v>45029.572323252316</v>
      </c>
      <c r="D171" t="s" s="13">
        <v>89</v>
      </c>
      <c r="E171" t="s" s="13">
        <v>90</v>
      </c>
      <c r="F171" s="14">
        <v>1</v>
      </c>
      <c r="G171" s="15">
        <v>59.99</v>
      </c>
      <c r="H171" s="15">
        <v>59.99</v>
      </c>
    </row>
    <row r="172" ht="12.9" customHeight="1">
      <c r="A172" t="s" s="10">
        <v>5736</v>
      </c>
      <c r="B172" t="s" s="11">
        <v>5737</v>
      </c>
      <c r="C172" s="12">
        <v>45029.021694236108</v>
      </c>
      <c r="D172" t="s" s="13">
        <v>1695</v>
      </c>
      <c r="E172" t="s" s="13">
        <v>140</v>
      </c>
      <c r="F172" s="14">
        <v>1</v>
      </c>
      <c r="G172" s="15">
        <v>49.99</v>
      </c>
      <c r="H172" s="15">
        <v>49.99</v>
      </c>
    </row>
    <row r="173" ht="12.9" customHeight="1">
      <c r="A173" t="s" s="10">
        <v>5736</v>
      </c>
      <c r="B173" t="s" s="11">
        <v>5737</v>
      </c>
      <c r="C173" s="12">
        <v>45029.021694236108</v>
      </c>
      <c r="D173" t="s" s="13">
        <v>15</v>
      </c>
      <c r="E173" t="s" s="13">
        <v>4757</v>
      </c>
      <c r="F173" s="14">
        <v>1</v>
      </c>
      <c r="G173" s="15">
        <v>8.99</v>
      </c>
      <c r="H173" s="15">
        <v>8.99</v>
      </c>
    </row>
    <row r="174" ht="12.9" customHeight="1">
      <c r="A174" t="s" s="10">
        <v>5738</v>
      </c>
      <c r="B174" t="s" s="11">
        <v>5716</v>
      </c>
      <c r="C174" s="12">
        <v>45029</v>
      </c>
      <c r="D174" t="s" s="13">
        <v>48</v>
      </c>
      <c r="E174" t="s" s="13">
        <v>49</v>
      </c>
      <c r="F174" s="14">
        <v>7</v>
      </c>
      <c r="G174" s="15">
        <v>974.9924999999999</v>
      </c>
      <c r="H174" s="15">
        <v>6824.9475</v>
      </c>
    </row>
    <row r="175" ht="12.9" customHeight="1">
      <c r="A175" t="s" s="10">
        <v>5738</v>
      </c>
      <c r="B175" t="s" s="11">
        <v>5716</v>
      </c>
      <c r="C175" s="12">
        <v>45029</v>
      </c>
      <c r="D175" t="s" s="13">
        <v>50</v>
      </c>
      <c r="E175" t="s" s="13">
        <v>83</v>
      </c>
      <c r="F175" s="14">
        <v>7</v>
      </c>
      <c r="G175" s="15">
        <v>0</v>
      </c>
      <c r="H175" s="15">
        <v>0</v>
      </c>
    </row>
    <row r="176" ht="12.9" customHeight="1">
      <c r="A176" t="s" s="10">
        <v>5738</v>
      </c>
      <c r="B176" t="s" s="11">
        <v>5716</v>
      </c>
      <c r="C176" s="12">
        <v>45029</v>
      </c>
      <c r="D176" t="s" s="13">
        <v>487</v>
      </c>
      <c r="E176" t="s" s="13">
        <v>5739</v>
      </c>
      <c r="F176" s="14">
        <v>7</v>
      </c>
      <c r="G176" s="15">
        <v>0</v>
      </c>
      <c r="H176" s="15">
        <v>0</v>
      </c>
    </row>
    <row r="177" ht="12.9" customHeight="1">
      <c r="A177" t="s" s="10">
        <v>5738</v>
      </c>
      <c r="B177" t="s" s="11">
        <v>5716</v>
      </c>
      <c r="C177" s="12">
        <v>45029</v>
      </c>
      <c r="D177" t="s" s="13">
        <v>470</v>
      </c>
      <c r="E177" t="s" s="13">
        <v>828</v>
      </c>
      <c r="F177" s="14">
        <v>4</v>
      </c>
      <c r="G177" s="15">
        <v>187.4925</v>
      </c>
      <c r="H177" s="15">
        <v>749.97</v>
      </c>
    </row>
    <row r="178" ht="12.9" customHeight="1">
      <c r="A178" t="s" s="10">
        <v>5738</v>
      </c>
      <c r="B178" t="s" s="11">
        <v>5716</v>
      </c>
      <c r="C178" s="12">
        <v>45029</v>
      </c>
      <c r="D178" t="s" s="13">
        <v>59</v>
      </c>
      <c r="E178" t="s" s="13">
        <v>60</v>
      </c>
      <c r="F178" s="14">
        <v>1</v>
      </c>
      <c r="G178" s="15">
        <v>899.9924999999999</v>
      </c>
      <c r="H178" s="15">
        <v>899.9924999999999</v>
      </c>
    </row>
    <row r="179" ht="12.9" customHeight="1">
      <c r="A179" t="s" s="10">
        <v>5738</v>
      </c>
      <c r="B179" t="s" s="11">
        <v>5716</v>
      </c>
      <c r="C179" s="12">
        <v>45029</v>
      </c>
      <c r="D179" t="s" s="13">
        <v>19</v>
      </c>
      <c r="E179" t="s" s="13">
        <v>20</v>
      </c>
      <c r="F179" s="14">
        <v>20</v>
      </c>
      <c r="G179" s="15">
        <v>89.99250000000001</v>
      </c>
      <c r="H179" s="15">
        <v>1799.85</v>
      </c>
    </row>
    <row r="180" ht="12.9" customHeight="1">
      <c r="A180" t="s" s="10">
        <v>5738</v>
      </c>
      <c r="B180" t="s" s="11">
        <v>5716</v>
      </c>
      <c r="C180" s="12">
        <v>45029</v>
      </c>
      <c r="D180" t="s" s="13">
        <v>487</v>
      </c>
      <c r="E180" t="s" s="13">
        <v>828</v>
      </c>
      <c r="F180" s="14">
        <v>1</v>
      </c>
      <c r="G180" s="15">
        <v>82.49250000000001</v>
      </c>
      <c r="H180" s="15">
        <v>82.49250000000001</v>
      </c>
    </row>
    <row r="181" ht="12.9" customHeight="1">
      <c r="A181" t="s" s="10">
        <v>5738</v>
      </c>
      <c r="B181" t="s" s="11">
        <v>5716</v>
      </c>
      <c r="C181" s="12">
        <v>45029</v>
      </c>
      <c r="D181" t="s" s="13">
        <v>15</v>
      </c>
      <c r="E181" t="s" s="13">
        <v>4757</v>
      </c>
      <c r="F181" s="14">
        <v>27</v>
      </c>
      <c r="G181" s="15">
        <v>0</v>
      </c>
      <c r="H181" s="15">
        <v>0</v>
      </c>
    </row>
    <row r="182" ht="12.9" customHeight="1">
      <c r="A182" t="s" s="10">
        <v>5738</v>
      </c>
      <c r="B182" t="s" s="11">
        <v>5716</v>
      </c>
      <c r="C182" s="12">
        <v>45029</v>
      </c>
      <c r="D182" t="s" s="13">
        <v>54</v>
      </c>
      <c r="E182" t="s" s="13">
        <v>93</v>
      </c>
      <c r="F182" s="14">
        <v>7</v>
      </c>
      <c r="G182" s="15">
        <v>0</v>
      </c>
      <c r="H182" s="15">
        <v>0</v>
      </c>
    </row>
    <row r="183" ht="12.9" customHeight="1">
      <c r="A183" t="s" s="10">
        <v>5740</v>
      </c>
      <c r="B183" t="s" s="11">
        <v>5716</v>
      </c>
      <c r="C183" s="12">
        <v>45029</v>
      </c>
      <c r="D183" t="s" s="13">
        <v>48</v>
      </c>
      <c r="E183" t="s" s="13">
        <v>49</v>
      </c>
      <c r="F183" s="14">
        <v>1</v>
      </c>
      <c r="G183" s="15">
        <v>909.99</v>
      </c>
      <c r="H183" s="15">
        <v>909.99</v>
      </c>
    </row>
    <row r="184" ht="12.9" customHeight="1">
      <c r="A184" t="s" s="10">
        <v>5740</v>
      </c>
      <c r="B184" t="s" s="11">
        <v>5716</v>
      </c>
      <c r="C184" s="12">
        <v>45029</v>
      </c>
      <c r="D184" t="s" s="13">
        <v>50</v>
      </c>
      <c r="E184" t="s" s="13">
        <v>83</v>
      </c>
      <c r="F184" s="14">
        <v>1</v>
      </c>
      <c r="G184" s="15">
        <v>0</v>
      </c>
      <c r="H184" s="15">
        <v>0</v>
      </c>
    </row>
    <row r="185" ht="12.9" customHeight="1">
      <c r="A185" t="s" s="10">
        <v>5740</v>
      </c>
      <c r="B185" t="s" s="11">
        <v>5716</v>
      </c>
      <c r="C185" s="12">
        <v>45029</v>
      </c>
      <c r="D185" t="s" s="13">
        <v>52</v>
      </c>
      <c r="E185" t="s" s="13">
        <v>4287</v>
      </c>
      <c r="F185" s="14">
        <v>1</v>
      </c>
      <c r="G185" s="15">
        <v>0</v>
      </c>
      <c r="H185" s="15">
        <v>0</v>
      </c>
    </row>
    <row r="186" ht="12.9" customHeight="1">
      <c r="A186" t="s" s="10">
        <v>5741</v>
      </c>
      <c r="B186" t="s" s="11">
        <v>5443</v>
      </c>
      <c r="C186" s="12">
        <v>45029</v>
      </c>
      <c r="D186" t="s" s="13">
        <v>81</v>
      </c>
      <c r="E186" t="s" s="13">
        <v>82</v>
      </c>
      <c r="F186" s="14">
        <v>6</v>
      </c>
      <c r="G186" s="15">
        <v>849.99</v>
      </c>
      <c r="H186" s="15">
        <v>5099.94</v>
      </c>
    </row>
    <row r="187" ht="12.9" customHeight="1">
      <c r="A187" t="s" s="10">
        <v>5741</v>
      </c>
      <c r="B187" t="s" s="11">
        <v>5443</v>
      </c>
      <c r="C187" s="12">
        <v>45029</v>
      </c>
      <c r="D187" t="s" s="13">
        <v>602</v>
      </c>
      <c r="E187" t="s" s="13">
        <v>5742</v>
      </c>
      <c r="F187" s="14">
        <v>4</v>
      </c>
      <c r="G187" s="15">
        <v>175</v>
      </c>
      <c r="H187" s="15">
        <v>700</v>
      </c>
    </row>
    <row r="188" ht="12.9" customHeight="1">
      <c r="A188" t="s" s="10">
        <v>5741</v>
      </c>
      <c r="B188" t="s" s="11">
        <v>5443</v>
      </c>
      <c r="C188" s="12">
        <v>45029</v>
      </c>
      <c r="D188" t="s" s="13">
        <v>213</v>
      </c>
      <c r="E188" t="s" s="13">
        <v>5743</v>
      </c>
      <c r="F188" s="14">
        <v>2</v>
      </c>
      <c r="G188" s="15">
        <v>425</v>
      </c>
      <c r="H188" s="15">
        <v>850</v>
      </c>
    </row>
    <row r="189" ht="12.9" customHeight="1">
      <c r="A189" t="s" s="10">
        <v>5741</v>
      </c>
      <c r="B189" t="s" s="11">
        <v>5443</v>
      </c>
      <c r="C189" s="12">
        <v>45029</v>
      </c>
      <c r="D189" t="s" s="13">
        <v>15</v>
      </c>
      <c r="E189" t="s" s="13">
        <v>4757</v>
      </c>
      <c r="F189" s="14">
        <v>6</v>
      </c>
      <c r="G189" s="15">
        <v>0</v>
      </c>
      <c r="H189" s="15">
        <v>0</v>
      </c>
    </row>
    <row r="190" ht="12.9" customHeight="1">
      <c r="A190" t="s" s="10">
        <v>5741</v>
      </c>
      <c r="B190" t="s" s="11">
        <v>5443</v>
      </c>
      <c r="C190" s="12">
        <v>45029</v>
      </c>
      <c r="D190" t="s" s="13">
        <v>54</v>
      </c>
      <c r="E190" t="s" s="13">
        <v>93</v>
      </c>
      <c r="F190" s="14">
        <v>6</v>
      </c>
      <c r="G190" s="15">
        <v>0</v>
      </c>
      <c r="H190" s="15">
        <v>0</v>
      </c>
    </row>
    <row r="191" ht="12.9" customHeight="1">
      <c r="A191" t="s" s="10">
        <v>5741</v>
      </c>
      <c r="B191" t="s" s="11">
        <v>5443</v>
      </c>
      <c r="C191" s="12">
        <v>45029</v>
      </c>
      <c r="D191" t="s" s="13">
        <v>50</v>
      </c>
      <c r="E191" t="s" s="13">
        <v>83</v>
      </c>
      <c r="F191" s="14">
        <v>6</v>
      </c>
      <c r="G191" s="15">
        <v>0</v>
      </c>
      <c r="H191" s="15">
        <v>0</v>
      </c>
    </row>
    <row r="192" ht="12.9" customHeight="1">
      <c r="A192" t="s" s="10">
        <v>5744</v>
      </c>
      <c r="B192" t="s" s="11">
        <v>5714</v>
      </c>
      <c r="C192" s="12">
        <v>45029</v>
      </c>
      <c r="D192" t="s" s="13">
        <v>19</v>
      </c>
      <c r="E192" t="s" s="13">
        <v>20</v>
      </c>
      <c r="F192" s="14">
        <v>4</v>
      </c>
      <c r="G192" s="15">
        <v>119.99</v>
      </c>
      <c r="H192" s="15">
        <v>479.96</v>
      </c>
    </row>
    <row r="193" ht="12.9" customHeight="1">
      <c r="A193" t="s" s="10">
        <v>5744</v>
      </c>
      <c r="B193" t="s" s="11">
        <v>5714</v>
      </c>
      <c r="C193" s="12">
        <v>45029</v>
      </c>
      <c r="D193" t="s" s="13">
        <v>15</v>
      </c>
      <c r="E193" t="s" s="13">
        <v>4757</v>
      </c>
      <c r="F193" s="14">
        <v>4</v>
      </c>
      <c r="G193" s="15">
        <v>0</v>
      </c>
      <c r="H193" s="15">
        <v>0</v>
      </c>
    </row>
    <row r="194" ht="12.9" customHeight="1">
      <c r="A194" t="s" s="10">
        <v>5744</v>
      </c>
      <c r="B194" t="s" s="11">
        <v>5714</v>
      </c>
      <c r="C194" s="12">
        <v>45029</v>
      </c>
      <c r="D194" t="s" s="13">
        <v>63</v>
      </c>
      <c r="E194" s="16"/>
      <c r="F194" s="14">
        <v>1</v>
      </c>
      <c r="G194" s="15">
        <v>48.02</v>
      </c>
      <c r="H194" s="15">
        <v>48.02</v>
      </c>
    </row>
    <row r="195" ht="12.9" customHeight="1">
      <c r="A195" t="s" s="10">
        <v>5745</v>
      </c>
      <c r="B195" t="s" s="11">
        <v>5746</v>
      </c>
      <c r="C195" s="12">
        <v>45028.772228310183</v>
      </c>
      <c r="D195" t="s" s="13">
        <v>11</v>
      </c>
      <c r="E195" t="s" s="13">
        <v>12</v>
      </c>
      <c r="F195" s="14">
        <v>1</v>
      </c>
      <c r="G195" s="15">
        <v>399.99</v>
      </c>
      <c r="H195" s="15">
        <v>399.99</v>
      </c>
    </row>
    <row r="196" ht="12.9" customHeight="1">
      <c r="A196" t="s" s="10">
        <v>5747</v>
      </c>
      <c r="B196" t="s" s="11">
        <v>5135</v>
      </c>
      <c r="C196" s="12">
        <v>45028.768388842589</v>
      </c>
      <c r="D196" t="s" s="13">
        <v>73</v>
      </c>
      <c r="E196" t="s" s="13">
        <v>74</v>
      </c>
      <c r="F196" s="14">
        <v>1</v>
      </c>
      <c r="G196" s="15">
        <v>399.99</v>
      </c>
      <c r="H196" s="15">
        <v>399.99</v>
      </c>
    </row>
    <row r="197" ht="12.9" customHeight="1">
      <c r="A197" t="s" s="10">
        <v>5748</v>
      </c>
      <c r="B197" t="s" s="11">
        <v>5749</v>
      </c>
      <c r="C197" s="12">
        <v>45028.752925185188</v>
      </c>
      <c r="D197" t="s" s="13">
        <v>11</v>
      </c>
      <c r="E197" t="s" s="13">
        <v>12</v>
      </c>
      <c r="F197" s="14">
        <v>1</v>
      </c>
      <c r="G197" s="15">
        <v>399.99</v>
      </c>
      <c r="H197" s="15">
        <v>399.99</v>
      </c>
    </row>
    <row r="198" ht="12.9" customHeight="1">
      <c r="A198" t="s" s="10">
        <v>5750</v>
      </c>
      <c r="B198" t="s" s="11">
        <v>5751</v>
      </c>
      <c r="C198" s="12">
        <v>45028.728059606481</v>
      </c>
      <c r="D198" t="s" s="13">
        <v>143</v>
      </c>
      <c r="E198" t="s" s="13">
        <v>144</v>
      </c>
      <c r="F198" s="14">
        <v>1</v>
      </c>
      <c r="G198" s="15">
        <v>3199.99</v>
      </c>
      <c r="H198" s="15">
        <v>3199.99</v>
      </c>
    </row>
    <row r="199" ht="12.9" customHeight="1">
      <c r="A199" t="s" s="10">
        <v>5750</v>
      </c>
      <c r="B199" t="s" s="11">
        <v>5751</v>
      </c>
      <c r="C199" s="12">
        <v>45028.728059606481</v>
      </c>
      <c r="D199" t="s" s="13">
        <v>59</v>
      </c>
      <c r="E199" t="s" s="13">
        <v>60</v>
      </c>
      <c r="F199" s="14">
        <v>2</v>
      </c>
      <c r="G199" s="15">
        <v>1199.99</v>
      </c>
      <c r="H199" s="15">
        <v>2399.98</v>
      </c>
    </row>
    <row r="200" ht="12.9" customHeight="1">
      <c r="A200" t="s" s="10">
        <v>5750</v>
      </c>
      <c r="B200" t="s" s="11">
        <v>5751</v>
      </c>
      <c r="C200" s="12">
        <v>45028.728059606481</v>
      </c>
      <c r="D200" t="s" s="13">
        <v>89</v>
      </c>
      <c r="E200" t="s" s="13">
        <v>90</v>
      </c>
      <c r="F200" s="14">
        <v>10</v>
      </c>
      <c r="G200" s="15">
        <v>59.99</v>
      </c>
      <c r="H200" s="15">
        <v>599.9</v>
      </c>
    </row>
    <row r="201" ht="12.9" customHeight="1">
      <c r="A201" t="s" s="10">
        <v>5752</v>
      </c>
      <c r="B201" t="s" s="11">
        <v>5753</v>
      </c>
      <c r="C201" s="12">
        <v>45028.608422604164</v>
      </c>
      <c r="D201" t="s" s="13">
        <v>225</v>
      </c>
      <c r="E201" t="s" s="13">
        <v>226</v>
      </c>
      <c r="F201" s="14">
        <v>1</v>
      </c>
      <c r="G201" s="15">
        <v>499.99</v>
      </c>
      <c r="H201" s="15">
        <v>499.99</v>
      </c>
    </row>
    <row r="202" ht="12.9" customHeight="1">
      <c r="A202" t="s" s="10">
        <v>5752</v>
      </c>
      <c r="B202" t="s" s="11">
        <v>5753</v>
      </c>
      <c r="C202" s="12">
        <v>45028.608422604164</v>
      </c>
      <c r="D202" t="s" s="13">
        <v>227</v>
      </c>
      <c r="E202" t="s" s="13">
        <v>228</v>
      </c>
      <c r="F202" s="14">
        <v>1</v>
      </c>
      <c r="G202" s="15">
        <v>0</v>
      </c>
      <c r="H202" s="15">
        <v>0</v>
      </c>
    </row>
    <row r="203" ht="12.9" customHeight="1">
      <c r="A203" t="s" s="10">
        <v>5752</v>
      </c>
      <c r="B203" t="s" s="11">
        <v>5753</v>
      </c>
      <c r="C203" s="12">
        <v>45028.608422604164</v>
      </c>
      <c r="D203" t="s" s="13">
        <v>133</v>
      </c>
      <c r="E203" t="s" s="13">
        <v>4835</v>
      </c>
      <c r="F203" s="14">
        <v>1</v>
      </c>
      <c r="G203" s="15">
        <v>199.99</v>
      </c>
      <c r="H203" s="15">
        <v>199.99</v>
      </c>
    </row>
    <row r="204" ht="12.9" customHeight="1">
      <c r="A204" t="s" s="10">
        <v>5752</v>
      </c>
      <c r="B204" t="s" s="11">
        <v>5753</v>
      </c>
      <c r="C204" s="12">
        <v>45028.608422604164</v>
      </c>
      <c r="D204" t="s" s="13">
        <v>84</v>
      </c>
      <c r="E204" t="s" s="13">
        <v>4225</v>
      </c>
      <c r="F204" s="14">
        <v>1</v>
      </c>
      <c r="G204" s="15">
        <v>15</v>
      </c>
      <c r="H204" s="15">
        <v>15</v>
      </c>
    </row>
    <row r="205" ht="12.9" customHeight="1">
      <c r="A205" t="s" s="10">
        <v>5754</v>
      </c>
      <c r="B205" t="s" s="11">
        <v>2115</v>
      </c>
      <c r="C205" s="12">
        <v>45028.188478715281</v>
      </c>
      <c r="D205" t="s" s="13">
        <v>123</v>
      </c>
      <c r="E205" t="s" s="13">
        <v>124</v>
      </c>
      <c r="F205" s="14">
        <v>1</v>
      </c>
      <c r="G205" s="15">
        <v>179.99</v>
      </c>
      <c r="H205" s="15">
        <v>179.99</v>
      </c>
    </row>
    <row r="206" ht="12.9" customHeight="1">
      <c r="A206" t="s" s="10">
        <v>5754</v>
      </c>
      <c r="B206" t="s" s="11">
        <v>2115</v>
      </c>
      <c r="C206" s="12">
        <v>45028.188478715281</v>
      </c>
      <c r="D206" t="s" s="13">
        <v>125</v>
      </c>
      <c r="E206" t="s" s="13">
        <v>126</v>
      </c>
      <c r="F206" s="14">
        <v>3</v>
      </c>
      <c r="G206" s="15">
        <v>64.98999999999999</v>
      </c>
      <c r="H206" s="15">
        <v>194.97</v>
      </c>
    </row>
    <row r="207" ht="12.9" customHeight="1">
      <c r="A207" t="s" s="10">
        <v>5755</v>
      </c>
      <c r="B207" t="s" s="11">
        <v>896</v>
      </c>
      <c r="C207" s="12">
        <v>45028</v>
      </c>
      <c r="D207" t="s" s="13">
        <v>48</v>
      </c>
      <c r="E207" t="s" s="13">
        <v>5710</v>
      </c>
      <c r="F207" s="14">
        <v>6</v>
      </c>
      <c r="G207" s="15">
        <v>900</v>
      </c>
      <c r="H207" s="15">
        <v>5400</v>
      </c>
    </row>
    <row r="208" ht="12.9" customHeight="1">
      <c r="A208" t="s" s="10">
        <v>5755</v>
      </c>
      <c r="B208" t="s" s="11">
        <v>896</v>
      </c>
      <c r="C208" s="12">
        <v>45028</v>
      </c>
      <c r="D208" t="s" s="13">
        <v>50</v>
      </c>
      <c r="E208" t="s" s="13">
        <v>83</v>
      </c>
      <c r="F208" s="14">
        <v>6</v>
      </c>
      <c r="G208" s="15">
        <v>0</v>
      </c>
      <c r="H208" s="15">
        <v>0</v>
      </c>
    </row>
    <row r="209" ht="12.9" customHeight="1">
      <c r="A209" t="s" s="10">
        <v>5755</v>
      </c>
      <c r="B209" t="s" s="11">
        <v>896</v>
      </c>
      <c r="C209" s="12">
        <v>45028</v>
      </c>
      <c r="D209" t="s" s="13">
        <v>89</v>
      </c>
      <c r="E209" t="s" s="13">
        <v>90</v>
      </c>
      <c r="F209" s="14">
        <v>6</v>
      </c>
      <c r="G209" s="15">
        <v>44.9925</v>
      </c>
      <c r="H209" s="15">
        <v>269.955</v>
      </c>
    </row>
    <row r="210" ht="12.9" customHeight="1">
      <c r="A210" t="s" s="10">
        <v>5755</v>
      </c>
      <c r="B210" t="s" s="11">
        <v>896</v>
      </c>
      <c r="C210" s="12">
        <v>45028</v>
      </c>
      <c r="D210" t="s" s="13">
        <v>63</v>
      </c>
      <c r="E210" s="16"/>
      <c r="F210" s="14">
        <v>1</v>
      </c>
      <c r="G210" s="15">
        <v>75</v>
      </c>
      <c r="H210" s="15">
        <v>75</v>
      </c>
    </row>
    <row r="211" ht="12.9" customHeight="1">
      <c r="A211" t="s" s="10">
        <v>5756</v>
      </c>
      <c r="B211" t="s" s="11">
        <v>122</v>
      </c>
      <c r="C211" s="12">
        <v>45028</v>
      </c>
      <c r="D211" t="s" s="13">
        <v>179</v>
      </c>
      <c r="E211" t="s" s="13">
        <v>180</v>
      </c>
      <c r="F211" s="14">
        <v>4</v>
      </c>
      <c r="G211" s="15">
        <v>37.4925</v>
      </c>
      <c r="H211" s="15">
        <v>149.97</v>
      </c>
    </row>
    <row r="212" ht="12.9" customHeight="1">
      <c r="A212" t="s" s="10">
        <v>5757</v>
      </c>
      <c r="B212" t="s" s="11">
        <v>2829</v>
      </c>
      <c r="C212" s="12">
        <v>45028</v>
      </c>
      <c r="D212" t="s" s="13">
        <v>4180</v>
      </c>
      <c r="E212" t="s" s="13">
        <v>5758</v>
      </c>
      <c r="F212" s="14">
        <v>6</v>
      </c>
      <c r="G212" s="15">
        <v>125</v>
      </c>
      <c r="H212" s="15">
        <v>750</v>
      </c>
    </row>
    <row r="213" ht="12.9" customHeight="1">
      <c r="A213" t="s" s="10">
        <v>5757</v>
      </c>
      <c r="B213" t="s" s="11">
        <v>2829</v>
      </c>
      <c r="C213" s="12">
        <v>45028</v>
      </c>
      <c r="D213" t="s" s="13">
        <v>19</v>
      </c>
      <c r="E213" t="s" s="13">
        <v>20</v>
      </c>
      <c r="F213" s="14">
        <v>6</v>
      </c>
      <c r="G213" s="15">
        <v>89.98999999999999</v>
      </c>
      <c r="H213" s="15">
        <v>539.9400000000001</v>
      </c>
    </row>
    <row r="214" ht="12.9" customHeight="1">
      <c r="A214" t="s" s="10">
        <v>5757</v>
      </c>
      <c r="B214" t="s" s="11">
        <v>2829</v>
      </c>
      <c r="C214" s="12">
        <v>45028</v>
      </c>
      <c r="D214" t="s" s="13">
        <v>15</v>
      </c>
      <c r="E214" t="s" s="13">
        <v>4757</v>
      </c>
      <c r="F214" s="14">
        <v>10</v>
      </c>
      <c r="G214" s="15">
        <v>0</v>
      </c>
      <c r="H214" s="15">
        <v>0</v>
      </c>
    </row>
    <row r="215" ht="12.9" customHeight="1">
      <c r="A215" t="s" s="10">
        <v>5757</v>
      </c>
      <c r="B215" t="s" s="11">
        <v>2829</v>
      </c>
      <c r="C215" s="12">
        <v>45028</v>
      </c>
      <c r="D215" t="s" s="13">
        <v>63</v>
      </c>
      <c r="E215" s="16"/>
      <c r="F215" s="14">
        <v>1</v>
      </c>
      <c r="G215" s="15">
        <v>20</v>
      </c>
      <c r="H215" s="15">
        <v>20</v>
      </c>
    </row>
    <row r="216" ht="12.9" customHeight="1">
      <c r="A216" t="s" s="10">
        <v>5759</v>
      </c>
      <c r="B216" t="s" s="11">
        <v>5760</v>
      </c>
      <c r="C216" s="12">
        <v>45027.936247349535</v>
      </c>
      <c r="D216" t="s" s="13">
        <v>73</v>
      </c>
      <c r="E216" t="s" s="13">
        <v>74</v>
      </c>
      <c r="F216" s="14">
        <v>1</v>
      </c>
      <c r="G216" s="15">
        <v>399.99</v>
      </c>
      <c r="H216" s="15">
        <v>399.99</v>
      </c>
    </row>
    <row r="217" ht="12.9" customHeight="1">
      <c r="A217" t="s" s="10">
        <v>5761</v>
      </c>
      <c r="B217" t="s" s="11">
        <v>5762</v>
      </c>
      <c r="C217" s="12">
        <v>45027.852163101852</v>
      </c>
      <c r="D217" t="s" s="13">
        <v>89</v>
      </c>
      <c r="E217" t="s" s="13">
        <v>90</v>
      </c>
      <c r="F217" s="14">
        <v>2</v>
      </c>
      <c r="G217" s="15">
        <v>59.99</v>
      </c>
      <c r="H217" s="15">
        <v>119.98</v>
      </c>
    </row>
    <row r="218" ht="12.9" customHeight="1">
      <c r="A218" t="s" s="10">
        <v>5763</v>
      </c>
      <c r="B218" t="s" s="11">
        <v>5674</v>
      </c>
      <c r="C218" s="12">
        <v>45027.7940859838</v>
      </c>
      <c r="D218" t="s" s="13">
        <v>123</v>
      </c>
      <c r="E218" t="s" s="13">
        <v>124</v>
      </c>
      <c r="F218" s="14">
        <v>2</v>
      </c>
      <c r="G218" s="15">
        <v>179.99</v>
      </c>
      <c r="H218" s="15">
        <v>359.98</v>
      </c>
    </row>
    <row r="219" ht="12.9" customHeight="1">
      <c r="A219" t="s" s="10">
        <v>5763</v>
      </c>
      <c r="B219" t="s" s="11">
        <v>5674</v>
      </c>
      <c r="C219" s="12">
        <v>45027.7940859838</v>
      </c>
      <c r="D219" t="s" s="13">
        <v>299</v>
      </c>
      <c r="E219" t="s" s="13">
        <v>300</v>
      </c>
      <c r="F219" s="14">
        <v>4</v>
      </c>
      <c r="G219" s="15">
        <v>69.98999999999999</v>
      </c>
      <c r="H219" s="15">
        <v>279.96</v>
      </c>
    </row>
    <row r="220" ht="12.9" customHeight="1">
      <c r="A220" t="s" s="10">
        <v>5763</v>
      </c>
      <c r="B220" t="s" s="11">
        <v>5674</v>
      </c>
      <c r="C220" s="12">
        <v>45027.7940859838</v>
      </c>
      <c r="D220" t="s" s="13">
        <v>882</v>
      </c>
      <c r="E220" t="s" s="13">
        <v>883</v>
      </c>
      <c r="F220" s="14">
        <v>4</v>
      </c>
      <c r="G220" s="15">
        <v>74.98999999999999</v>
      </c>
      <c r="H220" s="15">
        <v>299.96</v>
      </c>
    </row>
    <row r="221" ht="12.9" customHeight="1">
      <c r="A221" t="s" s="10">
        <v>5763</v>
      </c>
      <c r="B221" t="s" s="11">
        <v>5674</v>
      </c>
      <c r="C221" s="12">
        <v>45027.7940859838</v>
      </c>
      <c r="D221" t="s" s="13">
        <v>23</v>
      </c>
      <c r="E221" t="s" s="13">
        <v>828</v>
      </c>
      <c r="F221" s="14">
        <v>2</v>
      </c>
      <c r="G221" s="15">
        <v>0</v>
      </c>
      <c r="H221" s="15">
        <v>0</v>
      </c>
    </row>
    <row r="222" ht="12.9" customHeight="1">
      <c r="A222" t="s" s="10">
        <v>5763</v>
      </c>
      <c r="B222" t="s" s="11">
        <v>5674</v>
      </c>
      <c r="C222" s="12">
        <v>45027.7940859838</v>
      </c>
      <c r="D222" t="s" s="13">
        <v>50</v>
      </c>
      <c r="E222" t="s" s="13">
        <v>83</v>
      </c>
      <c r="F222" s="14">
        <v>2</v>
      </c>
      <c r="G222" s="15">
        <v>0</v>
      </c>
      <c r="H222" s="15">
        <v>0</v>
      </c>
    </row>
    <row r="223" ht="12.9" customHeight="1">
      <c r="A223" t="s" s="10">
        <v>5763</v>
      </c>
      <c r="B223" t="s" s="11">
        <v>5674</v>
      </c>
      <c r="C223" s="12">
        <v>45027.7940859838</v>
      </c>
      <c r="D223" t="s" s="13">
        <v>84</v>
      </c>
      <c r="E223" t="s" s="13">
        <v>4225</v>
      </c>
      <c r="F223" s="14">
        <v>2</v>
      </c>
      <c r="G223" s="15">
        <v>0</v>
      </c>
      <c r="H223" s="15">
        <v>0</v>
      </c>
    </row>
    <row r="224" ht="12.9" customHeight="1">
      <c r="A224" t="s" s="10">
        <v>5763</v>
      </c>
      <c r="B224" t="s" s="11">
        <v>5674</v>
      </c>
      <c r="C224" s="12">
        <v>45027.7940859838</v>
      </c>
      <c r="D224" t="s" s="13">
        <v>722</v>
      </c>
      <c r="E224" t="s" s="13">
        <v>82</v>
      </c>
      <c r="F224" s="14">
        <v>2</v>
      </c>
      <c r="G224" s="15">
        <v>869.99</v>
      </c>
      <c r="H224" s="15">
        <v>1739.98</v>
      </c>
    </row>
    <row r="225" ht="12.9" customHeight="1">
      <c r="A225" t="s" s="10">
        <v>5764</v>
      </c>
      <c r="B225" t="s" s="11">
        <v>5765</v>
      </c>
      <c r="C225" s="12">
        <v>45027.741800729164</v>
      </c>
      <c r="D225" t="s" s="13">
        <v>2787</v>
      </c>
      <c r="E225" t="s" s="13">
        <v>2788</v>
      </c>
      <c r="F225" s="14">
        <v>4</v>
      </c>
      <c r="G225" s="15">
        <v>22.99</v>
      </c>
      <c r="H225" s="15">
        <v>91.95999999999999</v>
      </c>
    </row>
    <row r="226" ht="12.9" customHeight="1">
      <c r="A226" t="s" s="10">
        <v>5766</v>
      </c>
      <c r="B226" t="s" s="11">
        <v>5767</v>
      </c>
      <c r="C226" s="12">
        <v>45027.463189282411</v>
      </c>
      <c r="D226" t="s" s="13">
        <v>73</v>
      </c>
      <c r="E226" t="s" s="13">
        <v>74</v>
      </c>
      <c r="F226" s="14">
        <v>1</v>
      </c>
      <c r="G226" s="15">
        <v>399.99</v>
      </c>
      <c r="H226" s="15">
        <v>399.99</v>
      </c>
    </row>
    <row r="227" ht="12.9" customHeight="1">
      <c r="A227" t="s" s="10">
        <v>5768</v>
      </c>
      <c r="B227" t="s" s="11">
        <v>3726</v>
      </c>
      <c r="C227" s="12">
        <v>45027.163842523150</v>
      </c>
      <c r="D227" t="s" s="13">
        <v>73</v>
      </c>
      <c r="E227" t="s" s="13">
        <v>74</v>
      </c>
      <c r="F227" s="14">
        <v>1</v>
      </c>
      <c r="G227" s="15">
        <v>399.99</v>
      </c>
      <c r="H227" s="15">
        <v>399.99</v>
      </c>
    </row>
    <row r="228" ht="12.9" customHeight="1">
      <c r="A228" t="s" s="10">
        <v>5769</v>
      </c>
      <c r="B228" t="s" s="11">
        <v>5770</v>
      </c>
      <c r="C228" s="12">
        <v>45027</v>
      </c>
      <c r="D228" t="s" s="13">
        <v>5771</v>
      </c>
      <c r="E228" t="s" s="13">
        <v>5772</v>
      </c>
      <c r="F228" s="14">
        <v>1</v>
      </c>
      <c r="G228" s="15">
        <v>0</v>
      </c>
      <c r="H228" s="15">
        <v>0</v>
      </c>
    </row>
    <row r="229" ht="12.9" customHeight="1">
      <c r="A229" t="s" s="10">
        <v>5773</v>
      </c>
      <c r="B229" t="s" s="11">
        <v>5774</v>
      </c>
      <c r="C229" s="12">
        <v>45027</v>
      </c>
      <c r="D229" t="s" s="13">
        <v>2672</v>
      </c>
      <c r="E229" t="s" s="13">
        <v>2673</v>
      </c>
      <c r="F229" s="14">
        <v>3</v>
      </c>
      <c r="G229" s="15">
        <v>8.5</v>
      </c>
      <c r="H229" s="15">
        <v>25.5</v>
      </c>
    </row>
    <row r="230" ht="12.9" customHeight="1">
      <c r="A230" t="s" s="10">
        <v>5775</v>
      </c>
      <c r="B230" t="s" s="11">
        <v>5776</v>
      </c>
      <c r="C230" s="12">
        <v>45026.965573414353</v>
      </c>
      <c r="D230" t="s" s="13">
        <v>95</v>
      </c>
      <c r="E230" t="s" s="13">
        <v>12</v>
      </c>
      <c r="F230" s="14">
        <v>1</v>
      </c>
      <c r="G230" s="15">
        <v>349.99</v>
      </c>
      <c r="H230" s="15">
        <v>349.99</v>
      </c>
    </row>
    <row r="231" ht="12.9" customHeight="1">
      <c r="A231" t="s" s="10">
        <v>5777</v>
      </c>
      <c r="B231" t="s" s="11">
        <v>852</v>
      </c>
      <c r="C231" s="12">
        <v>45026.736762395834</v>
      </c>
      <c r="D231" t="s" s="13">
        <v>48</v>
      </c>
      <c r="E231" t="s" s="13">
        <v>49</v>
      </c>
      <c r="F231" s="14">
        <v>1</v>
      </c>
      <c r="G231" s="15">
        <v>1299.99</v>
      </c>
      <c r="H231" s="15">
        <v>1299.99</v>
      </c>
    </row>
    <row r="232" ht="12.9" customHeight="1">
      <c r="A232" t="s" s="10">
        <v>5777</v>
      </c>
      <c r="B232" t="s" s="11">
        <v>852</v>
      </c>
      <c r="C232" s="12">
        <v>45026.736762395834</v>
      </c>
      <c r="D232" t="s" s="13">
        <v>50</v>
      </c>
      <c r="E232" t="s" s="13">
        <v>83</v>
      </c>
      <c r="F232" s="14">
        <v>1</v>
      </c>
      <c r="G232" s="15">
        <v>0</v>
      </c>
      <c r="H232" s="15">
        <v>0</v>
      </c>
    </row>
    <row r="233" ht="12.9" customHeight="1">
      <c r="A233" t="s" s="10">
        <v>5777</v>
      </c>
      <c r="B233" t="s" s="11">
        <v>852</v>
      </c>
      <c r="C233" s="12">
        <v>45026.736762395834</v>
      </c>
      <c r="D233" t="s" s="13">
        <v>84</v>
      </c>
      <c r="E233" t="s" s="13">
        <v>4225</v>
      </c>
      <c r="F233" s="14">
        <v>1</v>
      </c>
      <c r="G233" s="15">
        <v>0</v>
      </c>
      <c r="H233" s="15">
        <v>0</v>
      </c>
    </row>
    <row r="234" ht="12.9" customHeight="1">
      <c r="A234" t="s" s="10">
        <v>5777</v>
      </c>
      <c r="B234" t="s" s="11">
        <v>852</v>
      </c>
      <c r="C234" s="12">
        <v>45026.736762395834</v>
      </c>
      <c r="D234" t="s" s="13">
        <v>23</v>
      </c>
      <c r="E234" t="s" s="13">
        <v>828</v>
      </c>
      <c r="F234" s="14">
        <v>1</v>
      </c>
      <c r="G234" s="15">
        <v>0</v>
      </c>
      <c r="H234" s="15">
        <v>0</v>
      </c>
    </row>
    <row r="235" ht="12.9" customHeight="1">
      <c r="A235" t="s" s="10">
        <v>5778</v>
      </c>
      <c r="B235" t="s" s="11">
        <v>5779</v>
      </c>
      <c r="C235" s="12">
        <v>45026.724575914355</v>
      </c>
      <c r="D235" t="s" s="13">
        <v>171</v>
      </c>
      <c r="E235" t="s" s="13">
        <v>172</v>
      </c>
      <c r="F235" s="14">
        <v>1</v>
      </c>
      <c r="G235" s="15">
        <v>549.99</v>
      </c>
      <c r="H235" s="15">
        <v>549.99</v>
      </c>
    </row>
    <row r="236" ht="12.9" customHeight="1">
      <c r="A236" t="s" s="10">
        <v>5778</v>
      </c>
      <c r="B236" t="s" s="11">
        <v>5779</v>
      </c>
      <c r="C236" s="12">
        <v>45026.724575914355</v>
      </c>
      <c r="D236" t="s" s="13">
        <v>35</v>
      </c>
      <c r="E236" t="s" s="13">
        <v>36</v>
      </c>
      <c r="F236" s="14">
        <v>1</v>
      </c>
      <c r="G236" s="15">
        <v>49.99</v>
      </c>
      <c r="H236" s="15">
        <v>49.99</v>
      </c>
    </row>
    <row r="237" ht="12.9" customHeight="1">
      <c r="A237" t="s" s="10">
        <v>5780</v>
      </c>
      <c r="B237" t="s" s="11">
        <v>5705</v>
      </c>
      <c r="C237" s="12">
        <v>45026.069414525460</v>
      </c>
      <c r="D237" t="s" s="13">
        <v>39</v>
      </c>
      <c r="E237" t="s" s="13">
        <v>828</v>
      </c>
      <c r="F237" s="14">
        <v>1</v>
      </c>
      <c r="G237" s="15">
        <v>109.99</v>
      </c>
      <c r="H237" s="15">
        <v>109.99</v>
      </c>
    </row>
    <row r="238" ht="12.9" customHeight="1">
      <c r="A238" t="s" s="10">
        <v>5780</v>
      </c>
      <c r="B238" t="s" s="11">
        <v>5705</v>
      </c>
      <c r="C238" s="12">
        <v>45026.069414525460</v>
      </c>
      <c r="D238" t="s" s="13">
        <v>84</v>
      </c>
      <c r="E238" t="s" s="13">
        <v>4225</v>
      </c>
      <c r="F238" s="14">
        <v>1</v>
      </c>
      <c r="G238" s="15">
        <v>15</v>
      </c>
      <c r="H238" s="15">
        <v>15</v>
      </c>
    </row>
    <row r="239" ht="12.9" customHeight="1">
      <c r="A239" t="s" s="10">
        <v>5781</v>
      </c>
      <c r="B239" t="s" s="11">
        <v>5722</v>
      </c>
      <c r="C239" s="12">
        <v>45025.267963472223</v>
      </c>
      <c r="D239" t="s" s="13">
        <v>81</v>
      </c>
      <c r="E239" t="s" s="13">
        <v>82</v>
      </c>
      <c r="F239" s="14">
        <v>1</v>
      </c>
      <c r="G239" s="15">
        <v>849.99</v>
      </c>
      <c r="H239" s="15">
        <v>849.99</v>
      </c>
    </row>
    <row r="240" ht="12.9" customHeight="1">
      <c r="A240" t="s" s="10">
        <v>5781</v>
      </c>
      <c r="B240" t="s" s="11">
        <v>5722</v>
      </c>
      <c r="C240" s="12">
        <v>45025.267963472223</v>
      </c>
      <c r="D240" t="s" s="13">
        <v>602</v>
      </c>
      <c r="E240" t="s" s="13">
        <v>828</v>
      </c>
      <c r="F240" s="14">
        <v>1</v>
      </c>
      <c r="G240" s="15">
        <v>175</v>
      </c>
      <c r="H240" s="15">
        <v>175</v>
      </c>
    </row>
    <row r="241" ht="12.9" customHeight="1">
      <c r="A241" t="s" s="10">
        <v>5781</v>
      </c>
      <c r="B241" t="s" s="11">
        <v>5722</v>
      </c>
      <c r="C241" s="12">
        <v>45025.267963472223</v>
      </c>
      <c r="D241" t="s" s="13">
        <v>50</v>
      </c>
      <c r="E241" t="s" s="13">
        <v>83</v>
      </c>
      <c r="F241" s="14">
        <v>1</v>
      </c>
      <c r="G241" s="15">
        <v>0</v>
      </c>
      <c r="H241" s="15">
        <v>0</v>
      </c>
    </row>
    <row r="242" ht="12.9" customHeight="1">
      <c r="A242" t="s" s="10">
        <v>5781</v>
      </c>
      <c r="B242" t="s" s="11">
        <v>5722</v>
      </c>
      <c r="C242" s="12">
        <v>45025.267963472223</v>
      </c>
      <c r="D242" t="s" s="13">
        <v>84</v>
      </c>
      <c r="E242" t="s" s="13">
        <v>4225</v>
      </c>
      <c r="F242" s="14">
        <v>1</v>
      </c>
      <c r="G242" s="15">
        <v>0</v>
      </c>
      <c r="H242" s="15">
        <v>0</v>
      </c>
    </row>
    <row r="243" ht="12.9" customHeight="1">
      <c r="A243" t="s" s="10">
        <v>5781</v>
      </c>
      <c r="B243" t="s" s="11">
        <v>5722</v>
      </c>
      <c r="C243" s="12">
        <v>45025.267963472223</v>
      </c>
      <c r="D243" t="s" s="13">
        <v>73</v>
      </c>
      <c r="E243" t="s" s="13">
        <v>74</v>
      </c>
      <c r="F243" s="14">
        <v>1</v>
      </c>
      <c r="G243" s="15">
        <v>399.99</v>
      </c>
      <c r="H243" s="15">
        <v>399.99</v>
      </c>
    </row>
    <row r="244" ht="12.9" customHeight="1">
      <c r="A244" t="s" s="10">
        <v>5781</v>
      </c>
      <c r="B244" t="s" s="11">
        <v>5722</v>
      </c>
      <c r="C244" s="12">
        <v>45025.267963472223</v>
      </c>
      <c r="D244" t="s" s="13">
        <v>123</v>
      </c>
      <c r="E244" t="s" s="13">
        <v>124</v>
      </c>
      <c r="F244" s="14">
        <v>1</v>
      </c>
      <c r="G244" s="15">
        <v>179.99</v>
      </c>
      <c r="H244" s="15">
        <v>179.99</v>
      </c>
    </row>
    <row r="245" ht="12.9" customHeight="1">
      <c r="A245" t="s" s="10">
        <v>5781</v>
      </c>
      <c r="B245" t="s" s="11">
        <v>5722</v>
      </c>
      <c r="C245" s="12">
        <v>45025.267963472223</v>
      </c>
      <c r="D245" t="s" s="13">
        <v>125</v>
      </c>
      <c r="E245" t="s" s="13">
        <v>126</v>
      </c>
      <c r="F245" s="14">
        <v>4</v>
      </c>
      <c r="G245" s="15">
        <v>64.98999999999999</v>
      </c>
      <c r="H245" s="15">
        <v>259.96</v>
      </c>
    </row>
    <row r="246" ht="12.9" customHeight="1">
      <c r="A246" t="s" s="10">
        <v>5781</v>
      </c>
      <c r="B246" t="s" s="11">
        <v>5722</v>
      </c>
      <c r="C246" s="12">
        <v>45025.267963472223</v>
      </c>
      <c r="D246" t="s" s="13">
        <v>81</v>
      </c>
      <c r="E246" t="s" s="13">
        <v>82</v>
      </c>
      <c r="F246" s="14">
        <v>1</v>
      </c>
      <c r="G246" s="15">
        <v>849.99</v>
      </c>
      <c r="H246" s="15">
        <v>849.99</v>
      </c>
    </row>
    <row r="247" ht="12.9" customHeight="1">
      <c r="A247" t="s" s="10">
        <v>5781</v>
      </c>
      <c r="B247" t="s" s="11">
        <v>5722</v>
      </c>
      <c r="C247" s="12">
        <v>45025.267963472223</v>
      </c>
      <c r="D247" t="s" s="13">
        <v>602</v>
      </c>
      <c r="E247" t="s" s="13">
        <v>828</v>
      </c>
      <c r="F247" s="14">
        <v>1</v>
      </c>
      <c r="G247" s="15">
        <v>175</v>
      </c>
      <c r="H247" s="15">
        <v>175</v>
      </c>
    </row>
    <row r="248" ht="12.9" customHeight="1">
      <c r="A248" t="s" s="10">
        <v>5781</v>
      </c>
      <c r="B248" t="s" s="11">
        <v>5722</v>
      </c>
      <c r="C248" s="12">
        <v>45025.267963472223</v>
      </c>
      <c r="D248" t="s" s="13">
        <v>50</v>
      </c>
      <c r="E248" t="s" s="13">
        <v>83</v>
      </c>
      <c r="F248" s="14">
        <v>1</v>
      </c>
      <c r="G248" s="15">
        <v>0</v>
      </c>
      <c r="H248" s="15">
        <v>0</v>
      </c>
    </row>
    <row r="249" ht="12.9" customHeight="1">
      <c r="A249" t="s" s="10">
        <v>5781</v>
      </c>
      <c r="B249" t="s" s="11">
        <v>5722</v>
      </c>
      <c r="C249" s="12">
        <v>45025.267963472223</v>
      </c>
      <c r="D249" t="s" s="13">
        <v>84</v>
      </c>
      <c r="E249" t="s" s="13">
        <v>4225</v>
      </c>
      <c r="F249" s="14">
        <v>1</v>
      </c>
      <c r="G249" s="15">
        <v>0</v>
      </c>
      <c r="H249" s="15">
        <v>0</v>
      </c>
    </row>
    <row r="250" ht="12.9" customHeight="1">
      <c r="A250" t="s" s="10">
        <v>5782</v>
      </c>
      <c r="B250" t="s" s="11">
        <v>5783</v>
      </c>
      <c r="C250" s="12">
        <v>45024.198152824072</v>
      </c>
      <c r="D250" t="s" s="13">
        <v>95</v>
      </c>
      <c r="E250" t="s" s="13">
        <v>12</v>
      </c>
      <c r="F250" s="14">
        <v>1</v>
      </c>
      <c r="G250" s="15">
        <v>349.99</v>
      </c>
      <c r="H250" s="15">
        <v>349.99</v>
      </c>
    </row>
    <row r="251" ht="12.9" customHeight="1">
      <c r="A251" t="s" s="10">
        <v>5784</v>
      </c>
      <c r="B251" t="s" s="11">
        <v>5785</v>
      </c>
      <c r="C251" s="12">
        <v>45024.172978206021</v>
      </c>
      <c r="D251" t="s" s="13">
        <v>31</v>
      </c>
      <c r="E251" t="s" s="13">
        <v>32</v>
      </c>
      <c r="F251" s="14">
        <v>1</v>
      </c>
      <c r="G251" s="15">
        <v>599.99</v>
      </c>
      <c r="H251" s="15">
        <v>599.99</v>
      </c>
    </row>
    <row r="252" ht="12.9" customHeight="1">
      <c r="A252" t="s" s="10">
        <v>5786</v>
      </c>
      <c r="B252" t="s" s="11">
        <v>5787</v>
      </c>
      <c r="C252" s="12">
        <v>45023.644481030089</v>
      </c>
      <c r="D252" t="s" s="13">
        <v>35</v>
      </c>
      <c r="E252" t="s" s="13">
        <v>36</v>
      </c>
      <c r="F252" s="14">
        <v>1</v>
      </c>
      <c r="G252" s="15">
        <v>49.99</v>
      </c>
      <c r="H252" s="15">
        <v>49.99</v>
      </c>
    </row>
    <row r="253" ht="12.9" customHeight="1">
      <c r="A253" t="s" s="10">
        <v>5788</v>
      </c>
      <c r="B253" t="s" s="11">
        <v>5789</v>
      </c>
      <c r="C253" s="12">
        <v>45023.608291168981</v>
      </c>
      <c r="D253" t="s" s="13">
        <v>1593</v>
      </c>
      <c r="E253" t="s" s="13">
        <v>828</v>
      </c>
      <c r="F253" s="14">
        <v>1</v>
      </c>
      <c r="G253" s="15">
        <v>99.98999999999999</v>
      </c>
      <c r="H253" s="15">
        <v>99.98999999999999</v>
      </c>
    </row>
    <row r="254" ht="12.9" customHeight="1">
      <c r="A254" t="s" s="10">
        <v>5790</v>
      </c>
      <c r="B254" t="s" s="11">
        <v>1053</v>
      </c>
      <c r="C254" s="12">
        <v>45023</v>
      </c>
      <c r="D254" t="s" s="13">
        <v>722</v>
      </c>
      <c r="E254" t="s" s="13">
        <v>82</v>
      </c>
      <c r="F254" s="14">
        <v>1</v>
      </c>
      <c r="G254" s="15">
        <v>869.99</v>
      </c>
      <c r="H254" s="15">
        <v>869.99</v>
      </c>
    </row>
    <row r="255" ht="12.9" customHeight="1">
      <c r="A255" t="s" s="10">
        <v>5790</v>
      </c>
      <c r="B255" t="s" s="11">
        <v>1053</v>
      </c>
      <c r="C255" s="12">
        <v>45023</v>
      </c>
      <c r="D255" t="s" s="13">
        <v>59</v>
      </c>
      <c r="E255" t="s" s="13">
        <v>60</v>
      </c>
      <c r="F255" s="14">
        <v>1</v>
      </c>
      <c r="G255" s="15">
        <v>1199.99</v>
      </c>
      <c r="H255" s="15">
        <v>1199.99</v>
      </c>
    </row>
    <row r="256" ht="12.9" customHeight="1">
      <c r="A256" t="s" s="10">
        <v>5790</v>
      </c>
      <c r="B256" t="s" s="11">
        <v>1053</v>
      </c>
      <c r="C256" s="12">
        <v>45023</v>
      </c>
      <c r="D256" t="s" s="13">
        <v>73</v>
      </c>
      <c r="E256" t="s" s="13">
        <v>74</v>
      </c>
      <c r="F256" s="14">
        <v>1</v>
      </c>
      <c r="G256" s="15">
        <v>399.99</v>
      </c>
      <c r="H256" s="15">
        <v>399.99</v>
      </c>
    </row>
    <row r="257" ht="12.9" customHeight="1">
      <c r="A257" t="s" s="10">
        <v>5790</v>
      </c>
      <c r="B257" t="s" s="11">
        <v>1053</v>
      </c>
      <c r="C257" s="12">
        <v>45023</v>
      </c>
      <c r="D257" t="s" s="13">
        <v>225</v>
      </c>
      <c r="E257" t="s" s="13">
        <v>226</v>
      </c>
      <c r="F257" s="14">
        <v>1</v>
      </c>
      <c r="G257" s="15">
        <v>499.99</v>
      </c>
      <c r="H257" s="15">
        <v>499.99</v>
      </c>
    </row>
    <row r="258" ht="12.9" customHeight="1">
      <c r="A258" t="s" s="10">
        <v>5790</v>
      </c>
      <c r="B258" t="s" s="11">
        <v>1053</v>
      </c>
      <c r="C258" s="12">
        <v>45023</v>
      </c>
      <c r="D258" t="s" s="13">
        <v>227</v>
      </c>
      <c r="E258" t="s" s="13">
        <v>228</v>
      </c>
      <c r="F258" s="14">
        <v>4</v>
      </c>
      <c r="G258" s="15">
        <v>29.99</v>
      </c>
      <c r="H258" s="15">
        <v>119.96</v>
      </c>
    </row>
    <row r="259" ht="12.9" customHeight="1">
      <c r="A259" t="s" s="10">
        <v>5790</v>
      </c>
      <c r="B259" t="s" s="11">
        <v>1053</v>
      </c>
      <c r="C259" s="12">
        <v>45023</v>
      </c>
      <c r="D259" t="s" s="13">
        <v>89</v>
      </c>
      <c r="E259" t="s" s="13">
        <v>90</v>
      </c>
      <c r="F259" s="14">
        <v>1</v>
      </c>
      <c r="G259" s="15">
        <v>59.99</v>
      </c>
      <c r="H259" s="15">
        <v>59.99</v>
      </c>
    </row>
    <row r="260" ht="12.9" customHeight="1">
      <c r="A260" t="s" s="10">
        <v>5791</v>
      </c>
      <c r="B260" t="s" s="11">
        <v>5792</v>
      </c>
      <c r="C260" s="12">
        <v>45023</v>
      </c>
      <c r="D260" t="s" s="13">
        <v>3653</v>
      </c>
      <c r="E260" t="s" s="13">
        <v>3654</v>
      </c>
      <c r="F260" s="14">
        <v>1</v>
      </c>
      <c r="G260" s="15">
        <v>0</v>
      </c>
      <c r="H260" s="15">
        <v>0</v>
      </c>
    </row>
    <row r="261" ht="12.9" customHeight="1">
      <c r="A261" t="s" s="10">
        <v>5793</v>
      </c>
      <c r="B261" t="s" s="11">
        <v>5794</v>
      </c>
      <c r="C261" s="12">
        <v>45022.893647268516</v>
      </c>
      <c r="D261" t="s" s="13">
        <v>73</v>
      </c>
      <c r="E261" t="s" s="13">
        <v>74</v>
      </c>
      <c r="F261" s="14">
        <v>1</v>
      </c>
      <c r="G261" s="15">
        <v>399.99</v>
      </c>
      <c r="H261" s="15">
        <v>399.99</v>
      </c>
    </row>
    <row r="262" ht="12.9" customHeight="1">
      <c r="A262" t="s" s="10">
        <v>5795</v>
      </c>
      <c r="B262" t="s" s="11">
        <v>5796</v>
      </c>
      <c r="C262" s="12">
        <v>45022.810239074075</v>
      </c>
      <c r="D262" t="s" s="13">
        <v>31</v>
      </c>
      <c r="E262" t="s" s="13">
        <v>32</v>
      </c>
      <c r="F262" s="14">
        <v>2</v>
      </c>
      <c r="G262" s="15">
        <v>599.99</v>
      </c>
      <c r="H262" s="15">
        <v>1199.98</v>
      </c>
    </row>
    <row r="263" ht="12.9" customHeight="1">
      <c r="A263" t="s" s="10">
        <v>5795</v>
      </c>
      <c r="B263" t="s" s="11">
        <v>5796</v>
      </c>
      <c r="C263" s="12">
        <v>45022.810239074075</v>
      </c>
      <c r="D263" t="s" s="13">
        <v>35</v>
      </c>
      <c r="E263" t="s" s="13">
        <v>36</v>
      </c>
      <c r="F263" s="14">
        <v>2</v>
      </c>
      <c r="G263" s="15">
        <v>49.99</v>
      </c>
      <c r="H263" s="15">
        <v>99.98</v>
      </c>
    </row>
    <row r="264" ht="12.9" customHeight="1">
      <c r="A264" t="s" s="10">
        <v>5797</v>
      </c>
      <c r="B264" t="s" s="11">
        <v>5798</v>
      </c>
      <c r="C264" s="12">
        <v>45021.944966006944</v>
      </c>
      <c r="D264" t="s" s="13">
        <v>11</v>
      </c>
      <c r="E264" t="s" s="13">
        <v>12</v>
      </c>
      <c r="F264" s="14">
        <v>2</v>
      </c>
      <c r="G264" s="15">
        <v>399.99</v>
      </c>
      <c r="H264" s="15">
        <v>799.98</v>
      </c>
    </row>
    <row r="265" ht="12.9" customHeight="1">
      <c r="A265" t="s" s="10">
        <v>5799</v>
      </c>
      <c r="B265" t="s" s="11">
        <v>5800</v>
      </c>
      <c r="C265" s="12">
        <v>45021.935814618053</v>
      </c>
      <c r="D265" t="s" s="13">
        <v>23</v>
      </c>
      <c r="E265" t="s" s="13">
        <v>828</v>
      </c>
      <c r="F265" s="14">
        <v>1</v>
      </c>
      <c r="G265" s="15">
        <v>149.99</v>
      </c>
      <c r="H265" s="15">
        <v>149.99</v>
      </c>
    </row>
    <row r="266" ht="12.9" customHeight="1">
      <c r="A266" t="s" s="10">
        <v>5799</v>
      </c>
      <c r="B266" t="s" s="11">
        <v>5800</v>
      </c>
      <c r="C266" s="12">
        <v>45021.935814618053</v>
      </c>
      <c r="D266" t="s" s="13">
        <v>1729</v>
      </c>
      <c r="E266" t="s" s="13">
        <v>4639</v>
      </c>
      <c r="F266" s="14">
        <v>1</v>
      </c>
      <c r="G266" s="15">
        <v>14.99</v>
      </c>
      <c r="H266" s="15">
        <v>14.99</v>
      </c>
    </row>
    <row r="267" ht="12.9" customHeight="1">
      <c r="A267" t="s" s="10">
        <v>5801</v>
      </c>
      <c r="B267" t="s" s="11">
        <v>5802</v>
      </c>
      <c r="C267" s="12">
        <v>45021.753686724536</v>
      </c>
      <c r="D267" t="s" s="13">
        <v>1695</v>
      </c>
      <c r="E267" t="s" s="13">
        <v>140</v>
      </c>
      <c r="F267" s="14">
        <v>1</v>
      </c>
      <c r="G267" s="15">
        <v>49.99</v>
      </c>
      <c r="H267" s="15">
        <v>49.99</v>
      </c>
    </row>
    <row r="268" ht="12.9" customHeight="1">
      <c r="A268" t="s" s="10">
        <v>5801</v>
      </c>
      <c r="B268" t="s" s="11">
        <v>5802</v>
      </c>
      <c r="C268" s="12">
        <v>45021.753686724536</v>
      </c>
      <c r="D268" t="s" s="13">
        <v>15</v>
      </c>
      <c r="E268" t="s" s="13">
        <v>4757</v>
      </c>
      <c r="F268" s="14">
        <v>1</v>
      </c>
      <c r="G268" s="15">
        <v>8.99</v>
      </c>
      <c r="H268" s="15">
        <v>8.99</v>
      </c>
    </row>
    <row r="269" ht="12.9" customHeight="1">
      <c r="A269" t="s" s="10">
        <v>5803</v>
      </c>
      <c r="B269" t="s" s="11">
        <v>5804</v>
      </c>
      <c r="C269" s="12">
        <v>45021.681258888886</v>
      </c>
      <c r="D269" t="s" s="13">
        <v>95</v>
      </c>
      <c r="E269" t="s" s="13">
        <v>12</v>
      </c>
      <c r="F269" s="14">
        <v>1</v>
      </c>
      <c r="G269" s="15">
        <v>349.99</v>
      </c>
      <c r="H269" s="15">
        <v>349.99</v>
      </c>
    </row>
    <row r="270" ht="12.9" customHeight="1">
      <c r="A270" t="s" s="10">
        <v>5805</v>
      </c>
      <c r="B270" t="s" s="11">
        <v>3783</v>
      </c>
      <c r="C270" s="12">
        <v>45021.660657928238</v>
      </c>
      <c r="D270" t="s" s="13">
        <v>31</v>
      </c>
      <c r="E270" t="s" s="13">
        <v>32</v>
      </c>
      <c r="F270" s="14">
        <v>1</v>
      </c>
      <c r="G270" s="15">
        <v>599.99</v>
      </c>
      <c r="H270" s="15">
        <v>599.99</v>
      </c>
    </row>
    <row r="271" ht="12.9" customHeight="1">
      <c r="A271" t="s" s="10">
        <v>5806</v>
      </c>
      <c r="B271" t="s" s="11">
        <v>3189</v>
      </c>
      <c r="C271" s="12">
        <v>45021.625218356479</v>
      </c>
      <c r="D271" t="s" s="13">
        <v>123</v>
      </c>
      <c r="E271" t="s" s="13">
        <v>124</v>
      </c>
      <c r="F271" s="14">
        <v>2</v>
      </c>
      <c r="G271" s="15">
        <v>179.99</v>
      </c>
      <c r="H271" s="15">
        <v>359.98</v>
      </c>
    </row>
    <row r="272" ht="12.9" customHeight="1">
      <c r="A272" t="s" s="10">
        <v>5806</v>
      </c>
      <c r="B272" t="s" s="11">
        <v>3189</v>
      </c>
      <c r="C272" s="12">
        <v>45021.625218356479</v>
      </c>
      <c r="D272" t="s" s="13">
        <v>146</v>
      </c>
      <c r="E272" t="s" s="13">
        <v>147</v>
      </c>
      <c r="F272" s="14">
        <v>2</v>
      </c>
      <c r="G272" s="15">
        <v>19.99</v>
      </c>
      <c r="H272" s="15">
        <v>39.98</v>
      </c>
    </row>
    <row r="273" ht="12.9" customHeight="1">
      <c r="A273" t="s" s="10">
        <v>5806</v>
      </c>
      <c r="B273" t="s" s="11">
        <v>3189</v>
      </c>
      <c r="C273" s="12">
        <v>45021.625218356479</v>
      </c>
      <c r="D273" t="s" s="13">
        <v>15</v>
      </c>
      <c r="E273" t="s" s="13">
        <v>4757</v>
      </c>
      <c r="F273" s="14">
        <v>1</v>
      </c>
      <c r="G273" s="15">
        <v>8.99</v>
      </c>
      <c r="H273" s="15">
        <v>8.99</v>
      </c>
    </row>
    <row r="274" ht="12.9" customHeight="1">
      <c r="A274" t="s" s="10">
        <v>5807</v>
      </c>
      <c r="B274" t="s" s="11">
        <v>5808</v>
      </c>
      <c r="C274" s="12">
        <v>45021.577876041665</v>
      </c>
      <c r="D274" t="s" s="13">
        <v>73</v>
      </c>
      <c r="E274" t="s" s="13">
        <v>74</v>
      </c>
      <c r="F274" s="14">
        <v>1</v>
      </c>
      <c r="G274" s="15">
        <v>399.99</v>
      </c>
      <c r="H274" s="15">
        <v>399.99</v>
      </c>
    </row>
    <row r="275" ht="12.9" customHeight="1">
      <c r="A275" t="s" s="10">
        <v>5809</v>
      </c>
      <c r="B275" t="s" s="11">
        <v>1557</v>
      </c>
      <c r="C275" s="12">
        <v>45021.575932372682</v>
      </c>
      <c r="D275" t="s" s="13">
        <v>11</v>
      </c>
      <c r="E275" t="s" s="13">
        <v>12</v>
      </c>
      <c r="F275" s="14">
        <v>1</v>
      </c>
      <c r="G275" s="15">
        <v>399.99</v>
      </c>
      <c r="H275" s="15">
        <v>399.99</v>
      </c>
    </row>
    <row r="276" ht="12.9" customHeight="1">
      <c r="A276" t="s" s="10">
        <v>5810</v>
      </c>
      <c r="B276" t="s" s="11">
        <v>2306</v>
      </c>
      <c r="C276" s="12">
        <v>45021.022906527774</v>
      </c>
      <c r="D276" t="s" s="13">
        <v>89</v>
      </c>
      <c r="E276" t="s" s="13">
        <v>90</v>
      </c>
      <c r="F276" s="14">
        <v>16</v>
      </c>
      <c r="G276" s="15">
        <v>59.99</v>
      </c>
      <c r="H276" s="15">
        <v>959.84</v>
      </c>
    </row>
    <row r="277" ht="12.9" customHeight="1">
      <c r="A277" t="s" s="10">
        <v>5811</v>
      </c>
      <c r="B277" t="s" s="11">
        <v>338</v>
      </c>
      <c r="C277" s="12">
        <v>45020.791920625</v>
      </c>
      <c r="D277" t="s" s="13">
        <v>1695</v>
      </c>
      <c r="E277" t="s" s="13">
        <v>140</v>
      </c>
      <c r="F277" s="14">
        <v>1</v>
      </c>
      <c r="G277" s="15">
        <v>49.99</v>
      </c>
      <c r="H277" s="15">
        <v>49.99</v>
      </c>
    </row>
    <row r="278" ht="12.9" customHeight="1">
      <c r="A278" t="s" s="10">
        <v>5811</v>
      </c>
      <c r="B278" t="s" s="11">
        <v>338</v>
      </c>
      <c r="C278" s="12">
        <v>45020.791920625</v>
      </c>
      <c r="D278" t="s" s="13">
        <v>15</v>
      </c>
      <c r="E278" t="s" s="13">
        <v>4757</v>
      </c>
      <c r="F278" s="14">
        <v>1</v>
      </c>
      <c r="G278" s="15">
        <v>8.99</v>
      </c>
      <c r="H278" s="15">
        <v>8.99</v>
      </c>
    </row>
    <row r="279" ht="12.9" customHeight="1">
      <c r="A279" t="s" s="10">
        <v>5812</v>
      </c>
      <c r="B279" t="s" s="11">
        <v>5813</v>
      </c>
      <c r="C279" s="12">
        <v>45020.671484479164</v>
      </c>
      <c r="D279" t="s" s="13">
        <v>35</v>
      </c>
      <c r="E279" t="s" s="13">
        <v>36</v>
      </c>
      <c r="F279" s="14">
        <v>3</v>
      </c>
      <c r="G279" s="15">
        <v>49.99</v>
      </c>
      <c r="H279" s="15">
        <v>149.97</v>
      </c>
    </row>
    <row r="280" ht="12.9" customHeight="1">
      <c r="A280" t="s" s="10">
        <v>5814</v>
      </c>
      <c r="B280" t="s" s="11">
        <v>5815</v>
      </c>
      <c r="C280" s="12">
        <v>45020.641637789355</v>
      </c>
      <c r="D280" t="s" s="13">
        <v>50</v>
      </c>
      <c r="E280" t="s" s="13">
        <v>83</v>
      </c>
      <c r="F280" s="14">
        <v>2</v>
      </c>
      <c r="G280" s="15">
        <v>29.99</v>
      </c>
      <c r="H280" s="15">
        <v>59.98</v>
      </c>
    </row>
    <row r="281" ht="12.9" customHeight="1">
      <c r="A281" t="s" s="10">
        <v>5816</v>
      </c>
      <c r="B281" t="s" s="11">
        <v>5817</v>
      </c>
      <c r="C281" s="12">
        <v>45020.63416875</v>
      </c>
      <c r="D281" t="s" s="13">
        <v>59</v>
      </c>
      <c r="E281" t="s" s="13">
        <v>60</v>
      </c>
      <c r="F281" s="14">
        <v>1</v>
      </c>
      <c r="G281" s="15">
        <v>1199.99</v>
      </c>
      <c r="H281" s="15">
        <v>1199.99</v>
      </c>
    </row>
    <row r="282" ht="12.9" customHeight="1">
      <c r="A282" t="s" s="10">
        <v>5818</v>
      </c>
      <c r="B282" t="s" s="11">
        <v>5714</v>
      </c>
      <c r="C282" s="12">
        <v>45020</v>
      </c>
      <c r="D282" t="s" s="13">
        <v>48</v>
      </c>
      <c r="E282" t="s" s="13">
        <v>49</v>
      </c>
      <c r="F282" s="14">
        <v>8</v>
      </c>
      <c r="G282" s="15">
        <v>1299.99</v>
      </c>
      <c r="H282" s="15">
        <v>10399.92</v>
      </c>
    </row>
    <row r="283" ht="12.9" customHeight="1">
      <c r="A283" t="s" s="10">
        <v>5818</v>
      </c>
      <c r="B283" t="s" s="11">
        <v>5714</v>
      </c>
      <c r="C283" s="12">
        <v>45020</v>
      </c>
      <c r="D283" t="s" s="13">
        <v>23</v>
      </c>
      <c r="E283" t="s" s="13">
        <v>828</v>
      </c>
      <c r="F283" s="14">
        <v>4</v>
      </c>
      <c r="G283" s="15">
        <v>0</v>
      </c>
      <c r="H283" s="15">
        <v>0</v>
      </c>
    </row>
    <row r="284" ht="12.9" customHeight="1">
      <c r="A284" t="s" s="10">
        <v>5818</v>
      </c>
      <c r="B284" t="s" s="11">
        <v>5714</v>
      </c>
      <c r="C284" s="12">
        <v>45020</v>
      </c>
      <c r="D284" t="s" s="13">
        <v>354</v>
      </c>
      <c r="E284" t="s" s="13">
        <v>828</v>
      </c>
      <c r="F284" s="14">
        <v>4</v>
      </c>
      <c r="G284" s="15">
        <v>0</v>
      </c>
      <c r="H284" s="15">
        <v>0</v>
      </c>
    </row>
    <row r="285" ht="12.9" customHeight="1">
      <c r="A285" t="s" s="10">
        <v>5818</v>
      </c>
      <c r="B285" t="s" s="11">
        <v>5714</v>
      </c>
      <c r="C285" s="12">
        <v>45020</v>
      </c>
      <c r="D285" t="s" s="13">
        <v>2961</v>
      </c>
      <c r="E285" t="s" s="13">
        <v>2962</v>
      </c>
      <c r="F285" s="14">
        <v>4</v>
      </c>
      <c r="G285" s="15">
        <v>0</v>
      </c>
      <c r="H285" s="15">
        <v>0</v>
      </c>
    </row>
    <row r="286" ht="12.9" customHeight="1">
      <c r="A286" t="s" s="10">
        <v>5818</v>
      </c>
      <c r="B286" t="s" s="11">
        <v>5714</v>
      </c>
      <c r="C286" s="12">
        <v>45020</v>
      </c>
      <c r="D286" t="s" s="13">
        <v>54</v>
      </c>
      <c r="E286" t="s" s="13">
        <v>93</v>
      </c>
      <c r="F286" s="14">
        <v>8</v>
      </c>
      <c r="G286" s="15">
        <v>0</v>
      </c>
      <c r="H286" s="15">
        <v>0</v>
      </c>
    </row>
    <row r="287" ht="12.9" customHeight="1">
      <c r="A287" t="s" s="10">
        <v>5818</v>
      </c>
      <c r="B287" t="s" s="11">
        <v>5714</v>
      </c>
      <c r="C287" s="12">
        <v>45020</v>
      </c>
      <c r="D287" t="s" s="13">
        <v>15</v>
      </c>
      <c r="E287" t="s" s="13">
        <v>5819</v>
      </c>
      <c r="F287" s="14">
        <v>8</v>
      </c>
      <c r="G287" s="15">
        <v>0</v>
      </c>
      <c r="H287" s="15">
        <v>0</v>
      </c>
    </row>
    <row r="288" ht="12.9" customHeight="1">
      <c r="A288" t="s" s="10">
        <v>5818</v>
      </c>
      <c r="B288" t="s" s="11">
        <v>5714</v>
      </c>
      <c r="C288" s="12">
        <v>45020</v>
      </c>
      <c r="D288" t="s" s="13">
        <v>50</v>
      </c>
      <c r="E288" t="s" s="13">
        <v>83</v>
      </c>
      <c r="F288" s="14">
        <v>8</v>
      </c>
      <c r="G288" s="15">
        <v>0</v>
      </c>
      <c r="H288" s="15">
        <v>0</v>
      </c>
    </row>
    <row r="289" ht="12.9" customHeight="1">
      <c r="A289" t="s" s="10">
        <v>5818</v>
      </c>
      <c r="B289" t="s" s="11">
        <v>5714</v>
      </c>
      <c r="C289" s="12">
        <v>45020</v>
      </c>
      <c r="D289" t="s" s="13">
        <v>5820</v>
      </c>
      <c r="E289" t="s" s="13">
        <v>5821</v>
      </c>
      <c r="F289" s="14">
        <v>8</v>
      </c>
      <c r="G289" s="15">
        <v>0</v>
      </c>
      <c r="H289" s="15">
        <v>0</v>
      </c>
    </row>
    <row r="290" ht="12.9" customHeight="1">
      <c r="A290" t="s" s="10">
        <v>5818</v>
      </c>
      <c r="B290" t="s" s="11">
        <v>5714</v>
      </c>
      <c r="C290" s="12">
        <v>45020</v>
      </c>
      <c r="D290" t="s" s="13">
        <v>359</v>
      </c>
      <c r="E290" t="s" s="13">
        <v>4199</v>
      </c>
      <c r="F290" s="14">
        <v>8</v>
      </c>
      <c r="G290" s="15">
        <v>0</v>
      </c>
      <c r="H290" s="15">
        <v>0</v>
      </c>
    </row>
    <row r="291" ht="12.9" customHeight="1">
      <c r="A291" t="s" s="10">
        <v>5818</v>
      </c>
      <c r="B291" t="s" s="11">
        <v>5714</v>
      </c>
      <c r="C291" s="12">
        <v>45020</v>
      </c>
      <c r="D291" t="s" s="13">
        <v>77</v>
      </c>
      <c r="E291" t="s" s="13">
        <v>4224</v>
      </c>
      <c r="F291" s="14">
        <v>4</v>
      </c>
      <c r="G291" s="15">
        <v>0</v>
      </c>
      <c r="H291" s="15">
        <v>0</v>
      </c>
    </row>
    <row r="292" ht="12.9" customHeight="1">
      <c r="A292" t="s" s="10">
        <v>5822</v>
      </c>
      <c r="B292" t="s" s="11">
        <v>2683</v>
      </c>
      <c r="C292" s="12">
        <v>45019.976384317131</v>
      </c>
      <c r="D292" t="s" s="13">
        <v>589</v>
      </c>
      <c r="E292" t="s" s="13">
        <v>590</v>
      </c>
      <c r="F292" s="14">
        <v>1</v>
      </c>
      <c r="G292" s="15">
        <v>7.49</v>
      </c>
      <c r="H292" s="15">
        <v>7.49</v>
      </c>
    </row>
    <row r="293" ht="12.9" customHeight="1">
      <c r="A293" t="s" s="10">
        <v>5823</v>
      </c>
      <c r="B293" t="s" s="11">
        <v>5824</v>
      </c>
      <c r="C293" s="12">
        <v>45019.887043842595</v>
      </c>
      <c r="D293" t="s" s="13">
        <v>54</v>
      </c>
      <c r="E293" t="s" s="13">
        <v>93</v>
      </c>
      <c r="F293" s="14">
        <v>2</v>
      </c>
      <c r="G293" s="15">
        <v>9.99</v>
      </c>
      <c r="H293" s="15">
        <v>19.98</v>
      </c>
    </row>
    <row r="294" ht="12.9" customHeight="1">
      <c r="A294" t="s" s="10">
        <v>5825</v>
      </c>
      <c r="B294" t="s" s="11">
        <v>5753</v>
      </c>
      <c r="C294" s="12">
        <v>45019.796579363428</v>
      </c>
      <c r="D294" t="s" s="13">
        <v>225</v>
      </c>
      <c r="E294" t="s" s="13">
        <v>226</v>
      </c>
      <c r="F294" s="14">
        <v>1</v>
      </c>
      <c r="G294" s="15">
        <v>499.99</v>
      </c>
      <c r="H294" s="15">
        <v>499.99</v>
      </c>
    </row>
    <row r="295" ht="12.9" customHeight="1">
      <c r="A295" t="s" s="10">
        <v>5825</v>
      </c>
      <c r="B295" t="s" s="11">
        <v>5753</v>
      </c>
      <c r="C295" s="12">
        <v>45019.796579363428</v>
      </c>
      <c r="D295" t="s" s="13">
        <v>227</v>
      </c>
      <c r="E295" t="s" s="13">
        <v>228</v>
      </c>
      <c r="F295" s="14">
        <v>1</v>
      </c>
      <c r="G295" s="15">
        <v>0</v>
      </c>
      <c r="H295" s="15">
        <v>0</v>
      </c>
    </row>
    <row r="296" ht="12.9" customHeight="1">
      <c r="A296" t="s" s="10">
        <v>5825</v>
      </c>
      <c r="B296" t="s" s="11">
        <v>5753</v>
      </c>
      <c r="C296" s="12">
        <v>45019.796579363428</v>
      </c>
      <c r="D296" t="s" s="13">
        <v>133</v>
      </c>
      <c r="E296" t="s" s="13">
        <v>4835</v>
      </c>
      <c r="F296" s="14">
        <v>1</v>
      </c>
      <c r="G296" s="15">
        <v>199.99</v>
      </c>
      <c r="H296" s="15">
        <v>199.99</v>
      </c>
    </row>
    <row r="297" ht="12.9" customHeight="1">
      <c r="A297" t="s" s="10">
        <v>5825</v>
      </c>
      <c r="B297" t="s" s="11">
        <v>5753</v>
      </c>
      <c r="C297" s="12">
        <v>45019.796579363428</v>
      </c>
      <c r="D297" t="s" s="13">
        <v>84</v>
      </c>
      <c r="E297" t="s" s="13">
        <v>4225</v>
      </c>
      <c r="F297" s="14">
        <v>1</v>
      </c>
      <c r="G297" s="15">
        <v>15</v>
      </c>
      <c r="H297" s="15">
        <v>15</v>
      </c>
    </row>
    <row r="298" ht="12.9" customHeight="1">
      <c r="A298" t="s" s="10">
        <v>5826</v>
      </c>
      <c r="B298" t="s" s="11">
        <v>5827</v>
      </c>
      <c r="C298" s="12">
        <v>45019.659318993057</v>
      </c>
      <c r="D298" t="s" s="13">
        <v>15</v>
      </c>
      <c r="E298" t="s" s="13">
        <v>4757</v>
      </c>
      <c r="F298" s="14">
        <v>2</v>
      </c>
      <c r="G298" s="15">
        <v>9.99</v>
      </c>
      <c r="H298" s="15">
        <v>19.98</v>
      </c>
    </row>
    <row r="299" ht="12.9" customHeight="1">
      <c r="A299" t="s" s="10">
        <v>5828</v>
      </c>
      <c r="B299" t="s" s="11">
        <v>555</v>
      </c>
      <c r="C299" s="12">
        <v>45019</v>
      </c>
      <c r="D299" t="s" s="13">
        <v>73</v>
      </c>
      <c r="E299" t="s" s="13">
        <v>74</v>
      </c>
      <c r="F299" s="14">
        <v>5</v>
      </c>
      <c r="G299" s="15">
        <v>299.9925</v>
      </c>
      <c r="H299" s="15">
        <v>1499.9625</v>
      </c>
    </row>
    <row r="300" ht="12.9" customHeight="1">
      <c r="A300" t="s" s="10">
        <v>5828</v>
      </c>
      <c r="B300" t="s" s="11">
        <v>555</v>
      </c>
      <c r="C300" s="12">
        <v>45019</v>
      </c>
      <c r="D300" t="s" s="13">
        <v>35</v>
      </c>
      <c r="E300" t="s" s="13">
        <v>36</v>
      </c>
      <c r="F300" s="14">
        <v>5</v>
      </c>
      <c r="G300" s="15">
        <v>37.4925</v>
      </c>
      <c r="H300" s="15">
        <v>187.4625</v>
      </c>
    </row>
    <row r="301" ht="12.9" customHeight="1">
      <c r="A301" t="s" s="10">
        <v>5828</v>
      </c>
      <c r="B301" t="s" s="11">
        <v>555</v>
      </c>
      <c r="C301" s="12">
        <v>45019</v>
      </c>
      <c r="D301" t="s" s="13">
        <v>762</v>
      </c>
      <c r="E301" t="s" s="13">
        <v>763</v>
      </c>
      <c r="F301" s="14">
        <v>2</v>
      </c>
      <c r="G301" s="15">
        <v>0</v>
      </c>
      <c r="H301" s="15">
        <v>0</v>
      </c>
    </row>
    <row r="302" ht="12.9" customHeight="1">
      <c r="A302" t="s" s="10">
        <v>5828</v>
      </c>
      <c r="B302" t="s" s="11">
        <v>555</v>
      </c>
      <c r="C302" s="12">
        <v>45019</v>
      </c>
      <c r="D302" t="s" s="13">
        <v>404</v>
      </c>
      <c r="E302" t="s" s="13">
        <v>405</v>
      </c>
      <c r="F302" s="14">
        <v>2</v>
      </c>
      <c r="G302" s="15">
        <v>0</v>
      </c>
      <c r="H302" s="15">
        <v>0</v>
      </c>
    </row>
    <row r="303" ht="12.9" customHeight="1">
      <c r="A303" t="s" s="10">
        <v>5828</v>
      </c>
      <c r="B303" t="s" s="11">
        <v>555</v>
      </c>
      <c r="C303" s="12">
        <v>45019</v>
      </c>
      <c r="D303" t="s" s="13">
        <v>1236</v>
      </c>
      <c r="E303" t="s" s="13">
        <v>1237</v>
      </c>
      <c r="F303" s="14">
        <v>2</v>
      </c>
      <c r="G303" s="15">
        <v>0</v>
      </c>
      <c r="H303" s="15">
        <v>0</v>
      </c>
    </row>
    <row r="304" ht="12.9" customHeight="1">
      <c r="A304" t="s" s="10">
        <v>5828</v>
      </c>
      <c r="B304" t="s" s="11">
        <v>555</v>
      </c>
      <c r="C304" s="12">
        <v>45019</v>
      </c>
      <c r="D304" t="s" s="13">
        <v>63</v>
      </c>
      <c r="E304" s="16"/>
      <c r="F304" s="14">
        <v>1</v>
      </c>
      <c r="G304" s="15">
        <v>115</v>
      </c>
      <c r="H304" s="15">
        <v>115</v>
      </c>
    </row>
    <row r="305" ht="12.9" customHeight="1">
      <c r="A305" t="s" s="10">
        <v>5829</v>
      </c>
      <c r="B305" t="s" s="11">
        <v>5097</v>
      </c>
      <c r="C305" s="12">
        <v>45018.735419340279</v>
      </c>
      <c r="D305" t="s" s="13">
        <v>19</v>
      </c>
      <c r="E305" t="s" s="13">
        <v>20</v>
      </c>
      <c r="F305" s="14">
        <v>1</v>
      </c>
      <c r="G305" s="15">
        <v>119.99</v>
      </c>
      <c r="H305" s="15">
        <v>119.99</v>
      </c>
    </row>
    <row r="306" ht="12.9" customHeight="1">
      <c r="A306" t="s" s="10">
        <v>5829</v>
      </c>
      <c r="B306" t="s" s="11">
        <v>5097</v>
      </c>
      <c r="C306" s="12">
        <v>45018.735419340279</v>
      </c>
      <c r="D306" t="s" s="13">
        <v>15</v>
      </c>
      <c r="E306" t="s" s="13">
        <v>4757</v>
      </c>
      <c r="F306" s="14">
        <v>1</v>
      </c>
      <c r="G306" s="15">
        <v>9.99</v>
      </c>
      <c r="H306" s="15">
        <v>9.99</v>
      </c>
    </row>
    <row r="307" ht="12.9" customHeight="1">
      <c r="A307" t="s" s="10">
        <v>5829</v>
      </c>
      <c r="B307" t="s" s="11">
        <v>5097</v>
      </c>
      <c r="C307" s="12">
        <v>45018.735419340279</v>
      </c>
      <c r="D307" t="s" s="13">
        <v>35</v>
      </c>
      <c r="E307" t="s" s="13">
        <v>36</v>
      </c>
      <c r="F307" s="14">
        <v>1</v>
      </c>
      <c r="G307" s="15">
        <v>49.99</v>
      </c>
      <c r="H307" s="15">
        <v>49.99</v>
      </c>
    </row>
    <row r="308" ht="12.9" customHeight="1">
      <c r="A308" t="s" s="10">
        <v>5830</v>
      </c>
      <c r="B308" t="s" s="11">
        <v>5831</v>
      </c>
      <c r="C308" s="12">
        <v>45018.001564791666</v>
      </c>
      <c r="D308" t="s" s="13">
        <v>73</v>
      </c>
      <c r="E308" t="s" s="13">
        <v>74</v>
      </c>
      <c r="F308" s="14">
        <v>1</v>
      </c>
      <c r="G308" s="15">
        <v>399.99</v>
      </c>
      <c r="H308" s="15">
        <v>399.99</v>
      </c>
    </row>
    <row r="309" ht="12.9" customHeight="1">
      <c r="A309" t="s" s="10">
        <v>5832</v>
      </c>
      <c r="B309" t="s" s="11">
        <v>5833</v>
      </c>
      <c r="C309" s="12">
        <v>45017.243992418982</v>
      </c>
      <c r="D309" t="s" s="13">
        <v>54</v>
      </c>
      <c r="E309" t="s" s="13">
        <v>93</v>
      </c>
      <c r="F309" s="14">
        <v>1</v>
      </c>
      <c r="G309" s="15">
        <v>9.99</v>
      </c>
      <c r="H309" s="15">
        <v>9.99</v>
      </c>
    </row>
    <row r="311" ht="15.55" customHeight="1">
      <c r="I311" t="s" s="2">
        <v>5834</v>
      </c>
      <c r="J311" s="2"/>
      <c r="K311" s="2"/>
      <c r="L311" s="2"/>
      <c r="M311" s="2"/>
      <c r="N311" s="2"/>
      <c r="O311" s="2"/>
    </row>
    <row r="313" ht="16.1" customHeight="1">
      <c r="I313" t="s" s="349">
        <v>2</v>
      </c>
      <c r="J313" t="s" s="350">
        <v>1</v>
      </c>
      <c r="K313" t="s" s="350">
        <v>616</v>
      </c>
      <c r="L313" t="s" s="351">
        <v>4</v>
      </c>
      <c r="M313" t="s" s="352">
        <v>617</v>
      </c>
      <c r="N313" t="s" s="353">
        <v>618</v>
      </c>
      <c r="O313" t="s" s="353">
        <v>619</v>
      </c>
    </row>
    <row r="314" ht="16.1" customHeight="1">
      <c r="I314" t="s" s="121">
        <v>5749</v>
      </c>
      <c r="J314" s="122"/>
      <c r="K314" s="122"/>
      <c r="L314" s="123"/>
      <c r="M314" s="124">
        <v>1</v>
      </c>
      <c r="N314" s="141">
        <v>399.99</v>
      </c>
      <c r="O314" s="141">
        <v>399.99</v>
      </c>
    </row>
    <row r="315" ht="16.1" customHeight="1">
      <c r="I315" t="s" s="126">
        <v>1110</v>
      </c>
      <c r="J315" s="127"/>
      <c r="K315" s="127"/>
      <c r="L315" s="128"/>
      <c r="M315" s="129">
        <v>2</v>
      </c>
      <c r="N315" s="142">
        <v>282.4925</v>
      </c>
      <c r="O315" s="142">
        <v>282.4925</v>
      </c>
    </row>
    <row r="316" ht="16.1" customHeight="1">
      <c r="I316" t="s" s="126">
        <v>161</v>
      </c>
      <c r="J316" s="127"/>
      <c r="K316" s="127"/>
      <c r="L316" s="128"/>
      <c r="M316" s="129">
        <v>24</v>
      </c>
      <c r="N316" s="142">
        <v>0</v>
      </c>
      <c r="O316" s="142">
        <v>0</v>
      </c>
    </row>
    <row r="317" ht="16.1" customHeight="1">
      <c r="I317" t="s" s="126">
        <v>5657</v>
      </c>
      <c r="J317" s="127"/>
      <c r="K317" s="127"/>
      <c r="L317" s="128"/>
      <c r="M317" s="129">
        <v>2</v>
      </c>
      <c r="N317" s="142">
        <v>549.99</v>
      </c>
      <c r="O317" s="142">
        <v>1099.98</v>
      </c>
    </row>
    <row r="318" ht="16.1" customHeight="1">
      <c r="I318" t="s" s="126">
        <v>5776</v>
      </c>
      <c r="J318" s="127"/>
      <c r="K318" s="127"/>
      <c r="L318" s="128"/>
      <c r="M318" s="129">
        <v>1</v>
      </c>
      <c r="N318" s="142">
        <v>349.99</v>
      </c>
      <c r="O318" s="142">
        <v>349.99</v>
      </c>
    </row>
    <row r="319" ht="16.1" customHeight="1">
      <c r="I319" t="s" s="126">
        <v>5833</v>
      </c>
      <c r="J319" s="127"/>
      <c r="K319" s="127"/>
      <c r="L319" s="128"/>
      <c r="M319" s="129">
        <v>1</v>
      </c>
      <c r="N319" s="142">
        <v>9.99</v>
      </c>
      <c r="O319" s="142">
        <v>9.99</v>
      </c>
    </row>
    <row r="320" ht="16.1" customHeight="1">
      <c r="I320" t="s" s="126">
        <v>5708</v>
      </c>
      <c r="J320" s="127"/>
      <c r="K320" s="127"/>
      <c r="L320" s="128"/>
      <c r="M320" s="129">
        <v>7</v>
      </c>
      <c r="N320" s="142">
        <v>1166.99</v>
      </c>
      <c r="O320" s="142">
        <v>2316.98</v>
      </c>
    </row>
    <row r="321" ht="16.1" customHeight="1">
      <c r="I321" t="s" s="126">
        <v>5590</v>
      </c>
      <c r="J321" s="127"/>
      <c r="K321" s="127"/>
      <c r="L321" s="128"/>
      <c r="M321" s="129">
        <v>1</v>
      </c>
      <c r="N321" s="142">
        <v>399.99</v>
      </c>
      <c r="O321" s="142">
        <v>399.99</v>
      </c>
    </row>
    <row r="322" ht="16.1" customHeight="1">
      <c r="I322" t="s" s="126">
        <v>5808</v>
      </c>
      <c r="J322" s="127"/>
      <c r="K322" s="127"/>
      <c r="L322" s="128"/>
      <c r="M322" s="129">
        <v>1</v>
      </c>
      <c r="N322" s="142">
        <v>399.99</v>
      </c>
      <c r="O322" s="142">
        <v>399.99</v>
      </c>
    </row>
    <row r="323" ht="16.1" customHeight="1">
      <c r="I323" t="s" s="126">
        <v>5722</v>
      </c>
      <c r="J323" s="127"/>
      <c r="K323" s="127"/>
      <c r="L323" s="128"/>
      <c r="M323" s="129">
        <v>16</v>
      </c>
      <c r="N323" s="142">
        <v>2702.44</v>
      </c>
      <c r="O323" s="142">
        <v>2904.9</v>
      </c>
    </row>
    <row r="324" ht="16.1" customHeight="1">
      <c r="I324" t="s" s="126">
        <v>4679</v>
      </c>
      <c r="J324" s="127"/>
      <c r="K324" s="127"/>
      <c r="L324" s="128"/>
      <c r="M324" s="129">
        <v>18</v>
      </c>
      <c r="N324" s="142">
        <v>27.96</v>
      </c>
      <c r="O324" s="142">
        <v>114.32</v>
      </c>
    </row>
    <row r="325" ht="16.1" customHeight="1">
      <c r="I325" t="s" s="126">
        <v>2829</v>
      </c>
      <c r="J325" s="127"/>
      <c r="K325" s="127"/>
      <c r="L325" s="128"/>
      <c r="M325" s="129">
        <v>23</v>
      </c>
      <c r="N325" s="142">
        <v>234.99</v>
      </c>
      <c r="O325" s="142">
        <v>1309.94</v>
      </c>
    </row>
    <row r="326" ht="16.1" customHeight="1">
      <c r="I326" t="s" s="126">
        <v>5714</v>
      </c>
      <c r="J326" s="127"/>
      <c r="K326" s="127"/>
      <c r="L326" s="128"/>
      <c r="M326" s="129">
        <v>81</v>
      </c>
      <c r="N326" s="142">
        <v>1468</v>
      </c>
      <c r="O326" s="142">
        <v>10927.9</v>
      </c>
    </row>
    <row r="327" ht="16.1" customHeight="1">
      <c r="I327" t="s" s="126">
        <v>5609</v>
      </c>
      <c r="J327" s="127"/>
      <c r="K327" s="127"/>
      <c r="L327" s="128"/>
      <c r="M327" s="129">
        <v>2</v>
      </c>
      <c r="N327" s="142">
        <v>399.99</v>
      </c>
      <c r="O327" s="142">
        <v>799.98</v>
      </c>
    </row>
    <row r="328" ht="16.1" customHeight="1">
      <c r="I328" t="s" s="126">
        <v>5665</v>
      </c>
      <c r="J328" s="127"/>
      <c r="K328" s="127"/>
      <c r="L328" s="128"/>
      <c r="M328" s="129">
        <v>5</v>
      </c>
      <c r="N328" s="142">
        <v>60.97</v>
      </c>
      <c r="O328" s="142">
        <v>112.95</v>
      </c>
    </row>
    <row r="329" ht="16.1" customHeight="1">
      <c r="I329" t="s" s="126">
        <v>5647</v>
      </c>
      <c r="J329" s="127"/>
      <c r="K329" s="127"/>
      <c r="L329" s="128"/>
      <c r="M329" s="129">
        <v>2</v>
      </c>
      <c r="N329" s="142">
        <v>49.99</v>
      </c>
      <c r="O329" s="142">
        <v>99.98</v>
      </c>
    </row>
    <row r="330" ht="16.1" customHeight="1">
      <c r="I330" t="s" s="126">
        <v>5733</v>
      </c>
      <c r="J330" s="127"/>
      <c r="K330" s="127"/>
      <c r="L330" s="128"/>
      <c r="M330" s="129">
        <v>1</v>
      </c>
      <c r="N330" s="142">
        <v>349.99</v>
      </c>
      <c r="O330" s="142">
        <v>349.99</v>
      </c>
    </row>
    <row r="331" ht="16.1" customHeight="1">
      <c r="I331" t="s" s="126">
        <v>5804</v>
      </c>
      <c r="J331" s="127"/>
      <c r="K331" s="127"/>
      <c r="L331" s="128"/>
      <c r="M331" s="129">
        <v>1</v>
      </c>
      <c r="N331" s="142">
        <v>349.99</v>
      </c>
      <c r="O331" s="142">
        <v>349.99</v>
      </c>
    </row>
    <row r="332" ht="16.1" customHeight="1">
      <c r="I332" t="s" s="126">
        <v>2115</v>
      </c>
      <c r="J332" s="127"/>
      <c r="K332" s="127"/>
      <c r="L332" s="128"/>
      <c r="M332" s="129">
        <v>8</v>
      </c>
      <c r="N332" s="142">
        <v>254.97</v>
      </c>
      <c r="O332" s="142">
        <v>394.94</v>
      </c>
    </row>
    <row r="333" ht="16.1" customHeight="1">
      <c r="I333" t="s" s="126">
        <v>5698</v>
      </c>
      <c r="J333" s="127"/>
      <c r="K333" s="127"/>
      <c r="L333" s="128"/>
      <c r="M333" s="129">
        <v>1</v>
      </c>
      <c r="N333" s="142">
        <v>399.99</v>
      </c>
      <c r="O333" s="142">
        <v>399.99</v>
      </c>
    </row>
    <row r="334" ht="16.1" customHeight="1">
      <c r="I334" t="s" s="126">
        <v>5785</v>
      </c>
      <c r="J334" s="127"/>
      <c r="K334" s="127"/>
      <c r="L334" s="128"/>
      <c r="M334" s="129">
        <v>1</v>
      </c>
      <c r="N334" s="142">
        <v>599.99</v>
      </c>
      <c r="O334" s="142">
        <v>599.99</v>
      </c>
    </row>
    <row r="335" ht="16.1" customHeight="1">
      <c r="I335" t="s" s="126">
        <v>5643</v>
      </c>
      <c r="J335" s="127"/>
      <c r="K335" s="127"/>
      <c r="L335" s="128"/>
      <c r="M335" s="129">
        <v>1</v>
      </c>
      <c r="N335" s="142">
        <v>29.99</v>
      </c>
      <c r="O335" s="142">
        <v>29.99</v>
      </c>
    </row>
    <row r="336" ht="16.1" customHeight="1">
      <c r="I336" t="s" s="126">
        <v>5653</v>
      </c>
      <c r="J336" s="127"/>
      <c r="K336" s="127"/>
      <c r="L336" s="128"/>
      <c r="M336" s="129">
        <v>1</v>
      </c>
      <c r="N336" s="142">
        <v>349.99</v>
      </c>
      <c r="O336" s="142">
        <v>349.99</v>
      </c>
    </row>
    <row r="337" ht="16.1" customHeight="1">
      <c r="I337" t="s" s="126">
        <v>5751</v>
      </c>
      <c r="J337" s="127"/>
      <c r="K337" s="127"/>
      <c r="L337" s="128"/>
      <c r="M337" s="129">
        <v>13</v>
      </c>
      <c r="N337" s="142">
        <v>4459.97</v>
      </c>
      <c r="O337" s="142">
        <v>6199.87</v>
      </c>
    </row>
    <row r="338" ht="16.1" customHeight="1">
      <c r="I338" t="s" s="126">
        <v>5680</v>
      </c>
      <c r="J338" s="127"/>
      <c r="K338" s="127"/>
      <c r="L338" s="128"/>
      <c r="M338" s="129">
        <v>1</v>
      </c>
      <c r="N338" s="142">
        <v>399.99</v>
      </c>
      <c r="O338" s="142">
        <v>399.99</v>
      </c>
    </row>
    <row r="339" ht="16.1" customHeight="1">
      <c r="I339" t="s" s="126">
        <v>391</v>
      </c>
      <c r="J339" s="127"/>
      <c r="K339" s="127"/>
      <c r="L339" s="128"/>
      <c r="M339" s="129">
        <v>40</v>
      </c>
      <c r="N339" s="142">
        <v>2006.211</v>
      </c>
      <c r="O339" s="142">
        <v>5516.919</v>
      </c>
    </row>
    <row r="340" ht="16.1" customHeight="1">
      <c r="I340" t="s" s="126">
        <v>2940</v>
      </c>
      <c r="J340" s="127"/>
      <c r="K340" s="127"/>
      <c r="L340" s="128"/>
      <c r="M340" s="129">
        <v>1</v>
      </c>
      <c r="N340" s="142">
        <v>359.991</v>
      </c>
      <c r="O340" s="142">
        <v>359.991</v>
      </c>
    </row>
    <row r="341" ht="16.1" customHeight="1">
      <c r="I341" t="s" s="126">
        <v>4525</v>
      </c>
      <c r="J341" s="127"/>
      <c r="K341" s="127"/>
      <c r="L341" s="128"/>
      <c r="M341" s="129">
        <v>1</v>
      </c>
      <c r="N341" s="142">
        <v>399.99</v>
      </c>
      <c r="O341" s="142">
        <v>399.99</v>
      </c>
    </row>
    <row r="342" ht="16.1" customHeight="1">
      <c r="I342" t="s" s="126">
        <v>3383</v>
      </c>
      <c r="J342" s="127"/>
      <c r="K342" s="127"/>
      <c r="L342" s="128"/>
      <c r="M342" s="129">
        <v>4</v>
      </c>
      <c r="N342" s="142">
        <v>257.96</v>
      </c>
      <c r="O342" s="142">
        <v>257.96</v>
      </c>
    </row>
    <row r="343" ht="16.1" customHeight="1">
      <c r="I343" t="s" s="126">
        <v>5650</v>
      </c>
      <c r="J343" s="127"/>
      <c r="K343" s="127"/>
      <c r="L343" s="128"/>
      <c r="M343" s="129">
        <v>11</v>
      </c>
      <c r="N343" s="142">
        <v>1768.94</v>
      </c>
      <c r="O343" s="142">
        <v>2337.89</v>
      </c>
    </row>
    <row r="344" ht="16.1" customHeight="1">
      <c r="I344" t="s" s="126">
        <v>555</v>
      </c>
      <c r="J344" s="127"/>
      <c r="K344" s="127"/>
      <c r="L344" s="128"/>
      <c r="M344" s="129">
        <v>17</v>
      </c>
      <c r="N344" s="142">
        <v>452.485</v>
      </c>
      <c r="O344" s="142">
        <v>1802.425</v>
      </c>
    </row>
    <row r="345" ht="16.1" customHeight="1">
      <c r="I345" t="s" s="126">
        <v>5787</v>
      </c>
      <c r="J345" s="127"/>
      <c r="K345" s="127"/>
      <c r="L345" s="128"/>
      <c r="M345" s="129">
        <v>1</v>
      </c>
      <c r="N345" s="142">
        <v>49.99</v>
      </c>
      <c r="O345" s="142">
        <v>49.99</v>
      </c>
    </row>
    <row r="346" ht="16.1" customHeight="1">
      <c r="I346" t="s" s="126">
        <v>69</v>
      </c>
      <c r="J346" s="127"/>
      <c r="K346" s="127"/>
      <c r="L346" s="128"/>
      <c r="M346" s="129">
        <v>25</v>
      </c>
      <c r="N346" s="142">
        <v>0</v>
      </c>
      <c r="O346" s="142">
        <v>0</v>
      </c>
    </row>
    <row r="347" ht="16.1" customHeight="1">
      <c r="I347" t="s" s="126">
        <v>3792</v>
      </c>
      <c r="J347" s="127"/>
      <c r="K347" s="127"/>
      <c r="L347" s="128"/>
      <c r="M347" s="129">
        <v>19</v>
      </c>
      <c r="N347" s="142">
        <v>1703.89</v>
      </c>
      <c r="O347" s="142">
        <v>2368.83</v>
      </c>
    </row>
    <row r="348" ht="16.1" customHeight="1">
      <c r="I348" t="s" s="126">
        <v>3189</v>
      </c>
      <c r="J348" s="127"/>
      <c r="K348" s="127"/>
      <c r="L348" s="128"/>
      <c r="M348" s="129">
        <v>5</v>
      </c>
      <c r="N348" s="142">
        <v>208.97</v>
      </c>
      <c r="O348" s="142">
        <v>408.95</v>
      </c>
    </row>
    <row r="349" ht="16.1" customHeight="1">
      <c r="I349" t="s" s="126">
        <v>5735</v>
      </c>
      <c r="J349" s="127"/>
      <c r="K349" s="127"/>
      <c r="L349" s="128"/>
      <c r="M349" s="129">
        <v>2</v>
      </c>
      <c r="N349" s="142">
        <v>109.98</v>
      </c>
      <c r="O349" s="142">
        <v>109.98</v>
      </c>
    </row>
    <row r="350" ht="16.1" customHeight="1">
      <c r="I350" t="s" s="126">
        <v>5731</v>
      </c>
      <c r="J350" s="127"/>
      <c r="K350" s="127"/>
      <c r="L350" s="128"/>
      <c r="M350" s="129">
        <v>2</v>
      </c>
      <c r="N350" s="142">
        <v>59.98</v>
      </c>
      <c r="O350" s="142">
        <v>59.98</v>
      </c>
    </row>
    <row r="351" ht="16.1" customHeight="1">
      <c r="I351" t="s" s="126">
        <v>2683</v>
      </c>
      <c r="J351" s="127"/>
      <c r="K351" s="127"/>
      <c r="L351" s="128"/>
      <c r="M351" s="129">
        <v>1</v>
      </c>
      <c r="N351" s="142">
        <v>7.49</v>
      </c>
      <c r="O351" s="142">
        <v>7.49</v>
      </c>
    </row>
    <row r="352" ht="16.1" customHeight="1">
      <c r="I352" t="s" s="126">
        <v>5716</v>
      </c>
      <c r="J352" s="127"/>
      <c r="K352" s="127"/>
      <c r="L352" s="128"/>
      <c r="M352" s="129">
        <v>91</v>
      </c>
      <c r="N352" s="142">
        <v>3144.9525</v>
      </c>
      <c r="O352" s="142">
        <v>11267.2425</v>
      </c>
    </row>
    <row r="353" ht="16.1" customHeight="1">
      <c r="I353" t="s" s="126">
        <v>5667</v>
      </c>
      <c r="J353" s="127"/>
      <c r="K353" s="127"/>
      <c r="L353" s="128"/>
      <c r="M353" s="129">
        <v>2</v>
      </c>
      <c r="N353" s="142">
        <v>399.99</v>
      </c>
      <c r="O353" s="142">
        <v>399.99</v>
      </c>
    </row>
    <row r="354" ht="16.1" customHeight="1">
      <c r="I354" t="s" s="126">
        <v>5676</v>
      </c>
      <c r="J354" s="127"/>
      <c r="K354" s="127"/>
      <c r="L354" s="128"/>
      <c r="M354" s="129">
        <v>1</v>
      </c>
      <c r="N354" s="142">
        <v>599.99</v>
      </c>
      <c r="O354" s="142">
        <v>599.99</v>
      </c>
    </row>
    <row r="355" ht="16.1" customHeight="1">
      <c r="I355" t="s" s="126">
        <v>5705</v>
      </c>
      <c r="J355" s="127"/>
      <c r="K355" s="127"/>
      <c r="L355" s="128"/>
      <c r="M355" s="129">
        <v>4</v>
      </c>
      <c r="N355" s="142">
        <v>374.98</v>
      </c>
      <c r="O355" s="142">
        <v>374.98</v>
      </c>
    </row>
    <row r="356" ht="16.1" customHeight="1">
      <c r="I356" t="s" s="126">
        <v>1557</v>
      </c>
      <c r="J356" s="127"/>
      <c r="K356" s="127"/>
      <c r="L356" s="128"/>
      <c r="M356" s="129">
        <v>1</v>
      </c>
      <c r="N356" s="142">
        <v>399.99</v>
      </c>
      <c r="O356" s="142">
        <v>399.99</v>
      </c>
    </row>
    <row r="357" ht="16.1" customHeight="1">
      <c r="I357" t="s" s="126">
        <v>3726</v>
      </c>
      <c r="J357" s="127"/>
      <c r="K357" s="127"/>
      <c r="L357" s="128"/>
      <c r="M357" s="129">
        <v>1</v>
      </c>
      <c r="N357" s="142">
        <v>399.99</v>
      </c>
      <c r="O357" s="142">
        <v>399.99</v>
      </c>
    </row>
    <row r="358" ht="16.1" customHeight="1">
      <c r="I358" t="s" s="126">
        <v>896</v>
      </c>
      <c r="J358" s="127"/>
      <c r="K358" s="127"/>
      <c r="L358" s="128"/>
      <c r="M358" s="129">
        <v>61</v>
      </c>
      <c r="N358" s="142">
        <v>2362.885</v>
      </c>
      <c r="O358" s="142">
        <v>22725.325</v>
      </c>
    </row>
    <row r="359" ht="16.1" customHeight="1">
      <c r="I359" t="s" s="126">
        <v>5802</v>
      </c>
      <c r="J359" s="127"/>
      <c r="K359" s="127"/>
      <c r="L359" s="128"/>
      <c r="M359" s="129">
        <v>2</v>
      </c>
      <c r="N359" s="142">
        <v>58.98</v>
      </c>
      <c r="O359" s="142">
        <v>58.98</v>
      </c>
    </row>
    <row r="360" ht="16.1" customHeight="1">
      <c r="I360" t="s" s="126">
        <v>5789</v>
      </c>
      <c r="J360" s="127"/>
      <c r="K360" s="127"/>
      <c r="L360" s="128"/>
      <c r="M360" s="129">
        <v>1</v>
      </c>
      <c r="N360" s="142">
        <v>99.98999999999999</v>
      </c>
      <c r="O360" s="142">
        <v>99.98999999999999</v>
      </c>
    </row>
    <row r="361" ht="16.1" customHeight="1">
      <c r="I361" t="s" s="126">
        <v>5737</v>
      </c>
      <c r="J361" s="127"/>
      <c r="K361" s="127"/>
      <c r="L361" s="128"/>
      <c r="M361" s="129">
        <v>2</v>
      </c>
      <c r="N361" s="142">
        <v>58.98</v>
      </c>
      <c r="O361" s="142">
        <v>58.98</v>
      </c>
    </row>
    <row r="362" ht="16.1" customHeight="1">
      <c r="I362" t="s" s="126">
        <v>5683</v>
      </c>
      <c r="J362" s="127"/>
      <c r="K362" s="127"/>
      <c r="L362" s="128"/>
      <c r="M362" s="129">
        <v>5</v>
      </c>
      <c r="N362" s="142">
        <v>1708.95</v>
      </c>
      <c r="O362" s="142">
        <v>1708.95</v>
      </c>
    </row>
    <row r="363" ht="16.1" customHeight="1">
      <c r="I363" t="s" s="126">
        <v>164</v>
      </c>
      <c r="J363" s="127"/>
      <c r="K363" s="127"/>
      <c r="L363" s="128"/>
      <c r="M363" s="129">
        <v>2</v>
      </c>
      <c r="N363" s="142">
        <v>349.99</v>
      </c>
      <c r="O363" s="142">
        <v>699.98</v>
      </c>
    </row>
    <row r="364" ht="16.1" customHeight="1">
      <c r="I364" t="s" s="126">
        <v>5783</v>
      </c>
      <c r="J364" s="127"/>
      <c r="K364" s="127"/>
      <c r="L364" s="128"/>
      <c r="M364" s="129">
        <v>1</v>
      </c>
      <c r="N364" s="142">
        <v>349.99</v>
      </c>
      <c r="O364" s="142">
        <v>349.99</v>
      </c>
    </row>
    <row r="365" ht="16.1" customHeight="1">
      <c r="I365" t="s" s="126">
        <v>5627</v>
      </c>
      <c r="J365" s="127"/>
      <c r="K365" s="127"/>
      <c r="L365" s="128"/>
      <c r="M365" s="129">
        <v>1</v>
      </c>
      <c r="N365" s="142">
        <v>549.99</v>
      </c>
      <c r="O365" s="142">
        <v>549.99</v>
      </c>
    </row>
    <row r="366" ht="16.1" customHeight="1">
      <c r="I366" t="s" s="126">
        <v>5616</v>
      </c>
      <c r="J366" s="127"/>
      <c r="K366" s="127"/>
      <c r="L366" s="128"/>
      <c r="M366" s="129">
        <v>1</v>
      </c>
      <c r="N366" s="142">
        <v>59.99</v>
      </c>
      <c r="O366" s="142">
        <v>59.99</v>
      </c>
    </row>
    <row r="367" ht="16.1" customHeight="1">
      <c r="I367" t="s" s="126">
        <v>67</v>
      </c>
      <c r="J367" s="127"/>
      <c r="K367" s="127"/>
      <c r="L367" s="128"/>
      <c r="M367" s="129">
        <v>3</v>
      </c>
      <c r="N367" s="142">
        <v>479.984</v>
      </c>
      <c r="O367" s="142">
        <v>479.984</v>
      </c>
    </row>
    <row r="368" ht="16.1" customHeight="1">
      <c r="I368" t="s" s="126">
        <v>5645</v>
      </c>
      <c r="J368" s="127"/>
      <c r="K368" s="127"/>
      <c r="L368" s="128"/>
      <c r="M368" s="129">
        <v>1</v>
      </c>
      <c r="N368" s="142">
        <v>49.99</v>
      </c>
      <c r="O368" s="142">
        <v>49.99</v>
      </c>
    </row>
    <row r="369" ht="16.1" customHeight="1">
      <c r="I369" t="s" s="126">
        <v>5800</v>
      </c>
      <c r="J369" s="127"/>
      <c r="K369" s="127"/>
      <c r="L369" s="128"/>
      <c r="M369" s="129">
        <v>2</v>
      </c>
      <c r="N369" s="142">
        <v>164.98</v>
      </c>
      <c r="O369" s="142">
        <v>164.98</v>
      </c>
    </row>
    <row r="370" ht="16.1" customHeight="1">
      <c r="I370" t="s" s="126">
        <v>5746</v>
      </c>
      <c r="J370" s="127"/>
      <c r="K370" s="127"/>
      <c r="L370" s="128"/>
      <c r="M370" s="129">
        <v>1</v>
      </c>
      <c r="N370" s="142">
        <v>399.99</v>
      </c>
      <c r="O370" s="142">
        <v>399.99</v>
      </c>
    </row>
    <row r="371" ht="16.1" customHeight="1">
      <c r="I371" t="s" s="126">
        <v>5489</v>
      </c>
      <c r="J371" s="127"/>
      <c r="K371" s="127"/>
      <c r="L371" s="128"/>
      <c r="M371" s="129">
        <v>6</v>
      </c>
      <c r="N371" s="142">
        <v>1054.98</v>
      </c>
      <c r="O371" s="142">
        <v>1084.97</v>
      </c>
    </row>
    <row r="372" ht="16.1" customHeight="1">
      <c r="I372" t="s" s="126">
        <v>5633</v>
      </c>
      <c r="J372" s="127"/>
      <c r="K372" s="127"/>
      <c r="L372" s="128"/>
      <c r="M372" s="129">
        <v>4</v>
      </c>
      <c r="N372" s="142">
        <v>29.99</v>
      </c>
      <c r="O372" s="142">
        <v>119.96</v>
      </c>
    </row>
    <row r="373" ht="16.1" customHeight="1">
      <c r="I373" t="s" s="126">
        <v>5614</v>
      </c>
      <c r="J373" s="127"/>
      <c r="K373" s="127"/>
      <c r="L373" s="128"/>
      <c r="M373" s="129">
        <v>3</v>
      </c>
      <c r="N373" s="142">
        <v>67.97</v>
      </c>
      <c r="O373" s="142">
        <v>67.97</v>
      </c>
    </row>
    <row r="374" ht="16.1" customHeight="1">
      <c r="I374" t="s" s="126">
        <v>5720</v>
      </c>
      <c r="J374" s="127"/>
      <c r="K374" s="127"/>
      <c r="L374" s="128"/>
      <c r="M374" s="129">
        <v>1</v>
      </c>
      <c r="N374" s="142">
        <v>599.99</v>
      </c>
      <c r="O374" s="142">
        <v>599.99</v>
      </c>
    </row>
    <row r="375" ht="16.1" customHeight="1">
      <c r="I375" t="s" s="126">
        <v>5712</v>
      </c>
      <c r="J375" s="127"/>
      <c r="K375" s="127"/>
      <c r="L375" s="128"/>
      <c r="M375" s="129">
        <v>4</v>
      </c>
      <c r="N375" s="142">
        <v>0</v>
      </c>
      <c r="O375" s="142">
        <v>0</v>
      </c>
    </row>
    <row r="376" ht="16.1" customHeight="1">
      <c r="I376" t="s" s="126">
        <v>5817</v>
      </c>
      <c r="J376" s="127"/>
      <c r="K376" s="127"/>
      <c r="L376" s="128"/>
      <c r="M376" s="129">
        <v>1</v>
      </c>
      <c r="N376" s="142">
        <v>1199.99</v>
      </c>
      <c r="O376" s="142">
        <v>1199.99</v>
      </c>
    </row>
    <row r="377" ht="16.1" customHeight="1">
      <c r="I377" t="s" s="126">
        <v>5815</v>
      </c>
      <c r="J377" s="127"/>
      <c r="K377" s="127"/>
      <c r="L377" s="128"/>
      <c r="M377" s="129">
        <v>2</v>
      </c>
      <c r="N377" s="142">
        <v>29.99</v>
      </c>
      <c r="O377" s="142">
        <v>59.98</v>
      </c>
    </row>
    <row r="378" ht="16.1" customHeight="1">
      <c r="I378" t="s" s="126">
        <v>5796</v>
      </c>
      <c r="J378" s="127"/>
      <c r="K378" s="127"/>
      <c r="L378" s="128"/>
      <c r="M378" s="129">
        <v>4</v>
      </c>
      <c r="N378" s="142">
        <v>649.98</v>
      </c>
      <c r="O378" s="142">
        <v>1299.96</v>
      </c>
    </row>
    <row r="379" ht="16.1" customHeight="1">
      <c r="I379" t="s" s="126">
        <v>4437</v>
      </c>
      <c r="J379" s="127"/>
      <c r="K379" s="127"/>
      <c r="L379" s="128"/>
      <c r="M379" s="129">
        <v>1</v>
      </c>
      <c r="N379" s="142">
        <v>324.99</v>
      </c>
      <c r="O379" s="142">
        <v>324.99</v>
      </c>
    </row>
    <row r="380" ht="16.1" customHeight="1">
      <c r="I380" t="s" s="126">
        <v>3783</v>
      </c>
      <c r="J380" s="127"/>
      <c r="K380" s="127"/>
      <c r="L380" s="128"/>
      <c r="M380" s="129">
        <v>1</v>
      </c>
      <c r="N380" s="142">
        <v>599.99</v>
      </c>
      <c r="O380" s="142">
        <v>599.99</v>
      </c>
    </row>
    <row r="381" ht="16.1" customHeight="1">
      <c r="I381" t="s" s="126">
        <v>338</v>
      </c>
      <c r="J381" s="127"/>
      <c r="K381" s="127"/>
      <c r="L381" s="128"/>
      <c r="M381" s="129">
        <v>2</v>
      </c>
      <c r="N381" s="142">
        <v>58.98</v>
      </c>
      <c r="O381" s="142">
        <v>58.98</v>
      </c>
    </row>
    <row r="382" ht="16.1" customHeight="1">
      <c r="I382" t="s" s="126">
        <v>5135</v>
      </c>
      <c r="J382" s="127"/>
      <c r="K382" s="127"/>
      <c r="L382" s="128"/>
      <c r="M382" s="129">
        <v>1</v>
      </c>
      <c r="N382" s="142">
        <v>399.99</v>
      </c>
      <c r="O382" s="142">
        <v>399.99</v>
      </c>
    </row>
    <row r="383" ht="16.1" customHeight="1">
      <c r="I383" t="s" s="126">
        <v>2854</v>
      </c>
      <c r="J383" s="127"/>
      <c r="K383" s="127"/>
      <c r="L383" s="128"/>
      <c r="M383" s="129">
        <v>8</v>
      </c>
      <c r="N383" s="142">
        <v>128.98</v>
      </c>
      <c r="O383" s="142">
        <v>515.92</v>
      </c>
    </row>
    <row r="384" ht="16.1" customHeight="1">
      <c r="I384" t="s" s="126">
        <v>5827</v>
      </c>
      <c r="J384" s="127"/>
      <c r="K384" s="127"/>
      <c r="L384" s="128"/>
      <c r="M384" s="129">
        <v>2</v>
      </c>
      <c r="N384" s="142">
        <v>9.99</v>
      </c>
      <c r="O384" s="142">
        <v>19.98</v>
      </c>
    </row>
    <row r="385" ht="16.1" customHeight="1">
      <c r="I385" t="s" s="126">
        <v>2306</v>
      </c>
      <c r="J385" s="127"/>
      <c r="K385" s="127"/>
      <c r="L385" s="128"/>
      <c r="M385" s="129">
        <v>16</v>
      </c>
      <c r="N385" s="142">
        <v>59.99</v>
      </c>
      <c r="O385" s="142">
        <v>959.84</v>
      </c>
    </row>
    <row r="386" ht="16.1" customHeight="1">
      <c r="I386" t="s" s="126">
        <v>5762</v>
      </c>
      <c r="J386" s="127"/>
      <c r="K386" s="127"/>
      <c r="L386" s="128"/>
      <c r="M386" s="129">
        <v>2</v>
      </c>
      <c r="N386" s="142">
        <v>59.99</v>
      </c>
      <c r="O386" s="142">
        <v>119.98</v>
      </c>
    </row>
    <row r="387" ht="16.1" customHeight="1">
      <c r="I387" t="s" s="126">
        <v>4732</v>
      </c>
      <c r="J387" s="127"/>
      <c r="K387" s="127"/>
      <c r="L387" s="128"/>
      <c r="M387" s="129">
        <v>2</v>
      </c>
      <c r="N387" s="142">
        <v>49.99</v>
      </c>
      <c r="O387" s="142">
        <v>99.98</v>
      </c>
    </row>
    <row r="388" ht="16.1" customHeight="1">
      <c r="I388" t="s" s="126">
        <v>5623</v>
      </c>
      <c r="J388" s="127"/>
      <c r="K388" s="127"/>
      <c r="L388" s="128"/>
      <c r="M388" s="129">
        <v>49</v>
      </c>
      <c r="N388" s="142">
        <v>2119.98</v>
      </c>
      <c r="O388" s="142">
        <v>12239.87</v>
      </c>
    </row>
    <row r="389" ht="16.1" customHeight="1">
      <c r="I389" t="s" s="126">
        <v>5621</v>
      </c>
      <c r="J389" s="127"/>
      <c r="K389" s="127"/>
      <c r="L389" s="128"/>
      <c r="M389" s="129">
        <v>1</v>
      </c>
      <c r="N389" s="142">
        <v>349.99</v>
      </c>
      <c r="O389" s="142">
        <v>349.99</v>
      </c>
    </row>
    <row r="390" ht="16.1" customHeight="1">
      <c r="I390" t="s" s="126">
        <v>5779</v>
      </c>
      <c r="J390" s="127"/>
      <c r="K390" s="127"/>
      <c r="L390" s="128"/>
      <c r="M390" s="129">
        <v>2</v>
      </c>
      <c r="N390" s="142">
        <v>599.98</v>
      </c>
      <c r="O390" s="142">
        <v>599.98</v>
      </c>
    </row>
    <row r="391" ht="16.1" customHeight="1">
      <c r="I391" t="s" s="126">
        <v>5753</v>
      </c>
      <c r="J391" s="127"/>
      <c r="K391" s="127"/>
      <c r="L391" s="128"/>
      <c r="M391" s="129">
        <v>8</v>
      </c>
      <c r="N391" s="142">
        <v>1429.96</v>
      </c>
      <c r="O391" s="142">
        <v>1429.96</v>
      </c>
    </row>
    <row r="392" ht="16.1" customHeight="1">
      <c r="I392" t="s" s="126">
        <v>5674</v>
      </c>
      <c r="J392" s="127"/>
      <c r="K392" s="127"/>
      <c r="L392" s="128"/>
      <c r="M392" s="129">
        <v>20</v>
      </c>
      <c r="N392" s="142">
        <v>1644.94</v>
      </c>
      <c r="O392" s="142">
        <v>3129.86</v>
      </c>
    </row>
    <row r="393" ht="16.1" customHeight="1">
      <c r="I393" t="s" s="126">
        <v>852</v>
      </c>
      <c r="J393" s="127"/>
      <c r="K393" s="127"/>
      <c r="L393" s="128"/>
      <c r="M393" s="129">
        <v>4</v>
      </c>
      <c r="N393" s="142">
        <v>1299.99</v>
      </c>
      <c r="O393" s="142">
        <v>1299.99</v>
      </c>
    </row>
    <row r="394" ht="16.1" customHeight="1">
      <c r="I394" t="s" s="126">
        <v>4039</v>
      </c>
      <c r="J394" s="127"/>
      <c r="K394" s="127"/>
      <c r="L394" s="128"/>
      <c r="M394" s="129">
        <v>2</v>
      </c>
      <c r="N394" s="142">
        <v>59.99</v>
      </c>
      <c r="O394" s="142">
        <v>119.98</v>
      </c>
    </row>
    <row r="395" ht="16.1" customHeight="1">
      <c r="I395" t="s" s="126">
        <v>5770</v>
      </c>
      <c r="J395" s="127"/>
      <c r="K395" s="127"/>
      <c r="L395" s="128"/>
      <c r="M395" s="129">
        <v>1</v>
      </c>
      <c r="N395" s="142">
        <v>0</v>
      </c>
      <c r="O395" s="142">
        <v>0</v>
      </c>
    </row>
    <row r="396" ht="16.1" customHeight="1">
      <c r="I396" t="s" s="126">
        <v>5767</v>
      </c>
      <c r="J396" s="127"/>
      <c r="K396" s="127"/>
      <c r="L396" s="128"/>
      <c r="M396" s="129">
        <v>1</v>
      </c>
      <c r="N396" s="142">
        <v>399.99</v>
      </c>
      <c r="O396" s="142">
        <v>399.99</v>
      </c>
    </row>
    <row r="397" ht="16.1" customHeight="1">
      <c r="I397" t="s" s="126">
        <v>523</v>
      </c>
      <c r="J397" s="127"/>
      <c r="K397" s="127"/>
      <c r="L397" s="128"/>
      <c r="M397" s="129">
        <v>2</v>
      </c>
      <c r="N397" s="142">
        <v>599.99</v>
      </c>
      <c r="O397" s="142">
        <v>1199.98</v>
      </c>
    </row>
    <row r="398" ht="16.1" customHeight="1">
      <c r="I398" t="s" s="126">
        <v>704</v>
      </c>
      <c r="J398" s="127"/>
      <c r="K398" s="127"/>
      <c r="L398" s="128"/>
      <c r="M398" s="129">
        <v>4</v>
      </c>
      <c r="N398" s="142">
        <v>0</v>
      </c>
      <c r="O398" s="142">
        <v>0</v>
      </c>
    </row>
    <row r="399" ht="16.1" customHeight="1">
      <c r="I399" t="s" s="126">
        <v>5798</v>
      </c>
      <c r="J399" s="127"/>
      <c r="K399" s="127"/>
      <c r="L399" s="128"/>
      <c r="M399" s="129">
        <v>2</v>
      </c>
      <c r="N399" s="142">
        <v>399.99</v>
      </c>
      <c r="O399" s="142">
        <v>799.98</v>
      </c>
    </row>
    <row r="400" ht="16.1" customHeight="1">
      <c r="I400" t="s" s="126">
        <v>5695</v>
      </c>
      <c r="J400" s="127"/>
      <c r="K400" s="127"/>
      <c r="L400" s="128"/>
      <c r="M400" s="129">
        <v>2</v>
      </c>
      <c r="N400" s="142">
        <v>128.98</v>
      </c>
      <c r="O400" s="142">
        <v>128.98</v>
      </c>
    </row>
    <row r="401" ht="16.1" customHeight="1">
      <c r="I401" t="s" s="126">
        <v>5760</v>
      </c>
      <c r="J401" s="127"/>
      <c r="K401" s="127"/>
      <c r="L401" s="128"/>
      <c r="M401" s="129">
        <v>1</v>
      </c>
      <c r="N401" s="142">
        <v>399.99</v>
      </c>
      <c r="O401" s="142">
        <v>399.99</v>
      </c>
    </row>
    <row r="402" ht="16.1" customHeight="1">
      <c r="I402" t="s" s="126">
        <v>5792</v>
      </c>
      <c r="J402" s="127"/>
      <c r="K402" s="127"/>
      <c r="L402" s="128"/>
      <c r="M402" s="129">
        <v>1</v>
      </c>
      <c r="N402" s="142">
        <v>0</v>
      </c>
      <c r="O402" s="142">
        <v>0</v>
      </c>
    </row>
    <row r="403" ht="16.1" customHeight="1">
      <c r="I403" t="s" s="126">
        <v>5443</v>
      </c>
      <c r="J403" s="127"/>
      <c r="K403" s="127"/>
      <c r="L403" s="128"/>
      <c r="M403" s="129">
        <v>30</v>
      </c>
      <c r="N403" s="142">
        <v>1449.99</v>
      </c>
      <c r="O403" s="142">
        <v>6649.94</v>
      </c>
    </row>
    <row r="404" ht="16.1" customHeight="1">
      <c r="I404" t="s" s="126">
        <v>5655</v>
      </c>
      <c r="J404" s="127"/>
      <c r="K404" s="127"/>
      <c r="L404" s="128"/>
      <c r="M404" s="129">
        <v>2</v>
      </c>
      <c r="N404" s="142">
        <v>599.98</v>
      </c>
      <c r="O404" s="142">
        <v>599.98</v>
      </c>
    </row>
    <row r="405" ht="16.1" customHeight="1">
      <c r="I405" t="s" s="126">
        <v>5619</v>
      </c>
      <c r="J405" s="127"/>
      <c r="K405" s="127"/>
      <c r="L405" s="128"/>
      <c r="M405" s="129">
        <v>4</v>
      </c>
      <c r="N405" s="142">
        <v>338.96</v>
      </c>
      <c r="O405" s="142">
        <v>338.96</v>
      </c>
    </row>
    <row r="406" ht="16.1" customHeight="1">
      <c r="I406" t="s" s="126">
        <v>473</v>
      </c>
      <c r="J406" s="127"/>
      <c r="K406" s="127"/>
      <c r="L406" s="128"/>
      <c r="M406" s="129">
        <v>33</v>
      </c>
      <c r="N406" s="142">
        <v>56.235</v>
      </c>
      <c r="O406" s="142">
        <v>674.76</v>
      </c>
    </row>
    <row r="407" ht="16.1" customHeight="1">
      <c r="I407" t="s" s="126">
        <v>5813</v>
      </c>
      <c r="J407" s="127"/>
      <c r="K407" s="127"/>
      <c r="L407" s="128"/>
      <c r="M407" s="129">
        <v>3</v>
      </c>
      <c r="N407" s="142">
        <v>49.99</v>
      </c>
      <c r="O407" s="142">
        <v>149.97</v>
      </c>
    </row>
    <row r="408" ht="16.1" customHeight="1">
      <c r="I408" t="s" s="126">
        <v>5636</v>
      </c>
      <c r="J408" s="127"/>
      <c r="K408" s="127"/>
      <c r="L408" s="128"/>
      <c r="M408" s="129">
        <v>1</v>
      </c>
      <c r="N408" s="142">
        <v>49.99</v>
      </c>
      <c r="O408" s="142">
        <v>49.99</v>
      </c>
    </row>
    <row r="409" ht="16.1" customHeight="1">
      <c r="I409" t="s" s="126">
        <v>1200</v>
      </c>
      <c r="J409" s="127"/>
      <c r="K409" s="127"/>
      <c r="L409" s="128"/>
      <c r="M409" s="129">
        <v>18</v>
      </c>
      <c r="N409" s="142">
        <v>0</v>
      </c>
      <c r="O409" s="142">
        <v>0</v>
      </c>
    </row>
    <row r="410" ht="16.1" customHeight="1">
      <c r="I410" t="s" s="126">
        <v>5605</v>
      </c>
      <c r="J410" s="127"/>
      <c r="K410" s="127"/>
      <c r="L410" s="128"/>
      <c r="M410" s="129">
        <v>1</v>
      </c>
      <c r="N410" s="142">
        <v>49.99</v>
      </c>
      <c r="O410" s="142">
        <v>49.99</v>
      </c>
    </row>
    <row r="411" ht="16.1" customHeight="1">
      <c r="I411" t="s" s="126">
        <v>1649</v>
      </c>
      <c r="J411" s="127"/>
      <c r="K411" s="127"/>
      <c r="L411" s="128"/>
      <c r="M411" s="129">
        <v>16</v>
      </c>
      <c r="N411" s="142">
        <v>109.095</v>
      </c>
      <c r="O411" s="142">
        <v>606.255</v>
      </c>
    </row>
    <row r="412" ht="16.1" customHeight="1">
      <c r="I412" t="s" s="126">
        <v>5639</v>
      </c>
      <c r="J412" s="127"/>
      <c r="K412" s="127"/>
      <c r="L412" s="128"/>
      <c r="M412" s="129">
        <v>4</v>
      </c>
      <c r="N412" s="142">
        <v>78.97</v>
      </c>
      <c r="O412" s="142">
        <v>98.95999999999999</v>
      </c>
    </row>
    <row r="413" ht="16.1" customHeight="1">
      <c r="I413" t="s" s="126">
        <v>5663</v>
      </c>
      <c r="J413" s="127"/>
      <c r="K413" s="127"/>
      <c r="L413" s="128"/>
      <c r="M413" s="129">
        <v>1</v>
      </c>
      <c r="N413" s="142">
        <v>349.99</v>
      </c>
      <c r="O413" s="142">
        <v>349.99</v>
      </c>
    </row>
    <row r="414" ht="16.1" customHeight="1">
      <c r="I414" t="s" s="126">
        <v>5824</v>
      </c>
      <c r="J414" s="127"/>
      <c r="K414" s="127"/>
      <c r="L414" s="128"/>
      <c r="M414" s="129">
        <v>2</v>
      </c>
      <c r="N414" s="142">
        <v>9.99</v>
      </c>
      <c r="O414" s="142">
        <v>19.98</v>
      </c>
    </row>
    <row r="415" ht="16.1" customHeight="1">
      <c r="I415" t="s" s="126">
        <v>5097</v>
      </c>
      <c r="J415" s="127"/>
      <c r="K415" s="127"/>
      <c r="L415" s="128"/>
      <c r="M415" s="129">
        <v>3</v>
      </c>
      <c r="N415" s="142">
        <v>179.97</v>
      </c>
      <c r="O415" s="142">
        <v>179.97</v>
      </c>
    </row>
    <row r="416" ht="16.1" customHeight="1">
      <c r="I416" t="s" s="126">
        <v>5661</v>
      </c>
      <c r="J416" s="127"/>
      <c r="K416" s="127"/>
      <c r="L416" s="128"/>
      <c r="M416" s="129">
        <v>3</v>
      </c>
      <c r="N416" s="142">
        <v>649.98</v>
      </c>
      <c r="O416" s="142">
        <v>699.97</v>
      </c>
    </row>
    <row r="417" ht="16.1" customHeight="1">
      <c r="I417" t="s" s="126">
        <v>5765</v>
      </c>
      <c r="J417" s="127"/>
      <c r="K417" s="127"/>
      <c r="L417" s="128"/>
      <c r="M417" s="129">
        <v>4</v>
      </c>
      <c r="N417" s="142">
        <v>22.99</v>
      </c>
      <c r="O417" s="142">
        <v>91.95999999999999</v>
      </c>
    </row>
    <row r="418" ht="16.1" customHeight="1">
      <c r="I418" t="s" s="126">
        <v>5702</v>
      </c>
      <c r="J418" s="127"/>
      <c r="K418" s="127"/>
      <c r="L418" s="128"/>
      <c r="M418" s="129">
        <v>1</v>
      </c>
      <c r="N418" s="142">
        <v>549.99</v>
      </c>
      <c r="O418" s="142">
        <v>549.99</v>
      </c>
    </row>
    <row r="419" ht="16.1" customHeight="1">
      <c r="I419" t="s" s="126">
        <v>1053</v>
      </c>
      <c r="J419" s="127"/>
      <c r="K419" s="127"/>
      <c r="L419" s="128"/>
      <c r="M419" s="129">
        <v>9</v>
      </c>
      <c r="N419" s="142">
        <v>3059.94</v>
      </c>
      <c r="O419" s="142">
        <v>3149.91</v>
      </c>
    </row>
    <row r="420" ht="16.1" customHeight="1">
      <c r="I420" t="s" s="126">
        <v>5641</v>
      </c>
      <c r="J420" s="127"/>
      <c r="K420" s="127"/>
      <c r="L420" s="128"/>
      <c r="M420" s="129">
        <v>2</v>
      </c>
      <c r="N420" s="142">
        <v>924.9924999999999</v>
      </c>
      <c r="O420" s="142">
        <v>924.9924999999999</v>
      </c>
    </row>
    <row r="421" ht="16.1" customHeight="1">
      <c r="I421" t="s" s="126">
        <v>5686</v>
      </c>
      <c r="J421" s="127"/>
      <c r="K421" s="127"/>
      <c r="L421" s="128"/>
      <c r="M421" s="129">
        <v>23</v>
      </c>
      <c r="N421" s="142">
        <v>2293.7275</v>
      </c>
      <c r="O421" s="142">
        <v>5387.455</v>
      </c>
    </row>
    <row r="422" ht="16.1" customHeight="1">
      <c r="I422" t="s" s="126">
        <v>5659</v>
      </c>
      <c r="J422" s="127"/>
      <c r="K422" s="127"/>
      <c r="L422" s="128"/>
      <c r="M422" s="129">
        <v>1</v>
      </c>
      <c r="N422" s="142">
        <v>349.99</v>
      </c>
      <c r="O422" s="142">
        <v>349.99</v>
      </c>
    </row>
    <row r="423" ht="16.1" customHeight="1">
      <c r="I423" t="s" s="126">
        <v>122</v>
      </c>
      <c r="J423" s="127"/>
      <c r="K423" s="127"/>
      <c r="L423" s="128"/>
      <c r="M423" s="129">
        <v>4</v>
      </c>
      <c r="N423" s="142">
        <v>37.4925</v>
      </c>
      <c r="O423" s="142">
        <v>149.97</v>
      </c>
    </row>
    <row r="424" ht="16.1" customHeight="1">
      <c r="I424" t="s" s="126">
        <v>5794</v>
      </c>
      <c r="J424" s="127"/>
      <c r="K424" s="127"/>
      <c r="L424" s="128"/>
      <c r="M424" s="129">
        <v>1</v>
      </c>
      <c r="N424" s="142">
        <v>399.99</v>
      </c>
      <c r="O424" s="142">
        <v>399.99</v>
      </c>
    </row>
    <row r="425" ht="16.1" customHeight="1">
      <c r="I425" t="s" s="126">
        <v>5831</v>
      </c>
      <c r="J425" s="127"/>
      <c r="K425" s="127"/>
      <c r="L425" s="128"/>
      <c r="M425" s="129">
        <v>1</v>
      </c>
      <c r="N425" s="142">
        <v>399.99</v>
      </c>
      <c r="O425" s="142">
        <v>399.99</v>
      </c>
    </row>
    <row r="426" ht="16.1" customHeight="1">
      <c r="I426" t="s" s="126">
        <v>985</v>
      </c>
      <c r="J426" s="127"/>
      <c r="K426" s="127"/>
      <c r="L426" s="128"/>
      <c r="M426" s="129">
        <v>3</v>
      </c>
      <c r="N426" s="142">
        <v>599.98</v>
      </c>
      <c r="O426" s="142">
        <v>799.97</v>
      </c>
    </row>
    <row r="427" ht="16.1" customHeight="1">
      <c r="I427" t="s" s="126">
        <v>5672</v>
      </c>
      <c r="J427" s="127"/>
      <c r="K427" s="127"/>
      <c r="L427" s="128"/>
      <c r="M427" s="129">
        <v>1</v>
      </c>
      <c r="N427" s="142">
        <v>399.99</v>
      </c>
      <c r="O427" s="142">
        <v>399.99</v>
      </c>
    </row>
    <row r="428" ht="16.1" customHeight="1">
      <c r="I428" t="s" s="126">
        <v>5724</v>
      </c>
      <c r="J428" s="127"/>
      <c r="K428" s="127"/>
      <c r="L428" s="128"/>
      <c r="M428" s="129">
        <v>2</v>
      </c>
      <c r="N428" s="142">
        <v>58.98</v>
      </c>
      <c r="O428" s="142">
        <v>58.98</v>
      </c>
    </row>
    <row r="429" ht="16.1" customHeight="1">
      <c r="I429" t="s" s="126">
        <v>5774</v>
      </c>
      <c r="J429" s="127"/>
      <c r="K429" s="127"/>
      <c r="L429" s="128"/>
      <c r="M429" s="129">
        <v>3</v>
      </c>
      <c r="N429" s="142">
        <v>8.5</v>
      </c>
      <c r="O429" s="142">
        <v>25.5</v>
      </c>
    </row>
    <row r="430" ht="16.1" customHeight="1">
      <c r="I430" t="s" s="126">
        <v>5718</v>
      </c>
      <c r="J430" s="127"/>
      <c r="K430" s="127"/>
      <c r="L430" s="128"/>
      <c r="M430" s="129">
        <v>4</v>
      </c>
      <c r="N430" s="142">
        <v>178.97</v>
      </c>
      <c r="O430" s="142">
        <v>228.96</v>
      </c>
    </row>
    <row r="431" ht="16.1" customHeight="1">
      <c r="I431" t="s" s="126">
        <v>5603</v>
      </c>
      <c r="J431" s="127"/>
      <c r="K431" s="127"/>
      <c r="L431" s="128"/>
      <c r="M431" s="129">
        <v>2</v>
      </c>
      <c r="N431" s="142">
        <v>459.98</v>
      </c>
      <c r="O431" s="142">
        <v>459.98</v>
      </c>
    </row>
    <row r="432" ht="16.1" customHeight="1">
      <c r="I432" t="s" s="132">
        <v>2261</v>
      </c>
      <c r="J432" s="133"/>
      <c r="K432" s="133"/>
      <c r="L432" s="134"/>
      <c r="M432" s="135">
        <v>3</v>
      </c>
      <c r="N432" s="143">
        <v>409.98</v>
      </c>
      <c r="O432" s="143">
        <v>419.97</v>
      </c>
    </row>
    <row r="433" ht="16.1" customHeight="1">
      <c r="I433" t="s" s="33">
        <v>620</v>
      </c>
      <c r="M433" s="34">
        <v>872</v>
      </c>
      <c r="N433" s="35">
        <v>63987.2535</v>
      </c>
      <c r="O433" s="35">
        <v>139031.1415</v>
      </c>
    </row>
    <row r="435" ht="15.55" customHeight="1">
      <c r="P435" t="s" s="2">
        <v>5835</v>
      </c>
      <c r="Q435" s="2"/>
    </row>
    <row r="436" ht="13.1" customHeight="1">
      <c r="P436" t="s" s="37">
        <v>4</v>
      </c>
      <c r="Q436" t="s" s="145">
        <v>617</v>
      </c>
    </row>
    <row r="437" ht="13.1" customHeight="1">
      <c r="P437" t="s" s="38">
        <v>15</v>
      </c>
      <c r="Q437" s="34">
        <v>103</v>
      </c>
    </row>
    <row r="438" ht="12.9" customHeight="1">
      <c r="P438" t="s" s="40">
        <v>50</v>
      </c>
      <c r="Q438" s="146">
        <v>81</v>
      </c>
    </row>
    <row r="439" ht="12.9" customHeight="1">
      <c r="P439" t="s" s="40">
        <v>48</v>
      </c>
      <c r="Q439" s="146">
        <v>47</v>
      </c>
    </row>
    <row r="440" ht="12.9" customHeight="1">
      <c r="P440" t="s" s="40">
        <v>19</v>
      </c>
      <c r="Q440" s="146">
        <v>46</v>
      </c>
    </row>
    <row r="441" ht="12.9" customHeight="1">
      <c r="P441" t="s" s="40">
        <v>89</v>
      </c>
      <c r="Q441" s="146">
        <v>42</v>
      </c>
    </row>
    <row r="442" ht="12.9" customHeight="1">
      <c r="P442" t="s" s="40">
        <v>54</v>
      </c>
      <c r="Q442" s="146">
        <v>39</v>
      </c>
    </row>
    <row r="443" ht="12.9" customHeight="1">
      <c r="P443" t="s" s="40">
        <v>412</v>
      </c>
      <c r="Q443" s="146">
        <v>33</v>
      </c>
    </row>
    <row r="444" ht="12.9" customHeight="1">
      <c r="P444" t="s" s="40">
        <v>35</v>
      </c>
      <c r="Q444" s="146">
        <v>32</v>
      </c>
    </row>
    <row r="445" ht="12.9" customHeight="1">
      <c r="P445" t="s" s="40">
        <v>52</v>
      </c>
      <c r="Q445" s="146">
        <v>30</v>
      </c>
    </row>
    <row r="446" ht="12.9" customHeight="1">
      <c r="P446" t="s" s="40">
        <v>359</v>
      </c>
      <c r="Q446" s="146">
        <v>28</v>
      </c>
    </row>
    <row r="447" ht="12.9" customHeight="1">
      <c r="P447" t="s" s="40">
        <v>73</v>
      </c>
      <c r="Q447" s="146">
        <v>23</v>
      </c>
    </row>
    <row r="448" ht="12.9" customHeight="1">
      <c r="P448" t="s" s="40">
        <v>84</v>
      </c>
      <c r="Q448" s="146">
        <v>21</v>
      </c>
    </row>
    <row r="449" ht="12.9" customHeight="1">
      <c r="P449" t="s" s="40">
        <v>77</v>
      </c>
      <c r="Q449" s="146">
        <v>20</v>
      </c>
    </row>
    <row r="450" ht="12.9" customHeight="1">
      <c r="P450" t="s" s="40">
        <v>133</v>
      </c>
      <c r="Q450" s="146">
        <v>16</v>
      </c>
    </row>
    <row r="451" ht="12.9" customHeight="1">
      <c r="P451" t="s" s="40">
        <v>722</v>
      </c>
      <c r="Q451" s="146">
        <v>15</v>
      </c>
    </row>
    <row r="452" ht="12.9" customHeight="1">
      <c r="P452" t="s" s="40">
        <v>23</v>
      </c>
      <c r="Q452" s="146">
        <v>13</v>
      </c>
    </row>
    <row r="453" ht="12.9" customHeight="1">
      <c r="P453" t="s" s="40">
        <v>11</v>
      </c>
      <c r="Q453" s="146">
        <v>13</v>
      </c>
    </row>
    <row r="454" ht="12.9" customHeight="1">
      <c r="P454" t="s" s="40">
        <v>1232</v>
      </c>
      <c r="Q454" s="146">
        <v>12</v>
      </c>
    </row>
    <row r="455" ht="12.9" customHeight="1">
      <c r="P455" t="s" s="40">
        <v>1233</v>
      </c>
      <c r="Q455" s="146">
        <v>12</v>
      </c>
    </row>
    <row r="456" ht="12.9" customHeight="1">
      <c r="P456" t="s" s="40">
        <v>95</v>
      </c>
      <c r="Q456" s="146">
        <v>11</v>
      </c>
    </row>
    <row r="457" ht="12.9" customHeight="1">
      <c r="P457" t="s" s="40">
        <v>59</v>
      </c>
      <c r="Q457" s="146">
        <v>11</v>
      </c>
    </row>
    <row r="458" ht="12.9" customHeight="1">
      <c r="P458" t="s" s="40">
        <v>63</v>
      </c>
      <c r="Q458" s="146">
        <v>11</v>
      </c>
    </row>
    <row r="459" ht="12.9" customHeight="1">
      <c r="P459" t="s" s="40">
        <v>2099</v>
      </c>
      <c r="Q459" s="146">
        <v>10</v>
      </c>
    </row>
    <row r="460" ht="12.9" customHeight="1">
      <c r="P460" t="s" s="40">
        <v>3513</v>
      </c>
      <c r="Q460" s="146">
        <v>10</v>
      </c>
    </row>
    <row r="461" ht="12.9" customHeight="1">
      <c r="P461" t="s" s="40">
        <v>1695</v>
      </c>
      <c r="Q461" s="146">
        <v>10</v>
      </c>
    </row>
    <row r="462" ht="12.9" customHeight="1">
      <c r="P462" t="s" s="40">
        <v>227</v>
      </c>
      <c r="Q462" s="146">
        <v>9</v>
      </c>
    </row>
    <row r="463" ht="12.9" customHeight="1">
      <c r="P463" t="s" s="40">
        <v>225</v>
      </c>
      <c r="Q463" s="146">
        <v>9</v>
      </c>
    </row>
    <row r="464" ht="12.9" customHeight="1">
      <c r="P464" t="s" s="40">
        <v>125</v>
      </c>
      <c r="Q464" s="146">
        <v>9</v>
      </c>
    </row>
    <row r="465" ht="12.9" customHeight="1">
      <c r="P465" t="s" s="40">
        <v>602</v>
      </c>
      <c r="Q465" s="146">
        <v>9</v>
      </c>
    </row>
    <row r="466" ht="12.9" customHeight="1">
      <c r="P466" t="s" s="40">
        <v>31</v>
      </c>
      <c r="Q466" s="146">
        <v>9</v>
      </c>
    </row>
    <row r="467" ht="12.9" customHeight="1">
      <c r="P467" t="s" s="40">
        <v>81</v>
      </c>
      <c r="Q467" s="146">
        <v>9</v>
      </c>
    </row>
    <row r="468" ht="12.9" customHeight="1">
      <c r="P468" t="s" s="40">
        <v>5820</v>
      </c>
      <c r="Q468" s="146">
        <v>8</v>
      </c>
    </row>
    <row r="469" ht="12.9" customHeight="1">
      <c r="P469" t="s" s="40">
        <v>487</v>
      </c>
      <c r="Q469" s="146">
        <v>8</v>
      </c>
    </row>
    <row r="470" ht="12.9" customHeight="1">
      <c r="P470" t="s" s="40">
        <v>123</v>
      </c>
      <c r="Q470" s="146">
        <v>7</v>
      </c>
    </row>
    <row r="471" ht="12.9" customHeight="1">
      <c r="P471" t="s" s="40">
        <v>171</v>
      </c>
      <c r="Q471" s="146">
        <v>7</v>
      </c>
    </row>
    <row r="472" ht="12.9" customHeight="1">
      <c r="P472" t="s" s="40">
        <v>4180</v>
      </c>
      <c r="Q472" s="146">
        <v>6</v>
      </c>
    </row>
    <row r="473" ht="12.9" customHeight="1">
      <c r="P473" t="s" s="40">
        <v>165</v>
      </c>
      <c r="Q473" s="146">
        <v>6</v>
      </c>
    </row>
    <row r="474" ht="12.9" customHeight="1">
      <c r="P474" t="s" s="40">
        <v>299</v>
      </c>
      <c r="Q474" s="146">
        <v>6</v>
      </c>
    </row>
    <row r="475" ht="12.9" customHeight="1">
      <c r="P475" t="s" s="40">
        <v>470</v>
      </c>
      <c r="Q475" s="146">
        <v>6</v>
      </c>
    </row>
    <row r="476" ht="12.9" customHeight="1">
      <c r="P476" t="s" s="40">
        <v>1731</v>
      </c>
      <c r="Q476" s="146">
        <v>6</v>
      </c>
    </row>
    <row r="477" ht="12.9" customHeight="1">
      <c r="P477" t="s" s="40">
        <v>1729</v>
      </c>
      <c r="Q477" s="146">
        <v>6</v>
      </c>
    </row>
    <row r="478" ht="12.9" customHeight="1">
      <c r="P478" t="s" s="40">
        <v>5418</v>
      </c>
      <c r="Q478" s="146">
        <v>5</v>
      </c>
    </row>
    <row r="479" ht="12.9" customHeight="1">
      <c r="P479" t="s" s="40">
        <v>2787</v>
      </c>
      <c r="Q479" s="146">
        <v>5</v>
      </c>
    </row>
    <row r="480" ht="12.9" customHeight="1">
      <c r="P480" t="s" s="40">
        <v>179</v>
      </c>
      <c r="Q480" s="146">
        <v>5</v>
      </c>
    </row>
    <row r="481" ht="12.9" customHeight="1">
      <c r="P481" t="s" s="40">
        <v>589</v>
      </c>
      <c r="Q481" s="146">
        <v>5</v>
      </c>
    </row>
    <row r="482" ht="12.9" customHeight="1">
      <c r="P482" t="s" s="40">
        <v>2332</v>
      </c>
      <c r="Q482" s="146">
        <v>5</v>
      </c>
    </row>
    <row r="483" ht="12.9" customHeight="1">
      <c r="P483" t="s" s="40">
        <v>2961</v>
      </c>
      <c r="Q483" s="146">
        <v>4</v>
      </c>
    </row>
    <row r="484" ht="12.9" customHeight="1">
      <c r="P484" t="s" s="40">
        <v>882</v>
      </c>
      <c r="Q484" s="146">
        <v>4</v>
      </c>
    </row>
    <row r="485" ht="12.9" customHeight="1">
      <c r="P485" t="s" s="40">
        <v>354</v>
      </c>
      <c r="Q485" s="146">
        <v>4</v>
      </c>
    </row>
    <row r="486" ht="12.9" customHeight="1">
      <c r="P486" t="s" s="40">
        <v>146</v>
      </c>
      <c r="Q486" s="146">
        <v>3</v>
      </c>
    </row>
    <row r="487" ht="12.9" customHeight="1">
      <c r="P487" t="s" s="40">
        <v>2672</v>
      </c>
      <c r="Q487" s="146">
        <v>3</v>
      </c>
    </row>
    <row r="488" ht="12.9" customHeight="1">
      <c r="P488" t="s" s="40">
        <v>213</v>
      </c>
      <c r="Q488" s="146">
        <v>2</v>
      </c>
    </row>
    <row r="489" ht="12.9" customHeight="1">
      <c r="P489" t="s" s="40">
        <v>404</v>
      </c>
      <c r="Q489" s="146">
        <v>2</v>
      </c>
    </row>
    <row r="490" ht="12.9" customHeight="1">
      <c r="P490" t="s" s="40">
        <v>47</v>
      </c>
      <c r="Q490" s="146">
        <v>2</v>
      </c>
    </row>
    <row r="491" ht="12.9" customHeight="1">
      <c r="P491" t="s" s="40">
        <v>1236</v>
      </c>
      <c r="Q491" s="146">
        <v>2</v>
      </c>
    </row>
    <row r="492" ht="12.9" customHeight="1">
      <c r="P492" t="s" s="40">
        <v>762</v>
      </c>
      <c r="Q492" s="146">
        <v>2</v>
      </c>
    </row>
    <row r="493" ht="12.9" customHeight="1">
      <c r="P493" t="s" s="40">
        <v>3952</v>
      </c>
      <c r="Q493" s="146">
        <v>1</v>
      </c>
    </row>
    <row r="494" ht="12.9" customHeight="1">
      <c r="P494" t="s" s="40">
        <v>1593</v>
      </c>
      <c r="Q494" s="146">
        <v>1</v>
      </c>
    </row>
    <row r="495" ht="12.9" customHeight="1">
      <c r="P495" t="s" s="40">
        <v>39</v>
      </c>
      <c r="Q495" s="146">
        <v>1</v>
      </c>
    </row>
    <row r="496" ht="12.9" customHeight="1">
      <c r="P496" t="s" s="40">
        <v>3078</v>
      </c>
      <c r="Q496" s="146">
        <v>1</v>
      </c>
    </row>
    <row r="497" ht="12.9" customHeight="1">
      <c r="P497" t="s" s="40">
        <v>143</v>
      </c>
      <c r="Q497" s="146">
        <v>1</v>
      </c>
    </row>
    <row r="498" ht="12.9" customHeight="1">
      <c r="P498" t="s" s="40">
        <v>442</v>
      </c>
      <c r="Q498" s="146">
        <v>1</v>
      </c>
    </row>
    <row r="499" ht="12.9" customHeight="1">
      <c r="P499" t="s" s="40">
        <v>5771</v>
      </c>
      <c r="Q499" s="146">
        <v>1</v>
      </c>
    </row>
    <row r="500" ht="12.9" customHeight="1">
      <c r="P500" t="s" s="40">
        <v>3653</v>
      </c>
      <c r="Q500" s="146">
        <v>1</v>
      </c>
    </row>
    <row r="501" ht="12.9" customHeight="1">
      <c r="P501" t="s" s="40">
        <v>4955</v>
      </c>
      <c r="Q501" s="146">
        <v>1</v>
      </c>
    </row>
    <row r="502" ht="13.1" customHeight="1">
      <c r="P502" t="s" s="42">
        <v>2009</v>
      </c>
      <c r="Q502" s="147">
        <v>1</v>
      </c>
    </row>
    <row r="503" ht="13.1" customHeight="1">
      <c r="P503" t="s" s="44">
        <v>620</v>
      </c>
      <c r="Q503" s="34">
        <v>872</v>
      </c>
    </row>
    <row r="505" ht="15.55" customHeight="1">
      <c r="R505" t="s" s="2">
        <v>5836</v>
      </c>
      <c r="S505" s="2"/>
    </row>
    <row r="506" ht="13.1" customHeight="1">
      <c r="R506" t="s" s="37">
        <v>4</v>
      </c>
      <c r="S506" t="s" s="145">
        <v>619</v>
      </c>
    </row>
    <row r="507" ht="13.1" customHeight="1">
      <c r="R507" t="s" s="38">
        <v>48</v>
      </c>
      <c r="S507" s="50">
        <v>47234.7975</v>
      </c>
    </row>
    <row r="508" ht="12.9" customHeight="1">
      <c r="R508" t="s" s="40">
        <v>722</v>
      </c>
      <c r="S508" s="150">
        <v>13049.85</v>
      </c>
    </row>
    <row r="509" ht="12.9" customHeight="1">
      <c r="R509" t="s" s="40">
        <v>59</v>
      </c>
      <c r="S509" s="150">
        <v>11999.9</v>
      </c>
    </row>
    <row r="510" ht="12.9" customHeight="1">
      <c r="R510" t="s" s="40">
        <v>73</v>
      </c>
      <c r="S510" s="150">
        <v>8699.782499999999</v>
      </c>
    </row>
    <row r="511" ht="12.9" customHeight="1">
      <c r="R511" t="s" s="40">
        <v>81</v>
      </c>
      <c r="S511" s="150">
        <v>7649.91</v>
      </c>
    </row>
    <row r="512" ht="12.9" customHeight="1">
      <c r="R512" t="s" s="40">
        <v>31</v>
      </c>
      <c r="S512" s="150">
        <v>5399.91</v>
      </c>
    </row>
    <row r="513" ht="12.9" customHeight="1">
      <c r="R513" t="s" s="40">
        <v>11</v>
      </c>
      <c r="S513" s="150">
        <v>4759.881</v>
      </c>
    </row>
    <row r="514" ht="12.9" customHeight="1">
      <c r="R514" t="s" s="40">
        <v>19</v>
      </c>
      <c r="S514" s="150">
        <v>4559.605</v>
      </c>
    </row>
    <row r="515" ht="12.9" customHeight="1">
      <c r="R515" t="s" s="40">
        <v>225</v>
      </c>
      <c r="S515" s="150">
        <v>3999.92</v>
      </c>
    </row>
    <row r="516" ht="12.9" customHeight="1">
      <c r="R516" t="s" s="40">
        <v>171</v>
      </c>
      <c r="S516" s="150">
        <v>3849.93</v>
      </c>
    </row>
    <row r="517" ht="12.9" customHeight="1">
      <c r="R517" t="s" s="40">
        <v>95</v>
      </c>
      <c r="S517" s="150">
        <v>3824.89</v>
      </c>
    </row>
    <row r="518" ht="12.9" customHeight="1">
      <c r="R518" t="s" s="40">
        <v>143</v>
      </c>
      <c r="S518" s="150">
        <v>3199.99</v>
      </c>
    </row>
    <row r="519" ht="12.9" customHeight="1">
      <c r="R519" t="s" s="40">
        <v>89</v>
      </c>
      <c r="S519" s="150">
        <v>2429.595</v>
      </c>
    </row>
    <row r="520" ht="12.9" customHeight="1">
      <c r="R520" t="s" s="40">
        <v>35</v>
      </c>
      <c r="S520" s="150">
        <v>1537.1925</v>
      </c>
    </row>
    <row r="521" ht="12.9" customHeight="1">
      <c r="R521" t="s" s="40">
        <v>602</v>
      </c>
      <c r="S521" s="150">
        <v>1487.5</v>
      </c>
    </row>
    <row r="522" ht="12.9" customHeight="1">
      <c r="R522" t="s" s="40">
        <v>133</v>
      </c>
      <c r="S522" s="150">
        <v>1399.96</v>
      </c>
    </row>
    <row r="523" ht="12.9" customHeight="1">
      <c r="R523" t="s" s="40">
        <v>123</v>
      </c>
      <c r="S523" s="150">
        <v>1259.93</v>
      </c>
    </row>
    <row r="524" ht="12.9" customHeight="1">
      <c r="R524" t="s" s="40">
        <v>470</v>
      </c>
      <c r="S524" s="150">
        <v>1249.95</v>
      </c>
    </row>
    <row r="525" ht="12.9" customHeight="1">
      <c r="R525" t="s" s="40">
        <v>3513</v>
      </c>
      <c r="S525" s="150">
        <v>1113.75</v>
      </c>
    </row>
    <row r="526" ht="12.9" customHeight="1">
      <c r="R526" t="s" s="40">
        <v>5418</v>
      </c>
      <c r="S526" s="150">
        <v>1019.0625</v>
      </c>
    </row>
    <row r="527" ht="12.9" customHeight="1">
      <c r="R527" t="s" s="40">
        <v>63</v>
      </c>
      <c r="S527" s="150">
        <v>990.34</v>
      </c>
    </row>
    <row r="528" ht="12.9" customHeight="1">
      <c r="R528" t="s" s="40">
        <v>213</v>
      </c>
      <c r="S528" s="150">
        <v>850</v>
      </c>
    </row>
    <row r="529" ht="12.9" customHeight="1">
      <c r="R529" t="s" s="40">
        <v>4180</v>
      </c>
      <c r="S529" s="150">
        <v>750</v>
      </c>
    </row>
    <row r="530" ht="12.9" customHeight="1">
      <c r="R530" t="s" s="40">
        <v>23</v>
      </c>
      <c r="S530" s="150">
        <v>749.95</v>
      </c>
    </row>
    <row r="531" ht="12.9" customHeight="1">
      <c r="R531" t="s" s="40">
        <v>2332</v>
      </c>
      <c r="S531" s="150">
        <v>624.9725</v>
      </c>
    </row>
    <row r="532" ht="12.9" customHeight="1">
      <c r="R532" t="s" s="40">
        <v>125</v>
      </c>
      <c r="S532" s="150">
        <v>584.91</v>
      </c>
    </row>
    <row r="533" ht="12.9" customHeight="1">
      <c r="R533" t="s" s="40">
        <v>2099</v>
      </c>
      <c r="S533" s="150">
        <v>566.25</v>
      </c>
    </row>
    <row r="534" ht="12.9" customHeight="1">
      <c r="R534" t="s" s="40">
        <v>1695</v>
      </c>
      <c r="S534" s="150">
        <v>499.9</v>
      </c>
    </row>
    <row r="535" ht="12.9" customHeight="1">
      <c r="R535" t="s" s="40">
        <v>359</v>
      </c>
      <c r="S535" s="150">
        <v>479.84</v>
      </c>
    </row>
    <row r="536" ht="12.9" customHeight="1">
      <c r="R536" t="s" s="40">
        <v>299</v>
      </c>
      <c r="S536" s="150">
        <v>419.94</v>
      </c>
    </row>
    <row r="537" ht="12.9" customHeight="1">
      <c r="R537" t="s" s="40">
        <v>15</v>
      </c>
      <c r="S537" s="150">
        <v>373.3325</v>
      </c>
    </row>
    <row r="538" ht="12.9" customHeight="1">
      <c r="R538" t="s" s="40">
        <v>882</v>
      </c>
      <c r="S538" s="150">
        <v>299.96</v>
      </c>
    </row>
    <row r="539" ht="12.9" customHeight="1">
      <c r="R539" t="s" s="40">
        <v>77</v>
      </c>
      <c r="S539" s="150">
        <v>299.88</v>
      </c>
    </row>
    <row r="540" ht="12.9" customHeight="1">
      <c r="R540" t="s" s="40">
        <v>3078</v>
      </c>
      <c r="S540" s="150">
        <v>262.4925</v>
      </c>
    </row>
    <row r="541" ht="12.9" customHeight="1">
      <c r="R541" t="s" s="40">
        <v>4955</v>
      </c>
      <c r="S541" s="150">
        <v>249.99</v>
      </c>
    </row>
    <row r="542" ht="12.9" customHeight="1">
      <c r="R542" t="s" s="40">
        <v>179</v>
      </c>
      <c r="S542" s="150">
        <v>199.96</v>
      </c>
    </row>
    <row r="543" ht="12.9" customHeight="1">
      <c r="R543" t="s" s="40">
        <v>227</v>
      </c>
      <c r="S543" s="150">
        <v>179.94</v>
      </c>
    </row>
    <row r="544" ht="12.9" customHeight="1">
      <c r="R544" t="s" s="40">
        <v>50</v>
      </c>
      <c r="S544" s="150">
        <v>167.944</v>
      </c>
    </row>
    <row r="545" ht="12.9" customHeight="1">
      <c r="R545" t="s" s="40">
        <v>54</v>
      </c>
      <c r="S545" s="150">
        <v>139.86</v>
      </c>
    </row>
    <row r="546" ht="12.9" customHeight="1">
      <c r="R546" t="s" s="40">
        <v>47</v>
      </c>
      <c r="S546" s="150">
        <v>115</v>
      </c>
    </row>
    <row r="547" ht="12.9" customHeight="1">
      <c r="R547" t="s" s="40">
        <v>39</v>
      </c>
      <c r="S547" s="150">
        <v>109.99</v>
      </c>
    </row>
    <row r="548" ht="12.9" customHeight="1">
      <c r="R548" t="s" s="40">
        <v>1593</v>
      </c>
      <c r="S548" s="150">
        <v>99.98999999999999</v>
      </c>
    </row>
    <row r="549" ht="12.9" customHeight="1">
      <c r="R549" t="s" s="40">
        <v>2787</v>
      </c>
      <c r="S549" s="150">
        <v>91.95999999999999</v>
      </c>
    </row>
    <row r="550" ht="12.9" customHeight="1">
      <c r="R550" t="s" s="40">
        <v>487</v>
      </c>
      <c r="S550" s="150">
        <v>82.49250000000001</v>
      </c>
    </row>
    <row r="551" ht="12.9" customHeight="1">
      <c r="R551" t="s" s="40">
        <v>146</v>
      </c>
      <c r="S551" s="150">
        <v>59.97</v>
      </c>
    </row>
    <row r="552" ht="12.9" customHeight="1">
      <c r="R552" t="s" s="40">
        <v>84</v>
      </c>
      <c r="S552" s="150">
        <v>45</v>
      </c>
    </row>
    <row r="553" ht="12.9" customHeight="1">
      <c r="R553" t="s" s="40">
        <v>52</v>
      </c>
      <c r="S553" s="150">
        <v>39.98</v>
      </c>
    </row>
    <row r="554" ht="12.9" customHeight="1">
      <c r="R554" t="s" s="40">
        <v>589</v>
      </c>
      <c r="S554" s="150">
        <v>35.5775</v>
      </c>
    </row>
    <row r="555" ht="12.9" customHeight="1">
      <c r="R555" t="s" s="40">
        <v>2672</v>
      </c>
      <c r="S555" s="150">
        <v>25.5</v>
      </c>
    </row>
    <row r="556" ht="12.9" customHeight="1">
      <c r="R556" t="s" s="40">
        <v>412</v>
      </c>
      <c r="S556" s="150">
        <v>15.92</v>
      </c>
    </row>
    <row r="557" ht="12.9" customHeight="1">
      <c r="R557" t="s" s="40">
        <v>1729</v>
      </c>
      <c r="S557" s="150">
        <v>14.99</v>
      </c>
    </row>
    <row r="558" ht="12.9" customHeight="1">
      <c r="R558" t="s" s="40">
        <v>762</v>
      </c>
      <c r="S558" s="149">
        <v>0</v>
      </c>
    </row>
    <row r="559" ht="12.9" customHeight="1">
      <c r="R559" t="s" s="40">
        <v>1236</v>
      </c>
      <c r="S559" s="149">
        <v>0</v>
      </c>
    </row>
    <row r="560" ht="12.9" customHeight="1">
      <c r="R560" t="s" s="40">
        <v>404</v>
      </c>
      <c r="S560" s="149">
        <v>0</v>
      </c>
    </row>
    <row r="561" ht="12.9" customHeight="1">
      <c r="R561" t="s" s="40">
        <v>2009</v>
      </c>
      <c r="S561" s="149">
        <v>0</v>
      </c>
    </row>
    <row r="562" ht="12.9" customHeight="1">
      <c r="R562" t="s" s="40">
        <v>3653</v>
      </c>
      <c r="S562" s="149">
        <v>0</v>
      </c>
    </row>
    <row r="563" ht="12.9" customHeight="1">
      <c r="R563" t="s" s="40">
        <v>5771</v>
      </c>
      <c r="S563" s="149">
        <v>0</v>
      </c>
    </row>
    <row r="564" ht="12.9" customHeight="1">
      <c r="R564" t="s" s="40">
        <v>1731</v>
      </c>
      <c r="S564" s="149">
        <v>0</v>
      </c>
    </row>
    <row r="565" ht="12.9" customHeight="1">
      <c r="R565" t="s" s="40">
        <v>354</v>
      </c>
      <c r="S565" s="149">
        <v>0</v>
      </c>
    </row>
    <row r="566" ht="12.9" customHeight="1">
      <c r="R566" t="s" s="40">
        <v>165</v>
      </c>
      <c r="S566" s="149">
        <v>0</v>
      </c>
    </row>
    <row r="567" ht="12.9" customHeight="1">
      <c r="R567" t="s" s="40">
        <v>3952</v>
      </c>
      <c r="S567" s="149">
        <v>0</v>
      </c>
    </row>
    <row r="568" ht="12.9" customHeight="1">
      <c r="R568" t="s" s="40">
        <v>5820</v>
      </c>
      <c r="S568" s="149">
        <v>0</v>
      </c>
    </row>
    <row r="569" ht="12.9" customHeight="1">
      <c r="R569" t="s" s="40">
        <v>1233</v>
      </c>
      <c r="S569" s="149">
        <v>0</v>
      </c>
    </row>
    <row r="570" ht="12.9" customHeight="1">
      <c r="R570" t="s" s="40">
        <v>1232</v>
      </c>
      <c r="S570" s="149">
        <v>0</v>
      </c>
    </row>
    <row r="571" ht="12.9" customHeight="1">
      <c r="R571" t="s" s="40">
        <v>2961</v>
      </c>
      <c r="S571" s="149">
        <v>0</v>
      </c>
    </row>
    <row r="572" ht="13.1" customHeight="1">
      <c r="R572" t="s" s="42">
        <v>442</v>
      </c>
      <c r="S572" s="324">
        <v>-119.996</v>
      </c>
    </row>
    <row r="573" ht="13.1" customHeight="1">
      <c r="R573" t="s" s="44">
        <v>620</v>
      </c>
      <c r="S573" s="50">
        <v>139031.1415</v>
      </c>
    </row>
  </sheetData>
  <mergeCells count="4">
    <mergeCell ref="A1:H1"/>
    <mergeCell ref="I311:O311"/>
    <mergeCell ref="P435:Q435"/>
    <mergeCell ref="R505:S505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4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404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60" customWidth="1"/>
    <col min="6" max="6" width="12.4062" style="360" customWidth="1"/>
    <col min="7" max="8" width="16.3516" style="360" customWidth="1"/>
    <col min="9" max="9" width="43.5547" style="361" customWidth="1"/>
    <col min="10" max="15" width="13.3516" style="361" customWidth="1"/>
    <col min="16" max="16" width="33.9531" style="380" customWidth="1"/>
    <col min="17" max="17" width="13.3516" style="380" customWidth="1"/>
    <col min="18" max="18" width="33.9531" style="381" customWidth="1"/>
    <col min="19" max="19" width="13.3516" style="381" customWidth="1"/>
    <col min="20" max="16384" width="16.3516" style="381" customWidth="1"/>
  </cols>
  <sheetData>
    <row r="1" ht="15.55" customHeight="1">
      <c r="A1" t="s" s="2">
        <v>5837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5838</v>
      </c>
      <c r="B3" t="s" s="5">
        <v>5839</v>
      </c>
      <c r="C3" s="6">
        <v>45016.987826678240</v>
      </c>
      <c r="D3" t="s" s="7">
        <v>73</v>
      </c>
      <c r="E3" t="s" s="7">
        <v>74</v>
      </c>
      <c r="F3" s="8">
        <v>1</v>
      </c>
      <c r="G3" s="9">
        <v>399.99</v>
      </c>
      <c r="H3" s="9">
        <v>399.99</v>
      </c>
    </row>
    <row r="4" ht="12.9" customHeight="1">
      <c r="A4" t="s" s="10">
        <v>5840</v>
      </c>
      <c r="B4" t="s" s="11">
        <v>5712</v>
      </c>
      <c r="C4" s="12">
        <v>45016.953351539349</v>
      </c>
      <c r="D4" t="s" s="13">
        <v>48</v>
      </c>
      <c r="E4" t="s" s="13">
        <v>49</v>
      </c>
      <c r="F4" s="14">
        <v>4</v>
      </c>
      <c r="G4" s="15">
        <v>1299.99</v>
      </c>
      <c r="H4" s="15">
        <v>5199.96</v>
      </c>
    </row>
    <row r="5" ht="12.9" customHeight="1">
      <c r="A5" t="s" s="10">
        <v>5840</v>
      </c>
      <c r="B5" t="s" s="11">
        <v>5712</v>
      </c>
      <c r="C5" s="12">
        <v>45016.953351539349</v>
      </c>
      <c r="D5" t="s" s="13">
        <v>50</v>
      </c>
      <c r="E5" t="s" s="13">
        <v>83</v>
      </c>
      <c r="F5" s="14">
        <v>4</v>
      </c>
      <c r="G5" s="15">
        <v>0</v>
      </c>
      <c r="H5" s="15">
        <v>0</v>
      </c>
    </row>
    <row r="6" ht="12.9" customHeight="1">
      <c r="A6" t="s" s="10">
        <v>5840</v>
      </c>
      <c r="B6" t="s" s="11">
        <v>5712</v>
      </c>
      <c r="C6" s="12">
        <v>45016.953351539349</v>
      </c>
      <c r="D6" t="s" s="13">
        <v>52</v>
      </c>
      <c r="E6" t="s" s="13">
        <v>4287</v>
      </c>
      <c r="F6" s="14">
        <v>4</v>
      </c>
      <c r="G6" s="15">
        <v>0</v>
      </c>
      <c r="H6" s="15">
        <v>0</v>
      </c>
    </row>
    <row r="7" ht="12.9" customHeight="1">
      <c r="A7" t="s" s="10">
        <v>5840</v>
      </c>
      <c r="B7" t="s" s="11">
        <v>5712</v>
      </c>
      <c r="C7" s="12">
        <v>45016.953351539349</v>
      </c>
      <c r="D7" t="s" s="13">
        <v>84</v>
      </c>
      <c r="E7" t="s" s="13">
        <v>4225</v>
      </c>
      <c r="F7" s="14">
        <v>4</v>
      </c>
      <c r="G7" s="15">
        <v>0</v>
      </c>
      <c r="H7" s="15">
        <v>0</v>
      </c>
    </row>
    <row r="8" ht="12.9" customHeight="1">
      <c r="A8" t="s" s="10">
        <v>5840</v>
      </c>
      <c r="B8" t="s" s="11">
        <v>5712</v>
      </c>
      <c r="C8" s="12">
        <v>45016.953351539349</v>
      </c>
      <c r="D8" t="s" s="13">
        <v>133</v>
      </c>
      <c r="E8" t="s" s="13">
        <v>4835</v>
      </c>
      <c r="F8" s="14">
        <v>4</v>
      </c>
      <c r="G8" s="15">
        <v>50</v>
      </c>
      <c r="H8" s="15">
        <v>200</v>
      </c>
    </row>
    <row r="9" ht="12.9" customHeight="1">
      <c r="A9" t="s" s="10">
        <v>5840</v>
      </c>
      <c r="B9" t="s" s="11">
        <v>5712</v>
      </c>
      <c r="C9" s="12">
        <v>45016.953351539349</v>
      </c>
      <c r="D9" t="s" s="13">
        <v>227</v>
      </c>
      <c r="E9" t="s" s="13">
        <v>228</v>
      </c>
      <c r="F9" s="14">
        <v>4</v>
      </c>
      <c r="G9" s="15">
        <v>29.99</v>
      </c>
      <c r="H9" s="15">
        <v>119.96</v>
      </c>
    </row>
    <row r="10" ht="12.9" customHeight="1">
      <c r="A10" t="s" s="10">
        <v>5840</v>
      </c>
      <c r="B10" t="s" s="11">
        <v>5712</v>
      </c>
      <c r="C10" s="12">
        <v>45016.953351539349</v>
      </c>
      <c r="D10" t="s" s="13">
        <v>59</v>
      </c>
      <c r="E10" t="s" s="13">
        <v>60</v>
      </c>
      <c r="F10" s="14">
        <v>1</v>
      </c>
      <c r="G10" s="15">
        <v>1199.99</v>
      </c>
      <c r="H10" s="15">
        <v>1199.99</v>
      </c>
    </row>
    <row r="11" ht="12.9" customHeight="1">
      <c r="A11" t="s" s="10">
        <v>5840</v>
      </c>
      <c r="B11" t="s" s="11">
        <v>5712</v>
      </c>
      <c r="C11" s="12">
        <v>45016.953351539349</v>
      </c>
      <c r="D11" t="s" s="13">
        <v>15</v>
      </c>
      <c r="E11" t="s" s="13">
        <v>4757</v>
      </c>
      <c r="F11" s="14">
        <v>1</v>
      </c>
      <c r="G11" s="15">
        <v>9.99</v>
      </c>
      <c r="H11" s="15">
        <v>9.99</v>
      </c>
    </row>
    <row r="12" ht="12.9" customHeight="1">
      <c r="A12" t="s" s="10">
        <v>5840</v>
      </c>
      <c r="B12" t="s" s="11">
        <v>5712</v>
      </c>
      <c r="C12" s="12">
        <v>45016.953351539349</v>
      </c>
      <c r="D12" t="s" s="13">
        <v>31</v>
      </c>
      <c r="E12" t="s" s="13">
        <v>32</v>
      </c>
      <c r="F12" s="14">
        <v>1</v>
      </c>
      <c r="G12" s="15">
        <v>599.99</v>
      </c>
      <c r="H12" s="15">
        <v>599.99</v>
      </c>
    </row>
    <row r="13" ht="12.9" customHeight="1">
      <c r="A13" t="s" s="10">
        <v>5840</v>
      </c>
      <c r="B13" t="s" s="11">
        <v>5712</v>
      </c>
      <c r="C13" s="12">
        <v>45016.953351539349</v>
      </c>
      <c r="D13" t="s" s="13">
        <v>412</v>
      </c>
      <c r="E13" t="s" s="13">
        <v>413</v>
      </c>
      <c r="F13" s="14">
        <v>10</v>
      </c>
      <c r="G13" s="15">
        <v>1.99</v>
      </c>
      <c r="H13" s="15">
        <v>19.9</v>
      </c>
    </row>
    <row r="14" ht="12.9" customHeight="1">
      <c r="A14" t="s" s="10">
        <v>5840</v>
      </c>
      <c r="B14" t="s" s="11">
        <v>5712</v>
      </c>
      <c r="C14" s="12">
        <v>45016.953351539349</v>
      </c>
      <c r="D14" t="s" s="13">
        <v>15</v>
      </c>
      <c r="E14" t="s" s="13">
        <v>4757</v>
      </c>
      <c r="F14" s="14">
        <v>3</v>
      </c>
      <c r="G14" s="15">
        <v>9.99</v>
      </c>
      <c r="H14" s="15">
        <v>29.97</v>
      </c>
    </row>
    <row r="15" ht="12.9" customHeight="1">
      <c r="A15" t="s" s="10">
        <v>5841</v>
      </c>
      <c r="B15" t="s" s="11">
        <v>5842</v>
      </c>
      <c r="C15" s="12">
        <v>45016.874556261573</v>
      </c>
      <c r="D15" t="s" s="13">
        <v>35</v>
      </c>
      <c r="E15" t="s" s="13">
        <v>36</v>
      </c>
      <c r="F15" s="14">
        <v>2</v>
      </c>
      <c r="G15" s="15">
        <v>49.99</v>
      </c>
      <c r="H15" s="15">
        <v>99.98</v>
      </c>
    </row>
    <row r="16" ht="12.9" customHeight="1">
      <c r="A16" t="s" s="10">
        <v>5843</v>
      </c>
      <c r="B16" t="s" s="11">
        <v>5844</v>
      </c>
      <c r="C16" s="12">
        <v>45016.826932326388</v>
      </c>
      <c r="D16" t="s" s="13">
        <v>5845</v>
      </c>
      <c r="E16" t="s" s="13">
        <v>5846</v>
      </c>
      <c r="F16" s="14">
        <v>6</v>
      </c>
      <c r="G16" s="15">
        <v>9.99</v>
      </c>
      <c r="H16" s="15">
        <v>59.94</v>
      </c>
    </row>
    <row r="17" ht="12.9" customHeight="1">
      <c r="A17" t="s" s="10">
        <v>5847</v>
      </c>
      <c r="B17" t="s" s="11">
        <v>5848</v>
      </c>
      <c r="C17" s="12">
        <v>45016.746872974538</v>
      </c>
      <c r="D17" t="s" s="13">
        <v>73</v>
      </c>
      <c r="E17" t="s" s="13">
        <v>74</v>
      </c>
      <c r="F17" s="14">
        <v>1</v>
      </c>
      <c r="G17" s="15">
        <v>399.99</v>
      </c>
      <c r="H17" s="15">
        <v>399.99</v>
      </c>
    </row>
    <row r="18" ht="12.9" customHeight="1">
      <c r="A18" t="s" s="10">
        <v>5849</v>
      </c>
      <c r="B18" t="s" s="11">
        <v>5850</v>
      </c>
      <c r="C18" s="12">
        <v>45016.645623715274</v>
      </c>
      <c r="D18" t="s" s="13">
        <v>35</v>
      </c>
      <c r="E18" t="s" s="13">
        <v>36</v>
      </c>
      <c r="F18" s="14">
        <v>1</v>
      </c>
      <c r="G18" s="15">
        <v>49.99</v>
      </c>
      <c r="H18" s="15">
        <v>49.99</v>
      </c>
    </row>
    <row r="19" ht="12.9" customHeight="1">
      <c r="A19" t="s" s="10">
        <v>5851</v>
      </c>
      <c r="B19" t="s" s="11">
        <v>5787</v>
      </c>
      <c r="C19" s="12">
        <v>45016.6263294213</v>
      </c>
      <c r="D19" t="s" s="13">
        <v>171</v>
      </c>
      <c r="E19" t="s" s="13">
        <v>172</v>
      </c>
      <c r="F19" s="14">
        <v>1</v>
      </c>
      <c r="G19" s="15">
        <v>524.99</v>
      </c>
      <c r="H19" s="15">
        <v>524.99</v>
      </c>
    </row>
    <row r="20" ht="12.9" customHeight="1">
      <c r="A20" t="s" s="10">
        <v>5852</v>
      </c>
      <c r="B20" t="s" s="11">
        <v>5853</v>
      </c>
      <c r="C20" s="12">
        <v>45016.596993159721</v>
      </c>
      <c r="D20" t="s" s="13">
        <v>95</v>
      </c>
      <c r="E20" t="s" s="13">
        <v>12</v>
      </c>
      <c r="F20" s="14">
        <v>1</v>
      </c>
      <c r="G20" s="15">
        <v>349.99</v>
      </c>
      <c r="H20" s="15">
        <v>349.99</v>
      </c>
    </row>
    <row r="21" ht="12.9" customHeight="1">
      <c r="A21" t="s" s="10">
        <v>5854</v>
      </c>
      <c r="B21" t="s" s="11">
        <v>2503</v>
      </c>
      <c r="C21" s="12">
        <v>45016.565475543983</v>
      </c>
      <c r="D21" t="s" s="13">
        <v>470</v>
      </c>
      <c r="E21" t="s" s="13">
        <v>828</v>
      </c>
      <c r="F21" s="14">
        <v>1</v>
      </c>
      <c r="G21" s="15">
        <v>249.99</v>
      </c>
      <c r="H21" s="15">
        <v>249.99</v>
      </c>
    </row>
    <row r="22" ht="12.9" customHeight="1">
      <c r="A22" t="s" s="10">
        <v>5855</v>
      </c>
      <c r="B22" t="s" s="11">
        <v>2503</v>
      </c>
      <c r="C22" s="12">
        <v>45016.565475543983</v>
      </c>
      <c r="D22" t="s" s="13">
        <v>470</v>
      </c>
      <c r="E22" t="s" s="13">
        <v>5856</v>
      </c>
      <c r="F22" s="14">
        <v>1</v>
      </c>
      <c r="G22" s="15">
        <v>0</v>
      </c>
      <c r="H22" s="15">
        <v>0</v>
      </c>
    </row>
    <row r="23" ht="12.9" customHeight="1">
      <c r="A23" t="s" s="10">
        <v>5857</v>
      </c>
      <c r="B23" t="s" s="11">
        <v>5858</v>
      </c>
      <c r="C23" s="12">
        <v>45016.206285185188</v>
      </c>
      <c r="D23" t="s" s="13">
        <v>35</v>
      </c>
      <c r="E23" t="s" s="13">
        <v>36</v>
      </c>
      <c r="F23" s="14">
        <v>2</v>
      </c>
      <c r="G23" s="15">
        <v>49.99</v>
      </c>
      <c r="H23" s="15">
        <v>99.98</v>
      </c>
    </row>
    <row r="24" ht="12.9" customHeight="1">
      <c r="A24" t="s" s="10">
        <v>5859</v>
      </c>
      <c r="B24" t="s" s="11">
        <v>5860</v>
      </c>
      <c r="C24" s="12">
        <v>45016</v>
      </c>
      <c r="D24" t="s" s="13">
        <v>225</v>
      </c>
      <c r="E24" t="s" s="13">
        <v>5861</v>
      </c>
      <c r="F24" s="14">
        <v>2</v>
      </c>
      <c r="G24" s="15">
        <v>499.99</v>
      </c>
      <c r="H24" s="15">
        <v>999.98</v>
      </c>
    </row>
    <row r="25" ht="12.9" customHeight="1">
      <c r="A25" t="s" s="10">
        <v>5859</v>
      </c>
      <c r="B25" t="s" s="11">
        <v>5860</v>
      </c>
      <c r="C25" s="12">
        <v>45016</v>
      </c>
      <c r="D25" t="s" s="13">
        <v>2099</v>
      </c>
      <c r="E25" t="s" s="13">
        <v>5862</v>
      </c>
      <c r="F25" s="14">
        <v>2</v>
      </c>
      <c r="G25" s="15">
        <v>99.98999999999999</v>
      </c>
      <c r="H25" s="15">
        <v>199.98</v>
      </c>
    </row>
    <row r="26" ht="12.9" customHeight="1">
      <c r="A26" t="s" s="10">
        <v>5859</v>
      </c>
      <c r="B26" t="s" s="11">
        <v>5860</v>
      </c>
      <c r="C26" s="12">
        <v>45016</v>
      </c>
      <c r="D26" t="s" s="13">
        <v>2961</v>
      </c>
      <c r="E26" t="s" s="13">
        <v>2962</v>
      </c>
      <c r="F26" s="14">
        <v>2</v>
      </c>
      <c r="G26" s="15">
        <v>0</v>
      </c>
      <c r="H26" s="15">
        <v>0</v>
      </c>
    </row>
    <row r="27" ht="12.9" customHeight="1">
      <c r="A27" t="s" s="10">
        <v>5859</v>
      </c>
      <c r="B27" t="s" s="11">
        <v>5860</v>
      </c>
      <c r="C27" s="12">
        <v>45016</v>
      </c>
      <c r="D27" t="s" s="13">
        <v>84</v>
      </c>
      <c r="E27" t="s" s="13">
        <v>829</v>
      </c>
      <c r="F27" s="14">
        <v>2</v>
      </c>
      <c r="G27" s="15">
        <v>0</v>
      </c>
      <c r="H27" s="15">
        <v>0</v>
      </c>
    </row>
    <row r="28" ht="12.9" customHeight="1">
      <c r="A28" t="s" s="10">
        <v>5859</v>
      </c>
      <c r="B28" t="s" s="11">
        <v>5860</v>
      </c>
      <c r="C28" s="12">
        <v>45016</v>
      </c>
      <c r="D28" t="s" s="13">
        <v>227</v>
      </c>
      <c r="E28" t="s" s="13">
        <v>228</v>
      </c>
      <c r="F28" s="14">
        <v>2</v>
      </c>
      <c r="G28" s="15">
        <v>0</v>
      </c>
      <c r="H28" s="15">
        <v>0</v>
      </c>
    </row>
    <row r="29" ht="12.9" customHeight="1">
      <c r="A29" t="s" s="10">
        <v>5863</v>
      </c>
      <c r="B29" t="s" s="11">
        <v>2671</v>
      </c>
      <c r="C29" s="12">
        <v>45016</v>
      </c>
      <c r="D29" t="s" s="13">
        <v>3480</v>
      </c>
      <c r="E29" t="s" s="13">
        <v>5864</v>
      </c>
      <c r="F29" s="14">
        <v>1</v>
      </c>
      <c r="G29" s="15">
        <v>0</v>
      </c>
      <c r="H29" s="15">
        <v>0</v>
      </c>
    </row>
    <row r="30" ht="12.9" customHeight="1">
      <c r="A30" t="s" s="10">
        <v>5865</v>
      </c>
      <c r="B30" t="s" s="11">
        <v>5866</v>
      </c>
      <c r="C30" s="12">
        <v>45015.879023090281</v>
      </c>
      <c r="D30" t="s" s="13">
        <v>73</v>
      </c>
      <c r="E30" t="s" s="13">
        <v>74</v>
      </c>
      <c r="F30" s="14">
        <v>1</v>
      </c>
      <c r="G30" s="15">
        <v>399.99</v>
      </c>
      <c r="H30" s="15">
        <v>399.99</v>
      </c>
    </row>
    <row r="31" ht="12.9" customHeight="1">
      <c r="A31" t="s" s="10">
        <v>5867</v>
      </c>
      <c r="B31" t="s" s="11">
        <v>5868</v>
      </c>
      <c r="C31" s="12">
        <v>45015.876206157409</v>
      </c>
      <c r="D31" t="s" s="13">
        <v>11</v>
      </c>
      <c r="E31" t="s" s="13">
        <v>12</v>
      </c>
      <c r="F31" s="14">
        <v>2</v>
      </c>
      <c r="G31" s="15">
        <v>399.99</v>
      </c>
      <c r="H31" s="15">
        <v>799.98</v>
      </c>
    </row>
    <row r="32" ht="12.9" customHeight="1">
      <c r="A32" t="s" s="10">
        <v>5869</v>
      </c>
      <c r="B32" t="s" s="11">
        <v>5870</v>
      </c>
      <c r="C32" s="12">
        <v>45015.848684606484</v>
      </c>
      <c r="D32" t="s" s="13">
        <v>35</v>
      </c>
      <c r="E32" t="s" s="13">
        <v>36</v>
      </c>
      <c r="F32" s="14">
        <v>1</v>
      </c>
      <c r="G32" s="15">
        <v>49.99</v>
      </c>
      <c r="H32" s="15">
        <v>49.99</v>
      </c>
    </row>
    <row r="33" ht="12.9" customHeight="1">
      <c r="A33" t="s" s="10">
        <v>5871</v>
      </c>
      <c r="B33" t="s" s="11">
        <v>5872</v>
      </c>
      <c r="C33" s="12">
        <v>45015.769990324072</v>
      </c>
      <c r="D33" t="s" s="13">
        <v>95</v>
      </c>
      <c r="E33" t="s" s="13">
        <v>12</v>
      </c>
      <c r="F33" s="14">
        <v>1</v>
      </c>
      <c r="G33" s="15">
        <v>324.99</v>
      </c>
      <c r="H33" s="15">
        <v>324.99</v>
      </c>
    </row>
    <row r="34" ht="12.9" customHeight="1">
      <c r="A34" t="s" s="10">
        <v>5873</v>
      </c>
      <c r="B34" t="s" s="11">
        <v>5708</v>
      </c>
      <c r="C34" s="12">
        <v>45014.754525150463</v>
      </c>
      <c r="D34" t="s" s="13">
        <v>48</v>
      </c>
      <c r="E34" t="s" s="13">
        <v>49</v>
      </c>
      <c r="F34" s="14">
        <v>6</v>
      </c>
      <c r="G34" s="15">
        <v>1279.99</v>
      </c>
      <c r="H34" s="15">
        <v>7679.94</v>
      </c>
    </row>
    <row r="35" ht="12.9" customHeight="1">
      <c r="A35" t="s" s="10">
        <v>5873</v>
      </c>
      <c r="B35" t="s" s="11">
        <v>5708</v>
      </c>
      <c r="C35" s="12">
        <v>45014.754525150463</v>
      </c>
      <c r="D35" t="s" s="13">
        <v>19</v>
      </c>
      <c r="E35" t="s" s="13">
        <v>20</v>
      </c>
      <c r="F35" s="14">
        <v>5</v>
      </c>
      <c r="G35" s="15">
        <v>119.99</v>
      </c>
      <c r="H35" s="15">
        <v>599.95</v>
      </c>
    </row>
    <row r="36" ht="12.9" customHeight="1">
      <c r="A36" t="s" s="10">
        <v>5873</v>
      </c>
      <c r="B36" t="s" s="11">
        <v>5708</v>
      </c>
      <c r="C36" s="12">
        <v>45014.754525150463</v>
      </c>
      <c r="D36" t="s" s="13">
        <v>602</v>
      </c>
      <c r="E36" t="s" s="13">
        <v>828</v>
      </c>
      <c r="F36" s="14">
        <v>4</v>
      </c>
      <c r="G36" s="15">
        <v>299.99</v>
      </c>
      <c r="H36" s="15">
        <v>1199.96</v>
      </c>
    </row>
    <row r="37" ht="12.9" customHeight="1">
      <c r="A37" t="s" s="10">
        <v>5873</v>
      </c>
      <c r="B37" t="s" s="11">
        <v>5708</v>
      </c>
      <c r="C37" s="12">
        <v>45014.754525150463</v>
      </c>
      <c r="D37" t="s" s="13">
        <v>179</v>
      </c>
      <c r="E37" t="s" s="13">
        <v>180</v>
      </c>
      <c r="F37" s="14">
        <v>4</v>
      </c>
      <c r="G37" s="15">
        <v>49.99</v>
      </c>
      <c r="H37" s="15">
        <v>199.96</v>
      </c>
    </row>
    <row r="38" ht="12.9" customHeight="1">
      <c r="A38" t="s" s="10">
        <v>5873</v>
      </c>
      <c r="B38" t="s" s="11">
        <v>5708</v>
      </c>
      <c r="C38" s="12">
        <v>45014.754525150463</v>
      </c>
      <c r="D38" t="s" s="13">
        <v>15</v>
      </c>
      <c r="E38" t="s" s="13">
        <v>4757</v>
      </c>
      <c r="F38" s="14">
        <v>6</v>
      </c>
      <c r="G38" s="15">
        <v>8.99</v>
      </c>
      <c r="H38" s="15">
        <v>53.94</v>
      </c>
    </row>
    <row r="39" ht="12.9" customHeight="1">
      <c r="A39" t="s" s="10">
        <v>5873</v>
      </c>
      <c r="B39" t="s" s="11">
        <v>5708</v>
      </c>
      <c r="C39" s="12">
        <v>45014.754525150463</v>
      </c>
      <c r="D39" t="s" s="13">
        <v>487</v>
      </c>
      <c r="E39" t="s" s="13">
        <v>828</v>
      </c>
      <c r="F39" s="14">
        <v>6</v>
      </c>
      <c r="G39" s="15">
        <v>0</v>
      </c>
      <c r="H39" s="15">
        <v>0</v>
      </c>
    </row>
    <row r="40" ht="12.9" customHeight="1">
      <c r="A40" t="s" s="10">
        <v>5873</v>
      </c>
      <c r="B40" t="s" s="11">
        <v>5708</v>
      </c>
      <c r="C40" s="12">
        <v>45014.754525150463</v>
      </c>
      <c r="D40" t="s" s="13">
        <v>133</v>
      </c>
      <c r="E40" t="s" s="13">
        <v>4835</v>
      </c>
      <c r="F40" s="14">
        <v>2</v>
      </c>
      <c r="G40" s="15">
        <v>149.99</v>
      </c>
      <c r="H40" s="15">
        <v>299.98</v>
      </c>
    </row>
    <row r="41" ht="12.9" customHeight="1">
      <c r="A41" t="s" s="10">
        <v>5873</v>
      </c>
      <c r="B41" t="s" s="11">
        <v>5708</v>
      </c>
      <c r="C41" s="12">
        <v>45014.754525150463</v>
      </c>
      <c r="D41" t="s" s="13">
        <v>84</v>
      </c>
      <c r="E41" t="s" s="13">
        <v>4225</v>
      </c>
      <c r="F41" s="14">
        <v>6</v>
      </c>
      <c r="G41" s="15">
        <v>0</v>
      </c>
      <c r="H41" s="15">
        <v>0</v>
      </c>
    </row>
    <row r="42" ht="12.9" customHeight="1">
      <c r="A42" t="s" s="10">
        <v>5874</v>
      </c>
      <c r="B42" t="s" s="11">
        <v>2115</v>
      </c>
      <c r="C42" s="12">
        <v>45014.567044722222</v>
      </c>
      <c r="D42" t="s" s="13">
        <v>48</v>
      </c>
      <c r="E42" t="s" s="13">
        <v>49</v>
      </c>
      <c r="F42" s="14">
        <v>2</v>
      </c>
      <c r="G42" s="15">
        <v>1299.99</v>
      </c>
      <c r="H42" s="15">
        <v>2599.98</v>
      </c>
    </row>
    <row r="43" ht="12.9" customHeight="1">
      <c r="A43" t="s" s="10">
        <v>5874</v>
      </c>
      <c r="B43" t="s" s="11">
        <v>2115</v>
      </c>
      <c r="C43" s="12">
        <v>45014.567044722222</v>
      </c>
      <c r="D43" t="s" s="13">
        <v>50</v>
      </c>
      <c r="E43" t="s" s="13">
        <v>83</v>
      </c>
      <c r="F43" s="14">
        <v>2</v>
      </c>
      <c r="G43" s="15">
        <v>0</v>
      </c>
      <c r="H43" s="15">
        <v>0</v>
      </c>
    </row>
    <row r="44" ht="12.9" customHeight="1">
      <c r="A44" t="s" s="10">
        <v>5874</v>
      </c>
      <c r="B44" t="s" s="11">
        <v>2115</v>
      </c>
      <c r="C44" s="12">
        <v>45014.567044722222</v>
      </c>
      <c r="D44" t="s" s="13">
        <v>133</v>
      </c>
      <c r="E44" t="s" s="13">
        <v>4835</v>
      </c>
      <c r="F44" s="14">
        <v>2</v>
      </c>
      <c r="G44" s="15">
        <v>50</v>
      </c>
      <c r="H44" s="15">
        <v>100</v>
      </c>
    </row>
    <row r="45" ht="12.9" customHeight="1">
      <c r="A45" t="s" s="10">
        <v>5874</v>
      </c>
      <c r="B45" t="s" s="11">
        <v>2115</v>
      </c>
      <c r="C45" s="12">
        <v>45014.567044722222</v>
      </c>
      <c r="D45" t="s" s="13">
        <v>227</v>
      </c>
      <c r="E45" t="s" s="13">
        <v>228</v>
      </c>
      <c r="F45" s="14">
        <v>2</v>
      </c>
      <c r="G45" s="15">
        <v>29.99</v>
      </c>
      <c r="H45" s="15">
        <v>59.98</v>
      </c>
    </row>
    <row r="46" ht="12.9" customHeight="1">
      <c r="A46" t="s" s="10">
        <v>5874</v>
      </c>
      <c r="B46" t="s" s="11">
        <v>2115</v>
      </c>
      <c r="C46" s="12">
        <v>45014.567044722222</v>
      </c>
      <c r="D46" t="s" s="13">
        <v>73</v>
      </c>
      <c r="E46" t="s" s="13">
        <v>74</v>
      </c>
      <c r="F46" s="14">
        <v>1</v>
      </c>
      <c r="G46" s="15">
        <v>399.99</v>
      </c>
      <c r="H46" s="15">
        <v>399.99</v>
      </c>
    </row>
    <row r="47" ht="12.9" customHeight="1">
      <c r="A47" t="s" s="10">
        <v>5874</v>
      </c>
      <c r="B47" t="s" s="11">
        <v>2115</v>
      </c>
      <c r="C47" s="12">
        <v>45014.567044722222</v>
      </c>
      <c r="D47" t="s" s="13">
        <v>123</v>
      </c>
      <c r="E47" t="s" s="13">
        <v>124</v>
      </c>
      <c r="F47" s="14">
        <v>1</v>
      </c>
      <c r="G47" s="15">
        <v>179.99</v>
      </c>
      <c r="H47" s="15">
        <v>179.99</v>
      </c>
    </row>
    <row r="48" ht="12.9" customHeight="1">
      <c r="A48" t="s" s="10">
        <v>5874</v>
      </c>
      <c r="B48" t="s" s="11">
        <v>2115</v>
      </c>
      <c r="C48" s="12">
        <v>45014.567044722222</v>
      </c>
      <c r="D48" t="s" s="13">
        <v>125</v>
      </c>
      <c r="E48" t="s" s="13">
        <v>126</v>
      </c>
      <c r="F48" s="14">
        <v>1</v>
      </c>
      <c r="G48" s="15">
        <v>64.98999999999999</v>
      </c>
      <c r="H48" s="15">
        <v>64.98999999999999</v>
      </c>
    </row>
    <row r="49" ht="12.9" customHeight="1">
      <c r="A49" t="s" s="10">
        <v>5874</v>
      </c>
      <c r="B49" t="s" s="11">
        <v>2115</v>
      </c>
      <c r="C49" s="12">
        <v>45014.567044722222</v>
      </c>
      <c r="D49" t="s" s="13">
        <v>354</v>
      </c>
      <c r="E49" t="s" s="13">
        <v>828</v>
      </c>
      <c r="F49" s="14">
        <v>2</v>
      </c>
      <c r="G49" s="15">
        <v>149.99</v>
      </c>
      <c r="H49" s="15">
        <v>299.98</v>
      </c>
    </row>
    <row r="50" ht="12.9" customHeight="1">
      <c r="A50" t="s" s="10">
        <v>5875</v>
      </c>
      <c r="B50" t="s" s="11">
        <v>5876</v>
      </c>
      <c r="C50" s="12">
        <v>45014.5585346875</v>
      </c>
      <c r="D50" t="s" s="13">
        <v>179</v>
      </c>
      <c r="E50" t="s" s="13">
        <v>180</v>
      </c>
      <c r="F50" s="14">
        <v>2</v>
      </c>
      <c r="G50" s="15">
        <v>49.99</v>
      </c>
      <c r="H50" s="15">
        <v>99.98</v>
      </c>
    </row>
    <row r="51" ht="12.9" customHeight="1">
      <c r="A51" t="s" s="10">
        <v>5877</v>
      </c>
      <c r="B51" t="s" s="11">
        <v>5878</v>
      </c>
      <c r="C51" s="12">
        <v>45014.184110057868</v>
      </c>
      <c r="D51" t="s" s="13">
        <v>59</v>
      </c>
      <c r="E51" t="s" s="13">
        <v>60</v>
      </c>
      <c r="F51" s="14">
        <v>1</v>
      </c>
      <c r="G51" s="15">
        <v>1199.99</v>
      </c>
      <c r="H51" s="15">
        <v>1199.99</v>
      </c>
    </row>
    <row r="52" ht="12.9" customHeight="1">
      <c r="A52" t="s" s="10">
        <v>5879</v>
      </c>
      <c r="B52" t="s" s="11">
        <v>5880</v>
      </c>
      <c r="C52" s="12">
        <v>45014.050745347224</v>
      </c>
      <c r="D52" t="s" s="13">
        <v>19</v>
      </c>
      <c r="E52" t="s" s="13">
        <v>20</v>
      </c>
      <c r="F52" s="14">
        <v>2</v>
      </c>
      <c r="G52" s="15">
        <v>119.99</v>
      </c>
      <c r="H52" s="15">
        <v>239.98</v>
      </c>
    </row>
    <row r="53" ht="12.9" customHeight="1">
      <c r="A53" t="s" s="10">
        <v>5879</v>
      </c>
      <c r="B53" t="s" s="11">
        <v>5880</v>
      </c>
      <c r="C53" s="12">
        <v>45014.050745347224</v>
      </c>
      <c r="D53" t="s" s="13">
        <v>15</v>
      </c>
      <c r="E53" t="s" s="13">
        <v>4757</v>
      </c>
      <c r="F53" s="14">
        <v>2</v>
      </c>
      <c r="G53" s="15">
        <v>9.99</v>
      </c>
      <c r="H53" s="15">
        <v>19.98</v>
      </c>
    </row>
    <row r="54" ht="12.9" customHeight="1">
      <c r="A54" t="s" s="10">
        <v>5881</v>
      </c>
      <c r="B54" t="s" s="11">
        <v>5882</v>
      </c>
      <c r="C54" s="12">
        <v>45013.8903465162</v>
      </c>
      <c r="D54" t="s" s="13">
        <v>19</v>
      </c>
      <c r="E54" t="s" s="13">
        <v>20</v>
      </c>
      <c r="F54" s="14">
        <v>4</v>
      </c>
      <c r="G54" s="15">
        <v>119.99</v>
      </c>
      <c r="H54" s="15">
        <v>479.96</v>
      </c>
    </row>
    <row r="55" ht="12.9" customHeight="1">
      <c r="A55" t="s" s="10">
        <v>5881</v>
      </c>
      <c r="B55" t="s" s="11">
        <v>5882</v>
      </c>
      <c r="C55" s="12">
        <v>45013.8903465162</v>
      </c>
      <c r="D55" t="s" s="13">
        <v>15</v>
      </c>
      <c r="E55" t="s" s="13">
        <v>4757</v>
      </c>
      <c r="F55" s="14">
        <v>4</v>
      </c>
      <c r="G55" s="15">
        <v>9.99</v>
      </c>
      <c r="H55" s="15">
        <v>39.96</v>
      </c>
    </row>
    <row r="56" ht="12.9" customHeight="1">
      <c r="A56" t="s" s="10">
        <v>5883</v>
      </c>
      <c r="B56" t="s" s="11">
        <v>5884</v>
      </c>
      <c r="C56" s="12">
        <v>45013.789577476855</v>
      </c>
      <c r="D56" t="s" s="13">
        <v>35</v>
      </c>
      <c r="E56" t="s" s="13">
        <v>36</v>
      </c>
      <c r="F56" s="14">
        <v>2</v>
      </c>
      <c r="G56" s="15">
        <v>49.99</v>
      </c>
      <c r="H56" s="15">
        <v>99.98</v>
      </c>
    </row>
    <row r="57" ht="12.9" customHeight="1">
      <c r="A57" t="s" s="10">
        <v>5885</v>
      </c>
      <c r="B57" t="s" s="11">
        <v>5886</v>
      </c>
      <c r="C57" s="12">
        <v>45013.680598217594</v>
      </c>
      <c r="D57" t="s" s="13">
        <v>31</v>
      </c>
      <c r="E57" t="s" s="13">
        <v>32</v>
      </c>
      <c r="F57" s="14">
        <v>1</v>
      </c>
      <c r="G57" s="15">
        <v>599.99</v>
      </c>
      <c r="H57" s="15">
        <v>599.99</v>
      </c>
    </row>
    <row r="58" ht="12.9" customHeight="1">
      <c r="A58" t="s" s="10">
        <v>5885</v>
      </c>
      <c r="B58" t="s" s="11">
        <v>5886</v>
      </c>
      <c r="C58" s="12">
        <v>45013.680598217594</v>
      </c>
      <c r="D58" t="s" s="13">
        <v>35</v>
      </c>
      <c r="E58" t="s" s="13">
        <v>36</v>
      </c>
      <c r="F58" s="14">
        <v>1</v>
      </c>
      <c r="G58" s="15">
        <v>49.99</v>
      </c>
      <c r="H58" s="15">
        <v>49.99</v>
      </c>
    </row>
    <row r="59" ht="12.9" customHeight="1">
      <c r="A59" t="s" s="10">
        <v>5887</v>
      </c>
      <c r="B59" t="s" s="11">
        <v>506</v>
      </c>
      <c r="C59" s="12">
        <v>45013.031887337966</v>
      </c>
      <c r="D59" t="s" s="13">
        <v>5845</v>
      </c>
      <c r="E59" t="s" s="13">
        <v>5846</v>
      </c>
      <c r="F59" s="14">
        <v>4</v>
      </c>
      <c r="G59" s="15">
        <v>9.99</v>
      </c>
      <c r="H59" s="15">
        <v>39.96</v>
      </c>
    </row>
    <row r="60" ht="12.9" customHeight="1">
      <c r="A60" t="s" s="10">
        <v>5888</v>
      </c>
      <c r="B60" t="s" s="11">
        <v>122</v>
      </c>
      <c r="C60" s="12">
        <v>45013</v>
      </c>
      <c r="D60" t="s" s="13">
        <v>50</v>
      </c>
      <c r="E60" t="s" s="13">
        <v>83</v>
      </c>
      <c r="F60" s="14">
        <v>1</v>
      </c>
      <c r="G60" s="15">
        <v>22.4925</v>
      </c>
      <c r="H60" s="15">
        <v>22.4925</v>
      </c>
    </row>
    <row r="61" ht="12.9" customHeight="1">
      <c r="A61" t="s" s="10">
        <v>5888</v>
      </c>
      <c r="B61" t="s" s="11">
        <v>122</v>
      </c>
      <c r="C61" s="12">
        <v>45013</v>
      </c>
      <c r="D61" t="s" s="13">
        <v>63</v>
      </c>
      <c r="E61" s="16"/>
      <c r="F61" s="14">
        <v>1</v>
      </c>
      <c r="G61" s="15">
        <v>28.78</v>
      </c>
      <c r="H61" s="15">
        <v>28.78</v>
      </c>
    </row>
    <row r="62" ht="12.9" customHeight="1">
      <c r="A62" t="s" s="10">
        <v>5889</v>
      </c>
      <c r="B62" t="s" s="11">
        <v>5890</v>
      </c>
      <c r="C62" s="12">
        <v>45012.957381203705</v>
      </c>
      <c r="D62" t="s" s="13">
        <v>59</v>
      </c>
      <c r="E62" t="s" s="13">
        <v>60</v>
      </c>
      <c r="F62" s="14">
        <v>1</v>
      </c>
      <c r="G62" s="15">
        <v>1199.99</v>
      </c>
      <c r="H62" s="15">
        <v>1199.99</v>
      </c>
    </row>
    <row r="63" ht="12.9" customHeight="1">
      <c r="A63" t="s" s="10">
        <v>5891</v>
      </c>
      <c r="B63" t="s" s="11">
        <v>5842</v>
      </c>
      <c r="C63" s="12">
        <v>45012.8668596875</v>
      </c>
      <c r="D63" t="s" s="13">
        <v>73</v>
      </c>
      <c r="E63" t="s" s="13">
        <v>74</v>
      </c>
      <c r="F63" s="14">
        <v>1</v>
      </c>
      <c r="G63" s="15">
        <v>399.99</v>
      </c>
      <c r="H63" s="15">
        <v>399.99</v>
      </c>
    </row>
    <row r="64" ht="12.9" customHeight="1">
      <c r="A64" t="s" s="10">
        <v>5892</v>
      </c>
      <c r="B64" t="s" s="11">
        <v>3189</v>
      </c>
      <c r="C64" s="12">
        <v>45012.570754097222</v>
      </c>
      <c r="D64" t="s" s="13">
        <v>123</v>
      </c>
      <c r="E64" t="s" s="13">
        <v>124</v>
      </c>
      <c r="F64" s="14">
        <v>2</v>
      </c>
      <c r="G64" s="15">
        <v>179.99</v>
      </c>
      <c r="H64" s="15">
        <v>359.98</v>
      </c>
    </row>
    <row r="65" ht="12.9" customHeight="1">
      <c r="A65" t="s" s="10">
        <v>5892</v>
      </c>
      <c r="B65" t="s" s="11">
        <v>3189</v>
      </c>
      <c r="C65" s="12">
        <v>45012.570754097222</v>
      </c>
      <c r="D65" t="s" s="13">
        <v>299</v>
      </c>
      <c r="E65" t="s" s="13">
        <v>300</v>
      </c>
      <c r="F65" s="14">
        <v>4</v>
      </c>
      <c r="G65" s="15">
        <v>69.98999999999999</v>
      </c>
      <c r="H65" s="15">
        <v>279.96</v>
      </c>
    </row>
    <row r="66" ht="12.9" customHeight="1">
      <c r="A66" t="s" s="10">
        <v>5892</v>
      </c>
      <c r="B66" t="s" s="11">
        <v>3189</v>
      </c>
      <c r="C66" s="12">
        <v>45012.570754097222</v>
      </c>
      <c r="D66" t="s" s="13">
        <v>146</v>
      </c>
      <c r="E66" t="s" s="13">
        <v>147</v>
      </c>
      <c r="F66" s="14">
        <v>4</v>
      </c>
      <c r="G66" s="15">
        <v>19.99</v>
      </c>
      <c r="H66" s="15">
        <v>79.95999999999999</v>
      </c>
    </row>
    <row r="67" ht="12.9" customHeight="1">
      <c r="A67" t="s" s="10">
        <v>5892</v>
      </c>
      <c r="B67" t="s" s="11">
        <v>3189</v>
      </c>
      <c r="C67" s="12">
        <v>45012.570754097222</v>
      </c>
      <c r="D67" t="s" s="13">
        <v>15</v>
      </c>
      <c r="E67" t="s" s="13">
        <v>4757</v>
      </c>
      <c r="F67" s="14">
        <v>1</v>
      </c>
      <c r="G67" s="15">
        <v>9.99</v>
      </c>
      <c r="H67" s="15">
        <v>9.99</v>
      </c>
    </row>
    <row r="68" ht="12.9" customHeight="1">
      <c r="A68" t="s" s="10">
        <v>5893</v>
      </c>
      <c r="B68" t="s" s="11">
        <v>5894</v>
      </c>
      <c r="C68" s="12">
        <v>45012.563585046293</v>
      </c>
      <c r="D68" t="s" s="13">
        <v>171</v>
      </c>
      <c r="E68" t="s" s="13">
        <v>172</v>
      </c>
      <c r="F68" s="14">
        <v>1</v>
      </c>
      <c r="G68" s="15">
        <v>549.99</v>
      </c>
      <c r="H68" s="15">
        <v>549.99</v>
      </c>
    </row>
    <row r="69" ht="12.9" customHeight="1">
      <c r="A69" t="s" s="10">
        <v>5895</v>
      </c>
      <c r="B69" t="s" s="11">
        <v>5896</v>
      </c>
      <c r="C69" s="12">
        <v>45012.238018402779</v>
      </c>
      <c r="D69" t="s" s="13">
        <v>73</v>
      </c>
      <c r="E69" t="s" s="13">
        <v>74</v>
      </c>
      <c r="F69" s="14">
        <v>1</v>
      </c>
      <c r="G69" s="15">
        <v>399.99</v>
      </c>
      <c r="H69" s="15">
        <v>399.99</v>
      </c>
    </row>
    <row r="70" ht="12.9" customHeight="1">
      <c r="A70" t="s" s="10">
        <v>5897</v>
      </c>
      <c r="B70" t="s" s="11">
        <v>5898</v>
      </c>
      <c r="C70" s="12">
        <v>45012</v>
      </c>
      <c r="D70" t="s" s="13">
        <v>254</v>
      </c>
      <c r="E70" t="s" s="13">
        <v>5899</v>
      </c>
      <c r="F70" s="14">
        <v>1</v>
      </c>
      <c r="G70" s="15">
        <v>0</v>
      </c>
      <c r="H70" s="15">
        <v>0</v>
      </c>
    </row>
    <row r="71" ht="12.9" customHeight="1">
      <c r="A71" t="s" s="10">
        <v>5900</v>
      </c>
      <c r="B71" t="s" s="11">
        <v>4817</v>
      </c>
      <c r="C71" s="12">
        <v>45012</v>
      </c>
      <c r="D71" t="s" s="13">
        <v>19</v>
      </c>
      <c r="E71" t="s" s="13">
        <v>20</v>
      </c>
      <c r="F71" s="14">
        <v>10</v>
      </c>
      <c r="G71" s="15">
        <v>89.99250000000001</v>
      </c>
      <c r="H71" s="15">
        <v>899.925</v>
      </c>
    </row>
    <row r="72" ht="12.9" customHeight="1">
      <c r="A72" t="s" s="10">
        <v>5900</v>
      </c>
      <c r="B72" t="s" s="11">
        <v>4817</v>
      </c>
      <c r="C72" s="12">
        <v>45012</v>
      </c>
      <c r="D72" t="s" s="13">
        <v>15</v>
      </c>
      <c r="E72" t="s" s="13">
        <v>4757</v>
      </c>
      <c r="F72" s="14">
        <v>10</v>
      </c>
      <c r="G72" s="15">
        <v>0</v>
      </c>
      <c r="H72" s="15">
        <v>0</v>
      </c>
    </row>
    <row r="73" ht="12.9" customHeight="1">
      <c r="A73" t="s" s="10">
        <v>5900</v>
      </c>
      <c r="B73" t="s" s="11">
        <v>4817</v>
      </c>
      <c r="C73" s="12">
        <v>45012</v>
      </c>
      <c r="D73" t="s" s="13">
        <v>63</v>
      </c>
      <c r="E73" s="16"/>
      <c r="F73" s="14">
        <v>1</v>
      </c>
      <c r="G73" s="15">
        <v>69.70999999999999</v>
      </c>
      <c r="H73" s="15">
        <v>69.70999999999999</v>
      </c>
    </row>
    <row r="74" ht="12.9" customHeight="1">
      <c r="A74" t="s" s="10">
        <v>5901</v>
      </c>
      <c r="B74" t="s" s="11">
        <v>2931</v>
      </c>
      <c r="C74" s="12">
        <v>45012</v>
      </c>
      <c r="D74" t="s" s="13">
        <v>50</v>
      </c>
      <c r="E74" t="s" s="13">
        <v>83</v>
      </c>
      <c r="F74" s="14">
        <v>6</v>
      </c>
      <c r="G74" s="15">
        <v>20</v>
      </c>
      <c r="H74" s="15">
        <v>120</v>
      </c>
    </row>
    <row r="75" ht="12.9" customHeight="1">
      <c r="A75" t="s" s="10">
        <v>5902</v>
      </c>
      <c r="B75" t="s" s="11">
        <v>5850</v>
      </c>
      <c r="C75" s="12">
        <v>45010.635730497685</v>
      </c>
      <c r="D75" t="s" s="13">
        <v>171</v>
      </c>
      <c r="E75" t="s" s="13">
        <v>172</v>
      </c>
      <c r="F75" s="14">
        <v>1</v>
      </c>
      <c r="G75" s="15">
        <v>549.99</v>
      </c>
      <c r="H75" s="15">
        <v>549.99</v>
      </c>
    </row>
    <row r="76" ht="12.9" customHeight="1">
      <c r="A76" t="s" s="10">
        <v>5903</v>
      </c>
      <c r="B76" t="s" s="11">
        <v>3672</v>
      </c>
      <c r="C76" s="12">
        <v>45010.031640034722</v>
      </c>
      <c r="D76" t="s" s="13">
        <v>19</v>
      </c>
      <c r="E76" t="s" s="13">
        <v>20</v>
      </c>
      <c r="F76" s="14">
        <v>2</v>
      </c>
      <c r="G76" s="15">
        <v>119.99</v>
      </c>
      <c r="H76" s="15">
        <v>239.98</v>
      </c>
    </row>
    <row r="77" ht="12.9" customHeight="1">
      <c r="A77" t="s" s="10">
        <v>5903</v>
      </c>
      <c r="B77" t="s" s="11">
        <v>3672</v>
      </c>
      <c r="C77" s="12">
        <v>45010.031640034722</v>
      </c>
      <c r="D77" t="s" s="13">
        <v>15</v>
      </c>
      <c r="E77" t="s" s="13">
        <v>4757</v>
      </c>
      <c r="F77" s="14">
        <v>2</v>
      </c>
      <c r="G77" s="15">
        <v>9.99</v>
      </c>
      <c r="H77" s="15">
        <v>19.98</v>
      </c>
    </row>
    <row r="78" ht="12.9" customHeight="1">
      <c r="A78" t="s" s="10">
        <v>5904</v>
      </c>
      <c r="B78" t="s" s="11">
        <v>5905</v>
      </c>
      <c r="C78" s="12">
        <v>45009.703657280093</v>
      </c>
      <c r="D78" t="s" s="13">
        <v>95</v>
      </c>
      <c r="E78" t="s" s="13">
        <v>12</v>
      </c>
      <c r="F78" s="14">
        <v>1</v>
      </c>
      <c r="G78" s="15">
        <v>349.99</v>
      </c>
      <c r="H78" s="15">
        <v>349.99</v>
      </c>
    </row>
    <row r="79" ht="12.9" customHeight="1">
      <c r="A79" t="s" s="10">
        <v>5906</v>
      </c>
      <c r="B79" t="s" s="11">
        <v>5907</v>
      </c>
      <c r="C79" s="12">
        <v>45009.663140659723</v>
      </c>
      <c r="D79" t="s" s="13">
        <v>171</v>
      </c>
      <c r="E79" t="s" s="13">
        <v>172</v>
      </c>
      <c r="F79" s="14">
        <v>3</v>
      </c>
      <c r="G79" s="15">
        <v>549.99</v>
      </c>
      <c r="H79" s="15">
        <v>1649.97</v>
      </c>
    </row>
    <row r="80" ht="12.9" customHeight="1">
      <c r="A80" t="s" s="10">
        <v>5908</v>
      </c>
      <c r="B80" t="s" s="11">
        <v>5909</v>
      </c>
      <c r="C80" s="12">
        <v>45008.767887905095</v>
      </c>
      <c r="D80" t="s" s="13">
        <v>89</v>
      </c>
      <c r="E80" t="s" s="13">
        <v>90</v>
      </c>
      <c r="F80" s="14">
        <v>6</v>
      </c>
      <c r="G80" s="15">
        <v>59.99</v>
      </c>
      <c r="H80" s="15">
        <v>359.94</v>
      </c>
    </row>
    <row r="81" ht="12.9" customHeight="1">
      <c r="A81" t="s" s="10">
        <v>5910</v>
      </c>
      <c r="B81" t="s" s="11">
        <v>3723</v>
      </c>
      <c r="C81" s="12">
        <v>45008.645003067133</v>
      </c>
      <c r="D81" t="s" s="13">
        <v>95</v>
      </c>
      <c r="E81" t="s" s="13">
        <v>12</v>
      </c>
      <c r="F81" s="14">
        <v>1</v>
      </c>
      <c r="G81" s="15">
        <v>324.99</v>
      </c>
      <c r="H81" s="15">
        <v>324.99</v>
      </c>
    </row>
    <row r="82" ht="12.9" customHeight="1">
      <c r="A82" t="s" s="10">
        <v>5911</v>
      </c>
      <c r="B82" t="s" s="11">
        <v>1622</v>
      </c>
      <c r="C82" s="12">
        <v>45008</v>
      </c>
      <c r="D82" t="s" s="13">
        <v>722</v>
      </c>
      <c r="E82" t="s" s="13">
        <v>82</v>
      </c>
      <c r="F82" s="14">
        <v>12</v>
      </c>
      <c r="G82" s="15">
        <v>652.4924999999999</v>
      </c>
      <c r="H82" s="15">
        <v>7829.91</v>
      </c>
    </row>
    <row r="83" ht="12.9" customHeight="1">
      <c r="A83" t="s" s="10">
        <v>5911</v>
      </c>
      <c r="B83" t="s" s="11">
        <v>1622</v>
      </c>
      <c r="C83" s="12">
        <v>45008</v>
      </c>
      <c r="D83" t="s" s="13">
        <v>73</v>
      </c>
      <c r="E83" t="s" s="13">
        <v>74</v>
      </c>
      <c r="F83" s="14">
        <v>3</v>
      </c>
      <c r="G83" s="15">
        <v>299.9925</v>
      </c>
      <c r="H83" s="15">
        <v>899.9775</v>
      </c>
    </row>
    <row r="84" ht="12.9" customHeight="1">
      <c r="A84" t="s" s="10">
        <v>5911</v>
      </c>
      <c r="B84" t="s" s="11">
        <v>1622</v>
      </c>
      <c r="C84" s="12">
        <v>45008</v>
      </c>
      <c r="D84" t="s" s="13">
        <v>123</v>
      </c>
      <c r="E84" t="s" s="13">
        <v>124</v>
      </c>
      <c r="F84" s="14">
        <v>6</v>
      </c>
      <c r="G84" s="15">
        <v>134.9925</v>
      </c>
      <c r="H84" s="15">
        <v>809.955</v>
      </c>
    </row>
    <row r="85" ht="12.9" customHeight="1">
      <c r="A85" t="s" s="10">
        <v>5911</v>
      </c>
      <c r="B85" t="s" s="11">
        <v>1622</v>
      </c>
      <c r="C85" s="12">
        <v>45008</v>
      </c>
      <c r="D85" t="s" s="13">
        <v>882</v>
      </c>
      <c r="E85" t="s" s="13">
        <v>883</v>
      </c>
      <c r="F85" s="14">
        <v>12</v>
      </c>
      <c r="G85" s="15">
        <v>56.2425</v>
      </c>
      <c r="H85" s="15">
        <v>674.91</v>
      </c>
    </row>
    <row r="86" ht="12.9" customHeight="1">
      <c r="A86" t="s" s="10">
        <v>5911</v>
      </c>
      <c r="B86" t="s" s="11">
        <v>1622</v>
      </c>
      <c r="C86" s="12">
        <v>45008</v>
      </c>
      <c r="D86" t="s" s="13">
        <v>602</v>
      </c>
      <c r="E86" t="s" s="13">
        <v>828</v>
      </c>
      <c r="F86" s="14">
        <v>12</v>
      </c>
      <c r="G86" s="15">
        <v>224.9925</v>
      </c>
      <c r="H86" s="15">
        <v>2699.91</v>
      </c>
    </row>
    <row r="87" ht="12.9" customHeight="1">
      <c r="A87" t="s" s="10">
        <v>5911</v>
      </c>
      <c r="B87" t="s" s="11">
        <v>1622</v>
      </c>
      <c r="C87" s="12">
        <v>45008</v>
      </c>
      <c r="D87" t="s" s="13">
        <v>462</v>
      </c>
      <c r="E87" t="s" s="13">
        <v>828</v>
      </c>
      <c r="F87" s="14">
        <v>6</v>
      </c>
      <c r="G87" s="15">
        <v>149.9925</v>
      </c>
      <c r="H87" s="15">
        <v>899.955</v>
      </c>
    </row>
    <row r="88" ht="12.9" customHeight="1">
      <c r="A88" t="s" s="10">
        <v>5911</v>
      </c>
      <c r="B88" t="s" s="11">
        <v>1622</v>
      </c>
      <c r="C88" s="12">
        <v>45008</v>
      </c>
      <c r="D88" t="s" s="13">
        <v>559</v>
      </c>
      <c r="E88" t="s" s="13">
        <v>560</v>
      </c>
      <c r="F88" s="14">
        <v>150</v>
      </c>
      <c r="G88" s="15">
        <v>0</v>
      </c>
      <c r="H88" s="15">
        <v>0</v>
      </c>
    </row>
    <row r="89" ht="12.9" customHeight="1">
      <c r="A89" t="s" s="10">
        <v>5911</v>
      </c>
      <c r="B89" t="s" s="11">
        <v>1622</v>
      </c>
      <c r="C89" s="12">
        <v>45008</v>
      </c>
      <c r="D89" t="s" s="13">
        <v>589</v>
      </c>
      <c r="E89" t="s" s="13">
        <v>590</v>
      </c>
      <c r="F89" s="14">
        <v>3</v>
      </c>
      <c r="G89" s="15">
        <v>5.6175</v>
      </c>
      <c r="H89" s="15">
        <v>16.8525</v>
      </c>
    </row>
    <row r="90" ht="12.9" customHeight="1">
      <c r="A90" t="s" s="10">
        <v>5911</v>
      </c>
      <c r="B90" t="s" s="11">
        <v>1622</v>
      </c>
      <c r="C90" s="12">
        <v>45008</v>
      </c>
      <c r="D90" t="s" s="13">
        <v>54</v>
      </c>
      <c r="E90" t="s" s="13">
        <v>93</v>
      </c>
      <c r="F90" s="14">
        <v>12</v>
      </c>
      <c r="G90" s="15">
        <v>7.4925</v>
      </c>
      <c r="H90" s="15">
        <v>89.91</v>
      </c>
    </row>
    <row r="91" ht="12.9" customHeight="1">
      <c r="A91" t="s" s="10">
        <v>5911</v>
      </c>
      <c r="B91" t="s" s="11">
        <v>1622</v>
      </c>
      <c r="C91" s="12">
        <v>45008</v>
      </c>
      <c r="D91" t="s" s="13">
        <v>50</v>
      </c>
      <c r="E91" t="s" s="13">
        <v>83</v>
      </c>
      <c r="F91" s="14">
        <v>12</v>
      </c>
      <c r="G91" s="15">
        <v>0</v>
      </c>
      <c r="H91" s="15">
        <v>0</v>
      </c>
    </row>
    <row r="92" ht="12.9" customHeight="1">
      <c r="A92" t="s" s="10">
        <v>5911</v>
      </c>
      <c r="B92" t="s" s="11">
        <v>1622</v>
      </c>
      <c r="C92" s="12">
        <v>45008</v>
      </c>
      <c r="D92" t="s" s="13">
        <v>47</v>
      </c>
      <c r="E92" s="16"/>
      <c r="F92" s="14">
        <v>1</v>
      </c>
      <c r="G92" s="15">
        <v>200</v>
      </c>
      <c r="H92" s="15">
        <v>200</v>
      </c>
    </row>
    <row r="93" ht="12.9" customHeight="1">
      <c r="A93" t="s" s="10">
        <v>5912</v>
      </c>
      <c r="B93" t="s" s="11">
        <v>473</v>
      </c>
      <c r="C93" s="12">
        <v>45008</v>
      </c>
      <c r="D93" t="s" s="13">
        <v>5913</v>
      </c>
      <c r="E93" t="s" s="13">
        <v>5914</v>
      </c>
      <c r="F93" s="14">
        <v>2</v>
      </c>
      <c r="G93" s="15">
        <v>917</v>
      </c>
      <c r="H93" s="15">
        <v>1834</v>
      </c>
    </row>
    <row r="94" ht="12.9" customHeight="1">
      <c r="A94" t="s" s="10">
        <v>5912</v>
      </c>
      <c r="B94" t="s" s="11">
        <v>473</v>
      </c>
      <c r="C94" s="12">
        <v>45008</v>
      </c>
      <c r="D94" t="s" s="13">
        <v>63</v>
      </c>
      <c r="E94" s="16"/>
      <c r="F94" s="14">
        <v>1</v>
      </c>
      <c r="G94" s="15">
        <v>25</v>
      </c>
      <c r="H94" s="15">
        <v>25</v>
      </c>
    </row>
    <row r="95" ht="12.9" customHeight="1">
      <c r="A95" t="s" s="10">
        <v>5915</v>
      </c>
      <c r="B95" t="s" s="11">
        <v>3590</v>
      </c>
      <c r="C95" s="12">
        <v>45008</v>
      </c>
      <c r="D95" t="s" s="13">
        <v>369</v>
      </c>
      <c r="E95" t="s" s="13">
        <v>5916</v>
      </c>
      <c r="F95" s="14">
        <v>3</v>
      </c>
      <c r="G95" s="15">
        <v>0</v>
      </c>
      <c r="H95" s="15">
        <v>0</v>
      </c>
    </row>
    <row r="96" ht="12.9" customHeight="1">
      <c r="A96" t="s" s="10">
        <v>5917</v>
      </c>
      <c r="B96" t="s" s="11">
        <v>42</v>
      </c>
      <c r="C96" s="12">
        <v>45008</v>
      </c>
      <c r="D96" t="s" s="13">
        <v>258</v>
      </c>
      <c r="E96" t="s" s="13">
        <v>5918</v>
      </c>
      <c r="F96" s="14">
        <v>10</v>
      </c>
      <c r="G96" s="15">
        <v>0</v>
      </c>
      <c r="H96" s="15">
        <v>0</v>
      </c>
    </row>
    <row r="97" ht="12.9" customHeight="1">
      <c r="A97" t="s" s="10">
        <v>5919</v>
      </c>
      <c r="B97" t="s" s="11">
        <v>5920</v>
      </c>
      <c r="C97" s="12">
        <v>45007.848719259258</v>
      </c>
      <c r="D97" t="s" s="13">
        <v>95</v>
      </c>
      <c r="E97" t="s" s="13">
        <v>12</v>
      </c>
      <c r="F97" s="14">
        <v>1</v>
      </c>
      <c r="G97" s="15">
        <v>324.99</v>
      </c>
      <c r="H97" s="15">
        <v>324.99</v>
      </c>
    </row>
    <row r="98" ht="12.9" customHeight="1">
      <c r="A98" t="s" s="10">
        <v>5921</v>
      </c>
      <c r="B98" t="s" s="11">
        <v>5922</v>
      </c>
      <c r="C98" s="12">
        <v>45007.724529317129</v>
      </c>
      <c r="D98" t="s" s="13">
        <v>123</v>
      </c>
      <c r="E98" t="s" s="13">
        <v>124</v>
      </c>
      <c r="F98" s="14">
        <v>1</v>
      </c>
      <c r="G98" s="15">
        <v>179.99</v>
      </c>
      <c r="H98" s="15">
        <v>179.99</v>
      </c>
    </row>
    <row r="99" ht="12.9" customHeight="1">
      <c r="A99" t="s" s="10">
        <v>5921</v>
      </c>
      <c r="B99" t="s" s="11">
        <v>5922</v>
      </c>
      <c r="C99" s="12">
        <v>45007.724529317129</v>
      </c>
      <c r="D99" t="s" s="13">
        <v>882</v>
      </c>
      <c r="E99" t="s" s="13">
        <v>883</v>
      </c>
      <c r="F99" s="14">
        <v>4</v>
      </c>
      <c r="G99" s="15">
        <v>74.98999999999999</v>
      </c>
      <c r="H99" s="15">
        <v>299.96</v>
      </c>
    </row>
    <row r="100" ht="12.9" customHeight="1">
      <c r="A100" t="s" s="10">
        <v>5921</v>
      </c>
      <c r="B100" t="s" s="11">
        <v>5922</v>
      </c>
      <c r="C100" s="12">
        <v>45007.724529317129</v>
      </c>
      <c r="D100" t="s" s="13">
        <v>146</v>
      </c>
      <c r="E100" t="s" s="13">
        <v>147</v>
      </c>
      <c r="F100" s="14">
        <v>4</v>
      </c>
      <c r="G100" s="15">
        <v>19.99</v>
      </c>
      <c r="H100" s="15">
        <v>79.95999999999999</v>
      </c>
    </row>
    <row r="101" ht="12.9" customHeight="1">
      <c r="A101" t="s" s="10">
        <v>5923</v>
      </c>
      <c r="B101" t="s" s="11">
        <v>5924</v>
      </c>
      <c r="C101" s="12">
        <v>45007.563192824076</v>
      </c>
      <c r="D101" t="s" s="13">
        <v>95</v>
      </c>
      <c r="E101" t="s" s="13">
        <v>12</v>
      </c>
      <c r="F101" s="14">
        <v>1</v>
      </c>
      <c r="G101" s="15">
        <v>349.99</v>
      </c>
      <c r="H101" s="15">
        <v>349.99</v>
      </c>
    </row>
    <row r="102" ht="12.9" customHeight="1">
      <c r="A102" t="s" s="10">
        <v>5925</v>
      </c>
      <c r="B102" t="s" s="11">
        <v>5926</v>
      </c>
      <c r="C102" s="12">
        <v>45007.427262384263</v>
      </c>
      <c r="D102" t="s" s="13">
        <v>11</v>
      </c>
      <c r="E102" t="s" s="13">
        <v>12</v>
      </c>
      <c r="F102" s="14">
        <v>1</v>
      </c>
      <c r="G102" s="15">
        <v>399.99</v>
      </c>
      <c r="H102" s="15">
        <v>399.99</v>
      </c>
    </row>
    <row r="103" ht="12.9" customHeight="1">
      <c r="A103" t="s" s="10">
        <v>5927</v>
      </c>
      <c r="B103" t="s" s="11">
        <v>5928</v>
      </c>
      <c r="C103" s="12">
        <v>45007.0528424537</v>
      </c>
      <c r="D103" t="s" s="13">
        <v>1695</v>
      </c>
      <c r="E103" t="s" s="13">
        <v>140</v>
      </c>
      <c r="F103" s="14">
        <v>2</v>
      </c>
      <c r="G103" s="15">
        <v>49.99</v>
      </c>
      <c r="H103" s="15">
        <v>99.98</v>
      </c>
    </row>
    <row r="104" ht="12.9" customHeight="1">
      <c r="A104" t="s" s="10">
        <v>5927</v>
      </c>
      <c r="B104" t="s" s="11">
        <v>5928</v>
      </c>
      <c r="C104" s="12">
        <v>45007.0528424537</v>
      </c>
      <c r="D104" t="s" s="13">
        <v>15</v>
      </c>
      <c r="E104" t="s" s="13">
        <v>4757</v>
      </c>
      <c r="F104" s="14">
        <v>2</v>
      </c>
      <c r="G104" s="15">
        <v>9.99</v>
      </c>
      <c r="H104" s="15">
        <v>19.98</v>
      </c>
    </row>
    <row r="105" ht="12.9" customHeight="1">
      <c r="A105" t="s" s="10">
        <v>5929</v>
      </c>
      <c r="B105" t="s" s="11">
        <v>2940</v>
      </c>
      <c r="C105" s="12">
        <v>45007</v>
      </c>
      <c r="D105" t="s" s="13">
        <v>73</v>
      </c>
      <c r="E105" t="s" s="13">
        <v>74</v>
      </c>
      <c r="F105" s="14">
        <v>1</v>
      </c>
      <c r="G105" s="15">
        <v>359.991</v>
      </c>
      <c r="H105" s="15">
        <v>359.991</v>
      </c>
    </row>
    <row r="106" ht="12.9" customHeight="1">
      <c r="A106" t="s" s="10">
        <v>5929</v>
      </c>
      <c r="B106" t="s" s="11">
        <v>2940</v>
      </c>
      <c r="C106" s="12">
        <v>45007</v>
      </c>
      <c r="D106" t="s" s="13">
        <v>63</v>
      </c>
      <c r="E106" s="16"/>
      <c r="F106" s="14">
        <v>1</v>
      </c>
      <c r="G106" s="15">
        <v>38.11</v>
      </c>
      <c r="H106" s="15">
        <v>38.11</v>
      </c>
    </row>
    <row r="107" ht="12.9" customHeight="1">
      <c r="A107" t="s" s="10">
        <v>5930</v>
      </c>
      <c r="B107" t="s" s="11">
        <v>1913</v>
      </c>
      <c r="C107" s="12">
        <v>45007</v>
      </c>
      <c r="D107" t="s" s="13">
        <v>73</v>
      </c>
      <c r="E107" t="s" s="13">
        <v>74</v>
      </c>
      <c r="F107" s="14">
        <v>2</v>
      </c>
      <c r="G107" s="15">
        <v>299.9925</v>
      </c>
      <c r="H107" s="15">
        <v>599.985</v>
      </c>
    </row>
    <row r="108" ht="12.9" customHeight="1">
      <c r="A108" t="s" s="10">
        <v>5930</v>
      </c>
      <c r="B108" t="s" s="11">
        <v>1913</v>
      </c>
      <c r="C108" s="12">
        <v>45007</v>
      </c>
      <c r="D108" t="s" s="13">
        <v>63</v>
      </c>
      <c r="E108" s="16"/>
      <c r="F108" s="14">
        <v>1</v>
      </c>
      <c r="G108" s="15">
        <v>68.5</v>
      </c>
      <c r="H108" s="15">
        <v>68.5</v>
      </c>
    </row>
    <row r="109" ht="12.9" customHeight="1">
      <c r="A109" t="s" s="10">
        <v>5931</v>
      </c>
      <c r="B109" t="s" s="11">
        <v>5932</v>
      </c>
      <c r="C109" s="12">
        <v>45006.946264479164</v>
      </c>
      <c r="D109" t="s" s="13">
        <v>95</v>
      </c>
      <c r="E109" t="s" s="13">
        <v>12</v>
      </c>
      <c r="F109" s="14">
        <v>1</v>
      </c>
      <c r="G109" s="15">
        <v>349.99</v>
      </c>
      <c r="H109" s="15">
        <v>349.99</v>
      </c>
    </row>
    <row r="110" ht="12.9" customHeight="1">
      <c r="A110" t="s" s="10">
        <v>5933</v>
      </c>
      <c r="B110" t="s" s="11">
        <v>5934</v>
      </c>
      <c r="C110" s="12">
        <v>45006.907573159719</v>
      </c>
      <c r="D110" t="s" s="13">
        <v>1695</v>
      </c>
      <c r="E110" t="s" s="13">
        <v>140</v>
      </c>
      <c r="F110" s="14">
        <v>6</v>
      </c>
      <c r="G110" s="15">
        <v>49.99</v>
      </c>
      <c r="H110" s="15">
        <v>299.94</v>
      </c>
    </row>
    <row r="111" ht="12.9" customHeight="1">
      <c r="A111" t="s" s="10">
        <v>5933</v>
      </c>
      <c r="B111" t="s" s="11">
        <v>5934</v>
      </c>
      <c r="C111" s="12">
        <v>45006.907573159719</v>
      </c>
      <c r="D111" t="s" s="13">
        <v>15</v>
      </c>
      <c r="E111" t="s" s="13">
        <v>4757</v>
      </c>
      <c r="F111" s="14">
        <v>6</v>
      </c>
      <c r="G111" s="15">
        <v>8.99</v>
      </c>
      <c r="H111" s="15">
        <v>53.94</v>
      </c>
    </row>
    <row r="112" ht="12.9" customHeight="1">
      <c r="A112" t="s" s="10">
        <v>5933</v>
      </c>
      <c r="B112" t="s" s="11">
        <v>5934</v>
      </c>
      <c r="C112" s="12">
        <v>45006.907573159719</v>
      </c>
      <c r="D112" t="s" s="13">
        <v>5845</v>
      </c>
      <c r="E112" t="s" s="13">
        <v>5846</v>
      </c>
      <c r="F112" s="14">
        <v>1</v>
      </c>
      <c r="G112" s="15">
        <v>9.99</v>
      </c>
      <c r="H112" s="15">
        <v>9.99</v>
      </c>
    </row>
    <row r="113" ht="12.9" customHeight="1">
      <c r="A113" t="s" s="10">
        <v>5935</v>
      </c>
      <c r="B113" t="s" s="11">
        <v>5936</v>
      </c>
      <c r="C113" s="12">
        <v>45006.824625300927</v>
      </c>
      <c r="D113" t="s" s="13">
        <v>95</v>
      </c>
      <c r="E113" t="s" s="13">
        <v>12</v>
      </c>
      <c r="F113" s="14">
        <v>1</v>
      </c>
      <c r="G113" s="15">
        <v>349.99</v>
      </c>
      <c r="H113" s="15">
        <v>349.99</v>
      </c>
    </row>
    <row r="114" ht="12.9" customHeight="1">
      <c r="A114" t="s" s="10">
        <v>5937</v>
      </c>
      <c r="B114" t="s" s="11">
        <v>3038</v>
      </c>
      <c r="C114" s="12">
        <v>45006.122765613429</v>
      </c>
      <c r="D114" t="s" s="13">
        <v>412</v>
      </c>
      <c r="E114" t="s" s="13">
        <v>413</v>
      </c>
      <c r="F114" s="14">
        <v>5</v>
      </c>
      <c r="G114" s="15">
        <v>1.99</v>
      </c>
      <c r="H114" s="15">
        <v>9.949999999999999</v>
      </c>
    </row>
    <row r="115" ht="12.9" customHeight="1">
      <c r="A115" t="s" s="10">
        <v>5937</v>
      </c>
      <c r="B115" t="s" s="11">
        <v>3038</v>
      </c>
      <c r="C115" s="12">
        <v>45006.122765613429</v>
      </c>
      <c r="D115" t="s" s="13">
        <v>50</v>
      </c>
      <c r="E115" t="s" s="13">
        <v>83</v>
      </c>
      <c r="F115" s="14">
        <v>1</v>
      </c>
      <c r="G115" s="15">
        <v>29.99</v>
      </c>
      <c r="H115" s="15">
        <v>29.99</v>
      </c>
    </row>
    <row r="116" ht="12.9" customHeight="1">
      <c r="A116" t="s" s="10">
        <v>5938</v>
      </c>
      <c r="B116" t="s" s="11">
        <v>5939</v>
      </c>
      <c r="C116" s="12">
        <v>45006.106957615739</v>
      </c>
      <c r="D116" t="s" s="13">
        <v>1695</v>
      </c>
      <c r="E116" t="s" s="13">
        <v>140</v>
      </c>
      <c r="F116" s="14">
        <v>2</v>
      </c>
      <c r="G116" s="15">
        <v>49.99</v>
      </c>
      <c r="H116" s="15">
        <v>99.98</v>
      </c>
    </row>
    <row r="117" ht="12.9" customHeight="1">
      <c r="A117" t="s" s="10">
        <v>5938</v>
      </c>
      <c r="B117" t="s" s="11">
        <v>5939</v>
      </c>
      <c r="C117" s="12">
        <v>45006.106957615739</v>
      </c>
      <c r="D117" t="s" s="13">
        <v>15</v>
      </c>
      <c r="E117" t="s" s="13">
        <v>4757</v>
      </c>
      <c r="F117" s="14">
        <v>2</v>
      </c>
      <c r="G117" s="15">
        <v>9.99</v>
      </c>
      <c r="H117" s="15">
        <v>19.98</v>
      </c>
    </row>
    <row r="118" ht="12.9" customHeight="1">
      <c r="A118" t="s" s="10">
        <v>5938</v>
      </c>
      <c r="B118" t="s" s="11">
        <v>5939</v>
      </c>
      <c r="C118" s="12">
        <v>45006.106957615739</v>
      </c>
      <c r="D118" t="s" s="13">
        <v>412</v>
      </c>
      <c r="E118" t="s" s="13">
        <v>413</v>
      </c>
      <c r="F118" s="14">
        <v>20</v>
      </c>
      <c r="G118" s="15">
        <v>1.99</v>
      </c>
      <c r="H118" s="15">
        <v>39.8</v>
      </c>
    </row>
    <row r="119" ht="12.9" customHeight="1">
      <c r="A119" t="s" s="10">
        <v>5938</v>
      </c>
      <c r="B119" t="s" s="11">
        <v>5939</v>
      </c>
      <c r="C119" s="12">
        <v>45006.106957615739</v>
      </c>
      <c r="D119" t="s" s="13">
        <v>15</v>
      </c>
      <c r="E119" t="s" s="13">
        <v>4757</v>
      </c>
      <c r="F119" s="14">
        <v>10</v>
      </c>
      <c r="G119" s="15">
        <v>8.49</v>
      </c>
      <c r="H119" s="15">
        <v>84.90000000000001</v>
      </c>
    </row>
    <row r="120" ht="12.9" customHeight="1">
      <c r="A120" t="s" s="10">
        <v>5938</v>
      </c>
      <c r="B120" t="s" s="11">
        <v>5939</v>
      </c>
      <c r="C120" s="12">
        <v>45006.106957615739</v>
      </c>
      <c r="D120" t="s" s="13">
        <v>59</v>
      </c>
      <c r="E120" t="s" s="13">
        <v>60</v>
      </c>
      <c r="F120" s="14">
        <v>1</v>
      </c>
      <c r="G120" s="15">
        <v>1199.99</v>
      </c>
      <c r="H120" s="15">
        <v>1199.99</v>
      </c>
    </row>
    <row r="121" ht="12.9" customHeight="1">
      <c r="A121" t="s" s="10">
        <v>5940</v>
      </c>
      <c r="B121" t="s" s="11">
        <v>329</v>
      </c>
      <c r="C121" s="12">
        <v>45006</v>
      </c>
      <c r="D121" t="s" s="13">
        <v>1030</v>
      </c>
      <c r="E121" t="s" s="13">
        <v>1031</v>
      </c>
      <c r="F121" s="14">
        <v>1</v>
      </c>
      <c r="G121" s="15">
        <v>0</v>
      </c>
      <c r="H121" s="15">
        <v>0</v>
      </c>
    </row>
    <row r="122" ht="12.9" customHeight="1">
      <c r="A122" t="s" s="10">
        <v>5941</v>
      </c>
      <c r="B122" t="s" s="11">
        <v>5942</v>
      </c>
      <c r="C122" s="12">
        <v>45005.990384456018</v>
      </c>
      <c r="D122" t="s" s="13">
        <v>89</v>
      </c>
      <c r="E122" t="s" s="13">
        <v>90</v>
      </c>
      <c r="F122" s="14">
        <v>1</v>
      </c>
      <c r="G122" s="15">
        <v>59.99</v>
      </c>
      <c r="H122" s="15">
        <v>59.99</v>
      </c>
    </row>
    <row r="123" ht="12.9" customHeight="1">
      <c r="A123" t="s" s="10">
        <v>5943</v>
      </c>
      <c r="B123" t="s" s="11">
        <v>5944</v>
      </c>
      <c r="C123" s="12">
        <v>45005.956344675928</v>
      </c>
      <c r="D123" t="s" s="13">
        <v>11</v>
      </c>
      <c r="E123" t="s" s="13">
        <v>12</v>
      </c>
      <c r="F123" s="14">
        <v>1</v>
      </c>
      <c r="G123" s="15">
        <v>399.99</v>
      </c>
      <c r="H123" s="15">
        <v>399.99</v>
      </c>
    </row>
    <row r="124" ht="12.9" customHeight="1">
      <c r="A124" t="s" s="10">
        <v>5945</v>
      </c>
      <c r="B124" t="s" s="11">
        <v>5946</v>
      </c>
      <c r="C124" s="12">
        <v>45005.954463298614</v>
      </c>
      <c r="D124" t="s" s="13">
        <v>589</v>
      </c>
      <c r="E124" t="s" s="13">
        <v>590</v>
      </c>
      <c r="F124" s="14">
        <v>1</v>
      </c>
      <c r="G124" s="15">
        <v>7.49</v>
      </c>
      <c r="H124" s="15">
        <v>7.49</v>
      </c>
    </row>
    <row r="125" ht="12.9" customHeight="1">
      <c r="A125" t="s" s="10">
        <v>5947</v>
      </c>
      <c r="B125" t="s" s="11">
        <v>5909</v>
      </c>
      <c r="C125" s="12">
        <v>45005.848662986115</v>
      </c>
      <c r="D125" t="s" s="13">
        <v>89</v>
      </c>
      <c r="E125" t="s" s="13">
        <v>90</v>
      </c>
      <c r="F125" s="14">
        <v>2</v>
      </c>
      <c r="G125" s="15">
        <v>59.99</v>
      </c>
      <c r="H125" s="15">
        <v>119.98</v>
      </c>
    </row>
    <row r="126" ht="12.9" customHeight="1">
      <c r="A126" t="s" s="10">
        <v>5948</v>
      </c>
      <c r="B126" t="s" s="11">
        <v>3944</v>
      </c>
      <c r="C126" s="12">
        <v>45005.695935821757</v>
      </c>
      <c r="D126" t="s" s="13">
        <v>89</v>
      </c>
      <c r="E126" t="s" s="13">
        <v>90</v>
      </c>
      <c r="F126" s="14">
        <v>1</v>
      </c>
      <c r="G126" s="15">
        <v>59.99</v>
      </c>
      <c r="H126" s="15">
        <v>59.99</v>
      </c>
    </row>
    <row r="127" ht="12.9" customHeight="1">
      <c r="A127" t="s" s="10">
        <v>5948</v>
      </c>
      <c r="B127" t="s" s="11">
        <v>3944</v>
      </c>
      <c r="C127" s="12">
        <v>45005.695935821757</v>
      </c>
      <c r="D127" t="s" s="13">
        <v>5845</v>
      </c>
      <c r="E127" t="s" s="13">
        <v>5846</v>
      </c>
      <c r="F127" s="14">
        <v>1</v>
      </c>
      <c r="G127" s="15">
        <v>9.99</v>
      </c>
      <c r="H127" s="15">
        <v>9.99</v>
      </c>
    </row>
    <row r="128" ht="12.9" customHeight="1">
      <c r="A128" t="s" s="10">
        <v>5948</v>
      </c>
      <c r="B128" t="s" s="11">
        <v>3944</v>
      </c>
      <c r="C128" s="12">
        <v>45005.695935821757</v>
      </c>
      <c r="D128" t="s" s="13">
        <v>15</v>
      </c>
      <c r="E128" t="s" s="13">
        <v>4757</v>
      </c>
      <c r="F128" s="14">
        <v>1</v>
      </c>
      <c r="G128" s="15">
        <v>9.99</v>
      </c>
      <c r="H128" s="15">
        <v>9.99</v>
      </c>
    </row>
    <row r="129" ht="12.9" customHeight="1">
      <c r="A129" t="s" s="10">
        <v>5949</v>
      </c>
      <c r="B129" t="s" s="11">
        <v>5950</v>
      </c>
      <c r="C129" s="12">
        <v>45005.671857337962</v>
      </c>
      <c r="D129" t="s" s="13">
        <v>35</v>
      </c>
      <c r="E129" t="s" s="13">
        <v>36</v>
      </c>
      <c r="F129" s="14">
        <v>1</v>
      </c>
      <c r="G129" s="15">
        <v>49.99</v>
      </c>
      <c r="H129" s="15">
        <v>49.99</v>
      </c>
    </row>
    <row r="130" ht="12.9" customHeight="1">
      <c r="A130" t="s" s="10">
        <v>5951</v>
      </c>
      <c r="B130" t="s" s="11">
        <v>5787</v>
      </c>
      <c r="C130" s="12">
        <v>45005.648207731479</v>
      </c>
      <c r="D130" t="s" s="13">
        <v>31</v>
      </c>
      <c r="E130" t="s" s="13">
        <v>32</v>
      </c>
      <c r="F130" s="14">
        <v>1</v>
      </c>
      <c r="G130" s="15">
        <v>574.99</v>
      </c>
      <c r="H130" s="15">
        <v>574.99</v>
      </c>
    </row>
    <row r="131" ht="12.9" customHeight="1">
      <c r="A131" t="s" s="10">
        <v>5952</v>
      </c>
      <c r="B131" t="s" s="11">
        <v>5953</v>
      </c>
      <c r="C131" s="12">
        <v>45005.647232164352</v>
      </c>
      <c r="D131" t="s" s="13">
        <v>59</v>
      </c>
      <c r="E131" t="s" s="13">
        <v>60</v>
      </c>
      <c r="F131" s="14">
        <v>1</v>
      </c>
      <c r="G131" s="15">
        <v>1199.99</v>
      </c>
      <c r="H131" s="15">
        <v>1199.99</v>
      </c>
    </row>
    <row r="132" ht="12.9" customHeight="1">
      <c r="A132" t="s" s="10">
        <v>5954</v>
      </c>
      <c r="B132" t="s" s="11">
        <v>5955</v>
      </c>
      <c r="C132" s="12">
        <v>45005.595614224534</v>
      </c>
      <c r="D132" t="s" s="13">
        <v>359</v>
      </c>
      <c r="E132" t="s" s="13">
        <v>4199</v>
      </c>
      <c r="F132" s="14">
        <v>1</v>
      </c>
      <c r="G132" s="15">
        <v>29.99</v>
      </c>
      <c r="H132" s="15">
        <v>29.99</v>
      </c>
    </row>
    <row r="133" ht="12.9" customHeight="1">
      <c r="A133" t="s" s="10">
        <v>5956</v>
      </c>
      <c r="B133" t="s" s="11">
        <v>2222</v>
      </c>
      <c r="C133" s="12">
        <v>45005</v>
      </c>
      <c r="D133" t="s" s="13">
        <v>81</v>
      </c>
      <c r="E133" t="s" s="13">
        <v>82</v>
      </c>
      <c r="F133" s="14">
        <v>4</v>
      </c>
      <c r="G133" s="15">
        <v>849.99</v>
      </c>
      <c r="H133" s="15">
        <v>3399.96</v>
      </c>
    </row>
    <row r="134" ht="12.9" customHeight="1">
      <c r="A134" t="s" s="10">
        <v>5956</v>
      </c>
      <c r="B134" t="s" s="11">
        <v>2222</v>
      </c>
      <c r="C134" s="12">
        <v>45005</v>
      </c>
      <c r="D134" t="s" s="13">
        <v>50</v>
      </c>
      <c r="E134" t="s" s="13">
        <v>83</v>
      </c>
      <c r="F134" s="14">
        <v>4</v>
      </c>
      <c r="G134" s="15">
        <v>0</v>
      </c>
      <c r="H134" s="15">
        <v>0</v>
      </c>
    </row>
    <row r="135" ht="12.9" customHeight="1">
      <c r="A135" t="s" s="10">
        <v>5956</v>
      </c>
      <c r="B135" t="s" s="11">
        <v>2222</v>
      </c>
      <c r="C135" s="12">
        <v>45005</v>
      </c>
      <c r="D135" t="s" s="13">
        <v>23</v>
      </c>
      <c r="E135" t="s" s="13">
        <v>5530</v>
      </c>
      <c r="F135" s="14">
        <v>4</v>
      </c>
      <c r="G135" s="15">
        <v>0</v>
      </c>
      <c r="H135" s="15">
        <v>0</v>
      </c>
    </row>
    <row r="136" ht="12.9" customHeight="1">
      <c r="A136" t="s" s="10">
        <v>5956</v>
      </c>
      <c r="B136" t="s" s="11">
        <v>2222</v>
      </c>
      <c r="C136" s="12">
        <v>45005</v>
      </c>
      <c r="D136" t="s" s="13">
        <v>54</v>
      </c>
      <c r="E136" t="s" s="13">
        <v>55</v>
      </c>
      <c r="F136" s="14">
        <v>4</v>
      </c>
      <c r="G136" s="15">
        <v>0</v>
      </c>
      <c r="H136" s="15">
        <v>0</v>
      </c>
    </row>
    <row r="137" ht="12.9" customHeight="1">
      <c r="A137" t="s" s="10">
        <v>5956</v>
      </c>
      <c r="B137" t="s" s="11">
        <v>2222</v>
      </c>
      <c r="C137" s="12">
        <v>45005</v>
      </c>
      <c r="D137" t="s" s="13">
        <v>15</v>
      </c>
      <c r="E137" t="s" s="13">
        <v>5957</v>
      </c>
      <c r="F137" s="14">
        <v>4</v>
      </c>
      <c r="G137" s="15">
        <v>0</v>
      </c>
      <c r="H137" s="15">
        <v>0</v>
      </c>
    </row>
    <row r="138" ht="12.9" customHeight="1">
      <c r="A138" t="s" s="10">
        <v>5956</v>
      </c>
      <c r="B138" t="s" s="11">
        <v>2222</v>
      </c>
      <c r="C138" s="12">
        <v>45005</v>
      </c>
      <c r="D138" t="s" s="13">
        <v>660</v>
      </c>
      <c r="E138" t="s" s="13">
        <v>661</v>
      </c>
      <c r="F138" s="14">
        <v>4</v>
      </c>
      <c r="G138" s="15">
        <v>0</v>
      </c>
      <c r="H138" s="15">
        <v>0</v>
      </c>
    </row>
    <row r="139" ht="12.9" customHeight="1">
      <c r="A139" t="s" s="10">
        <v>5956</v>
      </c>
      <c r="B139" t="s" s="11">
        <v>2222</v>
      </c>
      <c r="C139" s="12">
        <v>45005</v>
      </c>
      <c r="D139" t="s" s="13">
        <v>412</v>
      </c>
      <c r="E139" t="s" s="13">
        <v>413</v>
      </c>
      <c r="F139" s="14">
        <v>4</v>
      </c>
      <c r="G139" s="15">
        <v>0</v>
      </c>
      <c r="H139" s="15">
        <v>0</v>
      </c>
    </row>
    <row r="140" ht="12.9" customHeight="1">
      <c r="A140" t="s" s="10">
        <v>5956</v>
      </c>
      <c r="B140" t="s" s="11">
        <v>2222</v>
      </c>
      <c r="C140" s="12">
        <v>45005</v>
      </c>
      <c r="D140" t="s" s="13">
        <v>119</v>
      </c>
      <c r="E140" t="s" s="13">
        <v>120</v>
      </c>
      <c r="F140" s="14">
        <v>4</v>
      </c>
      <c r="G140" s="15">
        <v>0</v>
      </c>
      <c r="H140" s="15">
        <v>0</v>
      </c>
    </row>
    <row r="141" ht="12.9" customHeight="1">
      <c r="A141" t="s" s="10">
        <v>5956</v>
      </c>
      <c r="B141" t="s" s="11">
        <v>2222</v>
      </c>
      <c r="C141" s="12">
        <v>45005</v>
      </c>
      <c r="D141" t="s" s="13">
        <v>63</v>
      </c>
      <c r="E141" s="16"/>
      <c r="F141" s="14">
        <v>1</v>
      </c>
      <c r="G141" s="15">
        <v>142.86</v>
      </c>
      <c r="H141" s="15">
        <v>142.86</v>
      </c>
    </row>
    <row r="142" ht="12.9" customHeight="1">
      <c r="A142" t="s" s="10">
        <v>5958</v>
      </c>
      <c r="B142" t="s" s="11">
        <v>2222</v>
      </c>
      <c r="C142" s="12">
        <v>45005</v>
      </c>
      <c r="D142" t="s" s="13">
        <v>81</v>
      </c>
      <c r="E142" t="s" s="13">
        <v>82</v>
      </c>
      <c r="F142" s="14">
        <v>4</v>
      </c>
      <c r="G142" s="15">
        <v>849.99</v>
      </c>
      <c r="H142" s="15">
        <v>3399.96</v>
      </c>
    </row>
    <row r="143" ht="12.9" customHeight="1">
      <c r="A143" t="s" s="10">
        <v>5958</v>
      </c>
      <c r="B143" t="s" s="11">
        <v>2222</v>
      </c>
      <c r="C143" s="12">
        <v>45005</v>
      </c>
      <c r="D143" t="s" s="13">
        <v>50</v>
      </c>
      <c r="E143" t="s" s="13">
        <v>83</v>
      </c>
      <c r="F143" s="14">
        <v>4</v>
      </c>
      <c r="G143" s="15">
        <v>0</v>
      </c>
      <c r="H143" s="15">
        <v>0</v>
      </c>
    </row>
    <row r="144" ht="12.9" customHeight="1">
      <c r="A144" t="s" s="10">
        <v>5958</v>
      </c>
      <c r="B144" t="s" s="11">
        <v>2222</v>
      </c>
      <c r="C144" s="12">
        <v>45005</v>
      </c>
      <c r="D144" t="s" s="13">
        <v>23</v>
      </c>
      <c r="E144" t="s" s="13">
        <v>5530</v>
      </c>
      <c r="F144" s="14">
        <v>4</v>
      </c>
      <c r="G144" s="15">
        <v>0</v>
      </c>
      <c r="H144" s="15">
        <v>0</v>
      </c>
    </row>
    <row r="145" ht="12.9" customHeight="1">
      <c r="A145" t="s" s="10">
        <v>5958</v>
      </c>
      <c r="B145" t="s" s="11">
        <v>2222</v>
      </c>
      <c r="C145" s="12">
        <v>45005</v>
      </c>
      <c r="D145" t="s" s="13">
        <v>54</v>
      </c>
      <c r="E145" t="s" s="13">
        <v>55</v>
      </c>
      <c r="F145" s="14">
        <v>4</v>
      </c>
      <c r="G145" s="15">
        <v>0</v>
      </c>
      <c r="H145" s="15">
        <v>0</v>
      </c>
    </row>
    <row r="146" ht="12.9" customHeight="1">
      <c r="A146" t="s" s="10">
        <v>5958</v>
      </c>
      <c r="B146" t="s" s="11">
        <v>2222</v>
      </c>
      <c r="C146" s="12">
        <v>45005</v>
      </c>
      <c r="D146" t="s" s="13">
        <v>15</v>
      </c>
      <c r="E146" t="s" s="13">
        <v>5957</v>
      </c>
      <c r="F146" s="14">
        <v>4</v>
      </c>
      <c r="G146" s="15">
        <v>0</v>
      </c>
      <c r="H146" s="15">
        <v>0</v>
      </c>
    </row>
    <row r="147" ht="12.9" customHeight="1">
      <c r="A147" t="s" s="10">
        <v>5958</v>
      </c>
      <c r="B147" t="s" s="11">
        <v>2222</v>
      </c>
      <c r="C147" s="12">
        <v>45005</v>
      </c>
      <c r="D147" t="s" s="13">
        <v>660</v>
      </c>
      <c r="E147" t="s" s="13">
        <v>661</v>
      </c>
      <c r="F147" s="14">
        <v>4</v>
      </c>
      <c r="G147" s="15">
        <v>0</v>
      </c>
      <c r="H147" s="15">
        <v>0</v>
      </c>
    </row>
    <row r="148" ht="12.9" customHeight="1">
      <c r="A148" t="s" s="10">
        <v>5958</v>
      </c>
      <c r="B148" t="s" s="11">
        <v>2222</v>
      </c>
      <c r="C148" s="12">
        <v>45005</v>
      </c>
      <c r="D148" t="s" s="13">
        <v>63</v>
      </c>
      <c r="E148" s="16"/>
      <c r="F148" s="14">
        <v>1</v>
      </c>
      <c r="G148" s="15">
        <v>123.9</v>
      </c>
      <c r="H148" s="15">
        <v>123.9</v>
      </c>
    </row>
    <row r="149" ht="12.9" customHeight="1">
      <c r="A149" t="s" s="10">
        <v>5959</v>
      </c>
      <c r="B149" t="s" s="11">
        <v>911</v>
      </c>
      <c r="C149" s="12">
        <v>45005</v>
      </c>
      <c r="D149" t="s" s="13">
        <v>48</v>
      </c>
      <c r="E149" t="s" s="13">
        <v>49</v>
      </c>
      <c r="F149" s="14">
        <v>3</v>
      </c>
      <c r="G149" s="15">
        <v>974.99</v>
      </c>
      <c r="H149" s="15">
        <v>2924.97</v>
      </c>
    </row>
    <row r="150" ht="12.9" customHeight="1">
      <c r="A150" t="s" s="10">
        <v>5959</v>
      </c>
      <c r="B150" t="s" s="11">
        <v>911</v>
      </c>
      <c r="C150" s="12">
        <v>45005</v>
      </c>
      <c r="D150" t="s" s="13">
        <v>52</v>
      </c>
      <c r="E150" t="s" s="13">
        <v>4287</v>
      </c>
      <c r="F150" s="14">
        <v>3</v>
      </c>
      <c r="G150" s="15">
        <v>0</v>
      </c>
      <c r="H150" s="15">
        <v>0</v>
      </c>
    </row>
    <row r="151" ht="12.9" customHeight="1">
      <c r="A151" t="s" s="10">
        <v>5959</v>
      </c>
      <c r="B151" t="s" s="11">
        <v>911</v>
      </c>
      <c r="C151" s="12">
        <v>45005</v>
      </c>
      <c r="D151" t="s" s="13">
        <v>50</v>
      </c>
      <c r="E151" t="s" s="13">
        <v>83</v>
      </c>
      <c r="F151" s="14">
        <v>3</v>
      </c>
      <c r="G151" s="15">
        <v>0</v>
      </c>
      <c r="H151" s="15">
        <v>0</v>
      </c>
    </row>
    <row r="152" ht="12.9" customHeight="1">
      <c r="A152" t="s" s="10">
        <v>5960</v>
      </c>
      <c r="B152" t="s" s="11">
        <v>896</v>
      </c>
      <c r="C152" s="12">
        <v>45005</v>
      </c>
      <c r="D152" t="s" s="13">
        <v>468</v>
      </c>
      <c r="E152" t="s" s="13">
        <v>5961</v>
      </c>
      <c r="F152" s="14">
        <v>1</v>
      </c>
      <c r="G152" s="15">
        <v>1874.9925</v>
      </c>
      <c r="H152" s="15">
        <v>1874.9925</v>
      </c>
    </row>
    <row r="153" ht="12.9" customHeight="1">
      <c r="A153" t="s" s="10">
        <v>5962</v>
      </c>
      <c r="B153" t="s" s="11">
        <v>5963</v>
      </c>
      <c r="C153" s="12">
        <v>45004.011277685182</v>
      </c>
      <c r="D153" t="s" s="13">
        <v>35</v>
      </c>
      <c r="E153" t="s" s="13">
        <v>36</v>
      </c>
      <c r="F153" s="14">
        <v>2</v>
      </c>
      <c r="G153" s="15">
        <v>49.99</v>
      </c>
      <c r="H153" s="15">
        <v>99.98</v>
      </c>
    </row>
    <row r="154" ht="12.9" customHeight="1">
      <c r="A154" t="s" s="10">
        <v>5964</v>
      </c>
      <c r="B154" t="s" s="11">
        <v>3789</v>
      </c>
      <c r="C154" s="12">
        <v>45003.950768773146</v>
      </c>
      <c r="D154" t="s" s="13">
        <v>11</v>
      </c>
      <c r="E154" t="s" s="13">
        <v>12</v>
      </c>
      <c r="F154" s="14">
        <v>1</v>
      </c>
      <c r="G154" s="15">
        <v>399.99</v>
      </c>
      <c r="H154" s="15">
        <v>399.99</v>
      </c>
    </row>
    <row r="155" ht="12.9" customHeight="1">
      <c r="A155" t="s" s="10">
        <v>5964</v>
      </c>
      <c r="B155" t="s" s="11">
        <v>3789</v>
      </c>
      <c r="C155" s="12">
        <v>45003.950768773146</v>
      </c>
      <c r="D155" t="s" s="13">
        <v>19</v>
      </c>
      <c r="E155" t="s" s="13">
        <v>20</v>
      </c>
      <c r="F155" s="14">
        <v>2</v>
      </c>
      <c r="G155" s="15">
        <v>119.99</v>
      </c>
      <c r="H155" s="15">
        <v>239.98</v>
      </c>
    </row>
    <row r="156" ht="12.9" customHeight="1">
      <c r="A156" t="s" s="10">
        <v>5964</v>
      </c>
      <c r="B156" t="s" s="11">
        <v>3789</v>
      </c>
      <c r="C156" s="12">
        <v>45003.950768773146</v>
      </c>
      <c r="D156" t="s" s="13">
        <v>15</v>
      </c>
      <c r="E156" t="s" s="13">
        <v>4757</v>
      </c>
      <c r="F156" s="14">
        <v>2</v>
      </c>
      <c r="G156" s="15">
        <v>9.99</v>
      </c>
      <c r="H156" s="15">
        <v>19.98</v>
      </c>
    </row>
    <row r="157" ht="12.9" customHeight="1">
      <c r="A157" t="s" s="10">
        <v>5964</v>
      </c>
      <c r="B157" t="s" s="11">
        <v>3789</v>
      </c>
      <c r="C157" s="12">
        <v>45003.950768773146</v>
      </c>
      <c r="D157" t="s" s="13">
        <v>133</v>
      </c>
      <c r="E157" t="s" s="13">
        <v>4835</v>
      </c>
      <c r="F157" s="14">
        <v>1</v>
      </c>
      <c r="G157" s="15">
        <v>199.99</v>
      </c>
      <c r="H157" s="15">
        <v>199.99</v>
      </c>
    </row>
    <row r="158" ht="12.9" customHeight="1">
      <c r="A158" t="s" s="10">
        <v>5964</v>
      </c>
      <c r="B158" t="s" s="11">
        <v>3789</v>
      </c>
      <c r="C158" s="12">
        <v>45003.950768773146</v>
      </c>
      <c r="D158" t="s" s="13">
        <v>89</v>
      </c>
      <c r="E158" t="s" s="13">
        <v>90</v>
      </c>
      <c r="F158" s="14">
        <v>1</v>
      </c>
      <c r="G158" s="15">
        <v>59.99</v>
      </c>
      <c r="H158" s="15">
        <v>59.99</v>
      </c>
    </row>
    <row r="159" ht="12.9" customHeight="1">
      <c r="A159" t="s" s="10">
        <v>5965</v>
      </c>
      <c r="B159" t="s" s="11">
        <v>5966</v>
      </c>
      <c r="C159" s="12">
        <v>45003.860901990738</v>
      </c>
      <c r="D159" t="s" s="13">
        <v>2961</v>
      </c>
      <c r="E159" t="s" s="13">
        <v>2962</v>
      </c>
      <c r="F159" s="14">
        <v>12</v>
      </c>
      <c r="G159" s="15">
        <v>22.99</v>
      </c>
      <c r="H159" s="15">
        <v>275.88</v>
      </c>
    </row>
    <row r="160" ht="12.9" customHeight="1">
      <c r="A160" t="s" s="10">
        <v>5967</v>
      </c>
      <c r="B160" t="s" s="11">
        <v>5968</v>
      </c>
      <c r="C160" s="12">
        <v>45002.927324097225</v>
      </c>
      <c r="D160" t="s" s="13">
        <v>95</v>
      </c>
      <c r="E160" t="s" s="13">
        <v>12</v>
      </c>
      <c r="F160" s="14">
        <v>2</v>
      </c>
      <c r="G160" s="15">
        <v>349.99</v>
      </c>
      <c r="H160" s="15">
        <v>699.98</v>
      </c>
    </row>
    <row r="161" ht="12.9" customHeight="1">
      <c r="A161" t="s" s="10">
        <v>5969</v>
      </c>
      <c r="B161" t="s" s="11">
        <v>5970</v>
      </c>
      <c r="C161" s="12">
        <v>45002.868631805555</v>
      </c>
      <c r="D161" t="s" s="13">
        <v>412</v>
      </c>
      <c r="E161" t="s" s="13">
        <v>413</v>
      </c>
      <c r="F161" s="14">
        <v>20</v>
      </c>
      <c r="G161" s="15">
        <v>1.99</v>
      </c>
      <c r="H161" s="15">
        <v>39.8</v>
      </c>
    </row>
    <row r="162" ht="12.9" customHeight="1">
      <c r="A162" t="s" s="10">
        <v>5969</v>
      </c>
      <c r="B162" t="s" s="11">
        <v>5970</v>
      </c>
      <c r="C162" s="12">
        <v>45002.868631805555</v>
      </c>
      <c r="D162" t="s" s="13">
        <v>179</v>
      </c>
      <c r="E162" t="s" s="13">
        <v>180</v>
      </c>
      <c r="F162" s="14">
        <v>2</v>
      </c>
      <c r="G162" s="15">
        <v>49.99</v>
      </c>
      <c r="H162" s="15">
        <v>99.98</v>
      </c>
    </row>
    <row r="163" ht="12.9" customHeight="1">
      <c r="A163" t="s" s="10">
        <v>5971</v>
      </c>
      <c r="B163" t="s" s="11">
        <v>5972</v>
      </c>
      <c r="C163" s="12">
        <v>45002.684811215280</v>
      </c>
      <c r="D163" t="s" s="13">
        <v>35</v>
      </c>
      <c r="E163" t="s" s="13">
        <v>36</v>
      </c>
      <c r="F163" s="14">
        <v>1</v>
      </c>
      <c r="G163" s="15">
        <v>49.99</v>
      </c>
      <c r="H163" s="15">
        <v>49.99</v>
      </c>
    </row>
    <row r="164" ht="12.9" customHeight="1">
      <c r="A164" t="s" s="10">
        <v>5973</v>
      </c>
      <c r="B164" t="s" s="11">
        <v>5974</v>
      </c>
      <c r="C164" s="12">
        <v>45001.869590787035</v>
      </c>
      <c r="D164" t="s" s="13">
        <v>23</v>
      </c>
      <c r="E164" t="s" s="13">
        <v>828</v>
      </c>
      <c r="F164" s="14">
        <v>1</v>
      </c>
      <c r="G164" s="15">
        <v>149.99</v>
      </c>
      <c r="H164" s="15">
        <v>149.99</v>
      </c>
    </row>
    <row r="165" ht="12.9" customHeight="1">
      <c r="A165" t="s" s="10">
        <v>5975</v>
      </c>
      <c r="B165" t="s" s="11">
        <v>735</v>
      </c>
      <c r="C165" s="12">
        <v>45001.828804803241</v>
      </c>
      <c r="D165" t="s" s="13">
        <v>48</v>
      </c>
      <c r="E165" t="s" s="13">
        <v>49</v>
      </c>
      <c r="F165" s="14">
        <v>2</v>
      </c>
      <c r="G165" s="15">
        <v>1299.99</v>
      </c>
      <c r="H165" s="15">
        <v>2599.98</v>
      </c>
    </row>
    <row r="166" ht="12.9" customHeight="1">
      <c r="A166" t="s" s="10">
        <v>5975</v>
      </c>
      <c r="B166" t="s" s="11">
        <v>735</v>
      </c>
      <c r="C166" s="12">
        <v>45001.828804803241</v>
      </c>
      <c r="D166" t="s" s="13">
        <v>50</v>
      </c>
      <c r="E166" t="s" s="13">
        <v>83</v>
      </c>
      <c r="F166" s="14">
        <v>2</v>
      </c>
      <c r="G166" s="15">
        <v>0</v>
      </c>
      <c r="H166" s="15">
        <v>0</v>
      </c>
    </row>
    <row r="167" ht="12.9" customHeight="1">
      <c r="A167" t="s" s="10">
        <v>5975</v>
      </c>
      <c r="B167" t="s" s="11">
        <v>735</v>
      </c>
      <c r="C167" s="12">
        <v>45001.828804803241</v>
      </c>
      <c r="D167" t="s" s="13">
        <v>52</v>
      </c>
      <c r="E167" t="s" s="13">
        <v>4287</v>
      </c>
      <c r="F167" s="14">
        <v>2</v>
      </c>
      <c r="G167" s="15">
        <v>0</v>
      </c>
      <c r="H167" s="15">
        <v>0</v>
      </c>
    </row>
    <row r="168" ht="12.9" customHeight="1">
      <c r="A168" t="s" s="10">
        <v>5975</v>
      </c>
      <c r="B168" t="s" s="11">
        <v>735</v>
      </c>
      <c r="C168" s="12">
        <v>45001.828804803241</v>
      </c>
      <c r="D168" t="s" s="13">
        <v>5138</v>
      </c>
      <c r="E168" t="s" s="13">
        <v>5139</v>
      </c>
      <c r="F168" s="14">
        <v>2</v>
      </c>
      <c r="G168" s="15">
        <v>0</v>
      </c>
      <c r="H168" s="15">
        <v>0</v>
      </c>
    </row>
    <row r="169" ht="12.9" customHeight="1">
      <c r="A169" t="s" s="10">
        <v>5975</v>
      </c>
      <c r="B169" t="s" s="11">
        <v>735</v>
      </c>
      <c r="C169" s="12">
        <v>45001.828804803241</v>
      </c>
      <c r="D169" t="s" s="13">
        <v>470</v>
      </c>
      <c r="E169" t="s" s="13">
        <v>828</v>
      </c>
      <c r="F169" s="14">
        <v>2</v>
      </c>
      <c r="G169" s="15">
        <v>100</v>
      </c>
      <c r="H169" s="15">
        <v>200</v>
      </c>
    </row>
    <row r="170" ht="12.9" customHeight="1">
      <c r="A170" t="s" s="10">
        <v>5975</v>
      </c>
      <c r="B170" t="s" s="11">
        <v>735</v>
      </c>
      <c r="C170" s="12">
        <v>45001.828804803241</v>
      </c>
      <c r="D170" t="s" s="13">
        <v>1069</v>
      </c>
      <c r="E170" t="s" s="13">
        <v>828</v>
      </c>
      <c r="F170" s="14">
        <v>2</v>
      </c>
      <c r="G170" s="15">
        <v>99.98999999999999</v>
      </c>
      <c r="H170" s="15">
        <v>199.98</v>
      </c>
    </row>
    <row r="171" ht="12.9" customHeight="1">
      <c r="A171" t="s" s="10">
        <v>5975</v>
      </c>
      <c r="B171" t="s" s="11">
        <v>735</v>
      </c>
      <c r="C171" s="12">
        <v>45001.828804803241</v>
      </c>
      <c r="D171" t="s" s="13">
        <v>227</v>
      </c>
      <c r="E171" t="s" s="13">
        <v>228</v>
      </c>
      <c r="F171" s="14">
        <v>2</v>
      </c>
      <c r="G171" s="15">
        <v>29.99</v>
      </c>
      <c r="H171" s="15">
        <v>59.98</v>
      </c>
    </row>
    <row r="172" ht="12.9" customHeight="1">
      <c r="A172" t="s" s="10">
        <v>5975</v>
      </c>
      <c r="B172" t="s" s="11">
        <v>735</v>
      </c>
      <c r="C172" s="12">
        <v>45001.828804803241</v>
      </c>
      <c r="D172" t="s" s="13">
        <v>179</v>
      </c>
      <c r="E172" t="s" s="13">
        <v>180</v>
      </c>
      <c r="F172" s="14">
        <v>4</v>
      </c>
      <c r="G172" s="15">
        <v>49.99</v>
      </c>
      <c r="H172" s="15">
        <v>199.96</v>
      </c>
    </row>
    <row r="173" ht="12.9" customHeight="1">
      <c r="A173" t="s" s="10">
        <v>5975</v>
      </c>
      <c r="B173" t="s" s="11">
        <v>735</v>
      </c>
      <c r="C173" s="12">
        <v>45001.828804803241</v>
      </c>
      <c r="D173" t="s" s="13">
        <v>77</v>
      </c>
      <c r="E173" t="s" s="13">
        <v>4224</v>
      </c>
      <c r="F173" s="14">
        <v>4</v>
      </c>
      <c r="G173" s="15">
        <v>19.99</v>
      </c>
      <c r="H173" s="15">
        <v>79.95999999999999</v>
      </c>
    </row>
    <row r="174" ht="12.9" customHeight="1">
      <c r="A174" t="s" s="10">
        <v>5975</v>
      </c>
      <c r="B174" t="s" s="11">
        <v>735</v>
      </c>
      <c r="C174" s="12">
        <v>45001.828804803241</v>
      </c>
      <c r="D174" t="s" s="13">
        <v>359</v>
      </c>
      <c r="E174" t="s" s="13">
        <v>4199</v>
      </c>
      <c r="F174" s="14">
        <v>2</v>
      </c>
      <c r="G174" s="15">
        <v>29.99</v>
      </c>
      <c r="H174" s="15">
        <v>59.98</v>
      </c>
    </row>
    <row r="175" ht="12.9" customHeight="1">
      <c r="A175" t="s" s="10">
        <v>5975</v>
      </c>
      <c r="B175" t="s" s="11">
        <v>735</v>
      </c>
      <c r="C175" s="12">
        <v>45001.828804803241</v>
      </c>
      <c r="D175" t="s" s="13">
        <v>1479</v>
      </c>
      <c r="E175" t="s" s="13">
        <v>828</v>
      </c>
      <c r="F175" s="14">
        <v>2</v>
      </c>
      <c r="G175" s="15">
        <v>299.99</v>
      </c>
      <c r="H175" s="15">
        <v>599.98</v>
      </c>
    </row>
    <row r="176" ht="12.9" customHeight="1">
      <c r="A176" t="s" s="10">
        <v>5975</v>
      </c>
      <c r="B176" t="s" s="11">
        <v>735</v>
      </c>
      <c r="C176" s="12">
        <v>45001.828804803241</v>
      </c>
      <c r="D176" t="s" s="13">
        <v>84</v>
      </c>
      <c r="E176" t="s" s="13">
        <v>4225</v>
      </c>
      <c r="F176" s="14">
        <v>2</v>
      </c>
      <c r="G176" s="15">
        <v>15</v>
      </c>
      <c r="H176" s="15">
        <v>30</v>
      </c>
    </row>
    <row r="177" ht="12.9" customHeight="1">
      <c r="A177" t="s" s="10">
        <v>5976</v>
      </c>
      <c r="B177" t="s" s="11">
        <v>5977</v>
      </c>
      <c r="C177" s="12">
        <v>45001.196380104164</v>
      </c>
      <c r="D177" t="s" s="13">
        <v>5845</v>
      </c>
      <c r="E177" t="s" s="13">
        <v>5846</v>
      </c>
      <c r="F177" s="14">
        <v>1</v>
      </c>
      <c r="G177" s="15">
        <v>9.99</v>
      </c>
      <c r="H177" s="15">
        <v>9.99</v>
      </c>
    </row>
    <row r="178" ht="12.9" customHeight="1">
      <c r="A178" t="s" s="10">
        <v>5976</v>
      </c>
      <c r="B178" t="s" s="11">
        <v>5977</v>
      </c>
      <c r="C178" s="12">
        <v>45001.196380104164</v>
      </c>
      <c r="D178" t="s" s="13">
        <v>35</v>
      </c>
      <c r="E178" t="s" s="13">
        <v>36</v>
      </c>
      <c r="F178" s="14">
        <v>2</v>
      </c>
      <c r="G178" s="15">
        <v>49.99</v>
      </c>
      <c r="H178" s="15">
        <v>99.98</v>
      </c>
    </row>
    <row r="179" ht="12.9" customHeight="1">
      <c r="A179" t="s" s="10">
        <v>5976</v>
      </c>
      <c r="B179" t="s" s="11">
        <v>5977</v>
      </c>
      <c r="C179" s="12">
        <v>45001.196380104164</v>
      </c>
      <c r="D179" t="s" s="13">
        <v>15</v>
      </c>
      <c r="E179" t="s" s="13">
        <v>4757</v>
      </c>
      <c r="F179" s="14">
        <v>1</v>
      </c>
      <c r="G179" s="15">
        <v>9.99</v>
      </c>
      <c r="H179" s="15">
        <v>9.99</v>
      </c>
    </row>
    <row r="180" ht="12.9" customHeight="1">
      <c r="A180" t="s" s="10">
        <v>5978</v>
      </c>
      <c r="B180" t="s" s="11">
        <v>735</v>
      </c>
      <c r="C180" s="12">
        <v>45001.157432534725</v>
      </c>
      <c r="D180" t="s" s="13">
        <v>77</v>
      </c>
      <c r="E180" t="s" s="13">
        <v>4224</v>
      </c>
      <c r="F180" s="14">
        <v>10</v>
      </c>
      <c r="G180" s="15">
        <v>19.99</v>
      </c>
      <c r="H180" s="15">
        <v>199.9</v>
      </c>
    </row>
    <row r="181" ht="12.9" customHeight="1">
      <c r="A181" t="s" s="10">
        <v>5978</v>
      </c>
      <c r="B181" t="s" s="11">
        <v>735</v>
      </c>
      <c r="C181" s="12">
        <v>45001.157432534725</v>
      </c>
      <c r="D181" t="s" s="13">
        <v>1069</v>
      </c>
      <c r="E181" t="s" s="13">
        <v>828</v>
      </c>
      <c r="F181" s="14">
        <v>2</v>
      </c>
      <c r="G181" s="15">
        <v>99.98999999999999</v>
      </c>
      <c r="H181" s="15">
        <v>199.98</v>
      </c>
    </row>
    <row r="182" ht="12.9" customHeight="1">
      <c r="A182" t="s" s="10">
        <v>5978</v>
      </c>
      <c r="B182" t="s" s="11">
        <v>735</v>
      </c>
      <c r="C182" s="12">
        <v>45001.157432534725</v>
      </c>
      <c r="D182" t="s" s="13">
        <v>359</v>
      </c>
      <c r="E182" t="s" s="13">
        <v>4199</v>
      </c>
      <c r="F182" s="14">
        <v>4</v>
      </c>
      <c r="G182" s="15">
        <v>29.99</v>
      </c>
      <c r="H182" s="15">
        <v>119.96</v>
      </c>
    </row>
    <row r="183" ht="12.9" customHeight="1">
      <c r="A183" t="s" s="10">
        <v>5979</v>
      </c>
      <c r="B183" t="s" s="11">
        <v>1913</v>
      </c>
      <c r="C183" s="12">
        <v>45001</v>
      </c>
      <c r="D183" t="s" s="13">
        <v>2071</v>
      </c>
      <c r="E183" t="s" s="13">
        <v>2072</v>
      </c>
      <c r="F183" s="14">
        <v>1</v>
      </c>
      <c r="G183" s="15">
        <v>0</v>
      </c>
      <c r="H183" s="15">
        <v>0</v>
      </c>
    </row>
    <row r="184" ht="12.9" customHeight="1">
      <c r="A184" t="s" s="10">
        <v>5979</v>
      </c>
      <c r="B184" t="s" s="11">
        <v>1913</v>
      </c>
      <c r="C184" s="12">
        <v>45001</v>
      </c>
      <c r="D184" t="s" s="13">
        <v>5980</v>
      </c>
      <c r="E184" t="s" s="13">
        <v>5981</v>
      </c>
      <c r="F184" s="14">
        <v>1</v>
      </c>
      <c r="G184" s="15">
        <v>0</v>
      </c>
      <c r="H184" s="15">
        <v>0</v>
      </c>
    </row>
    <row r="185" ht="12.9" customHeight="1">
      <c r="A185" t="s" s="10">
        <v>5982</v>
      </c>
      <c r="B185" t="s" s="11">
        <v>896</v>
      </c>
      <c r="C185" s="12">
        <v>45001</v>
      </c>
      <c r="D185" t="s" s="13">
        <v>225</v>
      </c>
      <c r="E185" t="s" s="13">
        <v>5983</v>
      </c>
      <c r="F185" s="14">
        <v>4</v>
      </c>
      <c r="G185" s="15">
        <v>374.9925</v>
      </c>
      <c r="H185" s="15">
        <v>1499.97</v>
      </c>
    </row>
    <row r="186" ht="12.9" customHeight="1">
      <c r="A186" t="s" s="10">
        <v>5982</v>
      </c>
      <c r="B186" t="s" s="11">
        <v>896</v>
      </c>
      <c r="C186" s="12">
        <v>45001</v>
      </c>
      <c r="D186" t="s" s="13">
        <v>165</v>
      </c>
      <c r="E186" t="s" s="13">
        <v>392</v>
      </c>
      <c r="F186" s="14">
        <v>4</v>
      </c>
      <c r="G186" s="15">
        <v>0</v>
      </c>
      <c r="H186" s="15">
        <v>0</v>
      </c>
    </row>
    <row r="187" ht="12.9" customHeight="1">
      <c r="A187" t="s" s="10">
        <v>5982</v>
      </c>
      <c r="B187" t="s" s="11">
        <v>896</v>
      </c>
      <c r="C187" s="12">
        <v>45001</v>
      </c>
      <c r="D187" t="s" s="13">
        <v>63</v>
      </c>
      <c r="E187" s="16"/>
      <c r="F187" s="14">
        <v>1</v>
      </c>
      <c r="G187" s="15">
        <v>68.5</v>
      </c>
      <c r="H187" s="15">
        <v>68.5</v>
      </c>
    </row>
    <row r="188" ht="12.9" customHeight="1">
      <c r="A188" t="s" s="10">
        <v>5984</v>
      </c>
      <c r="B188" t="s" s="11">
        <v>967</v>
      </c>
      <c r="C188" s="12">
        <v>45000.701259039350</v>
      </c>
      <c r="D188" t="s" s="13">
        <v>19</v>
      </c>
      <c r="E188" t="s" s="13">
        <v>20</v>
      </c>
      <c r="F188" s="14">
        <v>1</v>
      </c>
      <c r="G188" s="15">
        <v>119.99</v>
      </c>
      <c r="H188" s="15">
        <v>119.99</v>
      </c>
    </row>
    <row r="189" ht="12.9" customHeight="1">
      <c r="A189" t="s" s="10">
        <v>5984</v>
      </c>
      <c r="B189" t="s" s="11">
        <v>967</v>
      </c>
      <c r="C189" s="12">
        <v>45000.701259039350</v>
      </c>
      <c r="D189" t="s" s="13">
        <v>15</v>
      </c>
      <c r="E189" t="s" s="13">
        <v>4757</v>
      </c>
      <c r="F189" s="14">
        <v>1</v>
      </c>
      <c r="G189" s="15">
        <v>9.99</v>
      </c>
      <c r="H189" s="15">
        <v>9.99</v>
      </c>
    </row>
    <row r="190" ht="12.9" customHeight="1">
      <c r="A190" t="s" s="10">
        <v>5984</v>
      </c>
      <c r="B190" t="s" s="11">
        <v>967</v>
      </c>
      <c r="C190" s="12">
        <v>45000.701259039350</v>
      </c>
      <c r="D190" t="s" s="13">
        <v>1695</v>
      </c>
      <c r="E190" t="s" s="13">
        <v>140</v>
      </c>
      <c r="F190" s="14">
        <v>1</v>
      </c>
      <c r="G190" s="15">
        <v>49.99</v>
      </c>
      <c r="H190" s="15">
        <v>49.99</v>
      </c>
    </row>
    <row r="191" ht="12.9" customHeight="1">
      <c r="A191" t="s" s="10">
        <v>5984</v>
      </c>
      <c r="B191" t="s" s="11">
        <v>967</v>
      </c>
      <c r="C191" s="12">
        <v>45000.701259039350</v>
      </c>
      <c r="D191" t="s" s="13">
        <v>15</v>
      </c>
      <c r="E191" t="s" s="13">
        <v>4757</v>
      </c>
      <c r="F191" s="14">
        <v>1</v>
      </c>
      <c r="G191" s="15">
        <v>9.99</v>
      </c>
      <c r="H191" s="15">
        <v>9.99</v>
      </c>
    </row>
    <row r="192" ht="12.9" customHeight="1">
      <c r="A192" t="s" s="10">
        <v>5984</v>
      </c>
      <c r="B192" t="s" s="11">
        <v>967</v>
      </c>
      <c r="C192" s="12">
        <v>45000.701259039350</v>
      </c>
      <c r="D192" t="s" s="13">
        <v>5845</v>
      </c>
      <c r="E192" t="s" s="13">
        <v>5846</v>
      </c>
      <c r="F192" s="14">
        <v>1</v>
      </c>
      <c r="G192" s="15">
        <v>9.99</v>
      </c>
      <c r="H192" s="15">
        <v>9.99</v>
      </c>
    </row>
    <row r="193" ht="12.9" customHeight="1">
      <c r="A193" t="s" s="10">
        <v>5984</v>
      </c>
      <c r="B193" t="s" s="11">
        <v>967</v>
      </c>
      <c r="C193" s="12">
        <v>45000.701259039350</v>
      </c>
      <c r="D193" t="s" s="13">
        <v>2787</v>
      </c>
      <c r="E193" t="s" s="13">
        <v>2962</v>
      </c>
      <c r="F193" s="14">
        <v>1</v>
      </c>
      <c r="G193" s="15">
        <v>22.99</v>
      </c>
      <c r="H193" s="15">
        <v>22.99</v>
      </c>
    </row>
    <row r="194" ht="12.9" customHeight="1">
      <c r="A194" t="s" s="10">
        <v>5984</v>
      </c>
      <c r="B194" t="s" s="11">
        <v>967</v>
      </c>
      <c r="C194" s="12">
        <v>45000.701259039350</v>
      </c>
      <c r="D194" t="s" s="13">
        <v>2961</v>
      </c>
      <c r="E194" t="s" s="13">
        <v>2962</v>
      </c>
      <c r="F194" s="14">
        <v>1</v>
      </c>
      <c r="G194" s="15">
        <v>22.99</v>
      </c>
      <c r="H194" s="15">
        <v>22.99</v>
      </c>
    </row>
    <row r="195" ht="12.9" customHeight="1">
      <c r="A195" t="s" s="10">
        <v>5985</v>
      </c>
      <c r="B195" t="s" s="11">
        <v>5986</v>
      </c>
      <c r="C195" s="12">
        <v>45000.6506028125</v>
      </c>
      <c r="D195" t="s" s="13">
        <v>35</v>
      </c>
      <c r="E195" t="s" s="13">
        <v>36</v>
      </c>
      <c r="F195" s="14">
        <v>1</v>
      </c>
      <c r="G195" s="15">
        <v>49.99</v>
      </c>
      <c r="H195" s="15">
        <v>49.99</v>
      </c>
    </row>
    <row r="196" ht="12.9" customHeight="1">
      <c r="A196" t="s" s="10">
        <v>5987</v>
      </c>
      <c r="B196" t="s" s="11">
        <v>2940</v>
      </c>
      <c r="C196" s="12">
        <v>45000</v>
      </c>
      <c r="D196" t="s" s="13">
        <v>95</v>
      </c>
      <c r="E196" t="s" s="13">
        <v>12</v>
      </c>
      <c r="F196" s="14">
        <v>1</v>
      </c>
      <c r="G196" s="15">
        <v>314.991</v>
      </c>
      <c r="H196" s="15">
        <v>314.991</v>
      </c>
    </row>
    <row r="197" ht="12.9" customHeight="1">
      <c r="A197" t="s" s="10">
        <v>5988</v>
      </c>
      <c r="B197" t="s" s="11">
        <v>2940</v>
      </c>
      <c r="C197" s="12">
        <v>45000</v>
      </c>
      <c r="D197" t="s" s="13">
        <v>95</v>
      </c>
      <c r="E197" t="s" s="13">
        <v>12</v>
      </c>
      <c r="F197" s="14">
        <v>1</v>
      </c>
      <c r="G197" s="15">
        <v>314.991</v>
      </c>
      <c r="H197" s="15">
        <v>314.991</v>
      </c>
    </row>
    <row r="198" ht="12.9" customHeight="1">
      <c r="A198" t="s" s="10">
        <v>5989</v>
      </c>
      <c r="B198" t="s" s="11">
        <v>5990</v>
      </c>
      <c r="C198" s="12">
        <v>44999.982352418985</v>
      </c>
      <c r="D198" t="s" s="13">
        <v>5845</v>
      </c>
      <c r="E198" t="s" s="13">
        <v>5846</v>
      </c>
      <c r="F198" s="14">
        <v>2</v>
      </c>
      <c r="G198" s="15">
        <v>9.99</v>
      </c>
      <c r="H198" s="15">
        <v>19.98</v>
      </c>
    </row>
    <row r="199" ht="12.9" customHeight="1">
      <c r="A199" t="s" s="10">
        <v>5989</v>
      </c>
      <c r="B199" t="s" s="11">
        <v>5990</v>
      </c>
      <c r="C199" s="12">
        <v>44999.982352418985</v>
      </c>
      <c r="D199" t="s" s="13">
        <v>35</v>
      </c>
      <c r="E199" t="s" s="13">
        <v>36</v>
      </c>
      <c r="F199" s="14">
        <v>2</v>
      </c>
      <c r="G199" s="15">
        <v>49.99</v>
      </c>
      <c r="H199" s="15">
        <v>99.98</v>
      </c>
    </row>
    <row r="200" ht="12.9" customHeight="1">
      <c r="A200" t="s" s="10">
        <v>5991</v>
      </c>
      <c r="B200" t="s" s="11">
        <v>5992</v>
      </c>
      <c r="C200" s="12">
        <v>44999.7934089699</v>
      </c>
      <c r="D200" t="s" s="13">
        <v>1695</v>
      </c>
      <c r="E200" t="s" s="13">
        <v>140</v>
      </c>
      <c r="F200" s="14">
        <v>1</v>
      </c>
      <c r="G200" s="15">
        <v>49.99</v>
      </c>
      <c r="H200" s="15">
        <v>49.99</v>
      </c>
    </row>
    <row r="201" ht="12.9" customHeight="1">
      <c r="A201" t="s" s="10">
        <v>5991</v>
      </c>
      <c r="B201" t="s" s="11">
        <v>5992</v>
      </c>
      <c r="C201" s="12">
        <v>44999.7934089699</v>
      </c>
      <c r="D201" t="s" s="13">
        <v>15</v>
      </c>
      <c r="E201" t="s" s="13">
        <v>4757</v>
      </c>
      <c r="F201" s="14">
        <v>1</v>
      </c>
      <c r="G201" s="15">
        <v>9.99</v>
      </c>
      <c r="H201" s="15">
        <v>9.99</v>
      </c>
    </row>
    <row r="202" ht="12.9" customHeight="1">
      <c r="A202" t="s" s="10">
        <v>5993</v>
      </c>
      <c r="B202" t="s" s="11">
        <v>5994</v>
      </c>
      <c r="C202" s="12">
        <v>44999.716253877312</v>
      </c>
      <c r="D202" t="s" s="13">
        <v>73</v>
      </c>
      <c r="E202" t="s" s="13">
        <v>74</v>
      </c>
      <c r="F202" s="14">
        <v>1</v>
      </c>
      <c r="G202" s="15">
        <v>399.99</v>
      </c>
      <c r="H202" s="15">
        <v>399.99</v>
      </c>
    </row>
    <row r="203" ht="12.9" customHeight="1">
      <c r="A203" t="s" s="10">
        <v>5993</v>
      </c>
      <c r="B203" t="s" s="11">
        <v>5994</v>
      </c>
      <c r="C203" s="12">
        <v>44999.716253877312</v>
      </c>
      <c r="D203" t="s" s="13">
        <v>19</v>
      </c>
      <c r="E203" t="s" s="13">
        <v>20</v>
      </c>
      <c r="F203" s="14">
        <v>1</v>
      </c>
      <c r="G203" s="15">
        <v>119.99</v>
      </c>
      <c r="H203" s="15">
        <v>119.99</v>
      </c>
    </row>
    <row r="204" ht="12.9" customHeight="1">
      <c r="A204" t="s" s="10">
        <v>5993</v>
      </c>
      <c r="B204" t="s" s="11">
        <v>5994</v>
      </c>
      <c r="C204" s="12">
        <v>44999.716253877312</v>
      </c>
      <c r="D204" t="s" s="13">
        <v>15</v>
      </c>
      <c r="E204" t="s" s="13">
        <v>4757</v>
      </c>
      <c r="F204" s="14">
        <v>1</v>
      </c>
      <c r="G204" s="15">
        <v>9.99</v>
      </c>
      <c r="H204" s="15">
        <v>9.99</v>
      </c>
    </row>
    <row r="205" ht="12.9" customHeight="1">
      <c r="A205" t="s" s="10">
        <v>5993</v>
      </c>
      <c r="B205" t="s" s="11">
        <v>5994</v>
      </c>
      <c r="C205" s="12">
        <v>44999.716253877312</v>
      </c>
      <c r="D205" t="s" s="13">
        <v>59</v>
      </c>
      <c r="E205" t="s" s="13">
        <v>60</v>
      </c>
      <c r="F205" s="14">
        <v>1</v>
      </c>
      <c r="G205" s="15">
        <v>1199.99</v>
      </c>
      <c r="H205" s="15">
        <v>1199.99</v>
      </c>
    </row>
    <row r="206" ht="12.9" customHeight="1">
      <c r="A206" t="s" s="10">
        <v>5995</v>
      </c>
      <c r="B206" t="s" s="11">
        <v>5996</v>
      </c>
      <c r="C206" s="12">
        <v>44999.293750509256</v>
      </c>
      <c r="D206" t="s" s="13">
        <v>35</v>
      </c>
      <c r="E206" t="s" s="13">
        <v>36</v>
      </c>
      <c r="F206" s="14">
        <v>1</v>
      </c>
      <c r="G206" s="15">
        <v>49.99</v>
      </c>
      <c r="H206" s="15">
        <v>49.99</v>
      </c>
    </row>
    <row r="207" ht="12.9" customHeight="1">
      <c r="A207" t="s" s="10">
        <v>5997</v>
      </c>
      <c r="B207" t="s" s="11">
        <v>5489</v>
      </c>
      <c r="C207" s="12">
        <v>44999.241477581018</v>
      </c>
      <c r="D207" t="s" s="13">
        <v>81</v>
      </c>
      <c r="E207" t="s" s="13">
        <v>82</v>
      </c>
      <c r="F207" s="14">
        <v>1</v>
      </c>
      <c r="G207" s="15">
        <v>849.99</v>
      </c>
      <c r="H207" s="15">
        <v>849.99</v>
      </c>
    </row>
    <row r="208" ht="12.9" customHeight="1">
      <c r="A208" t="s" s="10">
        <v>5997</v>
      </c>
      <c r="B208" t="s" s="11">
        <v>5489</v>
      </c>
      <c r="C208" s="12">
        <v>44999.241477581018</v>
      </c>
      <c r="D208" t="s" s="13">
        <v>602</v>
      </c>
      <c r="E208" t="s" s="13">
        <v>828</v>
      </c>
      <c r="F208" s="14">
        <v>1</v>
      </c>
      <c r="G208" s="15">
        <v>175</v>
      </c>
      <c r="H208" s="15">
        <v>175</v>
      </c>
    </row>
    <row r="209" ht="12.9" customHeight="1">
      <c r="A209" t="s" s="10">
        <v>5997</v>
      </c>
      <c r="B209" t="s" s="11">
        <v>5489</v>
      </c>
      <c r="C209" s="12">
        <v>44999.241477581018</v>
      </c>
      <c r="D209" t="s" s="13">
        <v>227</v>
      </c>
      <c r="E209" t="s" s="13">
        <v>228</v>
      </c>
      <c r="F209" s="14">
        <v>2</v>
      </c>
      <c r="G209" s="15">
        <v>29.99</v>
      </c>
      <c r="H209" s="15">
        <v>59.98</v>
      </c>
    </row>
    <row r="210" ht="12.9" customHeight="1">
      <c r="A210" t="s" s="10">
        <v>5997</v>
      </c>
      <c r="B210" t="s" s="11">
        <v>5489</v>
      </c>
      <c r="C210" s="12">
        <v>44999.241477581018</v>
      </c>
      <c r="D210" t="s" s="13">
        <v>50</v>
      </c>
      <c r="E210" t="s" s="13">
        <v>83</v>
      </c>
      <c r="F210" s="14">
        <v>1</v>
      </c>
      <c r="G210" s="15">
        <v>0</v>
      </c>
      <c r="H210" s="15">
        <v>0</v>
      </c>
    </row>
    <row r="211" ht="12.9" customHeight="1">
      <c r="A211" t="s" s="10">
        <v>5997</v>
      </c>
      <c r="B211" t="s" s="11">
        <v>5489</v>
      </c>
      <c r="C211" s="12">
        <v>44999.241477581018</v>
      </c>
      <c r="D211" t="s" s="13">
        <v>5138</v>
      </c>
      <c r="E211" t="s" s="13">
        <v>5139</v>
      </c>
      <c r="F211" s="14">
        <v>1</v>
      </c>
      <c r="G211" s="15">
        <v>0</v>
      </c>
      <c r="H211" s="15">
        <v>0</v>
      </c>
    </row>
    <row r="212" ht="12.9" customHeight="1">
      <c r="A212" t="s" s="10">
        <v>5997</v>
      </c>
      <c r="B212" t="s" s="11">
        <v>5489</v>
      </c>
      <c r="C212" s="12">
        <v>44999.241477581018</v>
      </c>
      <c r="D212" t="s" s="13">
        <v>95</v>
      </c>
      <c r="E212" t="s" s="13">
        <v>12</v>
      </c>
      <c r="F212" s="14">
        <v>1</v>
      </c>
      <c r="G212" s="15">
        <v>349.99</v>
      </c>
      <c r="H212" s="15">
        <v>349.99</v>
      </c>
    </row>
    <row r="213" ht="12.9" customHeight="1">
      <c r="A213" t="s" s="10">
        <v>5998</v>
      </c>
      <c r="B213" t="s" s="11">
        <v>5999</v>
      </c>
      <c r="C213" s="12">
        <v>44999.158618182868</v>
      </c>
      <c r="D213" t="s" s="13">
        <v>15</v>
      </c>
      <c r="E213" t="s" s="13">
        <v>4757</v>
      </c>
      <c r="F213" s="14">
        <v>1</v>
      </c>
      <c r="G213" s="15">
        <v>9.99</v>
      </c>
      <c r="H213" s="15">
        <v>9.99</v>
      </c>
    </row>
    <row r="214" ht="12.9" customHeight="1">
      <c r="A214" t="s" s="10">
        <v>5998</v>
      </c>
      <c r="B214" t="s" s="11">
        <v>5999</v>
      </c>
      <c r="C214" s="12">
        <v>44999.158618182868</v>
      </c>
      <c r="D214" t="s" s="13">
        <v>19</v>
      </c>
      <c r="E214" t="s" s="13">
        <v>20</v>
      </c>
      <c r="F214" s="14">
        <v>1</v>
      </c>
      <c r="G214" s="15">
        <v>119.99</v>
      </c>
      <c r="H214" s="15">
        <v>119.99</v>
      </c>
    </row>
    <row r="215" ht="12.9" customHeight="1">
      <c r="A215" t="s" s="10">
        <v>5998</v>
      </c>
      <c r="B215" t="s" s="11">
        <v>5999</v>
      </c>
      <c r="C215" s="12">
        <v>44999.158618182868</v>
      </c>
      <c r="D215" t="s" s="13">
        <v>15</v>
      </c>
      <c r="E215" t="s" s="13">
        <v>4757</v>
      </c>
      <c r="F215" s="14">
        <v>1</v>
      </c>
      <c r="G215" s="15">
        <v>9.99</v>
      </c>
      <c r="H215" s="15">
        <v>9.99</v>
      </c>
    </row>
    <row r="216" ht="12.9" customHeight="1">
      <c r="A216" t="s" s="10">
        <v>6000</v>
      </c>
      <c r="B216" t="s" s="11">
        <v>6001</v>
      </c>
      <c r="C216" s="12">
        <v>44999.066011215276</v>
      </c>
      <c r="D216" t="s" s="13">
        <v>95</v>
      </c>
      <c r="E216" t="s" s="13">
        <v>12</v>
      </c>
      <c r="F216" s="14">
        <v>1</v>
      </c>
      <c r="G216" s="15">
        <v>349.99</v>
      </c>
      <c r="H216" s="15">
        <v>349.99</v>
      </c>
    </row>
    <row r="217" ht="12.9" customHeight="1">
      <c r="A217" t="s" s="10">
        <v>6002</v>
      </c>
      <c r="B217" t="s" s="11">
        <v>1053</v>
      </c>
      <c r="C217" s="12">
        <v>44999</v>
      </c>
      <c r="D217" t="s" s="13">
        <v>48</v>
      </c>
      <c r="E217" t="s" s="13">
        <v>6003</v>
      </c>
      <c r="F217" s="14">
        <v>4</v>
      </c>
      <c r="G217" s="15">
        <v>1299.99</v>
      </c>
      <c r="H217" s="15">
        <v>5199.96</v>
      </c>
    </row>
    <row r="218" ht="12.9" customHeight="1">
      <c r="A218" t="s" s="10">
        <v>6002</v>
      </c>
      <c r="B218" t="s" s="11">
        <v>1053</v>
      </c>
      <c r="C218" s="12">
        <v>44999</v>
      </c>
      <c r="D218" t="s" s="13">
        <v>143</v>
      </c>
      <c r="E218" t="s" s="13">
        <v>144</v>
      </c>
      <c r="F218" s="14">
        <v>1</v>
      </c>
      <c r="G218" s="15">
        <v>3199.99</v>
      </c>
      <c r="H218" s="15">
        <v>3199.99</v>
      </c>
    </row>
    <row r="219" ht="12.9" customHeight="1">
      <c r="A219" t="s" s="10">
        <v>6002</v>
      </c>
      <c r="B219" t="s" s="11">
        <v>1053</v>
      </c>
      <c r="C219" s="12">
        <v>44999</v>
      </c>
      <c r="D219" t="s" s="13">
        <v>23</v>
      </c>
      <c r="E219" t="s" s="13">
        <v>6004</v>
      </c>
      <c r="F219" s="14">
        <v>2</v>
      </c>
      <c r="G219" s="15">
        <v>0</v>
      </c>
      <c r="H219" s="15">
        <v>0</v>
      </c>
    </row>
    <row r="220" ht="12.9" customHeight="1">
      <c r="A220" t="s" s="10">
        <v>6002</v>
      </c>
      <c r="B220" t="s" s="11">
        <v>1053</v>
      </c>
      <c r="C220" s="12">
        <v>44999</v>
      </c>
      <c r="D220" t="s" s="13">
        <v>602</v>
      </c>
      <c r="E220" t="s" s="13">
        <v>6005</v>
      </c>
      <c r="F220" s="14">
        <v>2</v>
      </c>
      <c r="G220" s="15">
        <v>175</v>
      </c>
      <c r="H220" s="15">
        <v>350</v>
      </c>
    </row>
    <row r="221" ht="12.9" customHeight="1">
      <c r="A221" t="s" s="10">
        <v>6002</v>
      </c>
      <c r="B221" t="s" s="11">
        <v>1053</v>
      </c>
      <c r="C221" s="12">
        <v>44999</v>
      </c>
      <c r="D221" t="s" s="13">
        <v>52</v>
      </c>
      <c r="E221" t="s" s="13">
        <v>6006</v>
      </c>
      <c r="F221" s="14">
        <v>4</v>
      </c>
      <c r="G221" s="15">
        <v>0</v>
      </c>
      <c r="H221" s="15">
        <v>0</v>
      </c>
    </row>
    <row r="222" ht="12.9" customHeight="1">
      <c r="A222" t="s" s="10">
        <v>6002</v>
      </c>
      <c r="B222" t="s" s="11">
        <v>1053</v>
      </c>
      <c r="C222" s="12">
        <v>44999</v>
      </c>
      <c r="D222" t="s" s="13">
        <v>54</v>
      </c>
      <c r="E222" t="s" s="13">
        <v>55</v>
      </c>
      <c r="F222" s="14">
        <v>4</v>
      </c>
      <c r="G222" s="15">
        <v>0</v>
      </c>
      <c r="H222" s="15">
        <v>0</v>
      </c>
    </row>
    <row r="223" ht="12.9" customHeight="1">
      <c r="A223" t="s" s="10">
        <v>6002</v>
      </c>
      <c r="B223" t="s" s="11">
        <v>1053</v>
      </c>
      <c r="C223" s="12">
        <v>44999</v>
      </c>
      <c r="D223" t="s" s="13">
        <v>15</v>
      </c>
      <c r="E223" t="s" s="13">
        <v>5690</v>
      </c>
      <c r="F223" s="14">
        <v>4</v>
      </c>
      <c r="G223" s="15">
        <v>0</v>
      </c>
      <c r="H223" s="15">
        <v>0</v>
      </c>
    </row>
    <row r="224" ht="12.9" customHeight="1">
      <c r="A224" t="s" s="10">
        <v>6002</v>
      </c>
      <c r="B224" t="s" s="11">
        <v>1053</v>
      </c>
      <c r="C224" s="12">
        <v>44999</v>
      </c>
      <c r="D224" t="s" s="13">
        <v>50</v>
      </c>
      <c r="E224" t="s" s="13">
        <v>51</v>
      </c>
      <c r="F224" s="14">
        <v>4</v>
      </c>
      <c r="G224" s="15">
        <v>0</v>
      </c>
      <c r="H224" s="15">
        <v>0</v>
      </c>
    </row>
    <row r="225" ht="12.9" customHeight="1">
      <c r="A225" t="s" s="10">
        <v>6002</v>
      </c>
      <c r="B225" t="s" s="11">
        <v>1053</v>
      </c>
      <c r="C225" s="12">
        <v>44999</v>
      </c>
      <c r="D225" t="s" s="13">
        <v>487</v>
      </c>
      <c r="E225" t="s" s="13">
        <v>6007</v>
      </c>
      <c r="F225" s="14">
        <v>3</v>
      </c>
      <c r="G225" s="15">
        <v>109.99</v>
      </c>
      <c r="H225" s="15">
        <v>329.97</v>
      </c>
    </row>
    <row r="226" ht="12.9" customHeight="1">
      <c r="A226" t="s" s="10">
        <v>6002</v>
      </c>
      <c r="B226" t="s" s="11">
        <v>1053</v>
      </c>
      <c r="C226" s="12">
        <v>44999</v>
      </c>
      <c r="D226" t="s" s="13">
        <v>123</v>
      </c>
      <c r="E226" t="s" s="13">
        <v>124</v>
      </c>
      <c r="F226" s="14">
        <v>2</v>
      </c>
      <c r="G226" s="15">
        <v>179.99</v>
      </c>
      <c r="H226" s="15">
        <v>359.98</v>
      </c>
    </row>
    <row r="227" ht="12.9" customHeight="1">
      <c r="A227" t="s" s="10">
        <v>6002</v>
      </c>
      <c r="B227" t="s" s="11">
        <v>1053</v>
      </c>
      <c r="C227" s="12">
        <v>44999</v>
      </c>
      <c r="D227" t="s" s="13">
        <v>299</v>
      </c>
      <c r="E227" t="s" s="13">
        <v>300</v>
      </c>
      <c r="F227" s="14">
        <v>4</v>
      </c>
      <c r="G227" s="15">
        <v>69.98999999999999</v>
      </c>
      <c r="H227" s="15">
        <v>279.96</v>
      </c>
    </row>
    <row r="228" ht="12.9" customHeight="1">
      <c r="A228" t="s" s="10">
        <v>6002</v>
      </c>
      <c r="B228" t="s" s="11">
        <v>1053</v>
      </c>
      <c r="C228" s="12">
        <v>44999</v>
      </c>
      <c r="D228" t="s" s="13">
        <v>882</v>
      </c>
      <c r="E228" t="s" s="13">
        <v>883</v>
      </c>
      <c r="F228" s="14">
        <v>4</v>
      </c>
      <c r="G228" s="15">
        <v>74.98999999999999</v>
      </c>
      <c r="H228" s="15">
        <v>299.96</v>
      </c>
    </row>
    <row r="229" ht="12.9" customHeight="1">
      <c r="A229" t="s" s="10">
        <v>6002</v>
      </c>
      <c r="B229" t="s" s="11">
        <v>1053</v>
      </c>
      <c r="C229" s="12">
        <v>44999</v>
      </c>
      <c r="D229" t="s" s="13">
        <v>146</v>
      </c>
      <c r="E229" t="s" s="13">
        <v>147</v>
      </c>
      <c r="F229" s="14">
        <v>2</v>
      </c>
      <c r="G229" s="15">
        <v>19.99</v>
      </c>
      <c r="H229" s="15">
        <v>39.98</v>
      </c>
    </row>
    <row r="230" ht="12.9" customHeight="1">
      <c r="A230" t="s" s="10">
        <v>6002</v>
      </c>
      <c r="B230" t="s" s="11">
        <v>1053</v>
      </c>
      <c r="C230" s="12">
        <v>44999</v>
      </c>
      <c r="D230" t="s" s="13">
        <v>6008</v>
      </c>
      <c r="E230" t="s" s="13">
        <v>6009</v>
      </c>
      <c r="F230" s="14">
        <v>1</v>
      </c>
      <c r="G230" s="15">
        <v>0</v>
      </c>
      <c r="H230" s="15">
        <v>0</v>
      </c>
    </row>
    <row r="231" ht="12.9" customHeight="1">
      <c r="A231" t="s" s="10">
        <v>6010</v>
      </c>
      <c r="B231" t="s" s="11">
        <v>4817</v>
      </c>
      <c r="C231" s="12">
        <v>44999</v>
      </c>
      <c r="D231" t="s" s="13">
        <v>143</v>
      </c>
      <c r="E231" t="s" s="13">
        <v>6011</v>
      </c>
      <c r="F231" s="14">
        <v>1</v>
      </c>
      <c r="G231" s="15">
        <v>0</v>
      </c>
      <c r="H231" s="15">
        <v>0</v>
      </c>
    </row>
    <row r="232" ht="12.9" customHeight="1">
      <c r="A232" t="s" s="10">
        <v>6012</v>
      </c>
      <c r="B232" t="s" s="11">
        <v>2931</v>
      </c>
      <c r="C232" s="12">
        <v>44999</v>
      </c>
      <c r="D232" t="s" s="13">
        <v>1030</v>
      </c>
      <c r="E232" t="s" s="13">
        <v>1031</v>
      </c>
      <c r="F232" s="14">
        <v>1</v>
      </c>
      <c r="G232" s="15">
        <v>0</v>
      </c>
      <c r="H232" s="15">
        <v>0</v>
      </c>
    </row>
    <row r="233" ht="12.9" customHeight="1">
      <c r="A233" t="s" s="10">
        <v>6013</v>
      </c>
      <c r="B233" t="s" s="11">
        <v>6014</v>
      </c>
      <c r="C233" s="12">
        <v>44998.926923726853</v>
      </c>
      <c r="D233" t="s" s="13">
        <v>73</v>
      </c>
      <c r="E233" t="s" s="13">
        <v>74</v>
      </c>
      <c r="F233" s="14">
        <v>1</v>
      </c>
      <c r="G233" s="15">
        <v>399.99</v>
      </c>
      <c r="H233" s="15">
        <v>399.99</v>
      </c>
    </row>
    <row r="234" ht="12.9" customHeight="1">
      <c r="A234" t="s" s="10">
        <v>6013</v>
      </c>
      <c r="B234" t="s" s="11">
        <v>6014</v>
      </c>
      <c r="C234" s="12">
        <v>44998.926923726853</v>
      </c>
      <c r="D234" t="s" s="13">
        <v>19</v>
      </c>
      <c r="E234" t="s" s="13">
        <v>20</v>
      </c>
      <c r="F234" s="14">
        <v>10</v>
      </c>
      <c r="G234" s="15">
        <v>119.99</v>
      </c>
      <c r="H234" s="15">
        <v>1199.9</v>
      </c>
    </row>
    <row r="235" ht="12.9" customHeight="1">
      <c r="A235" t="s" s="10">
        <v>6013</v>
      </c>
      <c r="B235" t="s" s="11">
        <v>6014</v>
      </c>
      <c r="C235" s="12">
        <v>44998.926923726853</v>
      </c>
      <c r="D235" t="s" s="13">
        <v>15</v>
      </c>
      <c r="E235" t="s" s="13">
        <v>4757</v>
      </c>
      <c r="F235" s="14">
        <v>10</v>
      </c>
      <c r="G235" s="15">
        <v>8.49</v>
      </c>
      <c r="H235" s="15">
        <v>84.90000000000001</v>
      </c>
    </row>
    <row r="236" ht="12.9" customHeight="1">
      <c r="A236" t="s" s="10">
        <v>6015</v>
      </c>
      <c r="B236" t="s" s="11">
        <v>5999</v>
      </c>
      <c r="C236" s="12">
        <v>44998.9100897338</v>
      </c>
      <c r="D236" t="s" s="13">
        <v>73</v>
      </c>
      <c r="E236" t="s" s="13">
        <v>74</v>
      </c>
      <c r="F236" s="14">
        <v>1</v>
      </c>
      <c r="G236" s="15">
        <v>399.99</v>
      </c>
      <c r="H236" s="15">
        <v>399.99</v>
      </c>
    </row>
    <row r="237" ht="12.9" customHeight="1">
      <c r="A237" t="s" s="10">
        <v>6016</v>
      </c>
      <c r="B237" t="s" s="11">
        <v>6017</v>
      </c>
      <c r="C237" s="12">
        <v>44998.779618009263</v>
      </c>
      <c r="D237" t="s" s="13">
        <v>1731</v>
      </c>
      <c r="E237" t="s" s="13">
        <v>4657</v>
      </c>
      <c r="F237" s="14">
        <v>1</v>
      </c>
      <c r="G237" s="15">
        <v>24.99</v>
      </c>
      <c r="H237" s="15">
        <v>24.99</v>
      </c>
    </row>
    <row r="238" ht="12.9" customHeight="1">
      <c r="A238" t="s" s="10">
        <v>6016</v>
      </c>
      <c r="B238" t="s" s="11">
        <v>6017</v>
      </c>
      <c r="C238" s="12">
        <v>44998.779618009263</v>
      </c>
      <c r="D238" t="s" s="13">
        <v>412</v>
      </c>
      <c r="E238" t="s" s="13">
        <v>413</v>
      </c>
      <c r="F238" s="14">
        <v>5</v>
      </c>
      <c r="G238" s="15">
        <v>1.99</v>
      </c>
      <c r="H238" s="15">
        <v>9.949999999999999</v>
      </c>
    </row>
    <row r="239" ht="12.9" customHeight="1">
      <c r="A239" t="s" s="10">
        <v>6018</v>
      </c>
      <c r="B239" t="s" s="11">
        <v>6019</v>
      </c>
      <c r="C239" s="12">
        <v>44998.7041303125</v>
      </c>
      <c r="D239" t="s" s="13">
        <v>35</v>
      </c>
      <c r="E239" t="s" s="13">
        <v>36</v>
      </c>
      <c r="F239" s="14">
        <v>1</v>
      </c>
      <c r="G239" s="15">
        <v>49.99</v>
      </c>
      <c r="H239" s="15">
        <v>49.99</v>
      </c>
    </row>
    <row r="240" ht="12.9" customHeight="1">
      <c r="A240" t="s" s="10">
        <v>6020</v>
      </c>
      <c r="B240" t="s" s="11">
        <v>6021</v>
      </c>
      <c r="C240" s="12">
        <v>44998.659417615738</v>
      </c>
      <c r="D240" t="s" s="13">
        <v>73</v>
      </c>
      <c r="E240" t="s" s="13">
        <v>74</v>
      </c>
      <c r="F240" s="14">
        <v>1</v>
      </c>
      <c r="G240" s="15">
        <v>399.99</v>
      </c>
      <c r="H240" s="15">
        <v>399.99</v>
      </c>
    </row>
    <row r="241" ht="12.9" customHeight="1">
      <c r="A241" t="s" s="10">
        <v>6020</v>
      </c>
      <c r="B241" t="s" s="11">
        <v>6021</v>
      </c>
      <c r="C241" s="12">
        <v>44998.659417615738</v>
      </c>
      <c r="D241" t="s" s="13">
        <v>15</v>
      </c>
      <c r="E241" t="s" s="13">
        <v>4757</v>
      </c>
      <c r="F241" s="14">
        <v>5</v>
      </c>
      <c r="G241" s="15">
        <v>8.99</v>
      </c>
      <c r="H241" s="15">
        <v>44.95</v>
      </c>
    </row>
    <row r="242" ht="12.9" customHeight="1">
      <c r="A242" t="s" s="10">
        <v>6022</v>
      </c>
      <c r="B242" t="s" s="11">
        <v>2630</v>
      </c>
      <c r="C242" s="12">
        <v>44998.659366747685</v>
      </c>
      <c r="D242" t="s" s="13">
        <v>31</v>
      </c>
      <c r="E242" t="s" s="13">
        <v>32</v>
      </c>
      <c r="F242" s="14">
        <v>1</v>
      </c>
      <c r="G242" s="15">
        <v>599.99</v>
      </c>
      <c r="H242" s="15">
        <v>599.99</v>
      </c>
    </row>
    <row r="243" ht="12.9" customHeight="1">
      <c r="A243" t="s" s="10">
        <v>6023</v>
      </c>
      <c r="B243" t="s" s="11">
        <v>6021</v>
      </c>
      <c r="C243" s="12">
        <v>44998.659321030093</v>
      </c>
      <c r="D243" t="s" s="13">
        <v>19</v>
      </c>
      <c r="E243" t="s" s="13">
        <v>20</v>
      </c>
      <c r="F243" s="14">
        <v>4</v>
      </c>
      <c r="G243" s="15">
        <v>119.99</v>
      </c>
      <c r="H243" s="15">
        <v>479.96</v>
      </c>
    </row>
    <row r="244" ht="12.9" customHeight="1">
      <c r="A244" t="s" s="10">
        <v>6023</v>
      </c>
      <c r="B244" t="s" s="11">
        <v>6021</v>
      </c>
      <c r="C244" s="12">
        <v>44998.659321030093</v>
      </c>
      <c r="D244" t="s" s="13">
        <v>15</v>
      </c>
      <c r="E244" t="s" s="13">
        <v>4757</v>
      </c>
      <c r="F244" s="14">
        <v>4</v>
      </c>
      <c r="G244" s="15">
        <v>9.99</v>
      </c>
      <c r="H244" s="15">
        <v>39.96</v>
      </c>
    </row>
    <row r="245" ht="12.9" customHeight="1">
      <c r="A245" t="s" s="10">
        <v>6024</v>
      </c>
      <c r="B245" t="s" s="11">
        <v>6025</v>
      </c>
      <c r="C245" s="12">
        <v>44998.659250277778</v>
      </c>
      <c r="D245" t="s" s="13">
        <v>11</v>
      </c>
      <c r="E245" t="s" s="13">
        <v>12</v>
      </c>
      <c r="F245" s="14">
        <v>1</v>
      </c>
      <c r="G245" s="15">
        <v>399.99</v>
      </c>
      <c r="H245" s="15">
        <v>399.99</v>
      </c>
    </row>
    <row r="246" ht="12.9" customHeight="1">
      <c r="A246" t="s" s="10">
        <v>6026</v>
      </c>
      <c r="B246" t="s" s="11">
        <v>6027</v>
      </c>
      <c r="C246" s="12">
        <v>44998.659173923610</v>
      </c>
      <c r="D246" t="s" s="13">
        <v>95</v>
      </c>
      <c r="E246" t="s" s="13">
        <v>12</v>
      </c>
      <c r="F246" s="14">
        <v>1</v>
      </c>
      <c r="G246" s="15">
        <v>349.99</v>
      </c>
      <c r="H246" s="15">
        <v>349.99</v>
      </c>
    </row>
    <row r="247" ht="12.9" customHeight="1">
      <c r="A247" t="s" s="10">
        <v>6028</v>
      </c>
      <c r="B247" t="s" s="11">
        <v>6029</v>
      </c>
      <c r="C247" s="12">
        <v>44998.658966273149</v>
      </c>
      <c r="D247" t="s" s="13">
        <v>31</v>
      </c>
      <c r="E247" t="s" s="13">
        <v>32</v>
      </c>
      <c r="F247" s="14">
        <v>1</v>
      </c>
      <c r="G247" s="15">
        <v>599.99</v>
      </c>
      <c r="H247" s="15">
        <v>599.99</v>
      </c>
    </row>
    <row r="248" ht="12.9" customHeight="1">
      <c r="A248" t="s" s="10">
        <v>6028</v>
      </c>
      <c r="B248" t="s" s="11">
        <v>6029</v>
      </c>
      <c r="C248" s="12">
        <v>44998.658966273149</v>
      </c>
      <c r="D248" t="s" s="13">
        <v>35</v>
      </c>
      <c r="E248" t="s" s="13">
        <v>36</v>
      </c>
      <c r="F248" s="14">
        <v>1</v>
      </c>
      <c r="G248" s="15">
        <v>49.99</v>
      </c>
      <c r="H248" s="15">
        <v>49.99</v>
      </c>
    </row>
    <row r="249" ht="12.9" customHeight="1">
      <c r="A249" t="s" s="10">
        <v>6030</v>
      </c>
      <c r="B249" t="s" s="11">
        <v>2899</v>
      </c>
      <c r="C249" s="12">
        <v>44998</v>
      </c>
      <c r="D249" t="s" s="13">
        <v>762</v>
      </c>
      <c r="E249" t="s" s="13">
        <v>763</v>
      </c>
      <c r="F249" s="14">
        <v>1</v>
      </c>
      <c r="G249" s="15">
        <v>0</v>
      </c>
      <c r="H249" s="15">
        <v>0</v>
      </c>
    </row>
    <row r="250" ht="12.9" customHeight="1">
      <c r="A250" t="s" s="10">
        <v>6030</v>
      </c>
      <c r="B250" t="s" s="11">
        <v>2899</v>
      </c>
      <c r="C250" s="12">
        <v>44998</v>
      </c>
      <c r="D250" t="s" s="13">
        <v>1236</v>
      </c>
      <c r="E250" t="s" s="13">
        <v>1237</v>
      </c>
      <c r="F250" s="14">
        <v>1</v>
      </c>
      <c r="G250" s="15">
        <v>0</v>
      </c>
      <c r="H250" s="15">
        <v>0</v>
      </c>
    </row>
    <row r="251" ht="12.9" customHeight="1">
      <c r="A251" t="s" s="10">
        <v>6031</v>
      </c>
      <c r="B251" t="s" s="11">
        <v>5934</v>
      </c>
      <c r="C251" s="12">
        <v>44996.946688379627</v>
      </c>
      <c r="D251" t="s" s="13">
        <v>5845</v>
      </c>
      <c r="E251" t="s" s="13">
        <v>5846</v>
      </c>
      <c r="F251" s="14">
        <v>2</v>
      </c>
      <c r="G251" s="15">
        <v>9.99</v>
      </c>
      <c r="H251" s="15">
        <v>19.98</v>
      </c>
    </row>
    <row r="252" ht="12.9" customHeight="1">
      <c r="A252" t="s" s="10">
        <v>6031</v>
      </c>
      <c r="B252" t="s" s="11">
        <v>5934</v>
      </c>
      <c r="C252" s="12">
        <v>44996.946688379627</v>
      </c>
      <c r="D252" t="s" s="13">
        <v>1695</v>
      </c>
      <c r="E252" t="s" s="13">
        <v>140</v>
      </c>
      <c r="F252" s="14">
        <v>4</v>
      </c>
      <c r="G252" s="15">
        <v>49.99</v>
      </c>
      <c r="H252" s="15">
        <v>199.96</v>
      </c>
    </row>
    <row r="253" ht="12.9" customHeight="1">
      <c r="A253" t="s" s="10">
        <v>6031</v>
      </c>
      <c r="B253" t="s" s="11">
        <v>5934</v>
      </c>
      <c r="C253" s="12">
        <v>44996.946688379627</v>
      </c>
      <c r="D253" t="s" s="13">
        <v>15</v>
      </c>
      <c r="E253" t="s" s="13">
        <v>4757</v>
      </c>
      <c r="F253" s="14">
        <v>4</v>
      </c>
      <c r="G253" s="15">
        <v>9.99</v>
      </c>
      <c r="H253" s="15">
        <v>39.96</v>
      </c>
    </row>
    <row r="254" ht="12.9" customHeight="1">
      <c r="A254" t="s" s="10">
        <v>6032</v>
      </c>
      <c r="B254" t="s" s="11">
        <v>6033</v>
      </c>
      <c r="C254" s="12">
        <v>44996.931110844911</v>
      </c>
      <c r="D254" t="s" s="13">
        <v>5845</v>
      </c>
      <c r="E254" t="s" s="13">
        <v>5846</v>
      </c>
      <c r="F254" s="14">
        <v>2</v>
      </c>
      <c r="G254" s="15">
        <v>9.99</v>
      </c>
      <c r="H254" s="15">
        <v>19.98</v>
      </c>
    </row>
    <row r="255" ht="12.9" customHeight="1">
      <c r="A255" t="s" s="10">
        <v>6034</v>
      </c>
      <c r="B255" t="s" s="11">
        <v>6035</v>
      </c>
      <c r="C255" s="12">
        <v>44995.892193240739</v>
      </c>
      <c r="D255" t="s" s="13">
        <v>35</v>
      </c>
      <c r="E255" t="s" s="13">
        <v>36</v>
      </c>
      <c r="F255" s="14">
        <v>1</v>
      </c>
      <c r="G255" s="15">
        <v>49.99</v>
      </c>
      <c r="H255" s="15">
        <v>49.99</v>
      </c>
    </row>
    <row r="256" ht="12.9" customHeight="1">
      <c r="A256" t="s" s="10">
        <v>6036</v>
      </c>
      <c r="B256" t="s" s="11">
        <v>6035</v>
      </c>
      <c r="C256" s="12">
        <v>44995.891678726854</v>
      </c>
      <c r="D256" t="s" s="13">
        <v>95</v>
      </c>
      <c r="E256" t="s" s="13">
        <v>12</v>
      </c>
      <c r="F256" s="14">
        <v>1</v>
      </c>
      <c r="G256" s="15">
        <v>349.99</v>
      </c>
      <c r="H256" s="15">
        <v>349.99</v>
      </c>
    </row>
    <row r="257" ht="12.9" customHeight="1">
      <c r="A257" t="s" s="10">
        <v>6037</v>
      </c>
      <c r="B257" t="s" s="11">
        <v>6038</v>
      </c>
      <c r="C257" s="12">
        <v>44995.845111597220</v>
      </c>
      <c r="D257" t="s" s="13">
        <v>35</v>
      </c>
      <c r="E257" t="s" s="13">
        <v>36</v>
      </c>
      <c r="F257" s="14">
        <v>3</v>
      </c>
      <c r="G257" s="15">
        <v>49.99</v>
      </c>
      <c r="H257" s="15">
        <v>149.97</v>
      </c>
    </row>
    <row r="258" ht="12.9" customHeight="1">
      <c r="A258" t="s" s="10">
        <v>6039</v>
      </c>
      <c r="B258" t="s" s="11">
        <v>6040</v>
      </c>
      <c r="C258" s="12">
        <v>44995</v>
      </c>
      <c r="D258" t="s" s="13">
        <v>4870</v>
      </c>
      <c r="E258" t="s" s="13">
        <v>4871</v>
      </c>
      <c r="F258" s="14">
        <v>4</v>
      </c>
      <c r="G258" s="15">
        <v>499.99</v>
      </c>
      <c r="H258" s="15">
        <v>1999.96</v>
      </c>
    </row>
    <row r="259" ht="12.9" customHeight="1">
      <c r="A259" t="s" s="10">
        <v>6039</v>
      </c>
      <c r="B259" t="s" s="11">
        <v>6040</v>
      </c>
      <c r="C259" s="12">
        <v>44995</v>
      </c>
      <c r="D259" t="s" s="13">
        <v>227</v>
      </c>
      <c r="E259" t="s" s="13">
        <v>228</v>
      </c>
      <c r="F259" s="14">
        <v>4</v>
      </c>
      <c r="G259" s="15">
        <v>0</v>
      </c>
      <c r="H259" s="15">
        <v>0</v>
      </c>
    </row>
    <row r="260" ht="12.9" customHeight="1">
      <c r="A260" t="s" s="10">
        <v>6039</v>
      </c>
      <c r="B260" t="s" s="11">
        <v>6040</v>
      </c>
      <c r="C260" s="12">
        <v>44995</v>
      </c>
      <c r="D260" t="s" s="13">
        <v>59</v>
      </c>
      <c r="E260" t="s" s="13">
        <v>60</v>
      </c>
      <c r="F260" s="14">
        <v>1</v>
      </c>
      <c r="G260" s="15">
        <v>1199.99</v>
      </c>
      <c r="H260" s="15">
        <v>1199.99</v>
      </c>
    </row>
    <row r="261" ht="12.9" customHeight="1">
      <c r="A261" t="s" s="10">
        <v>6039</v>
      </c>
      <c r="B261" t="s" s="11">
        <v>6040</v>
      </c>
      <c r="C261" s="12">
        <v>44995</v>
      </c>
      <c r="D261" t="s" s="13">
        <v>143</v>
      </c>
      <c r="E261" t="s" s="13">
        <v>144</v>
      </c>
      <c r="F261" s="14">
        <v>1</v>
      </c>
      <c r="G261" s="15">
        <v>3199.99</v>
      </c>
      <c r="H261" s="15">
        <v>3199.99</v>
      </c>
    </row>
    <row r="262" ht="12.9" customHeight="1">
      <c r="A262" t="s" s="10">
        <v>6041</v>
      </c>
      <c r="B262" t="s" s="11">
        <v>5179</v>
      </c>
      <c r="C262" s="12">
        <v>44995</v>
      </c>
      <c r="D262" t="s" s="13">
        <v>143</v>
      </c>
      <c r="E262" t="s" s="13">
        <v>144</v>
      </c>
      <c r="F262" s="14">
        <v>1</v>
      </c>
      <c r="G262" s="15">
        <v>2499.99</v>
      </c>
      <c r="H262" s="15">
        <v>2499.99</v>
      </c>
    </row>
    <row r="263" ht="12.9" customHeight="1">
      <c r="A263" t="s" s="10">
        <v>6041</v>
      </c>
      <c r="B263" t="s" s="11">
        <v>5179</v>
      </c>
      <c r="C263" s="12">
        <v>44995</v>
      </c>
      <c r="D263" t="s" s="13">
        <v>81</v>
      </c>
      <c r="E263" t="s" s="13">
        <v>82</v>
      </c>
      <c r="F263" s="14">
        <v>4</v>
      </c>
      <c r="G263" s="15">
        <v>637.4924999999999</v>
      </c>
      <c r="H263" s="15">
        <v>2549.97</v>
      </c>
    </row>
    <row r="264" ht="12.9" customHeight="1">
      <c r="A264" t="s" s="10">
        <v>6041</v>
      </c>
      <c r="B264" t="s" s="11">
        <v>5179</v>
      </c>
      <c r="C264" s="12">
        <v>44995</v>
      </c>
      <c r="D264" t="s" s="13">
        <v>123</v>
      </c>
      <c r="E264" t="s" s="13">
        <v>124</v>
      </c>
      <c r="F264" s="14">
        <v>4</v>
      </c>
      <c r="G264" s="15">
        <v>134.9925</v>
      </c>
      <c r="H264" s="15">
        <v>539.97</v>
      </c>
    </row>
    <row r="265" ht="12.9" customHeight="1">
      <c r="A265" t="s" s="10">
        <v>6041</v>
      </c>
      <c r="B265" t="s" s="11">
        <v>5179</v>
      </c>
      <c r="C265" s="12">
        <v>44995</v>
      </c>
      <c r="D265" t="s" s="13">
        <v>19</v>
      </c>
      <c r="E265" t="s" s="13">
        <v>20</v>
      </c>
      <c r="F265" s="14">
        <v>8</v>
      </c>
      <c r="G265" s="15">
        <v>89.99250000000001</v>
      </c>
      <c r="H265" s="15">
        <v>719.9400000000001</v>
      </c>
    </row>
    <row r="266" ht="12.9" customHeight="1">
      <c r="A266" t="s" s="10">
        <v>6041</v>
      </c>
      <c r="B266" t="s" s="11">
        <v>5179</v>
      </c>
      <c r="C266" s="12">
        <v>44995</v>
      </c>
      <c r="D266" t="s" s="13">
        <v>2787</v>
      </c>
      <c r="E266" t="s" s="13">
        <v>2962</v>
      </c>
      <c r="F266" s="14">
        <v>12</v>
      </c>
      <c r="G266" s="15">
        <v>17.2425</v>
      </c>
      <c r="H266" s="15">
        <v>206.91</v>
      </c>
    </row>
    <row r="267" ht="12.9" customHeight="1">
      <c r="A267" t="s" s="10">
        <v>6041</v>
      </c>
      <c r="B267" t="s" s="11">
        <v>5179</v>
      </c>
      <c r="C267" s="12">
        <v>44995</v>
      </c>
      <c r="D267" t="s" s="13">
        <v>1695</v>
      </c>
      <c r="E267" t="s" s="13">
        <v>140</v>
      </c>
      <c r="F267" s="14">
        <v>18</v>
      </c>
      <c r="G267" s="15">
        <v>37.4925</v>
      </c>
      <c r="H267" s="15">
        <v>674.865</v>
      </c>
    </row>
    <row r="268" ht="12.9" customHeight="1">
      <c r="A268" t="s" s="10">
        <v>6041</v>
      </c>
      <c r="B268" t="s" s="11">
        <v>5179</v>
      </c>
      <c r="C268" s="12">
        <v>44995</v>
      </c>
      <c r="D268" t="s" s="13">
        <v>412</v>
      </c>
      <c r="E268" t="s" s="13">
        <v>413</v>
      </c>
      <c r="F268" s="14">
        <v>300</v>
      </c>
      <c r="G268" s="15">
        <v>1.4925</v>
      </c>
      <c r="H268" s="15">
        <v>447.75</v>
      </c>
    </row>
    <row r="269" ht="12.9" customHeight="1">
      <c r="A269" t="s" s="10">
        <v>6041</v>
      </c>
      <c r="B269" t="s" s="11">
        <v>5179</v>
      </c>
      <c r="C269" s="12">
        <v>44995</v>
      </c>
      <c r="D269" t="s" s="13">
        <v>15</v>
      </c>
      <c r="E269" t="s" s="13">
        <v>4757</v>
      </c>
      <c r="F269" s="14">
        <v>37</v>
      </c>
      <c r="G269" s="15">
        <v>0</v>
      </c>
      <c r="H269" s="15">
        <v>0</v>
      </c>
    </row>
    <row r="270" ht="12.9" customHeight="1">
      <c r="A270" t="s" s="10">
        <v>6041</v>
      </c>
      <c r="B270" t="s" s="11">
        <v>5179</v>
      </c>
      <c r="C270" s="12">
        <v>44995</v>
      </c>
      <c r="D270" t="s" s="13">
        <v>31</v>
      </c>
      <c r="E270" t="s" s="13">
        <v>32</v>
      </c>
      <c r="F270" s="14">
        <v>2</v>
      </c>
      <c r="G270" s="15">
        <v>449.9925</v>
      </c>
      <c r="H270" s="15">
        <v>899.985</v>
      </c>
    </row>
    <row r="271" ht="12.9" customHeight="1">
      <c r="A271" t="s" s="10">
        <v>6041</v>
      </c>
      <c r="B271" t="s" s="11">
        <v>5179</v>
      </c>
      <c r="C271" s="12">
        <v>44995</v>
      </c>
      <c r="D271" t="s" s="13">
        <v>23</v>
      </c>
      <c r="E271" t="s" s="13">
        <v>6042</v>
      </c>
      <c r="F271" s="14">
        <v>4</v>
      </c>
      <c r="G271" s="15">
        <v>0</v>
      </c>
      <c r="H271" s="15">
        <v>0</v>
      </c>
    </row>
    <row r="272" ht="12.9" customHeight="1">
      <c r="A272" t="s" s="10">
        <v>6041</v>
      </c>
      <c r="B272" t="s" s="11">
        <v>5179</v>
      </c>
      <c r="C272" s="12">
        <v>44995</v>
      </c>
      <c r="D272" t="s" s="13">
        <v>359</v>
      </c>
      <c r="E272" t="s" s="13">
        <v>4199</v>
      </c>
      <c r="F272" s="14">
        <v>6</v>
      </c>
      <c r="G272" s="15">
        <v>22.4925</v>
      </c>
      <c r="H272" s="15">
        <v>134.955</v>
      </c>
    </row>
    <row r="273" ht="12.9" customHeight="1">
      <c r="A273" t="s" s="10">
        <v>6041</v>
      </c>
      <c r="B273" t="s" s="11">
        <v>5179</v>
      </c>
      <c r="C273" s="12">
        <v>44995</v>
      </c>
      <c r="D273" t="s" s="13">
        <v>179</v>
      </c>
      <c r="E273" t="s" s="13">
        <v>180</v>
      </c>
      <c r="F273" s="14">
        <v>12</v>
      </c>
      <c r="G273" s="15">
        <v>37.4925</v>
      </c>
      <c r="H273" s="15">
        <v>449.91</v>
      </c>
    </row>
    <row r="274" ht="12.9" customHeight="1">
      <c r="A274" t="s" s="10">
        <v>6041</v>
      </c>
      <c r="B274" t="s" s="11">
        <v>5179</v>
      </c>
      <c r="C274" s="12">
        <v>44995</v>
      </c>
      <c r="D274" t="s" s="13">
        <v>1030</v>
      </c>
      <c r="E274" t="s" s="13">
        <v>6043</v>
      </c>
      <c r="F274" s="14">
        <v>1</v>
      </c>
      <c r="G274" s="15">
        <v>0</v>
      </c>
      <c r="H274" s="15">
        <v>0</v>
      </c>
    </row>
    <row r="275" ht="12.9" customHeight="1">
      <c r="A275" t="s" s="10">
        <v>6041</v>
      </c>
      <c r="B275" t="s" s="11">
        <v>5179</v>
      </c>
      <c r="C275" s="12">
        <v>44995</v>
      </c>
      <c r="D275" t="s" s="13">
        <v>63</v>
      </c>
      <c r="E275" s="16"/>
      <c r="F275" s="14">
        <v>1</v>
      </c>
      <c r="G275" s="15">
        <v>125</v>
      </c>
      <c r="H275" s="15">
        <v>125</v>
      </c>
    </row>
    <row r="276" ht="12.9" customHeight="1">
      <c r="A276" t="s" s="10">
        <v>6044</v>
      </c>
      <c r="B276" t="s" s="11">
        <v>6045</v>
      </c>
      <c r="C276" s="12">
        <v>44994.910881354168</v>
      </c>
      <c r="D276" t="s" s="13">
        <v>95</v>
      </c>
      <c r="E276" t="s" s="13">
        <v>12</v>
      </c>
      <c r="F276" s="14">
        <v>1</v>
      </c>
      <c r="G276" s="15">
        <v>349.99</v>
      </c>
      <c r="H276" s="15">
        <v>349.99</v>
      </c>
    </row>
    <row r="277" ht="12.9" customHeight="1">
      <c r="A277" t="s" s="10">
        <v>6046</v>
      </c>
      <c r="B277" t="s" s="11">
        <v>6047</v>
      </c>
      <c r="C277" s="12">
        <v>44994.633978576392</v>
      </c>
      <c r="D277" t="s" s="13">
        <v>2961</v>
      </c>
      <c r="E277" t="s" s="13">
        <v>2962</v>
      </c>
      <c r="F277" s="14">
        <v>1</v>
      </c>
      <c r="G277" s="15">
        <v>22.99</v>
      </c>
      <c r="H277" s="15">
        <v>22.99</v>
      </c>
    </row>
    <row r="278" ht="12.9" customHeight="1">
      <c r="A278" t="s" s="10">
        <v>6048</v>
      </c>
      <c r="B278" t="s" s="11">
        <v>6049</v>
      </c>
      <c r="C278" s="12">
        <v>44994.096806620371</v>
      </c>
      <c r="D278" t="s" s="13">
        <v>59</v>
      </c>
      <c r="E278" t="s" s="13">
        <v>60</v>
      </c>
      <c r="F278" s="14">
        <v>1</v>
      </c>
      <c r="G278" s="15">
        <v>1199.99</v>
      </c>
      <c r="H278" s="15">
        <v>1199.99</v>
      </c>
    </row>
    <row r="279" ht="12.9" customHeight="1">
      <c r="A279" t="s" s="10">
        <v>6050</v>
      </c>
      <c r="B279" t="s" s="11">
        <v>1985</v>
      </c>
      <c r="C279" s="12">
        <v>44994</v>
      </c>
      <c r="D279" t="s" s="13">
        <v>2961</v>
      </c>
      <c r="E279" t="s" s="13">
        <v>2962</v>
      </c>
      <c r="F279" s="14">
        <v>7</v>
      </c>
      <c r="G279" s="15">
        <v>0</v>
      </c>
      <c r="H279" s="15">
        <v>0</v>
      </c>
    </row>
    <row r="280" ht="12.9" customHeight="1">
      <c r="A280" t="s" s="10">
        <v>6051</v>
      </c>
      <c r="B280" t="s" s="11">
        <v>5507</v>
      </c>
      <c r="C280" s="12">
        <v>44993.986857523145</v>
      </c>
      <c r="D280" t="s" s="13">
        <v>35</v>
      </c>
      <c r="E280" t="s" s="13">
        <v>36</v>
      </c>
      <c r="F280" s="14">
        <v>1</v>
      </c>
      <c r="G280" s="15">
        <v>49.99</v>
      </c>
      <c r="H280" s="15">
        <v>49.99</v>
      </c>
    </row>
    <row r="281" ht="12.9" customHeight="1">
      <c r="A281" t="s" s="10">
        <v>6052</v>
      </c>
      <c r="B281" t="s" s="11">
        <v>6053</v>
      </c>
      <c r="C281" s="12">
        <v>44993.638320092592</v>
      </c>
      <c r="D281" t="s" s="13">
        <v>31</v>
      </c>
      <c r="E281" t="s" s="13">
        <v>32</v>
      </c>
      <c r="F281" s="14">
        <v>1</v>
      </c>
      <c r="G281" s="15">
        <v>599.99</v>
      </c>
      <c r="H281" s="15">
        <v>599.99</v>
      </c>
    </row>
    <row r="282" ht="12.9" customHeight="1">
      <c r="A282" t="s" s="10">
        <v>6054</v>
      </c>
      <c r="B282" t="s" s="11">
        <v>6055</v>
      </c>
      <c r="C282" s="12">
        <v>44993.231960335645</v>
      </c>
      <c r="D282" t="s" s="13">
        <v>35</v>
      </c>
      <c r="E282" t="s" s="13">
        <v>36</v>
      </c>
      <c r="F282" s="14">
        <v>1</v>
      </c>
      <c r="G282" s="15">
        <v>49.99</v>
      </c>
      <c r="H282" s="15">
        <v>49.99</v>
      </c>
    </row>
    <row r="283" ht="12.9" customHeight="1">
      <c r="A283" t="s" s="10">
        <v>6054</v>
      </c>
      <c r="B283" t="s" s="11">
        <v>6055</v>
      </c>
      <c r="C283" s="12">
        <v>44993.231960335645</v>
      </c>
      <c r="D283" t="s" s="13">
        <v>171</v>
      </c>
      <c r="E283" t="s" s="13">
        <v>172</v>
      </c>
      <c r="F283" s="14">
        <v>1</v>
      </c>
      <c r="G283" s="15">
        <v>549.99</v>
      </c>
      <c r="H283" s="15">
        <v>549.99</v>
      </c>
    </row>
    <row r="284" ht="12.9" customHeight="1">
      <c r="A284" t="s" s="10">
        <v>6056</v>
      </c>
      <c r="B284" t="s" s="11">
        <v>3981</v>
      </c>
      <c r="C284" s="12">
        <v>44993.160113148151</v>
      </c>
      <c r="D284" t="s" s="13">
        <v>19</v>
      </c>
      <c r="E284" t="s" s="13">
        <v>20</v>
      </c>
      <c r="F284" s="14">
        <v>5</v>
      </c>
      <c r="G284" s="15">
        <v>119.99</v>
      </c>
      <c r="H284" s="15">
        <v>599.95</v>
      </c>
    </row>
    <row r="285" ht="12.9" customHeight="1">
      <c r="A285" t="s" s="10">
        <v>6056</v>
      </c>
      <c r="B285" t="s" s="11">
        <v>3981</v>
      </c>
      <c r="C285" s="12">
        <v>44993.160113148151</v>
      </c>
      <c r="D285" t="s" s="13">
        <v>15</v>
      </c>
      <c r="E285" t="s" s="13">
        <v>4757</v>
      </c>
      <c r="F285" s="14">
        <v>5</v>
      </c>
      <c r="G285" s="15">
        <v>8.99</v>
      </c>
      <c r="H285" s="15">
        <v>44.95</v>
      </c>
    </row>
    <row r="286" ht="12.9" customHeight="1">
      <c r="A286" t="s" s="10">
        <v>6056</v>
      </c>
      <c r="B286" t="s" s="11">
        <v>3981</v>
      </c>
      <c r="C286" s="12">
        <v>44993.160113148151</v>
      </c>
      <c r="D286" t="s" s="13">
        <v>1695</v>
      </c>
      <c r="E286" t="s" s="13">
        <v>140</v>
      </c>
      <c r="F286" s="14">
        <v>2</v>
      </c>
      <c r="G286" s="15">
        <v>49.99</v>
      </c>
      <c r="H286" s="15">
        <v>99.98</v>
      </c>
    </row>
    <row r="287" ht="12.9" customHeight="1">
      <c r="A287" t="s" s="10">
        <v>6056</v>
      </c>
      <c r="B287" t="s" s="11">
        <v>3981</v>
      </c>
      <c r="C287" s="12">
        <v>44993.160113148151</v>
      </c>
      <c r="D287" t="s" s="13">
        <v>15</v>
      </c>
      <c r="E287" t="s" s="13">
        <v>4757</v>
      </c>
      <c r="F287" s="14">
        <v>2</v>
      </c>
      <c r="G287" s="15">
        <v>9.99</v>
      </c>
      <c r="H287" s="15">
        <v>19.98</v>
      </c>
    </row>
    <row r="288" ht="12.9" customHeight="1">
      <c r="A288" t="s" s="10">
        <v>6056</v>
      </c>
      <c r="B288" t="s" s="11">
        <v>3981</v>
      </c>
      <c r="C288" s="12">
        <v>44993.160113148151</v>
      </c>
      <c r="D288" t="s" s="13">
        <v>15</v>
      </c>
      <c r="E288" t="s" s="13">
        <v>4757</v>
      </c>
      <c r="F288" s="14">
        <v>2</v>
      </c>
      <c r="G288" s="15">
        <v>9.99</v>
      </c>
      <c r="H288" s="15">
        <v>19.98</v>
      </c>
    </row>
    <row r="289" ht="12.9" customHeight="1">
      <c r="A289" t="s" s="10">
        <v>6057</v>
      </c>
      <c r="B289" t="s" s="11">
        <v>161</v>
      </c>
      <c r="C289" s="12">
        <v>44993</v>
      </c>
      <c r="D289" t="s" s="13">
        <v>171</v>
      </c>
      <c r="E289" t="s" s="13">
        <v>172</v>
      </c>
      <c r="F289" s="14">
        <v>2</v>
      </c>
      <c r="G289" s="15">
        <v>412.4925</v>
      </c>
      <c r="H289" s="15">
        <v>824.985</v>
      </c>
    </row>
    <row r="290" ht="12.9" customHeight="1">
      <c r="A290" t="s" s="10">
        <v>6057</v>
      </c>
      <c r="B290" t="s" s="11">
        <v>161</v>
      </c>
      <c r="C290" s="12">
        <v>44993</v>
      </c>
      <c r="D290" t="s" s="13">
        <v>63</v>
      </c>
      <c r="E290" s="16"/>
      <c r="F290" s="14">
        <v>1</v>
      </c>
      <c r="G290" s="15">
        <v>45</v>
      </c>
      <c r="H290" s="15">
        <v>45</v>
      </c>
    </row>
    <row r="291" ht="12.9" customHeight="1">
      <c r="A291" t="s" s="10">
        <v>6058</v>
      </c>
      <c r="B291" t="s" s="11">
        <v>3370</v>
      </c>
      <c r="C291" s="12">
        <v>44993</v>
      </c>
      <c r="D291" t="s" s="13">
        <v>1030</v>
      </c>
      <c r="E291" t="s" s="13">
        <v>1031</v>
      </c>
      <c r="F291" s="14">
        <v>1</v>
      </c>
      <c r="G291" s="15">
        <v>0</v>
      </c>
      <c r="H291" s="15">
        <v>0</v>
      </c>
    </row>
    <row r="292" ht="12.9" customHeight="1">
      <c r="A292" t="s" s="10">
        <v>6059</v>
      </c>
      <c r="B292" t="s" s="11">
        <v>6060</v>
      </c>
      <c r="C292" s="12">
        <v>44992.974344016206</v>
      </c>
      <c r="D292" t="s" s="13">
        <v>589</v>
      </c>
      <c r="E292" t="s" s="13">
        <v>590</v>
      </c>
      <c r="F292" s="14">
        <v>1</v>
      </c>
      <c r="G292" s="15">
        <v>7.49</v>
      </c>
      <c r="H292" s="15">
        <v>7.49</v>
      </c>
    </row>
    <row r="293" ht="12.9" customHeight="1">
      <c r="A293" t="s" s="10">
        <v>6061</v>
      </c>
      <c r="B293" t="s" s="11">
        <v>6062</v>
      </c>
      <c r="C293" s="12">
        <v>44992.925045914351</v>
      </c>
      <c r="D293" t="s" s="13">
        <v>133</v>
      </c>
      <c r="E293" t="s" s="13">
        <v>4835</v>
      </c>
      <c r="F293" s="14">
        <v>1</v>
      </c>
      <c r="G293" s="15">
        <v>199.99</v>
      </c>
      <c r="H293" s="15">
        <v>199.99</v>
      </c>
    </row>
    <row r="294" ht="12.9" customHeight="1">
      <c r="A294" t="s" s="10">
        <v>6063</v>
      </c>
      <c r="B294" t="s" s="11">
        <v>6064</v>
      </c>
      <c r="C294" s="12">
        <v>44992.774198379630</v>
      </c>
      <c r="D294" t="s" s="13">
        <v>31</v>
      </c>
      <c r="E294" t="s" s="13">
        <v>32</v>
      </c>
      <c r="F294" s="14">
        <v>2</v>
      </c>
      <c r="G294" s="15">
        <v>599.99</v>
      </c>
      <c r="H294" s="15">
        <v>1199.98</v>
      </c>
    </row>
    <row r="295" ht="12.9" customHeight="1">
      <c r="A295" t="s" s="10">
        <v>6063</v>
      </c>
      <c r="B295" t="s" s="11">
        <v>6064</v>
      </c>
      <c r="C295" s="12">
        <v>44992.774198379630</v>
      </c>
      <c r="D295" t="s" s="13">
        <v>35</v>
      </c>
      <c r="E295" t="s" s="13">
        <v>36</v>
      </c>
      <c r="F295" s="14">
        <v>2</v>
      </c>
      <c r="G295" s="15">
        <v>49.99</v>
      </c>
      <c r="H295" s="15">
        <v>99.98</v>
      </c>
    </row>
    <row r="296" ht="12.9" customHeight="1">
      <c r="A296" t="s" s="10">
        <v>6065</v>
      </c>
      <c r="B296" t="s" s="11">
        <v>6066</v>
      </c>
      <c r="C296" s="12">
        <v>44992.725947534724</v>
      </c>
      <c r="D296" t="s" s="13">
        <v>95</v>
      </c>
      <c r="E296" t="s" s="13">
        <v>12</v>
      </c>
      <c r="F296" s="14">
        <v>1</v>
      </c>
      <c r="G296" s="15">
        <v>349.99</v>
      </c>
      <c r="H296" s="15">
        <v>349.99</v>
      </c>
    </row>
    <row r="297" ht="12.9" customHeight="1">
      <c r="A297" t="s" s="10">
        <v>6067</v>
      </c>
      <c r="B297" t="s" s="11">
        <v>3783</v>
      </c>
      <c r="C297" s="12">
        <v>44992.622124826390</v>
      </c>
      <c r="D297" t="s" s="13">
        <v>35</v>
      </c>
      <c r="E297" t="s" s="13">
        <v>36</v>
      </c>
      <c r="F297" s="14">
        <v>1</v>
      </c>
      <c r="G297" s="15">
        <v>49.99</v>
      </c>
      <c r="H297" s="15">
        <v>49.99</v>
      </c>
    </row>
    <row r="298" ht="12.9" customHeight="1">
      <c r="A298" t="s" s="10">
        <v>6068</v>
      </c>
      <c r="B298" t="s" s="11">
        <v>6069</v>
      </c>
      <c r="C298" s="12">
        <v>44992.239254942127</v>
      </c>
      <c r="D298" t="s" s="13">
        <v>95</v>
      </c>
      <c r="E298" t="s" s="13">
        <v>12</v>
      </c>
      <c r="F298" s="14">
        <v>1</v>
      </c>
      <c r="G298" s="15">
        <v>349.99</v>
      </c>
      <c r="H298" s="15">
        <v>349.99</v>
      </c>
    </row>
    <row r="299" ht="12.9" customHeight="1">
      <c r="A299" t="s" s="10">
        <v>6070</v>
      </c>
      <c r="B299" t="s" s="11">
        <v>6071</v>
      </c>
      <c r="C299" s="12">
        <v>44992.093060995372</v>
      </c>
      <c r="D299" t="s" s="13">
        <v>412</v>
      </c>
      <c r="E299" t="s" s="13">
        <v>413</v>
      </c>
      <c r="F299" s="14">
        <v>5</v>
      </c>
      <c r="G299" s="15">
        <v>1.99</v>
      </c>
      <c r="H299" s="15">
        <v>9.949999999999999</v>
      </c>
    </row>
    <row r="300" ht="12.9" customHeight="1">
      <c r="A300" t="s" s="10">
        <v>6070</v>
      </c>
      <c r="B300" t="s" s="11">
        <v>6071</v>
      </c>
      <c r="C300" s="12">
        <v>44992.093060995372</v>
      </c>
      <c r="D300" t="s" s="13">
        <v>5845</v>
      </c>
      <c r="E300" t="s" s="13">
        <v>5846</v>
      </c>
      <c r="F300" s="14">
        <v>2</v>
      </c>
      <c r="G300" s="15">
        <v>9.99</v>
      </c>
      <c r="H300" s="15">
        <v>19.98</v>
      </c>
    </row>
    <row r="301" ht="12.9" customHeight="1">
      <c r="A301" t="s" s="10">
        <v>6070</v>
      </c>
      <c r="B301" t="s" s="11">
        <v>6071</v>
      </c>
      <c r="C301" s="12">
        <v>44992.093060995372</v>
      </c>
      <c r="D301" t="s" s="13">
        <v>15</v>
      </c>
      <c r="E301" t="s" s="13">
        <v>4757</v>
      </c>
      <c r="F301" s="14">
        <v>1</v>
      </c>
      <c r="G301" s="15">
        <v>9.99</v>
      </c>
      <c r="H301" s="15">
        <v>9.99</v>
      </c>
    </row>
    <row r="302" ht="12.9" customHeight="1">
      <c r="A302" t="s" s="10">
        <v>6072</v>
      </c>
      <c r="B302" t="s" s="11">
        <v>704</v>
      </c>
      <c r="C302" s="12">
        <v>44992</v>
      </c>
      <c r="D302" t="s" s="13">
        <v>48</v>
      </c>
      <c r="E302" t="s" s="13">
        <v>49</v>
      </c>
      <c r="F302" s="14">
        <v>4</v>
      </c>
      <c r="G302" s="15">
        <v>974.9924999999999</v>
      </c>
      <c r="H302" s="15">
        <v>3899.97</v>
      </c>
    </row>
    <row r="303" ht="12.9" customHeight="1">
      <c r="A303" t="s" s="10">
        <v>6072</v>
      </c>
      <c r="B303" t="s" s="11">
        <v>704</v>
      </c>
      <c r="C303" s="12">
        <v>44992</v>
      </c>
      <c r="D303" t="s" s="13">
        <v>50</v>
      </c>
      <c r="E303" t="s" s="13">
        <v>83</v>
      </c>
      <c r="F303" s="14">
        <v>4</v>
      </c>
      <c r="G303" s="15">
        <v>0</v>
      </c>
      <c r="H303" s="15">
        <v>0</v>
      </c>
    </row>
    <row r="304" ht="12.9" customHeight="1">
      <c r="A304" t="s" s="10">
        <v>6072</v>
      </c>
      <c r="B304" t="s" s="11">
        <v>704</v>
      </c>
      <c r="C304" s="12">
        <v>44992</v>
      </c>
      <c r="D304" t="s" s="13">
        <v>52</v>
      </c>
      <c r="E304" t="s" s="13">
        <v>4287</v>
      </c>
      <c r="F304" s="14">
        <v>4</v>
      </c>
      <c r="G304" s="15">
        <v>0</v>
      </c>
      <c r="H304" s="15">
        <v>0</v>
      </c>
    </row>
    <row r="305" ht="12.9" customHeight="1">
      <c r="A305" t="s" s="10">
        <v>6072</v>
      </c>
      <c r="B305" t="s" s="11">
        <v>704</v>
      </c>
      <c r="C305" s="12">
        <v>44992</v>
      </c>
      <c r="D305" t="s" s="13">
        <v>54</v>
      </c>
      <c r="E305" t="s" s="13">
        <v>93</v>
      </c>
      <c r="F305" s="14">
        <v>4</v>
      </c>
      <c r="G305" s="15">
        <v>0</v>
      </c>
      <c r="H305" s="15">
        <v>0</v>
      </c>
    </row>
    <row r="306" ht="12.9" customHeight="1">
      <c r="A306" t="s" s="10">
        <v>6072</v>
      </c>
      <c r="B306" t="s" s="11">
        <v>704</v>
      </c>
      <c r="C306" s="12">
        <v>44992</v>
      </c>
      <c r="D306" t="s" s="13">
        <v>15</v>
      </c>
      <c r="E306" t="s" s="13">
        <v>4757</v>
      </c>
      <c r="F306" s="14">
        <v>8</v>
      </c>
      <c r="G306" s="15">
        <v>0</v>
      </c>
      <c r="H306" s="15">
        <v>0</v>
      </c>
    </row>
    <row r="307" ht="12.9" customHeight="1">
      <c r="A307" t="s" s="10">
        <v>6072</v>
      </c>
      <c r="B307" t="s" s="11">
        <v>704</v>
      </c>
      <c r="C307" s="12">
        <v>44992</v>
      </c>
      <c r="D307" t="s" s="13">
        <v>19</v>
      </c>
      <c r="E307" t="s" s="13">
        <v>20</v>
      </c>
      <c r="F307" s="14">
        <v>4</v>
      </c>
      <c r="G307" s="15">
        <v>89.99250000000001</v>
      </c>
      <c r="H307" s="15">
        <v>359.97</v>
      </c>
    </row>
    <row r="308" ht="12.9" customHeight="1">
      <c r="A308" t="s" s="10">
        <v>6072</v>
      </c>
      <c r="B308" t="s" s="11">
        <v>704</v>
      </c>
      <c r="C308" s="12">
        <v>44992</v>
      </c>
      <c r="D308" t="s" s="13">
        <v>23</v>
      </c>
      <c r="E308" t="s" s="13">
        <v>6073</v>
      </c>
      <c r="F308" s="14">
        <v>4</v>
      </c>
      <c r="G308" s="15">
        <v>0</v>
      </c>
      <c r="H308" s="15">
        <v>0</v>
      </c>
    </row>
    <row r="309" ht="12.9" customHeight="1">
      <c r="A309" t="s" s="10">
        <v>6072</v>
      </c>
      <c r="B309" t="s" s="11">
        <v>704</v>
      </c>
      <c r="C309" s="12">
        <v>44992</v>
      </c>
      <c r="D309" t="s" s="13">
        <v>133</v>
      </c>
      <c r="E309" t="s" s="13">
        <v>6074</v>
      </c>
      <c r="F309" s="14">
        <v>4</v>
      </c>
      <c r="G309" s="15">
        <v>149.9925</v>
      </c>
      <c r="H309" s="15">
        <v>599.97</v>
      </c>
    </row>
    <row r="310" ht="12.9" customHeight="1">
      <c r="A310" t="s" s="10">
        <v>6075</v>
      </c>
      <c r="B310" t="s" s="11">
        <v>704</v>
      </c>
      <c r="C310" s="12">
        <v>44992</v>
      </c>
      <c r="D310" t="s" s="13">
        <v>48</v>
      </c>
      <c r="E310" t="s" s="13">
        <v>49</v>
      </c>
      <c r="F310" s="14">
        <v>4</v>
      </c>
      <c r="G310" s="15">
        <v>974.9924999999999</v>
      </c>
      <c r="H310" s="15">
        <v>3899.97</v>
      </c>
    </row>
    <row r="311" ht="12.9" customHeight="1">
      <c r="A311" t="s" s="10">
        <v>6075</v>
      </c>
      <c r="B311" t="s" s="11">
        <v>704</v>
      </c>
      <c r="C311" s="12">
        <v>44992</v>
      </c>
      <c r="D311" t="s" s="13">
        <v>50</v>
      </c>
      <c r="E311" t="s" s="13">
        <v>83</v>
      </c>
      <c r="F311" s="14">
        <v>4</v>
      </c>
      <c r="G311" s="15">
        <v>0</v>
      </c>
      <c r="H311" s="15">
        <v>0</v>
      </c>
    </row>
    <row r="312" ht="12.9" customHeight="1">
      <c r="A312" t="s" s="10">
        <v>6075</v>
      </c>
      <c r="B312" t="s" s="11">
        <v>704</v>
      </c>
      <c r="C312" s="12">
        <v>44992</v>
      </c>
      <c r="D312" t="s" s="13">
        <v>54</v>
      </c>
      <c r="E312" t="s" s="13">
        <v>93</v>
      </c>
      <c r="F312" s="14">
        <v>4</v>
      </c>
      <c r="G312" s="15">
        <v>0</v>
      </c>
      <c r="H312" s="15">
        <v>0</v>
      </c>
    </row>
    <row r="313" ht="12.9" customHeight="1">
      <c r="A313" t="s" s="10">
        <v>6075</v>
      </c>
      <c r="B313" t="s" s="11">
        <v>704</v>
      </c>
      <c r="C313" s="12">
        <v>44992</v>
      </c>
      <c r="D313" t="s" s="13">
        <v>15</v>
      </c>
      <c r="E313" t="s" s="13">
        <v>4757</v>
      </c>
      <c r="F313" s="14">
        <v>10</v>
      </c>
      <c r="G313" s="15">
        <v>6.3675</v>
      </c>
      <c r="H313" s="15">
        <v>63.675</v>
      </c>
    </row>
    <row r="314" ht="12.9" customHeight="1">
      <c r="A314" t="s" s="10">
        <v>6075</v>
      </c>
      <c r="B314" t="s" s="11">
        <v>704</v>
      </c>
      <c r="C314" s="12">
        <v>44992</v>
      </c>
      <c r="D314" t="s" s="13">
        <v>19</v>
      </c>
      <c r="E314" t="s" s="13">
        <v>20</v>
      </c>
      <c r="F314" s="14">
        <v>4</v>
      </c>
      <c r="G314" s="15">
        <v>89.99250000000001</v>
      </c>
      <c r="H314" s="15">
        <v>359.97</v>
      </c>
    </row>
    <row r="315" ht="12.9" customHeight="1">
      <c r="A315" t="s" s="10">
        <v>6075</v>
      </c>
      <c r="B315" t="s" s="11">
        <v>704</v>
      </c>
      <c r="C315" s="12">
        <v>44992</v>
      </c>
      <c r="D315" t="s" s="13">
        <v>23</v>
      </c>
      <c r="E315" t="s" s="13">
        <v>6073</v>
      </c>
      <c r="F315" s="14">
        <v>4</v>
      </c>
      <c r="G315" s="15">
        <v>0</v>
      </c>
      <c r="H315" s="15">
        <v>0</v>
      </c>
    </row>
    <row r="316" ht="12.9" customHeight="1">
      <c r="A316" t="s" s="10">
        <v>6075</v>
      </c>
      <c r="B316" t="s" s="11">
        <v>704</v>
      </c>
      <c r="C316" s="12">
        <v>44992</v>
      </c>
      <c r="D316" t="s" s="13">
        <v>133</v>
      </c>
      <c r="E316" t="s" s="13">
        <v>6074</v>
      </c>
      <c r="F316" s="14">
        <v>4</v>
      </c>
      <c r="G316" s="15">
        <v>149.9925</v>
      </c>
      <c r="H316" s="15">
        <v>599.97</v>
      </c>
    </row>
    <row r="317" ht="12.9" customHeight="1">
      <c r="A317" t="s" s="10">
        <v>6076</v>
      </c>
      <c r="B317" t="s" s="11">
        <v>5509</v>
      </c>
      <c r="C317" s="12">
        <v>44992</v>
      </c>
      <c r="D317" t="s" s="13">
        <v>48</v>
      </c>
      <c r="E317" t="s" s="13">
        <v>49</v>
      </c>
      <c r="F317" s="14">
        <v>2</v>
      </c>
      <c r="G317" s="15">
        <v>974.9924999999999</v>
      </c>
      <c r="H317" s="15">
        <v>1949.985</v>
      </c>
    </row>
    <row r="318" ht="12.9" customHeight="1">
      <c r="A318" t="s" s="10">
        <v>6076</v>
      </c>
      <c r="B318" t="s" s="11">
        <v>5509</v>
      </c>
      <c r="C318" s="12">
        <v>44992</v>
      </c>
      <c r="D318" t="s" s="13">
        <v>50</v>
      </c>
      <c r="E318" t="s" s="13">
        <v>83</v>
      </c>
      <c r="F318" s="14">
        <v>2</v>
      </c>
      <c r="G318" s="15">
        <v>0</v>
      </c>
      <c r="H318" s="15">
        <v>0</v>
      </c>
    </row>
    <row r="319" ht="12.9" customHeight="1">
      <c r="A319" t="s" s="10">
        <v>6076</v>
      </c>
      <c r="B319" t="s" s="11">
        <v>5509</v>
      </c>
      <c r="C319" s="12">
        <v>44992</v>
      </c>
      <c r="D319" t="s" s="13">
        <v>52</v>
      </c>
      <c r="E319" t="s" s="13">
        <v>4287</v>
      </c>
      <c r="F319" s="14">
        <v>2</v>
      </c>
      <c r="G319" s="15">
        <v>0</v>
      </c>
      <c r="H319" s="15">
        <v>0</v>
      </c>
    </row>
    <row r="320" ht="12.9" customHeight="1">
      <c r="A320" t="s" s="10">
        <v>6076</v>
      </c>
      <c r="B320" t="s" s="11">
        <v>5509</v>
      </c>
      <c r="C320" s="12">
        <v>44992</v>
      </c>
      <c r="D320" t="s" s="13">
        <v>54</v>
      </c>
      <c r="E320" t="s" s="13">
        <v>93</v>
      </c>
      <c r="F320" s="14">
        <v>2</v>
      </c>
      <c r="G320" s="15">
        <v>0</v>
      </c>
      <c r="H320" s="15">
        <v>0</v>
      </c>
    </row>
    <row r="321" ht="12.9" customHeight="1">
      <c r="A321" t="s" s="10">
        <v>6076</v>
      </c>
      <c r="B321" t="s" s="11">
        <v>5509</v>
      </c>
      <c r="C321" s="12">
        <v>44992</v>
      </c>
      <c r="D321" t="s" s="13">
        <v>15</v>
      </c>
      <c r="E321" t="s" s="13">
        <v>4757</v>
      </c>
      <c r="F321" s="14">
        <v>2</v>
      </c>
      <c r="G321" s="15">
        <v>0</v>
      </c>
      <c r="H321" s="15">
        <v>0</v>
      </c>
    </row>
    <row r="322" ht="12.9" customHeight="1">
      <c r="A322" t="s" s="10">
        <v>6076</v>
      </c>
      <c r="B322" t="s" s="11">
        <v>5509</v>
      </c>
      <c r="C322" s="12">
        <v>44992</v>
      </c>
      <c r="D322" t="s" s="13">
        <v>227</v>
      </c>
      <c r="E322" t="s" s="13">
        <v>228</v>
      </c>
      <c r="F322" s="14">
        <v>2</v>
      </c>
      <c r="G322" s="15">
        <v>22.4925</v>
      </c>
      <c r="H322" s="15">
        <v>44.985</v>
      </c>
    </row>
    <row r="323" ht="12.9" customHeight="1">
      <c r="A323" t="s" s="10">
        <v>6076</v>
      </c>
      <c r="B323" t="s" s="11">
        <v>5509</v>
      </c>
      <c r="C323" s="12">
        <v>44992</v>
      </c>
      <c r="D323" t="s" s="13">
        <v>470</v>
      </c>
      <c r="E323" t="s" s="13">
        <v>828</v>
      </c>
      <c r="F323" s="14">
        <v>2</v>
      </c>
      <c r="G323" s="15">
        <v>187.4925</v>
      </c>
      <c r="H323" s="15">
        <v>374.985</v>
      </c>
    </row>
    <row r="324" ht="12.9" customHeight="1">
      <c r="A324" t="s" s="10">
        <v>6076</v>
      </c>
      <c r="B324" t="s" s="11">
        <v>5509</v>
      </c>
      <c r="C324" s="12">
        <v>44992</v>
      </c>
      <c r="D324" t="s" s="13">
        <v>359</v>
      </c>
      <c r="E324" t="s" s="13">
        <v>4199</v>
      </c>
      <c r="F324" s="14">
        <v>4</v>
      </c>
      <c r="G324" s="15">
        <v>22.4925</v>
      </c>
      <c r="H324" s="15">
        <v>89.97</v>
      </c>
    </row>
    <row r="325" ht="12.9" customHeight="1">
      <c r="A325" t="s" s="10">
        <v>6076</v>
      </c>
      <c r="B325" t="s" s="11">
        <v>5509</v>
      </c>
      <c r="C325" s="12">
        <v>44992</v>
      </c>
      <c r="D325" t="s" s="13">
        <v>2968</v>
      </c>
      <c r="E325" t="s" s="13">
        <v>2968</v>
      </c>
      <c r="F325" s="14">
        <v>2</v>
      </c>
      <c r="G325" s="15">
        <v>56.25</v>
      </c>
      <c r="H325" s="15">
        <v>112.5</v>
      </c>
    </row>
    <row r="326" ht="12.9" customHeight="1">
      <c r="A326" t="s" s="10">
        <v>6076</v>
      </c>
      <c r="B326" t="s" s="11">
        <v>5509</v>
      </c>
      <c r="C326" s="12">
        <v>44992</v>
      </c>
      <c r="D326" t="s" s="13">
        <v>1069</v>
      </c>
      <c r="E326" t="s" s="13">
        <v>828</v>
      </c>
      <c r="F326" s="14">
        <v>2</v>
      </c>
      <c r="G326" s="15">
        <v>74.99250000000001</v>
      </c>
      <c r="H326" s="15">
        <v>149.985</v>
      </c>
    </row>
    <row r="327" ht="12.9" customHeight="1">
      <c r="A327" t="s" s="10">
        <v>6076</v>
      </c>
      <c r="B327" t="s" s="11">
        <v>5509</v>
      </c>
      <c r="C327" s="12">
        <v>44992</v>
      </c>
      <c r="D327" t="s" s="13">
        <v>47</v>
      </c>
      <c r="E327" s="16"/>
      <c r="F327" s="14">
        <v>1</v>
      </c>
      <c r="G327" s="15">
        <v>150</v>
      </c>
      <c r="H327" s="15">
        <v>150</v>
      </c>
    </row>
    <row r="328" ht="12.9" customHeight="1">
      <c r="A328" t="s" s="10">
        <v>6077</v>
      </c>
      <c r="B328" t="s" s="11">
        <v>1985</v>
      </c>
      <c r="C328" s="12">
        <v>44992</v>
      </c>
      <c r="D328" t="s" s="13">
        <v>5381</v>
      </c>
      <c r="E328" t="s" s="13">
        <v>6078</v>
      </c>
      <c r="F328" s="14">
        <v>4</v>
      </c>
      <c r="G328" s="15">
        <v>299.99</v>
      </c>
      <c r="H328" s="15">
        <v>1199.96</v>
      </c>
    </row>
    <row r="329" ht="12.9" customHeight="1">
      <c r="A329" t="s" s="10">
        <v>6077</v>
      </c>
      <c r="B329" t="s" s="11">
        <v>1985</v>
      </c>
      <c r="C329" s="12">
        <v>44992</v>
      </c>
      <c r="D329" t="s" s="13">
        <v>1986</v>
      </c>
      <c r="E329" t="s" s="13">
        <v>1986</v>
      </c>
      <c r="F329" s="14">
        <v>7</v>
      </c>
      <c r="G329" s="15">
        <v>94.98999999999999</v>
      </c>
      <c r="H329" s="15">
        <v>664.9299999999999</v>
      </c>
    </row>
    <row r="330" ht="12.9" customHeight="1">
      <c r="A330" t="s" s="10">
        <v>6077</v>
      </c>
      <c r="B330" t="s" s="11">
        <v>1985</v>
      </c>
      <c r="C330" s="12">
        <v>44992</v>
      </c>
      <c r="D330" t="s" s="13">
        <v>15</v>
      </c>
      <c r="E330" t="s" s="13">
        <v>16</v>
      </c>
      <c r="F330" s="14">
        <v>2</v>
      </c>
      <c r="G330" s="15">
        <v>0</v>
      </c>
      <c r="H330" s="15">
        <v>0</v>
      </c>
    </row>
    <row r="331" ht="12.9" customHeight="1">
      <c r="A331" t="s" s="10">
        <v>6077</v>
      </c>
      <c r="B331" t="s" s="11">
        <v>1985</v>
      </c>
      <c r="C331" s="12">
        <v>44992</v>
      </c>
      <c r="D331" t="s" s="13">
        <v>861</v>
      </c>
      <c r="E331" s="16"/>
      <c r="F331" s="14">
        <v>1</v>
      </c>
      <c r="G331" s="15">
        <v>163.18</v>
      </c>
      <c r="H331" s="15">
        <v>163.18</v>
      </c>
    </row>
    <row r="332" ht="12.9" customHeight="1">
      <c r="A332" t="s" s="10">
        <v>6079</v>
      </c>
      <c r="B332" t="s" s="11">
        <v>6080</v>
      </c>
      <c r="C332" s="12">
        <v>44991.866852476851</v>
      </c>
      <c r="D332" t="s" s="13">
        <v>77</v>
      </c>
      <c r="E332" t="s" s="13">
        <v>4224</v>
      </c>
      <c r="F332" s="14">
        <v>4</v>
      </c>
      <c r="G332" s="15">
        <v>19.99</v>
      </c>
      <c r="H332" s="15">
        <v>79.95999999999999</v>
      </c>
    </row>
    <row r="333" ht="12.9" customHeight="1">
      <c r="A333" t="s" s="10">
        <v>6081</v>
      </c>
      <c r="B333" t="s" s="11">
        <v>6082</v>
      </c>
      <c r="C333" s="12">
        <v>44990.002540972222</v>
      </c>
      <c r="D333" t="s" s="13">
        <v>31</v>
      </c>
      <c r="E333" t="s" s="13">
        <v>32</v>
      </c>
      <c r="F333" s="14">
        <v>1</v>
      </c>
      <c r="G333" s="15">
        <v>599.99</v>
      </c>
      <c r="H333" s="15">
        <v>599.99</v>
      </c>
    </row>
    <row r="334" ht="12.9" customHeight="1">
      <c r="A334" t="s" s="10">
        <v>6083</v>
      </c>
      <c r="B334" t="s" s="11">
        <v>6019</v>
      </c>
      <c r="C334" s="12">
        <v>44989.0498347338</v>
      </c>
      <c r="D334" t="s" s="13">
        <v>5845</v>
      </c>
      <c r="E334" t="s" s="13">
        <v>5846</v>
      </c>
      <c r="F334" s="14">
        <v>1</v>
      </c>
      <c r="G334" s="15">
        <v>9.99</v>
      </c>
      <c r="H334" s="15">
        <v>9.99</v>
      </c>
    </row>
    <row r="335" ht="12.9" customHeight="1">
      <c r="A335" t="s" s="10">
        <v>6083</v>
      </c>
      <c r="B335" t="s" s="11">
        <v>6019</v>
      </c>
      <c r="C335" s="12">
        <v>44989.0498347338</v>
      </c>
      <c r="D335" t="s" s="13">
        <v>15</v>
      </c>
      <c r="E335" t="s" s="13">
        <v>4757</v>
      </c>
      <c r="F335" s="14">
        <v>1</v>
      </c>
      <c r="G335" s="15">
        <v>9.99</v>
      </c>
      <c r="H335" s="15">
        <v>9.99</v>
      </c>
    </row>
    <row r="336" ht="12.9" customHeight="1">
      <c r="A336" t="s" s="10">
        <v>6084</v>
      </c>
      <c r="B336" t="s" s="11">
        <v>4992</v>
      </c>
      <c r="C336" s="12">
        <v>44989.032518032407</v>
      </c>
      <c r="D336" t="s" s="13">
        <v>1695</v>
      </c>
      <c r="E336" t="s" s="13">
        <v>140</v>
      </c>
      <c r="F336" s="14">
        <v>1</v>
      </c>
      <c r="G336" s="15">
        <v>49.99</v>
      </c>
      <c r="H336" s="15">
        <v>49.99</v>
      </c>
    </row>
    <row r="337" ht="12.9" customHeight="1">
      <c r="A337" t="s" s="10">
        <v>6084</v>
      </c>
      <c r="B337" t="s" s="11">
        <v>4992</v>
      </c>
      <c r="C337" s="12">
        <v>44989.032518032407</v>
      </c>
      <c r="D337" t="s" s="13">
        <v>15</v>
      </c>
      <c r="E337" t="s" s="13">
        <v>4757</v>
      </c>
      <c r="F337" s="14">
        <v>1</v>
      </c>
      <c r="G337" s="15">
        <v>9.99</v>
      </c>
      <c r="H337" s="15">
        <v>9.99</v>
      </c>
    </row>
    <row r="338" ht="12.9" customHeight="1">
      <c r="A338" t="s" s="10">
        <v>6085</v>
      </c>
      <c r="B338" t="s" s="11">
        <v>6080</v>
      </c>
      <c r="C338" s="12">
        <v>44988.998724444442</v>
      </c>
      <c r="D338" t="s" s="13">
        <v>1729</v>
      </c>
      <c r="E338" t="s" s="13">
        <v>4639</v>
      </c>
      <c r="F338" s="14">
        <v>6</v>
      </c>
      <c r="G338" s="15">
        <v>14.99</v>
      </c>
      <c r="H338" s="15">
        <v>89.94</v>
      </c>
    </row>
    <row r="339" ht="12.9" customHeight="1">
      <c r="A339" t="s" s="10">
        <v>6085</v>
      </c>
      <c r="B339" t="s" s="11">
        <v>6080</v>
      </c>
      <c r="C339" s="12">
        <v>44988.998724444442</v>
      </c>
      <c r="D339" t="s" s="13">
        <v>1731</v>
      </c>
      <c r="E339" t="s" s="13">
        <v>4657</v>
      </c>
      <c r="F339" s="14">
        <v>2</v>
      </c>
      <c r="G339" s="15">
        <v>24.99</v>
      </c>
      <c r="H339" s="15">
        <v>49.98</v>
      </c>
    </row>
    <row r="340" ht="12.9" customHeight="1">
      <c r="A340" t="s" s="10">
        <v>6086</v>
      </c>
      <c r="B340" t="s" s="11">
        <v>4235</v>
      </c>
      <c r="C340" s="12">
        <v>44988.967630590276</v>
      </c>
      <c r="D340" t="s" s="13">
        <v>81</v>
      </c>
      <c r="E340" t="s" s="13">
        <v>82</v>
      </c>
      <c r="F340" s="14">
        <v>2</v>
      </c>
      <c r="G340" s="15">
        <v>849.99</v>
      </c>
      <c r="H340" s="15">
        <v>1699.98</v>
      </c>
    </row>
    <row r="341" ht="12.9" customHeight="1">
      <c r="A341" t="s" s="10">
        <v>6086</v>
      </c>
      <c r="B341" t="s" s="11">
        <v>4235</v>
      </c>
      <c r="C341" s="12">
        <v>44988.967630590276</v>
      </c>
      <c r="D341" t="s" s="13">
        <v>133</v>
      </c>
      <c r="E341" t="s" s="13">
        <v>4835</v>
      </c>
      <c r="F341" s="14">
        <v>2</v>
      </c>
      <c r="G341" s="15">
        <v>50</v>
      </c>
      <c r="H341" s="15">
        <v>100</v>
      </c>
    </row>
    <row r="342" ht="12.9" customHeight="1">
      <c r="A342" t="s" s="10">
        <v>6086</v>
      </c>
      <c r="B342" t="s" s="11">
        <v>4235</v>
      </c>
      <c r="C342" s="12">
        <v>44988.967630590276</v>
      </c>
      <c r="D342" t="s" s="13">
        <v>50</v>
      </c>
      <c r="E342" t="s" s="13">
        <v>83</v>
      </c>
      <c r="F342" s="14">
        <v>2</v>
      </c>
      <c r="G342" s="15">
        <v>0</v>
      </c>
      <c r="H342" s="15">
        <v>0</v>
      </c>
    </row>
    <row r="343" ht="12.9" customHeight="1">
      <c r="A343" t="s" s="10">
        <v>6087</v>
      </c>
      <c r="B343" t="s" s="11">
        <v>6088</v>
      </c>
      <c r="C343" s="12">
        <v>44988.719288761575</v>
      </c>
      <c r="D343" t="s" s="13">
        <v>1695</v>
      </c>
      <c r="E343" t="s" s="13">
        <v>140</v>
      </c>
      <c r="F343" s="14">
        <v>2</v>
      </c>
      <c r="G343" s="15">
        <v>49.99</v>
      </c>
      <c r="H343" s="15">
        <v>99.98</v>
      </c>
    </row>
    <row r="344" ht="12.9" customHeight="1">
      <c r="A344" t="s" s="10">
        <v>6087</v>
      </c>
      <c r="B344" t="s" s="11">
        <v>6088</v>
      </c>
      <c r="C344" s="12">
        <v>44988.719288761575</v>
      </c>
      <c r="D344" t="s" s="13">
        <v>15</v>
      </c>
      <c r="E344" t="s" s="13">
        <v>4757</v>
      </c>
      <c r="F344" s="14">
        <v>2</v>
      </c>
      <c r="G344" s="15">
        <v>9.99</v>
      </c>
      <c r="H344" s="15">
        <v>19.98</v>
      </c>
    </row>
    <row r="345" ht="12.9" customHeight="1">
      <c r="A345" t="s" s="10">
        <v>6089</v>
      </c>
      <c r="B345" t="s" s="11">
        <v>6090</v>
      </c>
      <c r="C345" s="12">
        <v>44988.666031712964</v>
      </c>
      <c r="D345" t="s" s="13">
        <v>1593</v>
      </c>
      <c r="E345" t="s" s="13">
        <v>828</v>
      </c>
      <c r="F345" s="14">
        <v>1</v>
      </c>
      <c r="G345" s="15">
        <v>99.98999999999999</v>
      </c>
      <c r="H345" s="15">
        <v>99.98999999999999</v>
      </c>
    </row>
    <row r="346" ht="12.9" customHeight="1">
      <c r="A346" t="s" s="10">
        <v>6091</v>
      </c>
      <c r="B346" t="s" s="11">
        <v>6038</v>
      </c>
      <c r="C346" s="12">
        <v>44988.034804432871</v>
      </c>
      <c r="D346" t="s" s="13">
        <v>35</v>
      </c>
      <c r="E346" t="s" s="13">
        <v>36</v>
      </c>
      <c r="F346" s="14">
        <v>2</v>
      </c>
      <c r="G346" s="15">
        <v>49.99</v>
      </c>
      <c r="H346" s="15">
        <v>99.98</v>
      </c>
    </row>
    <row r="347" ht="12.9" customHeight="1">
      <c r="A347" t="s" s="10">
        <v>6092</v>
      </c>
      <c r="B347" t="s" s="11">
        <v>6093</v>
      </c>
      <c r="C347" s="12">
        <v>44988</v>
      </c>
      <c r="D347" t="s" s="13">
        <v>81</v>
      </c>
      <c r="E347" t="s" s="13">
        <v>82</v>
      </c>
      <c r="F347" s="14">
        <v>2</v>
      </c>
      <c r="G347" s="15">
        <v>849.99</v>
      </c>
      <c r="H347" s="15">
        <v>1699.98</v>
      </c>
    </row>
    <row r="348" ht="12.9" customHeight="1">
      <c r="A348" t="s" s="10">
        <v>6092</v>
      </c>
      <c r="B348" t="s" s="11">
        <v>6093</v>
      </c>
      <c r="C348" s="12">
        <v>44988</v>
      </c>
      <c r="D348" t="s" s="13">
        <v>50</v>
      </c>
      <c r="E348" t="s" s="13">
        <v>83</v>
      </c>
      <c r="F348" s="14">
        <v>2</v>
      </c>
      <c r="G348" s="15">
        <v>0</v>
      </c>
      <c r="H348" s="15">
        <v>0</v>
      </c>
    </row>
    <row r="349" ht="12.9" customHeight="1">
      <c r="A349" t="s" s="10">
        <v>6092</v>
      </c>
      <c r="B349" t="s" s="11">
        <v>6093</v>
      </c>
      <c r="C349" s="12">
        <v>44988</v>
      </c>
      <c r="D349" t="s" s="13">
        <v>84</v>
      </c>
      <c r="E349" t="s" s="13">
        <v>4225</v>
      </c>
      <c r="F349" s="14">
        <v>2</v>
      </c>
      <c r="G349" s="15">
        <v>0</v>
      </c>
      <c r="H349" s="15">
        <v>0</v>
      </c>
    </row>
    <row r="350" ht="12.9" customHeight="1">
      <c r="A350" t="s" s="10">
        <v>6092</v>
      </c>
      <c r="B350" t="s" s="11">
        <v>6093</v>
      </c>
      <c r="C350" s="12">
        <v>44988</v>
      </c>
      <c r="D350" t="s" s="13">
        <v>73</v>
      </c>
      <c r="E350" t="s" s="13">
        <v>74</v>
      </c>
      <c r="F350" s="14">
        <v>1</v>
      </c>
      <c r="G350" s="15">
        <v>399.99</v>
      </c>
      <c r="H350" s="15">
        <v>399.99</v>
      </c>
    </row>
    <row r="351" ht="12.9" customHeight="1">
      <c r="A351" t="s" s="10">
        <v>6092</v>
      </c>
      <c r="B351" t="s" s="11">
        <v>6093</v>
      </c>
      <c r="C351" s="12">
        <v>44988</v>
      </c>
      <c r="D351" t="s" s="13">
        <v>1257</v>
      </c>
      <c r="E351" t="s" s="13">
        <v>6094</v>
      </c>
      <c r="F351" s="14">
        <v>2</v>
      </c>
      <c r="G351" s="15">
        <v>425</v>
      </c>
      <c r="H351" s="15">
        <v>850</v>
      </c>
    </row>
    <row r="352" ht="12.9" customHeight="1">
      <c r="A352" t="s" s="10">
        <v>6095</v>
      </c>
      <c r="B352" t="s" s="11">
        <v>2382</v>
      </c>
      <c r="C352" s="12">
        <v>44988</v>
      </c>
      <c r="D352" t="s" s="13">
        <v>369</v>
      </c>
      <c r="E352" t="s" s="13">
        <v>5916</v>
      </c>
      <c r="F352" s="14">
        <v>1</v>
      </c>
      <c r="G352" s="15">
        <v>0</v>
      </c>
      <c r="H352" s="15">
        <v>0</v>
      </c>
    </row>
    <row r="353" ht="12.9" customHeight="1">
      <c r="A353" t="s" s="10">
        <v>6096</v>
      </c>
      <c r="B353" t="s" s="11">
        <v>6097</v>
      </c>
      <c r="C353" s="12">
        <v>44987.865823229164</v>
      </c>
      <c r="D353" t="s" s="13">
        <v>89</v>
      </c>
      <c r="E353" t="s" s="13">
        <v>90</v>
      </c>
      <c r="F353" s="14">
        <v>2</v>
      </c>
      <c r="G353" s="15">
        <v>59.99</v>
      </c>
      <c r="H353" s="15">
        <v>119.98</v>
      </c>
    </row>
    <row r="354" ht="12.9" customHeight="1">
      <c r="A354" t="s" s="10">
        <v>6096</v>
      </c>
      <c r="B354" t="s" s="11">
        <v>6097</v>
      </c>
      <c r="C354" s="12">
        <v>44987.865823229164</v>
      </c>
      <c r="D354" t="s" s="13">
        <v>1731</v>
      </c>
      <c r="E354" t="s" s="13">
        <v>4657</v>
      </c>
      <c r="F354" s="14">
        <v>1</v>
      </c>
      <c r="G354" s="15">
        <v>24.99</v>
      </c>
      <c r="H354" s="15">
        <v>24.99</v>
      </c>
    </row>
    <row r="355" ht="12.9" customHeight="1">
      <c r="A355" t="s" s="10">
        <v>6096</v>
      </c>
      <c r="B355" t="s" s="11">
        <v>6097</v>
      </c>
      <c r="C355" s="12">
        <v>44987.865823229164</v>
      </c>
      <c r="D355" t="s" s="13">
        <v>412</v>
      </c>
      <c r="E355" t="s" s="13">
        <v>413</v>
      </c>
      <c r="F355" s="14">
        <v>8</v>
      </c>
      <c r="G355" s="15">
        <v>1.99</v>
      </c>
      <c r="H355" s="15">
        <v>15.92</v>
      </c>
    </row>
    <row r="356" ht="12.9" customHeight="1">
      <c r="A356" t="s" s="10">
        <v>6096</v>
      </c>
      <c r="B356" t="s" s="11">
        <v>6097</v>
      </c>
      <c r="C356" s="12">
        <v>44987.865823229164</v>
      </c>
      <c r="D356" t="s" s="13">
        <v>23</v>
      </c>
      <c r="E356" t="s" s="13">
        <v>828</v>
      </c>
      <c r="F356" s="14">
        <v>1</v>
      </c>
      <c r="G356" s="15">
        <v>149.99</v>
      </c>
      <c r="H356" s="15">
        <v>149.99</v>
      </c>
    </row>
    <row r="357" ht="12.9" customHeight="1">
      <c r="A357" t="s" s="10">
        <v>6098</v>
      </c>
      <c r="B357" t="s" s="11">
        <v>3407</v>
      </c>
      <c r="C357" s="12">
        <v>44987.8353678588</v>
      </c>
      <c r="D357" t="s" s="13">
        <v>15</v>
      </c>
      <c r="E357" t="s" s="13">
        <v>4757</v>
      </c>
      <c r="F357" s="14">
        <v>1</v>
      </c>
      <c r="G357" s="15">
        <v>9.99</v>
      </c>
      <c r="H357" s="15">
        <v>9.99</v>
      </c>
    </row>
    <row r="358" ht="12.9" customHeight="1">
      <c r="A358" t="s" s="10">
        <v>6099</v>
      </c>
      <c r="B358" t="s" s="11">
        <v>6100</v>
      </c>
      <c r="C358" s="12">
        <v>44987.737907060182</v>
      </c>
      <c r="D358" t="s" s="13">
        <v>1731</v>
      </c>
      <c r="E358" t="s" s="13">
        <v>4657</v>
      </c>
      <c r="F358" s="14">
        <v>1</v>
      </c>
      <c r="G358" s="15">
        <v>24.99</v>
      </c>
      <c r="H358" s="15">
        <v>24.99</v>
      </c>
    </row>
    <row r="359" ht="12.9" customHeight="1">
      <c r="A359" t="s" s="10">
        <v>6101</v>
      </c>
      <c r="B359" t="s" s="11">
        <v>6102</v>
      </c>
      <c r="C359" s="12">
        <v>44987.712378229167</v>
      </c>
      <c r="D359" t="s" s="13">
        <v>5845</v>
      </c>
      <c r="E359" t="s" s="13">
        <v>5846</v>
      </c>
      <c r="F359" s="14">
        <v>1</v>
      </c>
      <c r="G359" s="15">
        <v>9.99</v>
      </c>
      <c r="H359" s="15">
        <v>9.99</v>
      </c>
    </row>
    <row r="360" ht="12.9" customHeight="1">
      <c r="A360" t="s" s="10">
        <v>6103</v>
      </c>
      <c r="B360" t="s" s="11">
        <v>6104</v>
      </c>
      <c r="C360" s="12">
        <v>44987.598463819442</v>
      </c>
      <c r="D360" t="s" s="13">
        <v>589</v>
      </c>
      <c r="E360" t="s" s="13">
        <v>590</v>
      </c>
      <c r="F360" s="14">
        <v>1</v>
      </c>
      <c r="G360" s="15">
        <v>7.49</v>
      </c>
      <c r="H360" s="15">
        <v>7.49</v>
      </c>
    </row>
    <row r="361" ht="12.9" customHeight="1">
      <c r="A361" t="s" s="10">
        <v>6105</v>
      </c>
      <c r="B361" t="s" s="11">
        <v>2286</v>
      </c>
      <c r="C361" s="12">
        <v>44987.099138854166</v>
      </c>
      <c r="D361" t="s" s="13">
        <v>35</v>
      </c>
      <c r="E361" t="s" s="13">
        <v>36</v>
      </c>
      <c r="F361" s="14">
        <v>1</v>
      </c>
      <c r="G361" s="15">
        <v>49.99</v>
      </c>
      <c r="H361" s="15">
        <v>49.99</v>
      </c>
    </row>
    <row r="362" ht="12.9" customHeight="1">
      <c r="A362" t="s" s="10">
        <v>6106</v>
      </c>
      <c r="B362" t="s" s="11">
        <v>6107</v>
      </c>
      <c r="C362" s="12">
        <v>44987</v>
      </c>
      <c r="D362" t="s" s="13">
        <v>225</v>
      </c>
      <c r="E362" t="s" s="13">
        <v>6108</v>
      </c>
      <c r="F362" s="14">
        <v>6</v>
      </c>
      <c r="G362" s="15">
        <v>499.99</v>
      </c>
      <c r="H362" s="15">
        <v>2999.94</v>
      </c>
    </row>
    <row r="363" ht="12.9" customHeight="1">
      <c r="A363" t="s" s="10">
        <v>6106</v>
      </c>
      <c r="B363" t="s" s="11">
        <v>6107</v>
      </c>
      <c r="C363" s="12">
        <v>44987</v>
      </c>
      <c r="D363" t="s" s="13">
        <v>227</v>
      </c>
      <c r="E363" t="s" s="13">
        <v>5285</v>
      </c>
      <c r="F363" s="14">
        <v>6</v>
      </c>
      <c r="G363" s="15">
        <v>0</v>
      </c>
      <c r="H363" s="15">
        <v>0</v>
      </c>
    </row>
    <row r="364" ht="12.9" customHeight="1">
      <c r="A364" t="s" s="10">
        <v>6106</v>
      </c>
      <c r="B364" t="s" s="11">
        <v>6107</v>
      </c>
      <c r="C364" s="12">
        <v>44987</v>
      </c>
      <c r="D364" t="s" s="13">
        <v>133</v>
      </c>
      <c r="E364" t="s" s="13">
        <v>4835</v>
      </c>
      <c r="F364" s="14">
        <v>6</v>
      </c>
      <c r="G364" s="15">
        <v>199.99</v>
      </c>
      <c r="H364" s="15">
        <v>1199.94</v>
      </c>
    </row>
    <row r="365" ht="12.9" customHeight="1">
      <c r="A365" t="s" s="10">
        <v>6106</v>
      </c>
      <c r="B365" t="s" s="11">
        <v>6107</v>
      </c>
      <c r="C365" s="12">
        <v>44987</v>
      </c>
      <c r="D365" t="s" s="13">
        <v>602</v>
      </c>
      <c r="E365" t="s" s="13">
        <v>828</v>
      </c>
      <c r="F365" s="14">
        <v>6</v>
      </c>
      <c r="G365" s="15">
        <v>299.99</v>
      </c>
      <c r="H365" s="15">
        <v>1799.94</v>
      </c>
    </row>
    <row r="366" ht="12.9" customHeight="1">
      <c r="A366" t="s" s="10">
        <v>6106</v>
      </c>
      <c r="B366" t="s" s="11">
        <v>6107</v>
      </c>
      <c r="C366" s="12">
        <v>44987</v>
      </c>
      <c r="D366" t="s" s="13">
        <v>19</v>
      </c>
      <c r="E366" t="s" s="13">
        <v>20</v>
      </c>
      <c r="F366" s="14">
        <v>6</v>
      </c>
      <c r="G366" s="15">
        <v>119.99</v>
      </c>
      <c r="H366" s="15">
        <v>719.9400000000001</v>
      </c>
    </row>
    <row r="367" ht="12.9" customHeight="1">
      <c r="A367" t="s" s="10">
        <v>6106</v>
      </c>
      <c r="B367" t="s" s="11">
        <v>6107</v>
      </c>
      <c r="C367" s="12">
        <v>44987</v>
      </c>
      <c r="D367" t="s" s="13">
        <v>54</v>
      </c>
      <c r="E367" t="s" s="13">
        <v>6109</v>
      </c>
      <c r="F367" s="14">
        <v>6</v>
      </c>
      <c r="G367" s="15">
        <v>0</v>
      </c>
      <c r="H367" s="15">
        <v>0</v>
      </c>
    </row>
    <row r="368" ht="12.9" customHeight="1">
      <c r="A368" t="s" s="10">
        <v>6106</v>
      </c>
      <c r="B368" t="s" s="11">
        <v>6107</v>
      </c>
      <c r="C368" s="12">
        <v>44987</v>
      </c>
      <c r="D368" t="s" s="13">
        <v>15</v>
      </c>
      <c r="E368" t="s" s="13">
        <v>6110</v>
      </c>
      <c r="F368" s="14">
        <v>10</v>
      </c>
      <c r="G368" s="15">
        <v>8.49</v>
      </c>
      <c r="H368" s="15">
        <v>84.90000000000001</v>
      </c>
    </row>
    <row r="369" ht="12.9" customHeight="1">
      <c r="A369" t="s" s="10">
        <v>6106</v>
      </c>
      <c r="B369" t="s" s="11">
        <v>6107</v>
      </c>
      <c r="C369" s="12">
        <v>44987</v>
      </c>
      <c r="D369" t="s" s="13">
        <v>77</v>
      </c>
      <c r="E369" t="s" s="13">
        <v>4224</v>
      </c>
      <c r="F369" s="14">
        <v>6</v>
      </c>
      <c r="G369" s="15">
        <v>19.99</v>
      </c>
      <c r="H369" s="15">
        <v>119.94</v>
      </c>
    </row>
    <row r="370" ht="12.9" customHeight="1">
      <c r="A370" t="s" s="10">
        <v>6111</v>
      </c>
      <c r="B370" t="s" s="11">
        <v>6112</v>
      </c>
      <c r="C370" s="12">
        <v>44986.959599583337</v>
      </c>
      <c r="D370" t="s" s="13">
        <v>39</v>
      </c>
      <c r="E370" t="s" s="13">
        <v>828</v>
      </c>
      <c r="F370" s="14">
        <v>1</v>
      </c>
      <c r="G370" s="15">
        <v>109.99</v>
      </c>
      <c r="H370" s="15">
        <v>109.99</v>
      </c>
    </row>
    <row r="371" ht="12.9" customHeight="1">
      <c r="A371" t="s" s="10">
        <v>6111</v>
      </c>
      <c r="B371" t="s" s="11">
        <v>6112</v>
      </c>
      <c r="C371" s="12">
        <v>44986.959599583337</v>
      </c>
      <c r="D371" t="s" s="13">
        <v>5138</v>
      </c>
      <c r="E371" t="s" s="13">
        <v>5139</v>
      </c>
      <c r="F371" s="14">
        <v>1</v>
      </c>
      <c r="G371" s="15">
        <v>15</v>
      </c>
      <c r="H371" s="15">
        <v>15</v>
      </c>
    </row>
    <row r="372" ht="12.9" customHeight="1">
      <c r="A372" t="s" s="10">
        <v>6111</v>
      </c>
      <c r="B372" t="s" s="11">
        <v>6112</v>
      </c>
      <c r="C372" s="12">
        <v>44986.959599583337</v>
      </c>
      <c r="D372" t="s" s="13">
        <v>50</v>
      </c>
      <c r="E372" t="s" s="13">
        <v>83</v>
      </c>
      <c r="F372" s="14">
        <v>1</v>
      </c>
      <c r="G372" s="15">
        <v>29.99</v>
      </c>
      <c r="H372" s="15">
        <v>29.99</v>
      </c>
    </row>
    <row r="373" ht="12.9" customHeight="1">
      <c r="A373" t="s" s="10">
        <v>6111</v>
      </c>
      <c r="B373" t="s" s="11">
        <v>6112</v>
      </c>
      <c r="C373" s="12">
        <v>44986.959599583337</v>
      </c>
      <c r="D373" t="s" s="13">
        <v>5845</v>
      </c>
      <c r="E373" t="s" s="13">
        <v>5846</v>
      </c>
      <c r="F373" s="14">
        <v>1</v>
      </c>
      <c r="G373" s="15">
        <v>9.99</v>
      </c>
      <c r="H373" s="15">
        <v>9.99</v>
      </c>
    </row>
    <row r="374" ht="12.9" customHeight="1">
      <c r="A374" t="s" s="10">
        <v>6111</v>
      </c>
      <c r="B374" t="s" s="11">
        <v>6112</v>
      </c>
      <c r="C374" s="12">
        <v>44986.959599583337</v>
      </c>
      <c r="D374" t="s" s="13">
        <v>15</v>
      </c>
      <c r="E374" t="s" s="13">
        <v>4757</v>
      </c>
      <c r="F374" s="14">
        <v>1</v>
      </c>
      <c r="G374" s="15">
        <v>9.99</v>
      </c>
      <c r="H374" s="15">
        <v>9.99</v>
      </c>
    </row>
    <row r="375" ht="12.9" customHeight="1">
      <c r="A375" t="s" s="10">
        <v>6113</v>
      </c>
      <c r="B375" t="s" s="11">
        <v>6114</v>
      </c>
      <c r="C375" s="12">
        <v>44986.903533379627</v>
      </c>
      <c r="D375" t="s" s="13">
        <v>5845</v>
      </c>
      <c r="E375" t="s" s="13">
        <v>5846</v>
      </c>
      <c r="F375" s="14">
        <v>1</v>
      </c>
      <c r="G375" s="15">
        <v>9.99</v>
      </c>
      <c r="H375" s="15">
        <v>9.99</v>
      </c>
    </row>
    <row r="376" ht="12.9" customHeight="1">
      <c r="A376" t="s" s="10">
        <v>6113</v>
      </c>
      <c r="B376" t="s" s="11">
        <v>6114</v>
      </c>
      <c r="C376" s="12">
        <v>44986.903533379627</v>
      </c>
      <c r="D376" t="s" s="13">
        <v>19</v>
      </c>
      <c r="E376" t="s" s="13">
        <v>20</v>
      </c>
      <c r="F376" s="14">
        <v>2</v>
      </c>
      <c r="G376" s="15">
        <v>119.99</v>
      </c>
      <c r="H376" s="15">
        <v>239.98</v>
      </c>
    </row>
    <row r="377" ht="12.9" customHeight="1">
      <c r="A377" t="s" s="10">
        <v>6113</v>
      </c>
      <c r="B377" t="s" s="11">
        <v>6114</v>
      </c>
      <c r="C377" s="12">
        <v>44986.903533379627</v>
      </c>
      <c r="D377" t="s" s="13">
        <v>15</v>
      </c>
      <c r="E377" t="s" s="13">
        <v>4757</v>
      </c>
      <c r="F377" s="14">
        <v>2</v>
      </c>
      <c r="G377" s="15">
        <v>9.99</v>
      </c>
      <c r="H377" s="15">
        <v>19.98</v>
      </c>
    </row>
    <row r="378" ht="12.9" customHeight="1">
      <c r="A378" t="s" s="10">
        <v>6115</v>
      </c>
      <c r="B378" t="s" s="11">
        <v>5718</v>
      </c>
      <c r="C378" s="12">
        <v>44986.853384849535</v>
      </c>
      <c r="D378" t="s" s="13">
        <v>179</v>
      </c>
      <c r="E378" t="s" s="13">
        <v>180</v>
      </c>
      <c r="F378" s="14">
        <v>2</v>
      </c>
      <c r="G378" s="15">
        <v>49.99</v>
      </c>
      <c r="H378" s="15">
        <v>99.98</v>
      </c>
    </row>
    <row r="379" ht="12.9" customHeight="1">
      <c r="A379" t="s" s="10">
        <v>6116</v>
      </c>
      <c r="B379" t="s" s="11">
        <v>6117</v>
      </c>
      <c r="C379" s="12">
        <v>44986.714274097219</v>
      </c>
      <c r="D379" t="s" s="13">
        <v>50</v>
      </c>
      <c r="E379" t="s" s="13">
        <v>83</v>
      </c>
      <c r="F379" s="14">
        <v>2</v>
      </c>
      <c r="G379" s="15">
        <v>29.99</v>
      </c>
      <c r="H379" s="15">
        <v>59.98</v>
      </c>
    </row>
    <row r="380" ht="12.9" customHeight="1">
      <c r="A380" t="s" s="10">
        <v>6118</v>
      </c>
      <c r="B380" t="s" s="11">
        <v>6119</v>
      </c>
      <c r="C380" s="12">
        <v>44986.643248773151</v>
      </c>
      <c r="D380" t="s" s="13">
        <v>59</v>
      </c>
      <c r="E380" t="s" s="13">
        <v>60</v>
      </c>
      <c r="F380" s="14">
        <v>1</v>
      </c>
      <c r="G380" s="15">
        <v>1199.99</v>
      </c>
      <c r="H380" s="15">
        <v>1199.99</v>
      </c>
    </row>
    <row r="381" ht="12.9" customHeight="1">
      <c r="A381" t="s" s="10">
        <v>6120</v>
      </c>
      <c r="B381" t="s" s="11">
        <v>6121</v>
      </c>
      <c r="C381" s="12">
        <v>44986.631007048614</v>
      </c>
      <c r="D381" t="s" s="13">
        <v>1593</v>
      </c>
      <c r="E381" t="s" s="13">
        <v>828</v>
      </c>
      <c r="F381" s="14">
        <v>1</v>
      </c>
      <c r="G381" s="15">
        <v>99.98999999999999</v>
      </c>
      <c r="H381" s="15">
        <v>99.98999999999999</v>
      </c>
    </row>
    <row r="382" ht="12.9" customHeight="1">
      <c r="A382" t="s" s="10">
        <v>6122</v>
      </c>
      <c r="B382" t="s" s="11">
        <v>6123</v>
      </c>
      <c r="C382" s="12">
        <v>44986.228367129632</v>
      </c>
      <c r="D382" t="s" s="13">
        <v>54</v>
      </c>
      <c r="E382" t="s" s="13">
        <v>93</v>
      </c>
      <c r="F382" s="14">
        <v>1</v>
      </c>
      <c r="G382" s="15">
        <v>9.99</v>
      </c>
      <c r="H382" s="15">
        <v>9.99</v>
      </c>
    </row>
    <row r="383" ht="12.9" customHeight="1">
      <c r="A383" t="s" s="10">
        <v>6124</v>
      </c>
      <c r="B383" t="s" s="11">
        <v>5876</v>
      </c>
      <c r="C383" s="12">
        <v>44986</v>
      </c>
      <c r="D383" t="s" s="13">
        <v>225</v>
      </c>
      <c r="E383" t="s" s="13">
        <v>226</v>
      </c>
      <c r="F383" s="14">
        <v>2</v>
      </c>
      <c r="G383" s="15">
        <v>499.99</v>
      </c>
      <c r="H383" s="15">
        <v>999.98</v>
      </c>
    </row>
    <row r="384" ht="12.9" customHeight="1">
      <c r="A384" t="s" s="10">
        <v>6124</v>
      </c>
      <c r="B384" t="s" s="11">
        <v>5876</v>
      </c>
      <c r="C384" s="12">
        <v>44986</v>
      </c>
      <c r="D384" t="s" s="13">
        <v>227</v>
      </c>
      <c r="E384" t="s" s="13">
        <v>228</v>
      </c>
      <c r="F384" s="14">
        <v>2</v>
      </c>
      <c r="G384" s="15">
        <v>0</v>
      </c>
      <c r="H384" s="15">
        <v>0</v>
      </c>
    </row>
    <row r="385" ht="12.9" customHeight="1">
      <c r="A385" t="s" s="10">
        <v>6124</v>
      </c>
      <c r="B385" t="s" s="11">
        <v>5876</v>
      </c>
      <c r="C385" s="12">
        <v>44986</v>
      </c>
      <c r="D385" t="s" s="13">
        <v>84</v>
      </c>
      <c r="E385" t="s" s="13">
        <v>4225</v>
      </c>
      <c r="F385" s="14">
        <v>2</v>
      </c>
      <c r="G385" s="15">
        <v>0</v>
      </c>
      <c r="H385" s="15">
        <v>0</v>
      </c>
    </row>
    <row r="386" ht="12.9" customHeight="1">
      <c r="A386" t="s" s="10">
        <v>6124</v>
      </c>
      <c r="B386" t="s" s="11">
        <v>5876</v>
      </c>
      <c r="C386" s="12">
        <v>44986</v>
      </c>
      <c r="D386" t="s" s="13">
        <v>1593</v>
      </c>
      <c r="E386" t="s" s="13">
        <v>828</v>
      </c>
      <c r="F386" s="14">
        <v>2</v>
      </c>
      <c r="G386" s="15">
        <v>99.98999999999999</v>
      </c>
      <c r="H386" s="15">
        <v>199.98</v>
      </c>
    </row>
    <row r="387" ht="12.9" customHeight="1">
      <c r="A387" t="s" s="10">
        <v>6124</v>
      </c>
      <c r="B387" t="s" s="11">
        <v>5876</v>
      </c>
      <c r="C387" s="12">
        <v>44986</v>
      </c>
      <c r="D387" t="s" s="13">
        <v>73</v>
      </c>
      <c r="E387" t="s" s="13">
        <v>74</v>
      </c>
      <c r="F387" s="14">
        <v>1</v>
      </c>
      <c r="G387" s="15">
        <v>399.99</v>
      </c>
      <c r="H387" s="15">
        <v>399.99</v>
      </c>
    </row>
    <row r="388" ht="12.9" customHeight="1">
      <c r="A388" t="s" s="10">
        <v>6124</v>
      </c>
      <c r="B388" t="s" s="11">
        <v>5876</v>
      </c>
      <c r="C388" s="12">
        <v>44986</v>
      </c>
      <c r="D388" t="s" s="13">
        <v>50</v>
      </c>
      <c r="E388" t="s" s="13">
        <v>83</v>
      </c>
      <c r="F388" s="14">
        <v>2</v>
      </c>
      <c r="G388" s="15">
        <v>29.99</v>
      </c>
      <c r="H388" s="15">
        <v>59.98</v>
      </c>
    </row>
    <row r="389" ht="12.9" customHeight="1">
      <c r="A389" t="s" s="10">
        <v>6125</v>
      </c>
      <c r="B389" t="s" s="11">
        <v>2829</v>
      </c>
      <c r="C389" s="12">
        <v>44986</v>
      </c>
      <c r="D389" t="s" s="13">
        <v>2347</v>
      </c>
      <c r="E389" t="s" s="13">
        <v>6126</v>
      </c>
      <c r="F389" s="14">
        <v>2</v>
      </c>
      <c r="G389" s="15">
        <v>329.994</v>
      </c>
      <c r="H389" s="15">
        <v>659.9880000000001</v>
      </c>
    </row>
    <row r="390" ht="12.9" customHeight="1">
      <c r="A390" t="s" s="10">
        <v>6125</v>
      </c>
      <c r="B390" t="s" s="11">
        <v>2829</v>
      </c>
      <c r="C390" s="12">
        <v>44986</v>
      </c>
      <c r="D390" t="s" s="13">
        <v>63</v>
      </c>
      <c r="E390" s="16"/>
      <c r="F390" s="14">
        <v>1</v>
      </c>
      <c r="G390" s="15">
        <v>15</v>
      </c>
      <c r="H390" s="15">
        <v>15</v>
      </c>
    </row>
    <row r="391" ht="12.9" customHeight="1">
      <c r="A391" t="s" s="10">
        <v>6127</v>
      </c>
      <c r="B391" t="s" s="11">
        <v>2829</v>
      </c>
      <c r="C391" s="12">
        <v>44986</v>
      </c>
      <c r="D391" t="s" s="13">
        <v>133</v>
      </c>
      <c r="E391" t="s" s="13">
        <v>6128</v>
      </c>
      <c r="F391" s="14">
        <v>30</v>
      </c>
      <c r="G391" s="15">
        <v>125</v>
      </c>
      <c r="H391" s="15">
        <v>3750</v>
      </c>
    </row>
    <row r="392" ht="12.9" customHeight="1">
      <c r="A392" t="s" s="10">
        <v>6127</v>
      </c>
      <c r="B392" t="s" s="11">
        <v>2829</v>
      </c>
      <c r="C392" s="12">
        <v>44986</v>
      </c>
      <c r="D392" t="s" s="13">
        <v>63</v>
      </c>
      <c r="E392" s="16"/>
      <c r="F392" s="14">
        <v>1</v>
      </c>
      <c r="G392" s="15">
        <v>150</v>
      </c>
      <c r="H392" s="15">
        <v>150</v>
      </c>
    </row>
    <row r="394" ht="15.55" customHeight="1">
      <c r="I394" t="s" s="2">
        <v>6129</v>
      </c>
      <c r="J394" s="2"/>
      <c r="K394" s="2"/>
      <c r="L394" s="2"/>
      <c r="M394" s="2"/>
      <c r="N394" s="2"/>
      <c r="O394" s="2"/>
    </row>
    <row r="395" ht="16.1" customHeight="1">
      <c r="I395" t="s" s="20">
        <v>2</v>
      </c>
      <c r="J395" t="s" s="21">
        <v>1</v>
      </c>
      <c r="K395" t="s" s="21">
        <v>1504</v>
      </c>
      <c r="L395" t="s" s="22">
        <v>4</v>
      </c>
      <c r="M395" t="s" s="23">
        <v>617</v>
      </c>
      <c r="N395" t="s" s="3">
        <v>618</v>
      </c>
      <c r="O395" t="s" s="3">
        <v>619</v>
      </c>
    </row>
    <row r="396" ht="8.75" customHeight="1" hidden="1">
      <c r="I396" s="362"/>
      <c r="J396" s="363"/>
      <c r="K396" s="363"/>
      <c r="L396" t="s" s="364">
        <v>23</v>
      </c>
      <c r="M396" s="365">
        <v>1</v>
      </c>
      <c r="N396" s="366">
        <v>149.99</v>
      </c>
      <c r="O396" s="366">
        <v>149.99</v>
      </c>
    </row>
    <row r="397" ht="8.75" customHeight="1" hidden="1">
      <c r="I397" s="362"/>
      <c r="J397" s="363"/>
      <c r="K397" s="367">
        <v>44986</v>
      </c>
      <c r="L397" s="368"/>
      <c r="M397" s="369">
        <v>1</v>
      </c>
      <c r="N397" s="370">
        <v>149.99</v>
      </c>
      <c r="O397" s="370">
        <v>149.99</v>
      </c>
    </row>
    <row r="398" ht="8.75" customHeight="1" hidden="1">
      <c r="I398" s="362"/>
      <c r="J398" t="s" s="371">
        <v>5973</v>
      </c>
      <c r="K398" s="372"/>
      <c r="L398" s="368"/>
      <c r="M398" s="369">
        <v>1</v>
      </c>
      <c r="N398" s="370">
        <v>149.99</v>
      </c>
      <c r="O398" s="370">
        <v>149.99</v>
      </c>
    </row>
    <row r="399" ht="16.1" customHeight="1">
      <c r="I399" t="s" s="121">
        <v>5974</v>
      </c>
      <c r="J399" s="122"/>
      <c r="K399" s="122"/>
      <c r="L399" s="123"/>
      <c r="M399" s="124">
        <v>1</v>
      </c>
      <c r="N399" s="141">
        <v>149.99</v>
      </c>
      <c r="O399" s="141">
        <v>149.99</v>
      </c>
    </row>
    <row r="400" ht="9" customHeight="1" hidden="1">
      <c r="I400" s="373"/>
      <c r="J400" s="374"/>
      <c r="K400" s="374"/>
      <c r="L400" t="s" s="375">
        <v>589</v>
      </c>
      <c r="M400" s="376">
        <v>1</v>
      </c>
      <c r="N400" s="377">
        <v>7.49</v>
      </c>
      <c r="O400" s="377">
        <v>7.49</v>
      </c>
    </row>
    <row r="401" ht="9" customHeight="1" hidden="1">
      <c r="I401" s="373"/>
      <c r="J401" s="374"/>
      <c r="K401" s="378">
        <v>44986</v>
      </c>
      <c r="L401" s="128"/>
      <c r="M401" s="129">
        <v>1</v>
      </c>
      <c r="N401" s="142">
        <v>7.49</v>
      </c>
      <c r="O401" s="142">
        <v>7.49</v>
      </c>
    </row>
    <row r="402" ht="9" customHeight="1" hidden="1">
      <c r="I402" s="373"/>
      <c r="J402" t="s" s="379">
        <v>6103</v>
      </c>
      <c r="K402" s="127"/>
      <c r="L402" s="128"/>
      <c r="M402" s="129">
        <v>1</v>
      </c>
      <c r="N402" s="142">
        <v>7.49</v>
      </c>
      <c r="O402" s="142">
        <v>7.49</v>
      </c>
    </row>
    <row r="403" ht="16.1" customHeight="1">
      <c r="I403" t="s" s="126">
        <v>6104</v>
      </c>
      <c r="J403" s="127"/>
      <c r="K403" s="127"/>
      <c r="L403" s="128"/>
      <c r="M403" s="129">
        <v>1</v>
      </c>
      <c r="N403" s="142">
        <v>7.49</v>
      </c>
      <c r="O403" s="142">
        <v>7.49</v>
      </c>
    </row>
    <row r="404" ht="9" customHeight="1" hidden="1">
      <c r="I404" s="373"/>
      <c r="J404" s="374"/>
      <c r="K404" s="374"/>
      <c r="L404" t="s" s="375">
        <v>95</v>
      </c>
      <c r="M404" s="376">
        <v>1</v>
      </c>
      <c r="N404" s="377">
        <v>349.99</v>
      </c>
      <c r="O404" s="377">
        <v>349.99</v>
      </c>
    </row>
    <row r="405" ht="9" customHeight="1" hidden="1">
      <c r="I405" s="373"/>
      <c r="J405" s="374"/>
      <c r="K405" s="378">
        <v>44986</v>
      </c>
      <c r="L405" s="128"/>
      <c r="M405" s="129">
        <v>1</v>
      </c>
      <c r="N405" s="142">
        <v>349.99</v>
      </c>
      <c r="O405" s="142">
        <v>349.99</v>
      </c>
    </row>
    <row r="406" ht="9" customHeight="1" hidden="1">
      <c r="I406" s="373"/>
      <c r="J406" t="s" s="379">
        <v>6068</v>
      </c>
      <c r="K406" s="127"/>
      <c r="L406" s="128"/>
      <c r="M406" s="129">
        <v>1</v>
      </c>
      <c r="N406" s="142">
        <v>349.99</v>
      </c>
      <c r="O406" s="142">
        <v>349.99</v>
      </c>
    </row>
    <row r="407" ht="16.1" customHeight="1">
      <c r="I407" t="s" s="126">
        <v>6069</v>
      </c>
      <c r="J407" s="127"/>
      <c r="K407" s="127"/>
      <c r="L407" s="128"/>
      <c r="M407" s="129">
        <v>1</v>
      </c>
      <c r="N407" s="142">
        <v>349.99</v>
      </c>
      <c r="O407" s="142">
        <v>349.99</v>
      </c>
    </row>
    <row r="408" ht="9" customHeight="1" hidden="1">
      <c r="I408" s="373"/>
      <c r="J408" s="374"/>
      <c r="K408" s="374"/>
      <c r="L408" t="s" s="375">
        <v>1695</v>
      </c>
      <c r="M408" s="376">
        <v>2</v>
      </c>
      <c r="N408" s="377">
        <v>49.99</v>
      </c>
      <c r="O408" s="377">
        <v>99.98</v>
      </c>
    </row>
    <row r="409" ht="9" customHeight="1" hidden="1">
      <c r="I409" s="373"/>
      <c r="J409" s="374"/>
      <c r="K409" s="374"/>
      <c r="L409" t="s" s="375">
        <v>412</v>
      </c>
      <c r="M409" s="376">
        <v>20</v>
      </c>
      <c r="N409" s="377">
        <v>1.99</v>
      </c>
      <c r="O409" s="377">
        <v>39.8</v>
      </c>
    </row>
    <row r="410" ht="9" customHeight="1" hidden="1">
      <c r="I410" s="373"/>
      <c r="J410" s="374"/>
      <c r="K410" s="374"/>
      <c r="L410" t="s" s="375">
        <v>59</v>
      </c>
      <c r="M410" s="376">
        <v>1</v>
      </c>
      <c r="N410" s="377">
        <v>1199.99</v>
      </c>
      <c r="O410" s="377">
        <v>1199.99</v>
      </c>
    </row>
    <row r="411" ht="9" customHeight="1" hidden="1">
      <c r="I411" s="373"/>
      <c r="J411" s="374"/>
      <c r="K411" s="374"/>
      <c r="L411" t="s" s="375">
        <v>15</v>
      </c>
      <c r="M411" s="376">
        <v>12</v>
      </c>
      <c r="N411" s="377">
        <v>18.48</v>
      </c>
      <c r="O411" s="377">
        <v>104.88</v>
      </c>
    </row>
    <row r="412" ht="9" customHeight="1" hidden="1">
      <c r="I412" s="373"/>
      <c r="J412" s="374"/>
      <c r="K412" s="378">
        <v>44986</v>
      </c>
      <c r="L412" s="128"/>
      <c r="M412" s="129">
        <v>35</v>
      </c>
      <c r="N412" s="142">
        <v>1270.45</v>
      </c>
      <c r="O412" s="142">
        <v>1444.65</v>
      </c>
    </row>
    <row r="413" ht="9" customHeight="1" hidden="1">
      <c r="I413" s="373"/>
      <c r="J413" t="s" s="379">
        <v>5938</v>
      </c>
      <c r="K413" s="127"/>
      <c r="L413" s="128"/>
      <c r="M413" s="129">
        <v>35</v>
      </c>
      <c r="N413" s="142">
        <v>1270.45</v>
      </c>
      <c r="O413" s="142">
        <v>1444.65</v>
      </c>
    </row>
    <row r="414" ht="16.1" customHeight="1">
      <c r="I414" t="s" s="126">
        <v>5939</v>
      </c>
      <c r="J414" s="127"/>
      <c r="K414" s="127"/>
      <c r="L414" s="128"/>
      <c r="M414" s="129">
        <v>35</v>
      </c>
      <c r="N414" s="142">
        <v>1270.45</v>
      </c>
      <c r="O414" s="142">
        <v>1444.65</v>
      </c>
    </row>
    <row r="415" ht="9" customHeight="1" hidden="1">
      <c r="I415" s="373"/>
      <c r="J415" s="374"/>
      <c r="K415" s="374"/>
      <c r="L415" t="s" s="375">
        <v>171</v>
      </c>
      <c r="M415" s="376">
        <v>2</v>
      </c>
      <c r="N415" s="377">
        <v>412.4925</v>
      </c>
      <c r="O415" s="377">
        <v>824.985</v>
      </c>
    </row>
    <row r="416" ht="9" customHeight="1" hidden="1">
      <c r="I416" s="373"/>
      <c r="J416" s="374"/>
      <c r="K416" s="374"/>
      <c r="L416" t="s" s="375">
        <v>63</v>
      </c>
      <c r="M416" s="376">
        <v>1</v>
      </c>
      <c r="N416" s="377">
        <v>45</v>
      </c>
      <c r="O416" s="377">
        <v>45</v>
      </c>
    </row>
    <row r="417" ht="9" customHeight="1" hidden="1">
      <c r="I417" s="373"/>
      <c r="J417" s="374"/>
      <c r="K417" s="378">
        <v>44986</v>
      </c>
      <c r="L417" s="128"/>
      <c r="M417" s="129">
        <v>3</v>
      </c>
      <c r="N417" s="142">
        <v>457.4925</v>
      </c>
      <c r="O417" s="142">
        <v>869.985</v>
      </c>
    </row>
    <row r="418" ht="9" customHeight="1" hidden="1">
      <c r="I418" s="373"/>
      <c r="J418" t="s" s="379">
        <v>6057</v>
      </c>
      <c r="K418" s="127"/>
      <c r="L418" s="128"/>
      <c r="M418" s="129">
        <v>3</v>
      </c>
      <c r="N418" s="142">
        <v>457.4925</v>
      </c>
      <c r="O418" s="142">
        <v>869.985</v>
      </c>
    </row>
    <row r="419" ht="16.1" customHeight="1">
      <c r="I419" t="s" s="126">
        <v>161</v>
      </c>
      <c r="J419" s="127"/>
      <c r="K419" s="127"/>
      <c r="L419" s="128"/>
      <c r="M419" s="129">
        <v>3</v>
      </c>
      <c r="N419" s="142">
        <v>457.4925</v>
      </c>
      <c r="O419" s="142">
        <v>869.985</v>
      </c>
    </row>
    <row r="420" ht="9" customHeight="1" hidden="1">
      <c r="I420" s="373"/>
      <c r="J420" s="374"/>
      <c r="K420" s="374"/>
      <c r="L420" t="s" s="375">
        <v>5845</v>
      </c>
      <c r="M420" s="376">
        <v>1</v>
      </c>
      <c r="N420" s="377">
        <v>9.99</v>
      </c>
      <c r="O420" s="377">
        <v>9.99</v>
      </c>
    </row>
    <row r="421" ht="9" customHeight="1" hidden="1">
      <c r="I421" s="373"/>
      <c r="J421" s="374"/>
      <c r="K421" s="378">
        <v>44986</v>
      </c>
      <c r="L421" s="128"/>
      <c r="M421" s="129">
        <v>1</v>
      </c>
      <c r="N421" s="142">
        <v>9.99</v>
      </c>
      <c r="O421" s="142">
        <v>9.99</v>
      </c>
    </row>
    <row r="422" ht="9" customHeight="1" hidden="1">
      <c r="I422" s="373"/>
      <c r="J422" t="s" s="379">
        <v>6101</v>
      </c>
      <c r="K422" s="127"/>
      <c r="L422" s="128"/>
      <c r="M422" s="129">
        <v>1</v>
      </c>
      <c r="N422" s="142">
        <v>9.99</v>
      </c>
      <c r="O422" s="142">
        <v>9.99</v>
      </c>
    </row>
    <row r="423" ht="16.1" customHeight="1">
      <c r="I423" t="s" s="126">
        <v>6102</v>
      </c>
      <c r="J423" s="127"/>
      <c r="K423" s="127"/>
      <c r="L423" s="128"/>
      <c r="M423" s="129">
        <v>1</v>
      </c>
      <c r="N423" s="142">
        <v>9.99</v>
      </c>
      <c r="O423" s="142">
        <v>9.99</v>
      </c>
    </row>
    <row r="424" ht="9" customHeight="1" hidden="1">
      <c r="I424" s="373"/>
      <c r="J424" s="374"/>
      <c r="K424" s="374"/>
      <c r="L424" t="s" s="375">
        <v>1731</v>
      </c>
      <c r="M424" s="376">
        <v>1</v>
      </c>
      <c r="N424" s="377">
        <v>24.99</v>
      </c>
      <c r="O424" s="377">
        <v>24.99</v>
      </c>
    </row>
    <row r="425" ht="9" customHeight="1" hidden="1">
      <c r="I425" s="373"/>
      <c r="J425" s="374"/>
      <c r="K425" s="378">
        <v>44986</v>
      </c>
      <c r="L425" s="128"/>
      <c r="M425" s="129">
        <v>1</v>
      </c>
      <c r="N425" s="142">
        <v>24.99</v>
      </c>
      <c r="O425" s="142">
        <v>24.99</v>
      </c>
    </row>
    <row r="426" ht="9" customHeight="1" hidden="1">
      <c r="I426" s="373"/>
      <c r="J426" t="s" s="379">
        <v>6099</v>
      </c>
      <c r="K426" s="127"/>
      <c r="L426" s="128"/>
      <c r="M426" s="129">
        <v>1</v>
      </c>
      <c r="N426" s="142">
        <v>24.99</v>
      </c>
      <c r="O426" s="142">
        <v>24.99</v>
      </c>
    </row>
    <row r="427" ht="16.1" customHeight="1">
      <c r="I427" t="s" s="126">
        <v>6100</v>
      </c>
      <c r="J427" s="127"/>
      <c r="K427" s="127"/>
      <c r="L427" s="128"/>
      <c r="M427" s="129">
        <v>1</v>
      </c>
      <c r="N427" s="142">
        <v>24.99</v>
      </c>
      <c r="O427" s="142">
        <v>24.99</v>
      </c>
    </row>
    <row r="428" ht="9" customHeight="1" hidden="1">
      <c r="I428" s="373"/>
      <c r="J428" s="374"/>
      <c r="K428" s="374"/>
      <c r="L428" t="s" s="375">
        <v>95</v>
      </c>
      <c r="M428" s="376">
        <v>1</v>
      </c>
      <c r="N428" s="377">
        <v>349.99</v>
      </c>
      <c r="O428" s="377">
        <v>349.99</v>
      </c>
    </row>
    <row r="429" ht="9" customHeight="1" hidden="1">
      <c r="I429" s="373"/>
      <c r="J429" s="374"/>
      <c r="K429" s="378">
        <v>44986</v>
      </c>
      <c r="L429" s="128"/>
      <c r="M429" s="129">
        <v>1</v>
      </c>
      <c r="N429" s="142">
        <v>349.99</v>
      </c>
      <c r="O429" s="142">
        <v>349.99</v>
      </c>
    </row>
    <row r="430" ht="9" customHeight="1" hidden="1">
      <c r="I430" s="373"/>
      <c r="J430" t="s" s="379">
        <v>6036</v>
      </c>
      <c r="K430" s="127"/>
      <c r="L430" s="128"/>
      <c r="M430" s="129">
        <v>1</v>
      </c>
      <c r="N430" s="142">
        <v>349.99</v>
      </c>
      <c r="O430" s="142">
        <v>349.99</v>
      </c>
    </row>
    <row r="431" ht="9" customHeight="1" hidden="1">
      <c r="I431" s="373"/>
      <c r="J431" s="374"/>
      <c r="K431" s="374"/>
      <c r="L431" t="s" s="375">
        <v>35</v>
      </c>
      <c r="M431" s="376">
        <v>1</v>
      </c>
      <c r="N431" s="377">
        <v>49.99</v>
      </c>
      <c r="O431" s="377">
        <v>49.99</v>
      </c>
    </row>
    <row r="432" ht="9" customHeight="1" hidden="1">
      <c r="I432" s="373"/>
      <c r="J432" s="374"/>
      <c r="K432" s="378">
        <v>44986</v>
      </c>
      <c r="L432" s="128"/>
      <c r="M432" s="129">
        <v>1</v>
      </c>
      <c r="N432" s="142">
        <v>49.99</v>
      </c>
      <c r="O432" s="142">
        <v>49.99</v>
      </c>
    </row>
    <row r="433" ht="9" customHeight="1" hidden="1">
      <c r="I433" s="373"/>
      <c r="J433" t="s" s="379">
        <v>6034</v>
      </c>
      <c r="K433" s="127"/>
      <c r="L433" s="128"/>
      <c r="M433" s="129">
        <v>1</v>
      </c>
      <c r="N433" s="142">
        <v>49.99</v>
      </c>
      <c r="O433" s="142">
        <v>49.99</v>
      </c>
    </row>
    <row r="434" ht="16.1" customHeight="1">
      <c r="I434" t="s" s="126">
        <v>6035</v>
      </c>
      <c r="J434" s="127"/>
      <c r="K434" s="127"/>
      <c r="L434" s="128"/>
      <c r="M434" s="129">
        <v>2</v>
      </c>
      <c r="N434" s="142">
        <v>399.98</v>
      </c>
      <c r="O434" s="142">
        <v>399.98</v>
      </c>
    </row>
    <row r="435" ht="9" customHeight="1" hidden="1">
      <c r="I435" s="373"/>
      <c r="J435" s="374"/>
      <c r="K435" s="374"/>
      <c r="L435" t="s" s="375">
        <v>19</v>
      </c>
      <c r="M435" s="376">
        <v>5</v>
      </c>
      <c r="N435" s="377">
        <v>119.99</v>
      </c>
      <c r="O435" s="377">
        <v>599.95</v>
      </c>
    </row>
    <row r="436" ht="9" customHeight="1" hidden="1">
      <c r="I436" s="373"/>
      <c r="J436" s="374"/>
      <c r="K436" s="374"/>
      <c r="L436" t="s" s="375">
        <v>84</v>
      </c>
      <c r="M436" s="376">
        <v>6</v>
      </c>
      <c r="N436" s="377">
        <v>0</v>
      </c>
      <c r="O436" s="377">
        <v>0</v>
      </c>
    </row>
    <row r="437" ht="9" customHeight="1" hidden="1">
      <c r="I437" s="373"/>
      <c r="J437" s="374"/>
      <c r="K437" s="374"/>
      <c r="L437" t="s" s="375">
        <v>179</v>
      </c>
      <c r="M437" s="376">
        <v>4</v>
      </c>
      <c r="N437" s="377">
        <v>49.99</v>
      </c>
      <c r="O437" s="377">
        <v>199.96</v>
      </c>
    </row>
    <row r="438" ht="9" customHeight="1" hidden="1">
      <c r="I438" s="373"/>
      <c r="J438" s="374"/>
      <c r="K438" s="374"/>
      <c r="L438" t="s" s="375">
        <v>487</v>
      </c>
      <c r="M438" s="376">
        <v>6</v>
      </c>
      <c r="N438" s="377">
        <v>0</v>
      </c>
      <c r="O438" s="377">
        <v>0</v>
      </c>
    </row>
    <row r="439" ht="9" customHeight="1" hidden="1">
      <c r="I439" s="373"/>
      <c r="J439" s="374"/>
      <c r="K439" s="374"/>
      <c r="L439" t="s" s="375">
        <v>133</v>
      </c>
      <c r="M439" s="376">
        <v>2</v>
      </c>
      <c r="N439" s="377">
        <v>149.99</v>
      </c>
      <c r="O439" s="377">
        <v>299.98</v>
      </c>
    </row>
    <row r="440" ht="9" customHeight="1" hidden="1">
      <c r="I440" s="373"/>
      <c r="J440" s="374"/>
      <c r="K440" s="374"/>
      <c r="L440" t="s" s="375">
        <v>602</v>
      </c>
      <c r="M440" s="376">
        <v>4</v>
      </c>
      <c r="N440" s="377">
        <v>299.99</v>
      </c>
      <c r="O440" s="377">
        <v>1199.96</v>
      </c>
    </row>
    <row r="441" ht="9" customHeight="1" hidden="1">
      <c r="I441" s="373"/>
      <c r="J441" s="374"/>
      <c r="K441" s="374"/>
      <c r="L441" t="s" s="375">
        <v>48</v>
      </c>
      <c r="M441" s="376">
        <v>6</v>
      </c>
      <c r="N441" s="377">
        <v>1279.99</v>
      </c>
      <c r="O441" s="377">
        <v>7679.94</v>
      </c>
    </row>
    <row r="442" ht="9" customHeight="1" hidden="1">
      <c r="I442" s="373"/>
      <c r="J442" s="374"/>
      <c r="K442" s="374"/>
      <c r="L442" t="s" s="375">
        <v>15</v>
      </c>
      <c r="M442" s="376">
        <v>6</v>
      </c>
      <c r="N442" s="377">
        <v>8.99</v>
      </c>
      <c r="O442" s="377">
        <v>53.94</v>
      </c>
    </row>
    <row r="443" ht="9" customHeight="1" hidden="1">
      <c r="I443" s="373"/>
      <c r="J443" s="374"/>
      <c r="K443" s="378">
        <v>44986</v>
      </c>
      <c r="L443" s="128"/>
      <c r="M443" s="129">
        <v>39</v>
      </c>
      <c r="N443" s="142">
        <v>1908.94</v>
      </c>
      <c r="O443" s="142">
        <v>10033.73</v>
      </c>
    </row>
    <row r="444" ht="9" customHeight="1" hidden="1">
      <c r="I444" s="373"/>
      <c r="J444" t="s" s="379">
        <v>5873</v>
      </c>
      <c r="K444" s="127"/>
      <c r="L444" s="128"/>
      <c r="M444" s="129">
        <v>39</v>
      </c>
      <c r="N444" s="142">
        <v>1908.94</v>
      </c>
      <c r="O444" s="142">
        <v>10033.73</v>
      </c>
    </row>
    <row r="445" ht="16.1" customHeight="1">
      <c r="I445" t="s" s="126">
        <v>5708</v>
      </c>
      <c r="J445" s="127"/>
      <c r="K445" s="127"/>
      <c r="L445" s="128"/>
      <c r="M445" s="129">
        <v>39</v>
      </c>
      <c r="N445" s="142">
        <v>1908.94</v>
      </c>
      <c r="O445" s="142">
        <v>10033.73</v>
      </c>
    </row>
    <row r="446" ht="9" customHeight="1" hidden="1">
      <c r="I446" s="373"/>
      <c r="J446" s="374"/>
      <c r="K446" s="374"/>
      <c r="L446" t="s" s="375">
        <v>19</v>
      </c>
      <c r="M446" s="376">
        <v>5</v>
      </c>
      <c r="N446" s="377">
        <v>119.99</v>
      </c>
      <c r="O446" s="377">
        <v>599.95</v>
      </c>
    </row>
    <row r="447" ht="9" customHeight="1" hidden="1">
      <c r="I447" s="373"/>
      <c r="J447" s="374"/>
      <c r="K447" s="374"/>
      <c r="L447" t="s" s="375">
        <v>1695</v>
      </c>
      <c r="M447" s="376">
        <v>2</v>
      </c>
      <c r="N447" s="377">
        <v>49.99</v>
      </c>
      <c r="O447" s="377">
        <v>99.98</v>
      </c>
    </row>
    <row r="448" ht="9" customHeight="1" hidden="1">
      <c r="I448" s="373"/>
      <c r="J448" s="374"/>
      <c r="K448" s="374"/>
      <c r="L448" t="s" s="375">
        <v>15</v>
      </c>
      <c r="M448" s="376">
        <v>9</v>
      </c>
      <c r="N448" s="377">
        <v>28.97</v>
      </c>
      <c r="O448" s="377">
        <v>84.91</v>
      </c>
    </row>
    <row r="449" ht="9" customHeight="1" hidden="1">
      <c r="I449" s="373"/>
      <c r="J449" s="374"/>
      <c r="K449" s="378">
        <v>44986</v>
      </c>
      <c r="L449" s="128"/>
      <c r="M449" s="129">
        <v>16</v>
      </c>
      <c r="N449" s="142">
        <v>198.95</v>
      </c>
      <c r="O449" s="142">
        <v>784.84</v>
      </c>
    </row>
    <row r="450" ht="9" customHeight="1" hidden="1">
      <c r="I450" s="373"/>
      <c r="J450" t="s" s="379">
        <v>6056</v>
      </c>
      <c r="K450" s="127"/>
      <c r="L450" s="128"/>
      <c r="M450" s="129">
        <v>16</v>
      </c>
      <c r="N450" s="142">
        <v>198.95</v>
      </c>
      <c r="O450" s="142">
        <v>784.84</v>
      </c>
    </row>
    <row r="451" ht="16.1" customHeight="1">
      <c r="I451" t="s" s="126">
        <v>3981</v>
      </c>
      <c r="J451" s="127"/>
      <c r="K451" s="127"/>
      <c r="L451" s="128"/>
      <c r="M451" s="129">
        <v>16</v>
      </c>
      <c r="N451" s="142">
        <v>198.95</v>
      </c>
      <c r="O451" s="142">
        <v>784.84</v>
      </c>
    </row>
    <row r="452" ht="9" customHeight="1" hidden="1">
      <c r="I452" s="373"/>
      <c r="J452" s="374"/>
      <c r="K452" s="374"/>
      <c r="L452" t="s" s="375">
        <v>254</v>
      </c>
      <c r="M452" s="376">
        <v>1</v>
      </c>
      <c r="N452" s="377">
        <v>0</v>
      </c>
      <c r="O452" s="377">
        <v>0</v>
      </c>
    </row>
    <row r="453" ht="9" customHeight="1" hidden="1">
      <c r="I453" s="373"/>
      <c r="J453" s="374"/>
      <c r="K453" s="378">
        <v>44986</v>
      </c>
      <c r="L453" s="128"/>
      <c r="M453" s="129">
        <v>1</v>
      </c>
      <c r="N453" s="142">
        <v>0</v>
      </c>
      <c r="O453" s="142">
        <v>0</v>
      </c>
    </row>
    <row r="454" ht="9" customHeight="1" hidden="1">
      <c r="I454" s="373"/>
      <c r="J454" t="s" s="379">
        <v>5897</v>
      </c>
      <c r="K454" s="127"/>
      <c r="L454" s="128"/>
      <c r="M454" s="129">
        <v>1</v>
      </c>
      <c r="N454" s="142">
        <v>0</v>
      </c>
      <c r="O454" s="142">
        <v>0</v>
      </c>
    </row>
    <row r="455" ht="16.1" customHeight="1">
      <c r="I455" t="s" s="126">
        <v>5898</v>
      </c>
      <c r="J455" s="127"/>
      <c r="K455" s="127"/>
      <c r="L455" s="128"/>
      <c r="M455" s="129">
        <v>1</v>
      </c>
      <c r="N455" s="142">
        <v>0</v>
      </c>
      <c r="O455" s="142">
        <v>0</v>
      </c>
    </row>
    <row r="456" ht="9" customHeight="1" hidden="1">
      <c r="I456" s="373"/>
      <c r="J456" s="374"/>
      <c r="K456" s="374"/>
      <c r="L456" t="s" s="375">
        <v>2347</v>
      </c>
      <c r="M456" s="376">
        <v>2</v>
      </c>
      <c r="N456" s="377">
        <v>329.994</v>
      </c>
      <c r="O456" s="377">
        <v>659.9880000000001</v>
      </c>
    </row>
    <row r="457" ht="9" customHeight="1" hidden="1">
      <c r="I457" s="373"/>
      <c r="J457" s="374"/>
      <c r="K457" s="374"/>
      <c r="L457" t="s" s="375">
        <v>63</v>
      </c>
      <c r="M457" s="376">
        <v>1</v>
      </c>
      <c r="N457" s="377">
        <v>15</v>
      </c>
      <c r="O457" s="377">
        <v>15</v>
      </c>
    </row>
    <row r="458" ht="9" customHeight="1" hidden="1">
      <c r="I458" s="373"/>
      <c r="J458" s="374"/>
      <c r="K458" s="378">
        <v>44986</v>
      </c>
      <c r="L458" s="128"/>
      <c r="M458" s="129">
        <v>3</v>
      </c>
      <c r="N458" s="142">
        <v>344.994</v>
      </c>
      <c r="O458" s="142">
        <v>674.9880000000001</v>
      </c>
    </row>
    <row r="459" ht="9" customHeight="1" hidden="1">
      <c r="I459" s="373"/>
      <c r="J459" t="s" s="379">
        <v>6125</v>
      </c>
      <c r="K459" s="127"/>
      <c r="L459" s="128"/>
      <c r="M459" s="129">
        <v>3</v>
      </c>
      <c r="N459" s="142">
        <v>344.994</v>
      </c>
      <c r="O459" s="142">
        <v>674.9880000000001</v>
      </c>
    </row>
    <row r="460" ht="9" customHeight="1" hidden="1">
      <c r="I460" s="373"/>
      <c r="J460" s="374"/>
      <c r="K460" s="374"/>
      <c r="L460" t="s" s="375">
        <v>133</v>
      </c>
      <c r="M460" s="376">
        <v>30</v>
      </c>
      <c r="N460" s="377">
        <v>125</v>
      </c>
      <c r="O460" s="377">
        <v>3750</v>
      </c>
    </row>
    <row r="461" ht="9" customHeight="1" hidden="1">
      <c r="I461" s="373"/>
      <c r="J461" s="374"/>
      <c r="K461" s="374"/>
      <c r="L461" t="s" s="375">
        <v>63</v>
      </c>
      <c r="M461" s="376">
        <v>1</v>
      </c>
      <c r="N461" s="377">
        <v>150</v>
      </c>
      <c r="O461" s="377">
        <v>150</v>
      </c>
    </row>
    <row r="462" ht="9" customHeight="1" hidden="1">
      <c r="I462" s="373"/>
      <c r="J462" s="374"/>
      <c r="K462" s="378">
        <v>44986</v>
      </c>
      <c r="L462" s="128"/>
      <c r="M462" s="129">
        <v>31</v>
      </c>
      <c r="N462" s="142">
        <v>275</v>
      </c>
      <c r="O462" s="142">
        <v>3900</v>
      </c>
    </row>
    <row r="463" ht="9" customHeight="1" hidden="1">
      <c r="I463" s="373"/>
      <c r="J463" t="s" s="379">
        <v>6127</v>
      </c>
      <c r="K463" s="127"/>
      <c r="L463" s="128"/>
      <c r="M463" s="129">
        <v>31</v>
      </c>
      <c r="N463" s="142">
        <v>275</v>
      </c>
      <c r="O463" s="142">
        <v>3900</v>
      </c>
    </row>
    <row r="464" ht="16.1" customHeight="1">
      <c r="I464" t="s" s="126">
        <v>2829</v>
      </c>
      <c r="J464" s="127"/>
      <c r="K464" s="127"/>
      <c r="L464" s="128"/>
      <c r="M464" s="129">
        <v>34</v>
      </c>
      <c r="N464" s="142">
        <v>619.994</v>
      </c>
      <c r="O464" s="142">
        <v>4574.988</v>
      </c>
    </row>
    <row r="465" ht="9" customHeight="1" hidden="1">
      <c r="I465" s="373"/>
      <c r="J465" s="374"/>
      <c r="K465" s="374"/>
      <c r="L465" t="s" s="375">
        <v>84</v>
      </c>
      <c r="M465" s="376">
        <v>2</v>
      </c>
      <c r="N465" s="377">
        <v>0</v>
      </c>
      <c r="O465" s="377">
        <v>0</v>
      </c>
    </row>
    <row r="466" ht="9" customHeight="1" hidden="1">
      <c r="I466" s="373"/>
      <c r="J466" s="374"/>
      <c r="K466" s="374"/>
      <c r="L466" t="s" s="375">
        <v>1257</v>
      </c>
      <c r="M466" s="376">
        <v>2</v>
      </c>
      <c r="N466" s="377">
        <v>425</v>
      </c>
      <c r="O466" s="377">
        <v>850</v>
      </c>
    </row>
    <row r="467" ht="9" customHeight="1" hidden="1">
      <c r="I467" s="373"/>
      <c r="J467" s="374"/>
      <c r="K467" s="374"/>
      <c r="L467" t="s" s="375">
        <v>81</v>
      </c>
      <c r="M467" s="376">
        <v>2</v>
      </c>
      <c r="N467" s="377">
        <v>849.99</v>
      </c>
      <c r="O467" s="377">
        <v>1699.98</v>
      </c>
    </row>
    <row r="468" ht="9" customHeight="1" hidden="1">
      <c r="I468" s="373"/>
      <c r="J468" s="374"/>
      <c r="K468" s="374"/>
      <c r="L468" t="s" s="375">
        <v>50</v>
      </c>
      <c r="M468" s="376">
        <v>2</v>
      </c>
      <c r="N468" s="377">
        <v>0</v>
      </c>
      <c r="O468" s="377">
        <v>0</v>
      </c>
    </row>
    <row r="469" ht="9" customHeight="1" hidden="1">
      <c r="I469" s="373"/>
      <c r="J469" s="374"/>
      <c r="K469" s="374"/>
      <c r="L469" t="s" s="375">
        <v>73</v>
      </c>
      <c r="M469" s="376">
        <v>1</v>
      </c>
      <c r="N469" s="377">
        <v>399.99</v>
      </c>
      <c r="O469" s="377">
        <v>399.99</v>
      </c>
    </row>
    <row r="470" ht="9" customHeight="1" hidden="1">
      <c r="I470" s="373"/>
      <c r="J470" s="374"/>
      <c r="K470" s="378">
        <v>44986</v>
      </c>
      <c r="L470" s="128"/>
      <c r="M470" s="129">
        <v>9</v>
      </c>
      <c r="N470" s="142">
        <v>1674.98</v>
      </c>
      <c r="O470" s="142">
        <v>2949.97</v>
      </c>
    </row>
    <row r="471" ht="9" customHeight="1" hidden="1">
      <c r="I471" s="373"/>
      <c r="J471" t="s" s="379">
        <v>6092</v>
      </c>
      <c r="K471" s="127"/>
      <c r="L471" s="128"/>
      <c r="M471" s="129">
        <v>9</v>
      </c>
      <c r="N471" s="142">
        <v>1674.98</v>
      </c>
      <c r="O471" s="142">
        <v>2949.97</v>
      </c>
    </row>
    <row r="472" ht="16.1" customHeight="1">
      <c r="I472" t="s" s="126">
        <v>6093</v>
      </c>
      <c r="J472" s="127"/>
      <c r="K472" s="127"/>
      <c r="L472" s="128"/>
      <c r="M472" s="129">
        <v>9</v>
      </c>
      <c r="N472" s="142">
        <v>1674.98</v>
      </c>
      <c r="O472" s="142">
        <v>2949.97</v>
      </c>
    </row>
    <row r="473" ht="9" customHeight="1" hidden="1">
      <c r="I473" s="373"/>
      <c r="J473" s="374"/>
      <c r="K473" s="374"/>
      <c r="L473" t="s" s="375">
        <v>73</v>
      </c>
      <c r="M473" s="376">
        <v>1</v>
      </c>
      <c r="N473" s="377">
        <v>399.99</v>
      </c>
      <c r="O473" s="377">
        <v>399.99</v>
      </c>
    </row>
    <row r="474" ht="9" customHeight="1" hidden="1">
      <c r="I474" s="373"/>
      <c r="J474" s="374"/>
      <c r="K474" s="378">
        <v>44986</v>
      </c>
      <c r="L474" s="128"/>
      <c r="M474" s="129">
        <v>1</v>
      </c>
      <c r="N474" s="142">
        <v>399.99</v>
      </c>
      <c r="O474" s="142">
        <v>399.99</v>
      </c>
    </row>
    <row r="475" ht="9" customHeight="1" hidden="1">
      <c r="I475" s="373"/>
      <c r="J475" t="s" s="379">
        <v>5865</v>
      </c>
      <c r="K475" s="127"/>
      <c r="L475" s="128"/>
      <c r="M475" s="129">
        <v>1</v>
      </c>
      <c r="N475" s="142">
        <v>399.99</v>
      </c>
      <c r="O475" s="142">
        <v>399.99</v>
      </c>
    </row>
    <row r="476" ht="16.1" customHeight="1">
      <c r="I476" t="s" s="126">
        <v>5866</v>
      </c>
      <c r="J476" s="127"/>
      <c r="K476" s="127"/>
      <c r="L476" s="128"/>
      <c r="M476" s="129">
        <v>1</v>
      </c>
      <c r="N476" s="142">
        <v>399.99</v>
      </c>
      <c r="O476" s="142">
        <v>399.99</v>
      </c>
    </row>
    <row r="477" ht="9" customHeight="1" hidden="1">
      <c r="I477" s="373"/>
      <c r="J477" s="374"/>
      <c r="K477" s="374"/>
      <c r="L477" t="s" s="375">
        <v>179</v>
      </c>
      <c r="M477" s="376">
        <v>2</v>
      </c>
      <c r="N477" s="377">
        <v>49.99</v>
      </c>
      <c r="O477" s="377">
        <v>99.98</v>
      </c>
    </row>
    <row r="478" ht="9" customHeight="1" hidden="1">
      <c r="I478" s="373"/>
      <c r="J478" s="374"/>
      <c r="K478" s="374"/>
      <c r="L478" t="s" s="375">
        <v>412</v>
      </c>
      <c r="M478" s="376">
        <v>20</v>
      </c>
      <c r="N478" s="377">
        <v>1.99</v>
      </c>
      <c r="O478" s="377">
        <v>39.8</v>
      </c>
    </row>
    <row r="479" ht="9" customHeight="1" hidden="1">
      <c r="I479" s="373"/>
      <c r="J479" s="374"/>
      <c r="K479" s="378">
        <v>44986</v>
      </c>
      <c r="L479" s="128"/>
      <c r="M479" s="129">
        <v>22</v>
      </c>
      <c r="N479" s="142">
        <v>51.98</v>
      </c>
      <c r="O479" s="142">
        <v>139.78</v>
      </c>
    </row>
    <row r="480" ht="9" customHeight="1" hidden="1">
      <c r="I480" s="373"/>
      <c r="J480" t="s" s="379">
        <v>5969</v>
      </c>
      <c r="K480" s="127"/>
      <c r="L480" s="128"/>
      <c r="M480" s="129">
        <v>22</v>
      </c>
      <c r="N480" s="142">
        <v>51.98</v>
      </c>
      <c r="O480" s="142">
        <v>139.78</v>
      </c>
    </row>
    <row r="481" ht="16.1" customHeight="1">
      <c r="I481" t="s" s="126">
        <v>5970</v>
      </c>
      <c r="J481" s="127"/>
      <c r="K481" s="127"/>
      <c r="L481" s="128"/>
      <c r="M481" s="129">
        <v>22</v>
      </c>
      <c r="N481" s="142">
        <v>51.98</v>
      </c>
      <c r="O481" s="142">
        <v>139.78</v>
      </c>
    </row>
    <row r="482" ht="9" customHeight="1" hidden="1">
      <c r="I482" s="373"/>
      <c r="J482" s="374"/>
      <c r="K482" s="374"/>
      <c r="L482" t="s" s="375">
        <v>2961</v>
      </c>
      <c r="M482" s="376">
        <v>12</v>
      </c>
      <c r="N482" s="377">
        <v>22.99</v>
      </c>
      <c r="O482" s="377">
        <v>275.88</v>
      </c>
    </row>
    <row r="483" ht="9" customHeight="1" hidden="1">
      <c r="I483" s="373"/>
      <c r="J483" s="374"/>
      <c r="K483" s="378">
        <v>44986</v>
      </c>
      <c r="L483" s="128"/>
      <c r="M483" s="129">
        <v>12</v>
      </c>
      <c r="N483" s="142">
        <v>22.99</v>
      </c>
      <c r="O483" s="142">
        <v>275.88</v>
      </c>
    </row>
    <row r="484" ht="9" customHeight="1" hidden="1">
      <c r="I484" s="373"/>
      <c r="J484" t="s" s="379">
        <v>5965</v>
      </c>
      <c r="K484" s="127"/>
      <c r="L484" s="128"/>
      <c r="M484" s="129">
        <v>12</v>
      </c>
      <c r="N484" s="142">
        <v>22.99</v>
      </c>
      <c r="O484" s="142">
        <v>275.88</v>
      </c>
    </row>
    <row r="485" ht="16.1" customHeight="1">
      <c r="I485" t="s" s="126">
        <v>5966</v>
      </c>
      <c r="J485" s="127"/>
      <c r="K485" s="127"/>
      <c r="L485" s="128"/>
      <c r="M485" s="129">
        <v>12</v>
      </c>
      <c r="N485" s="142">
        <v>22.99</v>
      </c>
      <c r="O485" s="142">
        <v>275.88</v>
      </c>
    </row>
    <row r="486" ht="9" customHeight="1" hidden="1">
      <c r="I486" s="373"/>
      <c r="J486" s="374"/>
      <c r="K486" s="374"/>
      <c r="L486" t="s" s="375">
        <v>31</v>
      </c>
      <c r="M486" s="376">
        <v>1</v>
      </c>
      <c r="N486" s="377">
        <v>599.99</v>
      </c>
      <c r="O486" s="377">
        <v>599.99</v>
      </c>
    </row>
    <row r="487" ht="9" customHeight="1" hidden="1">
      <c r="I487" s="373"/>
      <c r="J487" s="374"/>
      <c r="K487" s="378">
        <v>44986</v>
      </c>
      <c r="L487" s="128"/>
      <c r="M487" s="129">
        <v>1</v>
      </c>
      <c r="N487" s="142">
        <v>599.99</v>
      </c>
      <c r="O487" s="142">
        <v>599.99</v>
      </c>
    </row>
    <row r="488" ht="9" customHeight="1" hidden="1">
      <c r="I488" s="373"/>
      <c r="J488" t="s" s="379">
        <v>6081</v>
      </c>
      <c r="K488" s="127"/>
      <c r="L488" s="128"/>
      <c r="M488" s="129">
        <v>1</v>
      </c>
      <c r="N488" s="142">
        <v>599.99</v>
      </c>
      <c r="O488" s="142">
        <v>599.99</v>
      </c>
    </row>
    <row r="489" ht="16.1" customHeight="1">
      <c r="I489" t="s" s="126">
        <v>6082</v>
      </c>
      <c r="J489" s="127"/>
      <c r="K489" s="127"/>
      <c r="L489" s="128"/>
      <c r="M489" s="129">
        <v>1</v>
      </c>
      <c r="N489" s="142">
        <v>599.99</v>
      </c>
      <c r="O489" s="142">
        <v>599.99</v>
      </c>
    </row>
    <row r="490" ht="9" customHeight="1" hidden="1">
      <c r="I490" s="373"/>
      <c r="J490" s="374"/>
      <c r="K490" s="374"/>
      <c r="L490" t="s" s="375">
        <v>1731</v>
      </c>
      <c r="M490" s="376">
        <v>2</v>
      </c>
      <c r="N490" s="377">
        <v>24.99</v>
      </c>
      <c r="O490" s="377">
        <v>49.98</v>
      </c>
    </row>
    <row r="491" ht="9" customHeight="1" hidden="1">
      <c r="I491" s="373"/>
      <c r="J491" s="374"/>
      <c r="K491" s="374"/>
      <c r="L491" t="s" s="375">
        <v>1729</v>
      </c>
      <c r="M491" s="376">
        <v>6</v>
      </c>
      <c r="N491" s="377">
        <v>14.99</v>
      </c>
      <c r="O491" s="377">
        <v>89.94</v>
      </c>
    </row>
    <row r="492" ht="9" customHeight="1" hidden="1">
      <c r="I492" s="373"/>
      <c r="J492" s="374"/>
      <c r="K492" s="378">
        <v>44986</v>
      </c>
      <c r="L492" s="128"/>
      <c r="M492" s="129">
        <v>8</v>
      </c>
      <c r="N492" s="142">
        <v>39.98</v>
      </c>
      <c r="O492" s="142">
        <v>139.92</v>
      </c>
    </row>
    <row r="493" ht="9" customHeight="1" hidden="1">
      <c r="I493" s="373"/>
      <c r="J493" t="s" s="379">
        <v>6085</v>
      </c>
      <c r="K493" s="127"/>
      <c r="L493" s="128"/>
      <c r="M493" s="129">
        <v>8</v>
      </c>
      <c r="N493" s="142">
        <v>39.98</v>
      </c>
      <c r="O493" s="142">
        <v>139.92</v>
      </c>
    </row>
    <row r="494" ht="9" customHeight="1" hidden="1">
      <c r="I494" s="373"/>
      <c r="J494" s="374"/>
      <c r="K494" s="374"/>
      <c r="L494" t="s" s="375">
        <v>77</v>
      </c>
      <c r="M494" s="376">
        <v>4</v>
      </c>
      <c r="N494" s="377">
        <v>19.99</v>
      </c>
      <c r="O494" s="377">
        <v>79.95999999999999</v>
      </c>
    </row>
    <row r="495" ht="9" customHeight="1" hidden="1">
      <c r="I495" s="373"/>
      <c r="J495" s="374"/>
      <c r="K495" s="378">
        <v>44986</v>
      </c>
      <c r="L495" s="128"/>
      <c r="M495" s="129">
        <v>4</v>
      </c>
      <c r="N495" s="142">
        <v>19.99</v>
      </c>
      <c r="O495" s="142">
        <v>79.95999999999999</v>
      </c>
    </row>
    <row r="496" ht="9" customHeight="1" hidden="1">
      <c r="I496" s="373"/>
      <c r="J496" t="s" s="379">
        <v>6079</v>
      </c>
      <c r="K496" s="127"/>
      <c r="L496" s="128"/>
      <c r="M496" s="129">
        <v>4</v>
      </c>
      <c r="N496" s="142">
        <v>19.99</v>
      </c>
      <c r="O496" s="142">
        <v>79.95999999999999</v>
      </c>
    </row>
    <row r="497" ht="16.1" customHeight="1">
      <c r="I497" t="s" s="126">
        <v>6080</v>
      </c>
      <c r="J497" s="127"/>
      <c r="K497" s="127"/>
      <c r="L497" s="128"/>
      <c r="M497" s="129">
        <v>12</v>
      </c>
      <c r="N497" s="142">
        <v>59.97</v>
      </c>
      <c r="O497" s="142">
        <v>219.88</v>
      </c>
    </row>
    <row r="498" ht="9" customHeight="1" hidden="1">
      <c r="I498" s="373"/>
      <c r="J498" s="374"/>
      <c r="K498" s="374"/>
      <c r="L498" t="s" s="375">
        <v>123</v>
      </c>
      <c r="M498" s="376">
        <v>1</v>
      </c>
      <c r="N498" s="377">
        <v>179.99</v>
      </c>
      <c r="O498" s="377">
        <v>179.99</v>
      </c>
    </row>
    <row r="499" ht="9" customHeight="1" hidden="1">
      <c r="I499" s="373"/>
      <c r="J499" s="374"/>
      <c r="K499" s="374"/>
      <c r="L499" t="s" s="375">
        <v>882</v>
      </c>
      <c r="M499" s="376">
        <v>4</v>
      </c>
      <c r="N499" s="377">
        <v>74.98999999999999</v>
      </c>
      <c r="O499" s="377">
        <v>299.96</v>
      </c>
    </row>
    <row r="500" ht="9" customHeight="1" hidden="1">
      <c r="I500" s="373"/>
      <c r="J500" s="374"/>
      <c r="K500" s="374"/>
      <c r="L500" t="s" s="375">
        <v>146</v>
      </c>
      <c r="M500" s="376">
        <v>4</v>
      </c>
      <c r="N500" s="377">
        <v>19.99</v>
      </c>
      <c r="O500" s="377">
        <v>79.95999999999999</v>
      </c>
    </row>
    <row r="501" ht="9" customHeight="1" hidden="1">
      <c r="I501" s="373"/>
      <c r="J501" s="374"/>
      <c r="K501" s="378">
        <v>44986</v>
      </c>
      <c r="L501" s="128"/>
      <c r="M501" s="129">
        <v>9</v>
      </c>
      <c r="N501" s="142">
        <v>274.97</v>
      </c>
      <c r="O501" s="142">
        <v>559.91</v>
      </c>
    </row>
    <row r="502" ht="9" customHeight="1" hidden="1">
      <c r="I502" s="373"/>
      <c r="J502" t="s" s="379">
        <v>5921</v>
      </c>
      <c r="K502" s="127"/>
      <c r="L502" s="128"/>
      <c r="M502" s="129">
        <v>9</v>
      </c>
      <c r="N502" s="142">
        <v>274.97</v>
      </c>
      <c r="O502" s="142">
        <v>559.91</v>
      </c>
    </row>
    <row r="503" ht="16.1" customHeight="1">
      <c r="I503" t="s" s="126">
        <v>5922</v>
      </c>
      <c r="J503" s="127"/>
      <c r="K503" s="127"/>
      <c r="L503" s="128"/>
      <c r="M503" s="129">
        <v>9</v>
      </c>
      <c r="N503" s="142">
        <v>274.97</v>
      </c>
      <c r="O503" s="142">
        <v>559.91</v>
      </c>
    </row>
    <row r="504" ht="9" customHeight="1" hidden="1">
      <c r="I504" s="373"/>
      <c r="J504" s="374"/>
      <c r="K504" s="374"/>
      <c r="L504" t="s" s="375">
        <v>35</v>
      </c>
      <c r="M504" s="376">
        <v>1</v>
      </c>
      <c r="N504" s="377">
        <v>49.99</v>
      </c>
      <c r="O504" s="377">
        <v>49.99</v>
      </c>
    </row>
    <row r="505" ht="9" customHeight="1" hidden="1">
      <c r="I505" s="373"/>
      <c r="J505" s="374"/>
      <c r="K505" s="378">
        <v>44986</v>
      </c>
      <c r="L505" s="128"/>
      <c r="M505" s="129">
        <v>1</v>
      </c>
      <c r="N505" s="142">
        <v>49.99</v>
      </c>
      <c r="O505" s="142">
        <v>49.99</v>
      </c>
    </row>
    <row r="506" ht="9" customHeight="1" hidden="1">
      <c r="I506" s="373"/>
      <c r="J506" t="s" s="379">
        <v>5949</v>
      </c>
      <c r="K506" s="127"/>
      <c r="L506" s="128"/>
      <c r="M506" s="129">
        <v>1</v>
      </c>
      <c r="N506" s="142">
        <v>49.99</v>
      </c>
      <c r="O506" s="142">
        <v>49.99</v>
      </c>
    </row>
    <row r="507" ht="16.1" customHeight="1">
      <c r="I507" t="s" s="126">
        <v>5950</v>
      </c>
      <c r="J507" s="127"/>
      <c r="K507" s="127"/>
      <c r="L507" s="128"/>
      <c r="M507" s="129">
        <v>1</v>
      </c>
      <c r="N507" s="142">
        <v>49.99</v>
      </c>
      <c r="O507" s="142">
        <v>49.99</v>
      </c>
    </row>
    <row r="508" ht="9" customHeight="1" hidden="1">
      <c r="I508" s="373"/>
      <c r="J508" s="374"/>
      <c r="K508" s="374"/>
      <c r="L508" t="s" s="375">
        <v>5845</v>
      </c>
      <c r="M508" s="376">
        <v>1</v>
      </c>
      <c r="N508" s="377">
        <v>9.99</v>
      </c>
      <c r="O508" s="377">
        <v>9.99</v>
      </c>
    </row>
    <row r="509" ht="9" customHeight="1" hidden="1">
      <c r="I509" s="373"/>
      <c r="J509" s="374"/>
      <c r="K509" s="374"/>
      <c r="L509" t="s" s="375">
        <v>89</v>
      </c>
      <c r="M509" s="376">
        <v>1</v>
      </c>
      <c r="N509" s="377">
        <v>59.99</v>
      </c>
      <c r="O509" s="377">
        <v>59.99</v>
      </c>
    </row>
    <row r="510" ht="9" customHeight="1" hidden="1">
      <c r="I510" s="373"/>
      <c r="J510" s="374"/>
      <c r="K510" s="374"/>
      <c r="L510" t="s" s="375">
        <v>15</v>
      </c>
      <c r="M510" s="376">
        <v>1</v>
      </c>
      <c r="N510" s="377">
        <v>9.99</v>
      </c>
      <c r="O510" s="377">
        <v>9.99</v>
      </c>
    </row>
    <row r="511" ht="9" customHeight="1" hidden="1">
      <c r="I511" s="373"/>
      <c r="J511" s="374"/>
      <c r="K511" s="378">
        <v>44986</v>
      </c>
      <c r="L511" s="128"/>
      <c r="M511" s="129">
        <v>3</v>
      </c>
      <c r="N511" s="142">
        <v>79.97</v>
      </c>
      <c r="O511" s="142">
        <v>79.97</v>
      </c>
    </row>
    <row r="512" ht="9" customHeight="1" hidden="1">
      <c r="I512" s="373"/>
      <c r="J512" t="s" s="379">
        <v>5948</v>
      </c>
      <c r="K512" s="127"/>
      <c r="L512" s="128"/>
      <c r="M512" s="129">
        <v>3</v>
      </c>
      <c r="N512" s="142">
        <v>79.97</v>
      </c>
      <c r="O512" s="142">
        <v>79.97</v>
      </c>
    </row>
    <row r="513" ht="16.1" customHeight="1">
      <c r="I513" t="s" s="126">
        <v>3944</v>
      </c>
      <c r="J513" s="127"/>
      <c r="K513" s="127"/>
      <c r="L513" s="128"/>
      <c r="M513" s="129">
        <v>3</v>
      </c>
      <c r="N513" s="142">
        <v>79.97</v>
      </c>
      <c r="O513" s="142">
        <v>79.97</v>
      </c>
    </row>
    <row r="514" ht="9" customHeight="1" hidden="1">
      <c r="I514" s="373"/>
      <c r="J514" s="374"/>
      <c r="K514" s="374"/>
      <c r="L514" t="s" s="375">
        <v>59</v>
      </c>
      <c r="M514" s="376">
        <v>1</v>
      </c>
      <c r="N514" s="377">
        <v>1199.99</v>
      </c>
      <c r="O514" s="377">
        <v>1199.99</v>
      </c>
    </row>
    <row r="515" ht="9" customHeight="1" hidden="1">
      <c r="I515" s="373"/>
      <c r="J515" s="374"/>
      <c r="K515" s="378">
        <v>44986</v>
      </c>
      <c r="L515" s="128"/>
      <c r="M515" s="129">
        <v>1</v>
      </c>
      <c r="N515" s="142">
        <v>1199.99</v>
      </c>
      <c r="O515" s="142">
        <v>1199.99</v>
      </c>
    </row>
    <row r="516" ht="9" customHeight="1" hidden="1">
      <c r="I516" s="373"/>
      <c r="J516" t="s" s="379">
        <v>5877</v>
      </c>
      <c r="K516" s="127"/>
      <c r="L516" s="128"/>
      <c r="M516" s="129">
        <v>1</v>
      </c>
      <c r="N516" s="142">
        <v>1199.99</v>
      </c>
      <c r="O516" s="142">
        <v>1199.99</v>
      </c>
    </row>
    <row r="517" ht="16.1" customHeight="1">
      <c r="I517" t="s" s="126">
        <v>5878</v>
      </c>
      <c r="J517" s="127"/>
      <c r="K517" s="127"/>
      <c r="L517" s="128"/>
      <c r="M517" s="129">
        <v>1</v>
      </c>
      <c r="N517" s="142">
        <v>1199.99</v>
      </c>
      <c r="O517" s="142">
        <v>1199.99</v>
      </c>
    </row>
    <row r="518" ht="9" customHeight="1" hidden="1">
      <c r="I518" s="373"/>
      <c r="J518" s="374"/>
      <c r="K518" s="374"/>
      <c r="L518" t="s" s="375">
        <v>59</v>
      </c>
      <c r="M518" s="376">
        <v>1</v>
      </c>
      <c r="N518" s="377">
        <v>1199.99</v>
      </c>
      <c r="O518" s="377">
        <v>1199.99</v>
      </c>
    </row>
    <row r="519" ht="9" customHeight="1" hidden="1">
      <c r="I519" s="373"/>
      <c r="J519" s="374"/>
      <c r="K519" s="378">
        <v>44986</v>
      </c>
      <c r="L519" s="128"/>
      <c r="M519" s="129">
        <v>1</v>
      </c>
      <c r="N519" s="142">
        <v>1199.99</v>
      </c>
      <c r="O519" s="142">
        <v>1199.99</v>
      </c>
    </row>
    <row r="520" ht="9" customHeight="1" hidden="1">
      <c r="I520" s="373"/>
      <c r="J520" t="s" s="379">
        <v>5952</v>
      </c>
      <c r="K520" s="127"/>
      <c r="L520" s="128"/>
      <c r="M520" s="129">
        <v>1</v>
      </c>
      <c r="N520" s="142">
        <v>1199.99</v>
      </c>
      <c r="O520" s="142">
        <v>1199.99</v>
      </c>
    </row>
    <row r="521" ht="16.1" customHeight="1">
      <c r="I521" t="s" s="126">
        <v>5953</v>
      </c>
      <c r="J521" s="127"/>
      <c r="K521" s="127"/>
      <c r="L521" s="128"/>
      <c r="M521" s="129">
        <v>1</v>
      </c>
      <c r="N521" s="142">
        <v>1199.99</v>
      </c>
      <c r="O521" s="142">
        <v>1199.99</v>
      </c>
    </row>
    <row r="522" ht="9" customHeight="1" hidden="1">
      <c r="I522" s="373"/>
      <c r="J522" s="374"/>
      <c r="K522" s="374"/>
      <c r="L522" t="s" s="375">
        <v>171</v>
      </c>
      <c r="M522" s="376">
        <v>1</v>
      </c>
      <c r="N522" s="377">
        <v>549.99</v>
      </c>
      <c r="O522" s="377">
        <v>549.99</v>
      </c>
    </row>
    <row r="523" ht="9" customHeight="1" hidden="1">
      <c r="I523" s="373"/>
      <c r="J523" s="374"/>
      <c r="K523" s="378">
        <v>44986</v>
      </c>
      <c r="L523" s="128"/>
      <c r="M523" s="129">
        <v>1</v>
      </c>
      <c r="N523" s="142">
        <v>549.99</v>
      </c>
      <c r="O523" s="142">
        <v>549.99</v>
      </c>
    </row>
    <row r="524" ht="9" customHeight="1" hidden="1">
      <c r="I524" s="373"/>
      <c r="J524" t="s" s="379">
        <v>5893</v>
      </c>
      <c r="K524" s="127"/>
      <c r="L524" s="128"/>
      <c r="M524" s="129">
        <v>1</v>
      </c>
      <c r="N524" s="142">
        <v>549.99</v>
      </c>
      <c r="O524" s="142">
        <v>549.99</v>
      </c>
    </row>
    <row r="525" ht="16.1" customHeight="1">
      <c r="I525" t="s" s="126">
        <v>5894</v>
      </c>
      <c r="J525" s="127"/>
      <c r="K525" s="127"/>
      <c r="L525" s="128"/>
      <c r="M525" s="129">
        <v>1</v>
      </c>
      <c r="N525" s="142">
        <v>549.99</v>
      </c>
      <c r="O525" s="142">
        <v>549.99</v>
      </c>
    </row>
    <row r="526" ht="9" customHeight="1" hidden="1">
      <c r="I526" s="373"/>
      <c r="J526" s="374"/>
      <c r="K526" s="374"/>
      <c r="L526" t="s" s="375">
        <v>35</v>
      </c>
      <c r="M526" s="376">
        <v>1</v>
      </c>
      <c r="N526" s="377">
        <v>49.99</v>
      </c>
      <c r="O526" s="377">
        <v>49.99</v>
      </c>
    </row>
    <row r="527" ht="9" customHeight="1" hidden="1">
      <c r="I527" s="373"/>
      <c r="J527" s="374"/>
      <c r="K527" s="378">
        <v>44986</v>
      </c>
      <c r="L527" s="128"/>
      <c r="M527" s="129">
        <v>1</v>
      </c>
      <c r="N527" s="142">
        <v>49.99</v>
      </c>
      <c r="O527" s="142">
        <v>49.99</v>
      </c>
    </row>
    <row r="528" ht="9" customHeight="1" hidden="1">
      <c r="I528" s="373"/>
      <c r="J528" t="s" s="379">
        <v>6051</v>
      </c>
      <c r="K528" s="127"/>
      <c r="L528" s="128"/>
      <c r="M528" s="129">
        <v>1</v>
      </c>
      <c r="N528" s="142">
        <v>49.99</v>
      </c>
      <c r="O528" s="142">
        <v>49.99</v>
      </c>
    </row>
    <row r="529" ht="16.1" customHeight="1">
      <c r="I529" t="s" s="126">
        <v>5507</v>
      </c>
      <c r="J529" s="127"/>
      <c r="K529" s="127"/>
      <c r="L529" s="128"/>
      <c r="M529" s="129">
        <v>1</v>
      </c>
      <c r="N529" s="142">
        <v>49.99</v>
      </c>
      <c r="O529" s="142">
        <v>49.99</v>
      </c>
    </row>
    <row r="530" ht="9" customHeight="1" hidden="1">
      <c r="I530" s="373"/>
      <c r="J530" s="374"/>
      <c r="K530" s="374"/>
      <c r="L530" t="s" s="375">
        <v>123</v>
      </c>
      <c r="M530" s="376">
        <v>1</v>
      </c>
      <c r="N530" s="377">
        <v>179.99</v>
      </c>
      <c r="O530" s="377">
        <v>179.99</v>
      </c>
    </row>
    <row r="531" ht="9" customHeight="1" hidden="1">
      <c r="I531" s="373"/>
      <c r="J531" s="374"/>
      <c r="K531" s="374"/>
      <c r="L531" t="s" s="375">
        <v>227</v>
      </c>
      <c r="M531" s="376">
        <v>2</v>
      </c>
      <c r="N531" s="377">
        <v>29.99</v>
      </c>
      <c r="O531" s="377">
        <v>59.98</v>
      </c>
    </row>
    <row r="532" ht="9" customHeight="1" hidden="1">
      <c r="I532" s="373"/>
      <c r="J532" s="374"/>
      <c r="K532" s="374"/>
      <c r="L532" t="s" s="375">
        <v>125</v>
      </c>
      <c r="M532" s="376">
        <v>1</v>
      </c>
      <c r="N532" s="377">
        <v>64.98999999999999</v>
      </c>
      <c r="O532" s="377">
        <v>64.98999999999999</v>
      </c>
    </row>
    <row r="533" ht="9" customHeight="1" hidden="1">
      <c r="I533" s="373"/>
      <c r="J533" s="374"/>
      <c r="K533" s="374"/>
      <c r="L533" t="s" s="375">
        <v>354</v>
      </c>
      <c r="M533" s="376">
        <v>2</v>
      </c>
      <c r="N533" s="377">
        <v>149.99</v>
      </c>
      <c r="O533" s="377">
        <v>299.98</v>
      </c>
    </row>
    <row r="534" ht="9" customHeight="1" hidden="1">
      <c r="I534" s="373"/>
      <c r="J534" s="374"/>
      <c r="K534" s="374"/>
      <c r="L534" t="s" s="375">
        <v>133</v>
      </c>
      <c r="M534" s="376">
        <v>2</v>
      </c>
      <c r="N534" s="377">
        <v>50</v>
      </c>
      <c r="O534" s="377">
        <v>100</v>
      </c>
    </row>
    <row r="535" ht="9" customHeight="1" hidden="1">
      <c r="I535" s="373"/>
      <c r="J535" s="374"/>
      <c r="K535" s="374"/>
      <c r="L535" t="s" s="375">
        <v>50</v>
      </c>
      <c r="M535" s="376">
        <v>2</v>
      </c>
      <c r="N535" s="377">
        <v>0</v>
      </c>
      <c r="O535" s="377">
        <v>0</v>
      </c>
    </row>
    <row r="536" ht="9" customHeight="1" hidden="1">
      <c r="I536" s="373"/>
      <c r="J536" s="374"/>
      <c r="K536" s="374"/>
      <c r="L536" t="s" s="375">
        <v>48</v>
      </c>
      <c r="M536" s="376">
        <v>2</v>
      </c>
      <c r="N536" s="377">
        <v>1299.99</v>
      </c>
      <c r="O536" s="377">
        <v>2599.98</v>
      </c>
    </row>
    <row r="537" ht="9" customHeight="1" hidden="1">
      <c r="I537" s="373"/>
      <c r="J537" s="374"/>
      <c r="K537" s="374"/>
      <c r="L537" t="s" s="375">
        <v>73</v>
      </c>
      <c r="M537" s="376">
        <v>1</v>
      </c>
      <c r="N537" s="377">
        <v>399.99</v>
      </c>
      <c r="O537" s="377">
        <v>399.99</v>
      </c>
    </row>
    <row r="538" ht="9" customHeight="1" hidden="1">
      <c r="I538" s="373"/>
      <c r="J538" s="374"/>
      <c r="K538" s="378">
        <v>44986</v>
      </c>
      <c r="L538" s="128"/>
      <c r="M538" s="129">
        <v>13</v>
      </c>
      <c r="N538" s="142">
        <v>2174.94</v>
      </c>
      <c r="O538" s="142">
        <v>3704.91</v>
      </c>
    </row>
    <row r="539" ht="9" customHeight="1" hidden="1">
      <c r="I539" s="373"/>
      <c r="J539" t="s" s="379">
        <v>5874</v>
      </c>
      <c r="K539" s="127"/>
      <c r="L539" s="128"/>
      <c r="M539" s="129">
        <v>13</v>
      </c>
      <c r="N539" s="142">
        <v>2174.94</v>
      </c>
      <c r="O539" s="142">
        <v>3704.91</v>
      </c>
    </row>
    <row r="540" ht="16.1" customHeight="1">
      <c r="I540" t="s" s="126">
        <v>2115</v>
      </c>
      <c r="J540" s="127"/>
      <c r="K540" s="127"/>
      <c r="L540" s="128"/>
      <c r="M540" s="129">
        <v>13</v>
      </c>
      <c r="N540" s="142">
        <v>2174.94</v>
      </c>
      <c r="O540" s="142">
        <v>3704.91</v>
      </c>
    </row>
    <row r="541" ht="9" customHeight="1" hidden="1">
      <c r="I541" s="373"/>
      <c r="J541" s="374"/>
      <c r="K541" s="374"/>
      <c r="L541" t="s" s="375">
        <v>2961</v>
      </c>
      <c r="M541" s="376">
        <v>1</v>
      </c>
      <c r="N541" s="377">
        <v>22.99</v>
      </c>
      <c r="O541" s="377">
        <v>22.99</v>
      </c>
    </row>
    <row r="542" ht="9" customHeight="1" hidden="1">
      <c r="I542" s="373"/>
      <c r="J542" s="374"/>
      <c r="K542" s="374"/>
      <c r="L542" t="s" s="375">
        <v>19</v>
      </c>
      <c r="M542" s="376">
        <v>1</v>
      </c>
      <c r="N542" s="377">
        <v>119.99</v>
      </c>
      <c r="O542" s="377">
        <v>119.99</v>
      </c>
    </row>
    <row r="543" ht="9" customHeight="1" hidden="1">
      <c r="I543" s="373"/>
      <c r="J543" s="374"/>
      <c r="K543" s="374"/>
      <c r="L543" t="s" s="375">
        <v>2787</v>
      </c>
      <c r="M543" s="376">
        <v>1</v>
      </c>
      <c r="N543" s="377">
        <v>22.99</v>
      </c>
      <c r="O543" s="377">
        <v>22.99</v>
      </c>
    </row>
    <row r="544" ht="9" customHeight="1" hidden="1">
      <c r="I544" s="373"/>
      <c r="J544" s="374"/>
      <c r="K544" s="374"/>
      <c r="L544" t="s" s="375">
        <v>5845</v>
      </c>
      <c r="M544" s="376">
        <v>1</v>
      </c>
      <c r="N544" s="377">
        <v>9.99</v>
      </c>
      <c r="O544" s="377">
        <v>9.99</v>
      </c>
    </row>
    <row r="545" ht="9" customHeight="1" hidden="1">
      <c r="I545" s="373"/>
      <c r="J545" s="374"/>
      <c r="K545" s="374"/>
      <c r="L545" t="s" s="375">
        <v>1695</v>
      </c>
      <c r="M545" s="376">
        <v>1</v>
      </c>
      <c r="N545" s="377">
        <v>49.99</v>
      </c>
      <c r="O545" s="377">
        <v>49.99</v>
      </c>
    </row>
    <row r="546" ht="9" customHeight="1" hidden="1">
      <c r="I546" s="373"/>
      <c r="J546" s="374"/>
      <c r="K546" s="374"/>
      <c r="L546" t="s" s="375">
        <v>15</v>
      </c>
      <c r="M546" s="376">
        <v>2</v>
      </c>
      <c r="N546" s="377">
        <v>19.98</v>
      </c>
      <c r="O546" s="377">
        <v>19.98</v>
      </c>
    </row>
    <row r="547" ht="9" customHeight="1" hidden="1">
      <c r="I547" s="373"/>
      <c r="J547" s="374"/>
      <c r="K547" s="378">
        <v>44986</v>
      </c>
      <c r="L547" s="128"/>
      <c r="M547" s="129">
        <v>7</v>
      </c>
      <c r="N547" s="142">
        <v>245.93</v>
      </c>
      <c r="O547" s="142">
        <v>245.93</v>
      </c>
    </row>
    <row r="548" ht="9" customHeight="1" hidden="1">
      <c r="I548" s="373"/>
      <c r="J548" t="s" s="379">
        <v>5984</v>
      </c>
      <c r="K548" s="127"/>
      <c r="L548" s="128"/>
      <c r="M548" s="129">
        <v>7</v>
      </c>
      <c r="N548" s="142">
        <v>245.93</v>
      </c>
      <c r="O548" s="142">
        <v>245.93</v>
      </c>
    </row>
    <row r="549" ht="16.1" customHeight="1">
      <c r="I549" t="s" s="126">
        <v>967</v>
      </c>
      <c r="J549" s="127"/>
      <c r="K549" s="127"/>
      <c r="L549" s="128"/>
      <c r="M549" s="129">
        <v>7</v>
      </c>
      <c r="N549" s="142">
        <v>245.93</v>
      </c>
      <c r="O549" s="142">
        <v>245.93</v>
      </c>
    </row>
    <row r="550" ht="9" customHeight="1" hidden="1">
      <c r="I550" s="373"/>
      <c r="J550" s="374"/>
      <c r="K550" s="374"/>
      <c r="L550" t="s" s="375">
        <v>2968</v>
      </c>
      <c r="M550" s="376">
        <v>2</v>
      </c>
      <c r="N550" s="377">
        <v>56.25</v>
      </c>
      <c r="O550" s="377">
        <v>112.5</v>
      </c>
    </row>
    <row r="551" ht="9" customHeight="1" hidden="1">
      <c r="I551" s="373"/>
      <c r="J551" s="374"/>
      <c r="K551" s="374"/>
      <c r="L551" t="s" s="375">
        <v>227</v>
      </c>
      <c r="M551" s="376">
        <v>2</v>
      </c>
      <c r="N551" s="377">
        <v>22.4925</v>
      </c>
      <c r="O551" s="377">
        <v>44.985</v>
      </c>
    </row>
    <row r="552" ht="9" customHeight="1" hidden="1">
      <c r="I552" s="373"/>
      <c r="J552" s="374"/>
      <c r="K552" s="374"/>
      <c r="L552" t="s" s="375">
        <v>54</v>
      </c>
      <c r="M552" s="376">
        <v>2</v>
      </c>
      <c r="N552" s="377">
        <v>0</v>
      </c>
      <c r="O552" s="377">
        <v>0</v>
      </c>
    </row>
    <row r="553" ht="9" customHeight="1" hidden="1">
      <c r="I553" s="373"/>
      <c r="J553" s="374"/>
      <c r="K553" s="374"/>
      <c r="L553" t="s" s="375">
        <v>1069</v>
      </c>
      <c r="M553" s="376">
        <v>2</v>
      </c>
      <c r="N553" s="377">
        <v>74.99250000000001</v>
      </c>
      <c r="O553" s="377">
        <v>149.985</v>
      </c>
    </row>
    <row r="554" ht="9" customHeight="1" hidden="1">
      <c r="I554" s="373"/>
      <c r="J554" s="374"/>
      <c r="K554" s="374"/>
      <c r="L554" t="s" s="375">
        <v>470</v>
      </c>
      <c r="M554" s="376">
        <v>2</v>
      </c>
      <c r="N554" s="377">
        <v>187.4925</v>
      </c>
      <c r="O554" s="377">
        <v>374.985</v>
      </c>
    </row>
    <row r="555" ht="9" customHeight="1" hidden="1">
      <c r="I555" s="373"/>
      <c r="J555" s="374"/>
      <c r="K555" s="374"/>
      <c r="L555" t="s" s="375">
        <v>52</v>
      </c>
      <c r="M555" s="376">
        <v>2</v>
      </c>
      <c r="N555" s="377">
        <v>0</v>
      </c>
      <c r="O555" s="377">
        <v>0</v>
      </c>
    </row>
    <row r="556" ht="9" customHeight="1" hidden="1">
      <c r="I556" s="373"/>
      <c r="J556" s="374"/>
      <c r="K556" s="374"/>
      <c r="L556" t="s" s="375">
        <v>359</v>
      </c>
      <c r="M556" s="376">
        <v>4</v>
      </c>
      <c r="N556" s="377">
        <v>22.4925</v>
      </c>
      <c r="O556" s="377">
        <v>89.97</v>
      </c>
    </row>
    <row r="557" ht="9" customHeight="1" hidden="1">
      <c r="I557" s="373"/>
      <c r="J557" s="374"/>
      <c r="K557" s="374"/>
      <c r="L557" t="s" s="375">
        <v>50</v>
      </c>
      <c r="M557" s="376">
        <v>2</v>
      </c>
      <c r="N557" s="377">
        <v>0</v>
      </c>
      <c r="O557" s="377">
        <v>0</v>
      </c>
    </row>
    <row r="558" ht="9" customHeight="1" hidden="1">
      <c r="I558" s="373"/>
      <c r="J558" s="374"/>
      <c r="K558" s="374"/>
      <c r="L558" t="s" s="375">
        <v>48</v>
      </c>
      <c r="M558" s="376">
        <v>2</v>
      </c>
      <c r="N558" s="377">
        <v>974.9924999999999</v>
      </c>
      <c r="O558" s="377">
        <v>1949.985</v>
      </c>
    </row>
    <row r="559" ht="9" customHeight="1" hidden="1">
      <c r="I559" s="373"/>
      <c r="J559" s="374"/>
      <c r="K559" s="374"/>
      <c r="L559" t="s" s="375">
        <v>15</v>
      </c>
      <c r="M559" s="376">
        <v>2</v>
      </c>
      <c r="N559" s="377">
        <v>0</v>
      </c>
      <c r="O559" s="377">
        <v>0</v>
      </c>
    </row>
    <row r="560" ht="9" customHeight="1" hidden="1">
      <c r="I560" s="373"/>
      <c r="J560" s="374"/>
      <c r="K560" s="374"/>
      <c r="L560" t="s" s="375">
        <v>47</v>
      </c>
      <c r="M560" s="376">
        <v>1</v>
      </c>
      <c r="N560" s="377">
        <v>150</v>
      </c>
      <c r="O560" s="377">
        <v>150</v>
      </c>
    </row>
    <row r="561" ht="9" customHeight="1" hidden="1">
      <c r="I561" s="373"/>
      <c r="J561" s="374"/>
      <c r="K561" s="378">
        <v>44986</v>
      </c>
      <c r="L561" s="128"/>
      <c r="M561" s="129">
        <v>23</v>
      </c>
      <c r="N561" s="142">
        <v>1488.7125</v>
      </c>
      <c r="O561" s="142">
        <v>2872.41</v>
      </c>
    </row>
    <row r="562" ht="9" customHeight="1" hidden="1">
      <c r="I562" s="373"/>
      <c r="J562" t="s" s="379">
        <v>6076</v>
      </c>
      <c r="K562" s="127"/>
      <c r="L562" s="128"/>
      <c r="M562" s="129">
        <v>23</v>
      </c>
      <c r="N562" s="142">
        <v>1488.7125</v>
      </c>
      <c r="O562" s="142">
        <v>2872.41</v>
      </c>
    </row>
    <row r="563" ht="16.1" customHeight="1">
      <c r="I563" t="s" s="126">
        <v>5509</v>
      </c>
      <c r="J563" s="127"/>
      <c r="K563" s="127"/>
      <c r="L563" s="128"/>
      <c r="M563" s="129">
        <v>23</v>
      </c>
      <c r="N563" s="142">
        <v>1488.7125</v>
      </c>
      <c r="O563" s="142">
        <v>2872.41</v>
      </c>
    </row>
    <row r="564" ht="9" customHeight="1" hidden="1">
      <c r="I564" s="373"/>
      <c r="J564" s="374"/>
      <c r="K564" s="374"/>
      <c r="L564" t="s" s="375">
        <v>133</v>
      </c>
      <c r="M564" s="376">
        <v>1</v>
      </c>
      <c r="N564" s="377">
        <v>199.99</v>
      </c>
      <c r="O564" s="377">
        <v>199.99</v>
      </c>
    </row>
    <row r="565" ht="9" customHeight="1" hidden="1">
      <c r="I565" s="373"/>
      <c r="J565" s="374"/>
      <c r="K565" s="378">
        <v>44986</v>
      </c>
      <c r="L565" s="128"/>
      <c r="M565" s="129">
        <v>1</v>
      </c>
      <c r="N565" s="142">
        <v>199.99</v>
      </c>
      <c r="O565" s="142">
        <v>199.99</v>
      </c>
    </row>
    <row r="566" ht="9" customHeight="1" hidden="1">
      <c r="I566" s="373"/>
      <c r="J566" t="s" s="379">
        <v>6061</v>
      </c>
      <c r="K566" s="127"/>
      <c r="L566" s="128"/>
      <c r="M566" s="129">
        <v>1</v>
      </c>
      <c r="N566" s="142">
        <v>199.99</v>
      </c>
      <c r="O566" s="142">
        <v>199.99</v>
      </c>
    </row>
    <row r="567" ht="16.1" customHeight="1">
      <c r="I567" t="s" s="126">
        <v>6062</v>
      </c>
      <c r="J567" s="127"/>
      <c r="K567" s="127"/>
      <c r="L567" s="128"/>
      <c r="M567" s="129">
        <v>1</v>
      </c>
      <c r="N567" s="142">
        <v>199.99</v>
      </c>
      <c r="O567" s="142">
        <v>199.99</v>
      </c>
    </row>
    <row r="568" ht="9" customHeight="1" hidden="1">
      <c r="I568" s="373"/>
      <c r="J568" s="374"/>
      <c r="K568" s="374"/>
      <c r="L568" t="s" s="375">
        <v>412</v>
      </c>
      <c r="M568" s="376">
        <v>5</v>
      </c>
      <c r="N568" s="377">
        <v>1.99</v>
      </c>
      <c r="O568" s="377">
        <v>9.949999999999999</v>
      </c>
    </row>
    <row r="569" ht="9" customHeight="1" hidden="1">
      <c r="I569" s="373"/>
      <c r="J569" s="374"/>
      <c r="K569" s="374"/>
      <c r="L569" t="s" s="375">
        <v>1731</v>
      </c>
      <c r="M569" s="376">
        <v>1</v>
      </c>
      <c r="N569" s="377">
        <v>24.99</v>
      </c>
      <c r="O569" s="377">
        <v>24.99</v>
      </c>
    </row>
    <row r="570" ht="9" customHeight="1" hidden="1">
      <c r="I570" s="373"/>
      <c r="J570" s="374"/>
      <c r="K570" s="378">
        <v>44986</v>
      </c>
      <c r="L570" s="128"/>
      <c r="M570" s="129">
        <v>6</v>
      </c>
      <c r="N570" s="142">
        <v>26.98</v>
      </c>
      <c r="O570" s="142">
        <v>34.94</v>
      </c>
    </row>
    <row r="571" ht="9" customHeight="1" hidden="1">
      <c r="I571" s="373"/>
      <c r="J571" t="s" s="379">
        <v>6016</v>
      </c>
      <c r="K571" s="127"/>
      <c r="L571" s="128"/>
      <c r="M571" s="129">
        <v>6</v>
      </c>
      <c r="N571" s="142">
        <v>26.98</v>
      </c>
      <c r="O571" s="142">
        <v>34.94</v>
      </c>
    </row>
    <row r="572" ht="16.1" customHeight="1">
      <c r="I572" t="s" s="126">
        <v>6017</v>
      </c>
      <c r="J572" s="127"/>
      <c r="K572" s="127"/>
      <c r="L572" s="128"/>
      <c r="M572" s="129">
        <v>6</v>
      </c>
      <c r="N572" s="142">
        <v>26.98</v>
      </c>
      <c r="O572" s="142">
        <v>34.94</v>
      </c>
    </row>
    <row r="573" ht="9" customHeight="1" hidden="1">
      <c r="I573" s="373"/>
      <c r="J573" s="374"/>
      <c r="K573" s="374"/>
      <c r="L573" t="s" s="375">
        <v>2961</v>
      </c>
      <c r="M573" s="376">
        <v>1</v>
      </c>
      <c r="N573" s="377">
        <v>22.99</v>
      </c>
      <c r="O573" s="377">
        <v>22.99</v>
      </c>
    </row>
    <row r="574" ht="9" customHeight="1" hidden="1">
      <c r="I574" s="373"/>
      <c r="J574" s="374"/>
      <c r="K574" s="378">
        <v>44986</v>
      </c>
      <c r="L574" s="128"/>
      <c r="M574" s="129">
        <v>1</v>
      </c>
      <c r="N574" s="142">
        <v>22.99</v>
      </c>
      <c r="O574" s="142">
        <v>22.99</v>
      </c>
    </row>
    <row r="575" ht="9" customHeight="1" hidden="1">
      <c r="I575" s="373"/>
      <c r="J575" t="s" s="379">
        <v>6046</v>
      </c>
      <c r="K575" s="127"/>
      <c r="L575" s="128"/>
      <c r="M575" s="129">
        <v>1</v>
      </c>
      <c r="N575" s="142">
        <v>22.99</v>
      </c>
      <c r="O575" s="142">
        <v>22.99</v>
      </c>
    </row>
    <row r="576" ht="16.1" customHeight="1">
      <c r="I576" t="s" s="126">
        <v>6047</v>
      </c>
      <c r="J576" s="127"/>
      <c r="K576" s="127"/>
      <c r="L576" s="128"/>
      <c r="M576" s="129">
        <v>1</v>
      </c>
      <c r="N576" s="142">
        <v>22.99</v>
      </c>
      <c r="O576" s="142">
        <v>22.99</v>
      </c>
    </row>
    <row r="577" ht="9" customHeight="1" hidden="1">
      <c r="I577" s="373"/>
      <c r="J577" s="374"/>
      <c r="K577" s="374"/>
      <c r="L577" t="s" s="375">
        <v>35</v>
      </c>
      <c r="M577" s="376">
        <v>1</v>
      </c>
      <c r="N577" s="377">
        <v>49.99</v>
      </c>
      <c r="O577" s="377">
        <v>49.99</v>
      </c>
    </row>
    <row r="578" ht="9" customHeight="1" hidden="1">
      <c r="I578" s="373"/>
      <c r="J578" s="374"/>
      <c r="K578" s="378">
        <v>44986</v>
      </c>
      <c r="L578" s="128"/>
      <c r="M578" s="129">
        <v>1</v>
      </c>
      <c r="N578" s="142">
        <v>49.99</v>
      </c>
      <c r="O578" s="142">
        <v>49.99</v>
      </c>
    </row>
    <row r="579" ht="9" customHeight="1" hidden="1">
      <c r="I579" s="373"/>
      <c r="J579" t="s" s="379">
        <v>6105</v>
      </c>
      <c r="K579" s="127"/>
      <c r="L579" s="128"/>
      <c r="M579" s="129">
        <v>1</v>
      </c>
      <c r="N579" s="142">
        <v>49.99</v>
      </c>
      <c r="O579" s="142">
        <v>49.99</v>
      </c>
    </row>
    <row r="580" ht="16.1" customHeight="1">
      <c r="I580" t="s" s="126">
        <v>2286</v>
      </c>
      <c r="J580" s="127"/>
      <c r="K580" s="127"/>
      <c r="L580" s="128"/>
      <c r="M580" s="129">
        <v>1</v>
      </c>
      <c r="N580" s="142">
        <v>49.99</v>
      </c>
      <c r="O580" s="142">
        <v>49.99</v>
      </c>
    </row>
    <row r="581" ht="9" customHeight="1" hidden="1">
      <c r="I581" s="373"/>
      <c r="J581" s="374"/>
      <c r="K581" s="374"/>
      <c r="L581" t="s" s="375">
        <v>95</v>
      </c>
      <c r="M581" s="376">
        <v>1</v>
      </c>
      <c r="N581" s="377">
        <v>324.99</v>
      </c>
      <c r="O581" s="377">
        <v>324.99</v>
      </c>
    </row>
    <row r="582" ht="9" customHeight="1" hidden="1">
      <c r="I582" s="373"/>
      <c r="J582" s="374"/>
      <c r="K582" s="378">
        <v>44986</v>
      </c>
      <c r="L582" s="128"/>
      <c r="M582" s="129">
        <v>1</v>
      </c>
      <c r="N582" s="142">
        <v>324.99</v>
      </c>
      <c r="O582" s="142">
        <v>324.99</v>
      </c>
    </row>
    <row r="583" ht="9" customHeight="1" hidden="1">
      <c r="I583" s="373"/>
      <c r="J583" t="s" s="379">
        <v>5919</v>
      </c>
      <c r="K583" s="127"/>
      <c r="L583" s="128"/>
      <c r="M583" s="129">
        <v>1</v>
      </c>
      <c r="N583" s="142">
        <v>324.99</v>
      </c>
      <c r="O583" s="142">
        <v>324.99</v>
      </c>
    </row>
    <row r="584" ht="16.1" customHeight="1">
      <c r="I584" t="s" s="126">
        <v>5920</v>
      </c>
      <c r="J584" s="127"/>
      <c r="K584" s="127"/>
      <c r="L584" s="128"/>
      <c r="M584" s="129">
        <v>1</v>
      </c>
      <c r="N584" s="142">
        <v>324.99</v>
      </c>
      <c r="O584" s="142">
        <v>324.99</v>
      </c>
    </row>
    <row r="585" ht="9" customHeight="1" hidden="1">
      <c r="I585" s="373"/>
      <c r="J585" s="374"/>
      <c r="K585" s="374"/>
      <c r="L585" t="s" s="375">
        <v>19</v>
      </c>
      <c r="M585" s="376">
        <v>4</v>
      </c>
      <c r="N585" s="377">
        <v>119.99</v>
      </c>
      <c r="O585" s="377">
        <v>479.96</v>
      </c>
    </row>
    <row r="586" ht="9" customHeight="1" hidden="1">
      <c r="I586" s="373"/>
      <c r="J586" s="374"/>
      <c r="K586" s="374"/>
      <c r="L586" t="s" s="375">
        <v>15</v>
      </c>
      <c r="M586" s="376">
        <v>4</v>
      </c>
      <c r="N586" s="377">
        <v>9.99</v>
      </c>
      <c r="O586" s="377">
        <v>39.96</v>
      </c>
    </row>
    <row r="587" ht="9" customHeight="1" hidden="1">
      <c r="I587" s="373"/>
      <c r="J587" s="374"/>
      <c r="K587" s="378">
        <v>44986</v>
      </c>
      <c r="L587" s="128"/>
      <c r="M587" s="129">
        <v>8</v>
      </c>
      <c r="N587" s="142">
        <v>129.98</v>
      </c>
      <c r="O587" s="142">
        <v>519.92</v>
      </c>
    </row>
    <row r="588" ht="9" customHeight="1" hidden="1">
      <c r="I588" s="373"/>
      <c r="J588" t="s" s="379">
        <v>5881</v>
      </c>
      <c r="K588" s="127"/>
      <c r="L588" s="128"/>
      <c r="M588" s="129">
        <v>8</v>
      </c>
      <c r="N588" s="142">
        <v>129.98</v>
      </c>
      <c r="O588" s="142">
        <v>519.92</v>
      </c>
    </row>
    <row r="589" ht="16.1" customHeight="1">
      <c r="I589" t="s" s="126">
        <v>5882</v>
      </c>
      <c r="J589" s="127"/>
      <c r="K589" s="127"/>
      <c r="L589" s="128"/>
      <c r="M589" s="129">
        <v>8</v>
      </c>
      <c r="N589" s="142">
        <v>129.98</v>
      </c>
      <c r="O589" s="142">
        <v>519.92</v>
      </c>
    </row>
    <row r="590" ht="9" customHeight="1" hidden="1">
      <c r="I590" s="373"/>
      <c r="J590" s="374"/>
      <c r="K590" s="374"/>
      <c r="L590" t="s" s="375">
        <v>589</v>
      </c>
      <c r="M590" s="376">
        <v>1</v>
      </c>
      <c r="N590" s="377">
        <v>7.49</v>
      </c>
      <c r="O590" s="377">
        <v>7.49</v>
      </c>
    </row>
    <row r="591" ht="9" customHeight="1" hidden="1">
      <c r="I591" s="373"/>
      <c r="J591" s="374"/>
      <c r="K591" s="378">
        <v>44986</v>
      </c>
      <c r="L591" s="128"/>
      <c r="M591" s="129">
        <v>1</v>
      </c>
      <c r="N591" s="142">
        <v>7.49</v>
      </c>
      <c r="O591" s="142">
        <v>7.49</v>
      </c>
    </row>
    <row r="592" ht="9" customHeight="1" hidden="1">
      <c r="I592" s="373"/>
      <c r="J592" t="s" s="379">
        <v>5945</v>
      </c>
      <c r="K592" s="127"/>
      <c r="L592" s="128"/>
      <c r="M592" s="129">
        <v>1</v>
      </c>
      <c r="N592" s="142">
        <v>7.49</v>
      </c>
      <c r="O592" s="142">
        <v>7.49</v>
      </c>
    </row>
    <row r="593" ht="16.1" customHeight="1">
      <c r="I593" t="s" s="126">
        <v>5946</v>
      </c>
      <c r="J593" s="127"/>
      <c r="K593" s="127"/>
      <c r="L593" s="128"/>
      <c r="M593" s="129">
        <v>1</v>
      </c>
      <c r="N593" s="142">
        <v>7.49</v>
      </c>
      <c r="O593" s="142">
        <v>7.49</v>
      </c>
    </row>
    <row r="594" ht="9" customHeight="1" hidden="1">
      <c r="I594" s="373"/>
      <c r="J594" s="374"/>
      <c r="K594" s="374"/>
      <c r="L594" t="s" s="375">
        <v>95</v>
      </c>
      <c r="M594" s="376">
        <v>1</v>
      </c>
      <c r="N594" s="377">
        <v>349.99</v>
      </c>
      <c r="O594" s="377">
        <v>349.99</v>
      </c>
    </row>
    <row r="595" ht="9" customHeight="1" hidden="1">
      <c r="I595" s="373"/>
      <c r="J595" s="374"/>
      <c r="K595" s="378">
        <v>44986</v>
      </c>
      <c r="L595" s="128"/>
      <c r="M595" s="129">
        <v>1</v>
      </c>
      <c r="N595" s="142">
        <v>349.99</v>
      </c>
      <c r="O595" s="142">
        <v>349.99</v>
      </c>
    </row>
    <row r="596" ht="9" customHeight="1" hidden="1">
      <c r="I596" s="373"/>
      <c r="J596" t="s" s="379">
        <v>5923</v>
      </c>
      <c r="K596" s="127"/>
      <c r="L596" s="128"/>
      <c r="M596" s="129">
        <v>1</v>
      </c>
      <c r="N596" s="142">
        <v>349.99</v>
      </c>
      <c r="O596" s="142">
        <v>349.99</v>
      </c>
    </row>
    <row r="597" ht="16.1" customHeight="1">
      <c r="I597" t="s" s="126">
        <v>5924</v>
      </c>
      <c r="J597" s="127"/>
      <c r="K597" s="127"/>
      <c r="L597" s="128"/>
      <c r="M597" s="129">
        <v>1</v>
      </c>
      <c r="N597" s="142">
        <v>349.99</v>
      </c>
      <c r="O597" s="142">
        <v>349.99</v>
      </c>
    </row>
    <row r="598" ht="9" customHeight="1" hidden="1">
      <c r="I598" s="373"/>
      <c r="J598" s="374"/>
      <c r="K598" s="374"/>
      <c r="L598" t="s" s="375">
        <v>227</v>
      </c>
      <c r="M598" s="376">
        <v>2</v>
      </c>
      <c r="N598" s="377">
        <v>0</v>
      </c>
      <c r="O598" s="377">
        <v>0</v>
      </c>
    </row>
    <row r="599" ht="9" customHeight="1" hidden="1">
      <c r="I599" s="373"/>
      <c r="J599" s="374"/>
      <c r="K599" s="374"/>
      <c r="L599" t="s" s="375">
        <v>84</v>
      </c>
      <c r="M599" s="376">
        <v>2</v>
      </c>
      <c r="N599" s="377">
        <v>0</v>
      </c>
      <c r="O599" s="377">
        <v>0</v>
      </c>
    </row>
    <row r="600" ht="9" customHeight="1" hidden="1">
      <c r="I600" s="373"/>
      <c r="J600" s="374"/>
      <c r="K600" s="374"/>
      <c r="L600" t="s" s="375">
        <v>225</v>
      </c>
      <c r="M600" s="376">
        <v>2</v>
      </c>
      <c r="N600" s="377">
        <v>499.99</v>
      </c>
      <c r="O600" s="377">
        <v>999.98</v>
      </c>
    </row>
    <row r="601" ht="9" customHeight="1" hidden="1">
      <c r="I601" s="373"/>
      <c r="J601" s="374"/>
      <c r="K601" s="374"/>
      <c r="L601" t="s" s="375">
        <v>1593</v>
      </c>
      <c r="M601" s="376">
        <v>2</v>
      </c>
      <c r="N601" s="377">
        <v>99.98999999999999</v>
      </c>
      <c r="O601" s="377">
        <v>199.98</v>
      </c>
    </row>
    <row r="602" ht="9" customHeight="1" hidden="1">
      <c r="I602" s="373"/>
      <c r="J602" s="374"/>
      <c r="K602" s="374"/>
      <c r="L602" t="s" s="375">
        <v>50</v>
      </c>
      <c r="M602" s="376">
        <v>2</v>
      </c>
      <c r="N602" s="377">
        <v>29.99</v>
      </c>
      <c r="O602" s="377">
        <v>59.98</v>
      </c>
    </row>
    <row r="603" ht="9" customHeight="1" hidden="1">
      <c r="I603" s="373"/>
      <c r="J603" s="374"/>
      <c r="K603" s="374"/>
      <c r="L603" t="s" s="375">
        <v>73</v>
      </c>
      <c r="M603" s="376">
        <v>1</v>
      </c>
      <c r="N603" s="377">
        <v>399.99</v>
      </c>
      <c r="O603" s="377">
        <v>399.99</v>
      </c>
    </row>
    <row r="604" ht="9" customHeight="1" hidden="1">
      <c r="I604" s="373"/>
      <c r="J604" s="374"/>
      <c r="K604" s="378">
        <v>44986</v>
      </c>
      <c r="L604" s="128"/>
      <c r="M604" s="129">
        <v>11</v>
      </c>
      <c r="N604" s="142">
        <v>1029.96</v>
      </c>
      <c r="O604" s="142">
        <v>1659.93</v>
      </c>
    </row>
    <row r="605" ht="9" customHeight="1" hidden="1">
      <c r="I605" s="373"/>
      <c r="J605" t="s" s="379">
        <v>6124</v>
      </c>
      <c r="K605" s="127"/>
      <c r="L605" s="128"/>
      <c r="M605" s="129">
        <v>11</v>
      </c>
      <c r="N605" s="142">
        <v>1029.96</v>
      </c>
      <c r="O605" s="142">
        <v>1659.93</v>
      </c>
    </row>
    <row r="606" ht="9" customHeight="1" hidden="1">
      <c r="I606" s="373"/>
      <c r="J606" s="374"/>
      <c r="K606" s="374"/>
      <c r="L606" t="s" s="375">
        <v>179</v>
      </c>
      <c r="M606" s="376">
        <v>2</v>
      </c>
      <c r="N606" s="377">
        <v>49.99</v>
      </c>
      <c r="O606" s="377">
        <v>99.98</v>
      </c>
    </row>
    <row r="607" ht="9" customHeight="1" hidden="1">
      <c r="I607" s="373"/>
      <c r="J607" s="374"/>
      <c r="K607" s="378">
        <v>44986</v>
      </c>
      <c r="L607" s="128"/>
      <c r="M607" s="129">
        <v>2</v>
      </c>
      <c r="N607" s="142">
        <v>49.99</v>
      </c>
      <c r="O607" s="142">
        <v>99.98</v>
      </c>
    </row>
    <row r="608" ht="9" customHeight="1" hidden="1">
      <c r="I608" s="373"/>
      <c r="J608" t="s" s="379">
        <v>5875</v>
      </c>
      <c r="K608" s="127"/>
      <c r="L608" s="128"/>
      <c r="M608" s="129">
        <v>2</v>
      </c>
      <c r="N608" s="142">
        <v>49.99</v>
      </c>
      <c r="O608" s="142">
        <v>99.98</v>
      </c>
    </row>
    <row r="609" ht="16.1" customHeight="1">
      <c r="I609" t="s" s="126">
        <v>5876</v>
      </c>
      <c r="J609" s="127"/>
      <c r="K609" s="127"/>
      <c r="L609" s="128"/>
      <c r="M609" s="129">
        <v>13</v>
      </c>
      <c r="N609" s="142">
        <v>1079.95</v>
      </c>
      <c r="O609" s="142">
        <v>1759.91</v>
      </c>
    </row>
    <row r="610" ht="9" customHeight="1" hidden="1">
      <c r="I610" s="373"/>
      <c r="J610" s="374"/>
      <c r="K610" s="374"/>
      <c r="L610" t="s" s="375">
        <v>1695</v>
      </c>
      <c r="M610" s="376">
        <v>1</v>
      </c>
      <c r="N610" s="377">
        <v>49.99</v>
      </c>
      <c r="O610" s="377">
        <v>49.99</v>
      </c>
    </row>
    <row r="611" ht="9" customHeight="1" hidden="1">
      <c r="I611" s="373"/>
      <c r="J611" s="374"/>
      <c r="K611" s="374"/>
      <c r="L611" t="s" s="375">
        <v>15</v>
      </c>
      <c r="M611" s="376">
        <v>1</v>
      </c>
      <c r="N611" s="377">
        <v>9.99</v>
      </c>
      <c r="O611" s="377">
        <v>9.99</v>
      </c>
    </row>
    <row r="612" ht="9" customHeight="1" hidden="1">
      <c r="I612" s="373"/>
      <c r="J612" s="374"/>
      <c r="K612" s="378">
        <v>44986</v>
      </c>
      <c r="L612" s="128"/>
      <c r="M612" s="129">
        <v>2</v>
      </c>
      <c r="N612" s="142">
        <v>59.98</v>
      </c>
      <c r="O612" s="142">
        <v>59.98</v>
      </c>
    </row>
    <row r="613" ht="9" customHeight="1" hidden="1">
      <c r="I613" s="373"/>
      <c r="J613" t="s" s="379">
        <v>6084</v>
      </c>
      <c r="K613" s="127"/>
      <c r="L613" s="128"/>
      <c r="M613" s="129">
        <v>2</v>
      </c>
      <c r="N613" s="142">
        <v>59.98</v>
      </c>
      <c r="O613" s="142">
        <v>59.98</v>
      </c>
    </row>
    <row r="614" ht="16.1" customHeight="1">
      <c r="I614" t="s" s="126">
        <v>4992</v>
      </c>
      <c r="J614" s="127"/>
      <c r="K614" s="127"/>
      <c r="L614" s="128"/>
      <c r="M614" s="129">
        <v>2</v>
      </c>
      <c r="N614" s="142">
        <v>59.98</v>
      </c>
      <c r="O614" s="142">
        <v>59.98</v>
      </c>
    </row>
    <row r="615" ht="9" customHeight="1" hidden="1">
      <c r="I615" s="373"/>
      <c r="J615" s="374"/>
      <c r="K615" s="374"/>
      <c r="L615" t="s" s="375">
        <v>50</v>
      </c>
      <c r="M615" s="376">
        <v>2</v>
      </c>
      <c r="N615" s="377">
        <v>29.99</v>
      </c>
      <c r="O615" s="377">
        <v>59.98</v>
      </c>
    </row>
    <row r="616" ht="9" customHeight="1" hidden="1">
      <c r="I616" s="373"/>
      <c r="J616" s="374"/>
      <c r="K616" s="378">
        <v>44986</v>
      </c>
      <c r="L616" s="128"/>
      <c r="M616" s="129">
        <v>2</v>
      </c>
      <c r="N616" s="142">
        <v>29.99</v>
      </c>
      <c r="O616" s="142">
        <v>59.98</v>
      </c>
    </row>
    <row r="617" ht="9" customHeight="1" hidden="1">
      <c r="I617" s="373"/>
      <c r="J617" t="s" s="379">
        <v>6116</v>
      </c>
      <c r="K617" s="127"/>
      <c r="L617" s="128"/>
      <c r="M617" s="129">
        <v>2</v>
      </c>
      <c r="N617" s="142">
        <v>29.99</v>
      </c>
      <c r="O617" s="142">
        <v>59.98</v>
      </c>
    </row>
    <row r="618" ht="16.1" customHeight="1">
      <c r="I618" t="s" s="126">
        <v>6117</v>
      </c>
      <c r="J618" s="127"/>
      <c r="K618" s="127"/>
      <c r="L618" s="128"/>
      <c r="M618" s="129">
        <v>2</v>
      </c>
      <c r="N618" s="142">
        <v>29.99</v>
      </c>
      <c r="O618" s="142">
        <v>59.98</v>
      </c>
    </row>
    <row r="619" ht="9" customHeight="1" hidden="1">
      <c r="I619" s="373"/>
      <c r="J619" s="374"/>
      <c r="K619" s="374"/>
      <c r="L619" t="s" s="375">
        <v>95</v>
      </c>
      <c r="M619" s="376">
        <v>1</v>
      </c>
      <c r="N619" s="377">
        <v>349.99</v>
      </c>
      <c r="O619" s="377">
        <v>349.99</v>
      </c>
    </row>
    <row r="620" ht="9" customHeight="1" hidden="1">
      <c r="I620" s="373"/>
      <c r="J620" s="374"/>
      <c r="K620" s="378">
        <v>44986</v>
      </c>
      <c r="L620" s="128"/>
      <c r="M620" s="129">
        <v>1</v>
      </c>
      <c r="N620" s="142">
        <v>349.99</v>
      </c>
      <c r="O620" s="142">
        <v>349.99</v>
      </c>
    </row>
    <row r="621" ht="9" customHeight="1" hidden="1">
      <c r="I621" s="373"/>
      <c r="J621" t="s" s="379">
        <v>6065</v>
      </c>
      <c r="K621" s="127"/>
      <c r="L621" s="128"/>
      <c r="M621" s="129">
        <v>1</v>
      </c>
      <c r="N621" s="142">
        <v>349.99</v>
      </c>
      <c r="O621" s="142">
        <v>349.99</v>
      </c>
    </row>
    <row r="622" ht="16.1" customHeight="1">
      <c r="I622" t="s" s="126">
        <v>6066</v>
      </c>
      <c r="J622" s="127"/>
      <c r="K622" s="127"/>
      <c r="L622" s="128"/>
      <c r="M622" s="129">
        <v>1</v>
      </c>
      <c r="N622" s="142">
        <v>349.99</v>
      </c>
      <c r="O622" s="142">
        <v>349.99</v>
      </c>
    </row>
    <row r="623" ht="9" customHeight="1" hidden="1">
      <c r="I623" s="373"/>
      <c r="J623" s="374"/>
      <c r="K623" s="374"/>
      <c r="L623" t="s" s="375">
        <v>52</v>
      </c>
      <c r="M623" s="376">
        <v>3</v>
      </c>
      <c r="N623" s="377">
        <v>0</v>
      </c>
      <c r="O623" s="377">
        <v>0</v>
      </c>
    </row>
    <row r="624" ht="9" customHeight="1" hidden="1">
      <c r="I624" s="373"/>
      <c r="J624" s="374"/>
      <c r="K624" s="374"/>
      <c r="L624" t="s" s="375">
        <v>50</v>
      </c>
      <c r="M624" s="376">
        <v>3</v>
      </c>
      <c r="N624" s="377">
        <v>0</v>
      </c>
      <c r="O624" s="377">
        <v>0</v>
      </c>
    </row>
    <row r="625" ht="9" customHeight="1" hidden="1">
      <c r="I625" s="373"/>
      <c r="J625" s="374"/>
      <c r="K625" s="374"/>
      <c r="L625" t="s" s="375">
        <v>48</v>
      </c>
      <c r="M625" s="376">
        <v>3</v>
      </c>
      <c r="N625" s="377">
        <v>974.99</v>
      </c>
      <c r="O625" s="377">
        <v>2924.97</v>
      </c>
    </row>
    <row r="626" ht="9" customHeight="1" hidden="1">
      <c r="I626" s="373"/>
      <c r="J626" s="374"/>
      <c r="K626" s="378">
        <v>44986</v>
      </c>
      <c r="L626" s="128"/>
      <c r="M626" s="129">
        <v>9</v>
      </c>
      <c r="N626" s="142">
        <v>974.99</v>
      </c>
      <c r="O626" s="142">
        <v>2924.97</v>
      </c>
    </row>
    <row r="627" ht="9" customHeight="1" hidden="1">
      <c r="I627" s="373"/>
      <c r="J627" t="s" s="379">
        <v>5959</v>
      </c>
      <c r="K627" s="127"/>
      <c r="L627" s="128"/>
      <c r="M627" s="129">
        <v>9</v>
      </c>
      <c r="N627" s="142">
        <v>974.99</v>
      </c>
      <c r="O627" s="142">
        <v>2924.97</v>
      </c>
    </row>
    <row r="628" ht="16.1" customHeight="1">
      <c r="I628" t="s" s="126">
        <v>911</v>
      </c>
      <c r="J628" s="127"/>
      <c r="K628" s="127"/>
      <c r="L628" s="128"/>
      <c r="M628" s="129">
        <v>9</v>
      </c>
      <c r="N628" s="142">
        <v>974.99</v>
      </c>
      <c r="O628" s="142">
        <v>2924.97</v>
      </c>
    </row>
    <row r="629" ht="9" customHeight="1" hidden="1">
      <c r="I629" s="373"/>
      <c r="J629" s="374"/>
      <c r="K629" s="374"/>
      <c r="L629" t="s" s="375">
        <v>95</v>
      </c>
      <c r="M629" s="376">
        <v>1</v>
      </c>
      <c r="N629" s="377">
        <v>314.991</v>
      </c>
      <c r="O629" s="377">
        <v>314.991</v>
      </c>
    </row>
    <row r="630" ht="9" customHeight="1" hidden="1">
      <c r="I630" s="373"/>
      <c r="J630" s="374"/>
      <c r="K630" s="378">
        <v>44986</v>
      </c>
      <c r="L630" s="128"/>
      <c r="M630" s="129">
        <v>1</v>
      </c>
      <c r="N630" s="142">
        <v>314.991</v>
      </c>
      <c r="O630" s="142">
        <v>314.991</v>
      </c>
    </row>
    <row r="631" ht="9" customHeight="1" hidden="1">
      <c r="I631" s="373"/>
      <c r="J631" t="s" s="379">
        <v>5987</v>
      </c>
      <c r="K631" s="127"/>
      <c r="L631" s="128"/>
      <c r="M631" s="129">
        <v>1</v>
      </c>
      <c r="N631" s="142">
        <v>314.991</v>
      </c>
      <c r="O631" s="142">
        <v>314.991</v>
      </c>
    </row>
    <row r="632" ht="9" customHeight="1" hidden="1">
      <c r="I632" s="373"/>
      <c r="J632" s="374"/>
      <c r="K632" s="374"/>
      <c r="L632" t="s" s="375">
        <v>95</v>
      </c>
      <c r="M632" s="376">
        <v>1</v>
      </c>
      <c r="N632" s="377">
        <v>314.991</v>
      </c>
      <c r="O632" s="377">
        <v>314.991</v>
      </c>
    </row>
    <row r="633" ht="9" customHeight="1" hidden="1">
      <c r="I633" s="373"/>
      <c r="J633" s="374"/>
      <c r="K633" s="378">
        <v>44986</v>
      </c>
      <c r="L633" s="128"/>
      <c r="M633" s="129">
        <v>1</v>
      </c>
      <c r="N633" s="142">
        <v>314.991</v>
      </c>
      <c r="O633" s="142">
        <v>314.991</v>
      </c>
    </row>
    <row r="634" ht="9" customHeight="1" hidden="1">
      <c r="I634" s="373"/>
      <c r="J634" t="s" s="379">
        <v>5988</v>
      </c>
      <c r="K634" s="127"/>
      <c r="L634" s="128"/>
      <c r="M634" s="129">
        <v>1</v>
      </c>
      <c r="N634" s="142">
        <v>314.991</v>
      </c>
      <c r="O634" s="142">
        <v>314.991</v>
      </c>
    </row>
    <row r="635" ht="9" customHeight="1" hidden="1">
      <c r="I635" s="373"/>
      <c r="J635" s="374"/>
      <c r="K635" s="374"/>
      <c r="L635" t="s" s="375">
        <v>73</v>
      </c>
      <c r="M635" s="376">
        <v>1</v>
      </c>
      <c r="N635" s="377">
        <v>359.991</v>
      </c>
      <c r="O635" s="377">
        <v>359.991</v>
      </c>
    </row>
    <row r="636" ht="9" customHeight="1" hidden="1">
      <c r="I636" s="373"/>
      <c r="J636" s="374"/>
      <c r="K636" s="374"/>
      <c r="L636" t="s" s="375">
        <v>63</v>
      </c>
      <c r="M636" s="376">
        <v>1</v>
      </c>
      <c r="N636" s="377">
        <v>38.11</v>
      </c>
      <c r="O636" s="377">
        <v>38.11</v>
      </c>
    </row>
    <row r="637" ht="9" customHeight="1" hidden="1">
      <c r="I637" s="373"/>
      <c r="J637" s="374"/>
      <c r="K637" s="378">
        <v>44986</v>
      </c>
      <c r="L637" s="128"/>
      <c r="M637" s="129">
        <v>2</v>
      </c>
      <c r="N637" s="142">
        <v>398.101</v>
      </c>
      <c r="O637" s="142">
        <v>398.101</v>
      </c>
    </row>
    <row r="638" ht="9" customHeight="1" hidden="1">
      <c r="I638" s="373"/>
      <c r="J638" t="s" s="379">
        <v>5929</v>
      </c>
      <c r="K638" s="127"/>
      <c r="L638" s="128"/>
      <c r="M638" s="129">
        <v>2</v>
      </c>
      <c r="N638" s="142">
        <v>398.101</v>
      </c>
      <c r="O638" s="142">
        <v>398.101</v>
      </c>
    </row>
    <row r="639" ht="16.1" customHeight="1">
      <c r="I639" t="s" s="126">
        <v>2940</v>
      </c>
      <c r="J639" s="127"/>
      <c r="K639" s="127"/>
      <c r="L639" s="128"/>
      <c r="M639" s="129">
        <v>4</v>
      </c>
      <c r="N639" s="142">
        <v>1028.083</v>
      </c>
      <c r="O639" s="142">
        <v>1028.083</v>
      </c>
    </row>
    <row r="640" ht="9" customHeight="1" hidden="1">
      <c r="I640" s="373"/>
      <c r="J640" s="374"/>
      <c r="K640" s="374"/>
      <c r="L640" t="s" s="375">
        <v>35</v>
      </c>
      <c r="M640" s="376">
        <v>1</v>
      </c>
      <c r="N640" s="377">
        <v>49.99</v>
      </c>
      <c r="O640" s="377">
        <v>49.99</v>
      </c>
    </row>
    <row r="641" ht="9" customHeight="1" hidden="1">
      <c r="I641" s="373"/>
      <c r="J641" s="374"/>
      <c r="K641" s="374"/>
      <c r="L641" t="s" s="375">
        <v>31</v>
      </c>
      <c r="M641" s="376">
        <v>1</v>
      </c>
      <c r="N641" s="377">
        <v>599.99</v>
      </c>
      <c r="O641" s="377">
        <v>599.99</v>
      </c>
    </row>
    <row r="642" ht="9" customHeight="1" hidden="1">
      <c r="I642" s="373"/>
      <c r="J642" s="374"/>
      <c r="K642" s="378">
        <v>44986</v>
      </c>
      <c r="L642" s="128"/>
      <c r="M642" s="129">
        <v>2</v>
      </c>
      <c r="N642" s="142">
        <v>649.98</v>
      </c>
      <c r="O642" s="142">
        <v>649.98</v>
      </c>
    </row>
    <row r="643" ht="9" customHeight="1" hidden="1">
      <c r="I643" s="373"/>
      <c r="J643" t="s" s="379">
        <v>6028</v>
      </c>
      <c r="K643" s="127"/>
      <c r="L643" s="128"/>
      <c r="M643" s="129">
        <v>2</v>
      </c>
      <c r="N643" s="142">
        <v>649.98</v>
      </c>
      <c r="O643" s="142">
        <v>649.98</v>
      </c>
    </row>
    <row r="644" ht="16.1" customHeight="1">
      <c r="I644" t="s" s="126">
        <v>6029</v>
      </c>
      <c r="J644" s="127"/>
      <c r="K644" s="127"/>
      <c r="L644" s="128"/>
      <c r="M644" s="129">
        <v>2</v>
      </c>
      <c r="N644" s="142">
        <v>649.98</v>
      </c>
      <c r="O644" s="142">
        <v>649.98</v>
      </c>
    </row>
    <row r="645" ht="9" customHeight="1" hidden="1">
      <c r="I645" s="373"/>
      <c r="J645" s="374"/>
      <c r="K645" s="374"/>
      <c r="L645" t="s" s="375">
        <v>5845</v>
      </c>
      <c r="M645" s="376">
        <v>1</v>
      </c>
      <c r="N645" s="377">
        <v>9.99</v>
      </c>
      <c r="O645" s="377">
        <v>9.99</v>
      </c>
    </row>
    <row r="646" ht="9" customHeight="1" hidden="1">
      <c r="I646" s="373"/>
      <c r="J646" s="374"/>
      <c r="K646" s="374"/>
      <c r="L646" t="s" s="375">
        <v>5138</v>
      </c>
      <c r="M646" s="376">
        <v>1</v>
      </c>
      <c r="N646" s="377">
        <v>15</v>
      </c>
      <c r="O646" s="377">
        <v>15</v>
      </c>
    </row>
    <row r="647" ht="9" customHeight="1" hidden="1">
      <c r="I647" s="373"/>
      <c r="J647" s="374"/>
      <c r="K647" s="374"/>
      <c r="L647" t="s" s="375">
        <v>39</v>
      </c>
      <c r="M647" s="376">
        <v>1</v>
      </c>
      <c r="N647" s="377">
        <v>109.99</v>
      </c>
      <c r="O647" s="377">
        <v>109.99</v>
      </c>
    </row>
    <row r="648" ht="9" customHeight="1" hidden="1">
      <c r="I648" s="373"/>
      <c r="J648" s="374"/>
      <c r="K648" s="374"/>
      <c r="L648" t="s" s="375">
        <v>50</v>
      </c>
      <c r="M648" s="376">
        <v>1</v>
      </c>
      <c r="N648" s="377">
        <v>29.99</v>
      </c>
      <c r="O648" s="377">
        <v>29.99</v>
      </c>
    </row>
    <row r="649" ht="9" customHeight="1" hidden="1">
      <c r="I649" s="373"/>
      <c r="J649" s="374"/>
      <c r="K649" s="374"/>
      <c r="L649" t="s" s="375">
        <v>15</v>
      </c>
      <c r="M649" s="376">
        <v>1</v>
      </c>
      <c r="N649" s="377">
        <v>9.99</v>
      </c>
      <c r="O649" s="377">
        <v>9.99</v>
      </c>
    </row>
    <row r="650" ht="9" customHeight="1" hidden="1">
      <c r="I650" s="373"/>
      <c r="J650" s="374"/>
      <c r="K650" s="378">
        <v>44986</v>
      </c>
      <c r="L650" s="128"/>
      <c r="M650" s="129">
        <v>5</v>
      </c>
      <c r="N650" s="142">
        <v>174.96</v>
      </c>
      <c r="O650" s="142">
        <v>174.96</v>
      </c>
    </row>
    <row r="651" ht="9" customHeight="1" hidden="1">
      <c r="I651" s="373"/>
      <c r="J651" t="s" s="379">
        <v>6111</v>
      </c>
      <c r="K651" s="127"/>
      <c r="L651" s="128"/>
      <c r="M651" s="129">
        <v>5</v>
      </c>
      <c r="N651" s="142">
        <v>174.96</v>
      </c>
      <c r="O651" s="142">
        <v>174.96</v>
      </c>
    </row>
    <row r="652" ht="16.1" customHeight="1">
      <c r="I652" t="s" s="126">
        <v>6112</v>
      </c>
      <c r="J652" s="127"/>
      <c r="K652" s="127"/>
      <c r="L652" s="128"/>
      <c r="M652" s="129">
        <v>5</v>
      </c>
      <c r="N652" s="142">
        <v>174.96</v>
      </c>
      <c r="O652" s="142">
        <v>174.96</v>
      </c>
    </row>
    <row r="653" ht="9" customHeight="1" hidden="1">
      <c r="I653" s="373"/>
      <c r="J653" s="374"/>
      <c r="K653" s="374"/>
      <c r="L653" t="s" s="375">
        <v>171</v>
      </c>
      <c r="M653" s="376">
        <v>3</v>
      </c>
      <c r="N653" s="377">
        <v>549.99</v>
      </c>
      <c r="O653" s="377">
        <v>1649.97</v>
      </c>
    </row>
    <row r="654" ht="9" customHeight="1" hidden="1">
      <c r="I654" s="373"/>
      <c r="J654" s="374"/>
      <c r="K654" s="378">
        <v>44986</v>
      </c>
      <c r="L654" s="128"/>
      <c r="M654" s="129">
        <v>3</v>
      </c>
      <c r="N654" s="142">
        <v>549.99</v>
      </c>
      <c r="O654" s="142">
        <v>1649.97</v>
      </c>
    </row>
    <row r="655" ht="9" customHeight="1" hidden="1">
      <c r="I655" s="373"/>
      <c r="J655" t="s" s="379">
        <v>5906</v>
      </c>
      <c r="K655" s="127"/>
      <c r="L655" s="128"/>
      <c r="M655" s="129">
        <v>3</v>
      </c>
      <c r="N655" s="142">
        <v>549.99</v>
      </c>
      <c r="O655" s="142">
        <v>1649.97</v>
      </c>
    </row>
    <row r="656" ht="16.1" customHeight="1">
      <c r="I656" t="s" s="126">
        <v>5907</v>
      </c>
      <c r="J656" s="127"/>
      <c r="K656" s="127"/>
      <c r="L656" s="128"/>
      <c r="M656" s="129">
        <v>3</v>
      </c>
      <c r="N656" s="142">
        <v>549.99</v>
      </c>
      <c r="O656" s="142">
        <v>1649.97</v>
      </c>
    </row>
    <row r="657" ht="9" customHeight="1" hidden="1">
      <c r="I657" s="373"/>
      <c r="J657" s="374"/>
      <c r="K657" s="374"/>
      <c r="L657" t="s" s="375">
        <v>31</v>
      </c>
      <c r="M657" s="376">
        <v>1</v>
      </c>
      <c r="N657" s="377">
        <v>599.99</v>
      </c>
      <c r="O657" s="377">
        <v>599.99</v>
      </c>
    </row>
    <row r="658" ht="9" customHeight="1" hidden="1">
      <c r="I658" s="373"/>
      <c r="J658" s="374"/>
      <c r="K658" s="378">
        <v>44986</v>
      </c>
      <c r="L658" s="128"/>
      <c r="M658" s="129">
        <v>1</v>
      </c>
      <c r="N658" s="142">
        <v>599.99</v>
      </c>
      <c r="O658" s="142">
        <v>599.99</v>
      </c>
    </row>
    <row r="659" ht="9" customHeight="1" hidden="1">
      <c r="I659" s="373"/>
      <c r="J659" t="s" s="379">
        <v>6052</v>
      </c>
      <c r="K659" s="127"/>
      <c r="L659" s="128"/>
      <c r="M659" s="129">
        <v>1</v>
      </c>
      <c r="N659" s="142">
        <v>599.99</v>
      </c>
      <c r="O659" s="142">
        <v>599.99</v>
      </c>
    </row>
    <row r="660" ht="16.1" customHeight="1">
      <c r="I660" t="s" s="126">
        <v>6053</v>
      </c>
      <c r="J660" s="127"/>
      <c r="K660" s="127"/>
      <c r="L660" s="128"/>
      <c r="M660" s="129">
        <v>1</v>
      </c>
      <c r="N660" s="142">
        <v>599.99</v>
      </c>
      <c r="O660" s="142">
        <v>599.99</v>
      </c>
    </row>
    <row r="661" ht="9" customHeight="1" hidden="1">
      <c r="I661" s="373"/>
      <c r="J661" s="374"/>
      <c r="K661" s="374"/>
      <c r="L661" t="s" s="375">
        <v>59</v>
      </c>
      <c r="M661" s="376">
        <v>1</v>
      </c>
      <c r="N661" s="377">
        <v>1199.99</v>
      </c>
      <c r="O661" s="377">
        <v>1199.99</v>
      </c>
    </row>
    <row r="662" ht="9" customHeight="1" hidden="1">
      <c r="I662" s="373"/>
      <c r="J662" s="374"/>
      <c r="K662" s="378">
        <v>44986</v>
      </c>
      <c r="L662" s="128"/>
      <c r="M662" s="129">
        <v>1</v>
      </c>
      <c r="N662" s="142">
        <v>1199.99</v>
      </c>
      <c r="O662" s="142">
        <v>1199.99</v>
      </c>
    </row>
    <row r="663" ht="9" customHeight="1" hidden="1">
      <c r="I663" s="373"/>
      <c r="J663" t="s" s="379">
        <v>5889</v>
      </c>
      <c r="K663" s="127"/>
      <c r="L663" s="128"/>
      <c r="M663" s="129">
        <v>1</v>
      </c>
      <c r="N663" s="142">
        <v>1199.99</v>
      </c>
      <c r="O663" s="142">
        <v>1199.99</v>
      </c>
    </row>
    <row r="664" ht="16.1" customHeight="1">
      <c r="I664" t="s" s="126">
        <v>5890</v>
      </c>
      <c r="J664" s="127"/>
      <c r="K664" s="127"/>
      <c r="L664" s="128"/>
      <c r="M664" s="129">
        <v>1</v>
      </c>
      <c r="N664" s="142">
        <v>1199.99</v>
      </c>
      <c r="O664" s="142">
        <v>1199.99</v>
      </c>
    </row>
    <row r="665" ht="9" customHeight="1" hidden="1">
      <c r="I665" s="373"/>
      <c r="J665" s="374"/>
      <c r="K665" s="374"/>
      <c r="L665" t="s" s="375">
        <v>95</v>
      </c>
      <c r="M665" s="376">
        <v>1</v>
      </c>
      <c r="N665" s="377">
        <v>349.99</v>
      </c>
      <c r="O665" s="377">
        <v>349.99</v>
      </c>
    </row>
    <row r="666" ht="9" customHeight="1" hidden="1">
      <c r="I666" s="373"/>
      <c r="J666" s="374"/>
      <c r="K666" s="378">
        <v>44986</v>
      </c>
      <c r="L666" s="128"/>
      <c r="M666" s="129">
        <v>1</v>
      </c>
      <c r="N666" s="142">
        <v>349.99</v>
      </c>
      <c r="O666" s="142">
        <v>349.99</v>
      </c>
    </row>
    <row r="667" ht="9" customHeight="1" hidden="1">
      <c r="I667" s="373"/>
      <c r="J667" t="s" s="379">
        <v>6026</v>
      </c>
      <c r="K667" s="127"/>
      <c r="L667" s="128"/>
      <c r="M667" s="129">
        <v>1</v>
      </c>
      <c r="N667" s="142">
        <v>349.99</v>
      </c>
      <c r="O667" s="142">
        <v>349.99</v>
      </c>
    </row>
    <row r="668" ht="16.1" customHeight="1">
      <c r="I668" t="s" s="126">
        <v>6027</v>
      </c>
      <c r="J668" s="127"/>
      <c r="K668" s="127"/>
      <c r="L668" s="128"/>
      <c r="M668" s="129">
        <v>1</v>
      </c>
      <c r="N668" s="142">
        <v>349.99</v>
      </c>
      <c r="O668" s="142">
        <v>349.99</v>
      </c>
    </row>
    <row r="669" ht="9" customHeight="1" hidden="1">
      <c r="I669" s="373"/>
      <c r="J669" s="374"/>
      <c r="K669" s="374"/>
      <c r="L669" t="s" s="375">
        <v>31</v>
      </c>
      <c r="M669" s="376">
        <v>1</v>
      </c>
      <c r="N669" s="377">
        <v>574.99</v>
      </c>
      <c r="O669" s="377">
        <v>574.99</v>
      </c>
    </row>
    <row r="670" ht="9" customHeight="1" hidden="1">
      <c r="I670" s="373"/>
      <c r="J670" s="374"/>
      <c r="K670" s="378">
        <v>44986</v>
      </c>
      <c r="L670" s="128"/>
      <c r="M670" s="129">
        <v>1</v>
      </c>
      <c r="N670" s="142">
        <v>574.99</v>
      </c>
      <c r="O670" s="142">
        <v>574.99</v>
      </c>
    </row>
    <row r="671" ht="9" customHeight="1" hidden="1">
      <c r="I671" s="373"/>
      <c r="J671" t="s" s="379">
        <v>5951</v>
      </c>
      <c r="K671" s="127"/>
      <c r="L671" s="128"/>
      <c r="M671" s="129">
        <v>1</v>
      </c>
      <c r="N671" s="142">
        <v>574.99</v>
      </c>
      <c r="O671" s="142">
        <v>574.99</v>
      </c>
    </row>
    <row r="672" ht="9" customHeight="1" hidden="1">
      <c r="I672" s="373"/>
      <c r="J672" s="374"/>
      <c r="K672" s="374"/>
      <c r="L672" t="s" s="375">
        <v>171</v>
      </c>
      <c r="M672" s="376">
        <v>1</v>
      </c>
      <c r="N672" s="377">
        <v>524.99</v>
      </c>
      <c r="O672" s="377">
        <v>524.99</v>
      </c>
    </row>
    <row r="673" ht="9" customHeight="1" hidden="1">
      <c r="I673" s="373"/>
      <c r="J673" s="374"/>
      <c r="K673" s="378">
        <v>44986</v>
      </c>
      <c r="L673" s="128"/>
      <c r="M673" s="129">
        <v>1</v>
      </c>
      <c r="N673" s="142">
        <v>524.99</v>
      </c>
      <c r="O673" s="142">
        <v>524.99</v>
      </c>
    </row>
    <row r="674" ht="9" customHeight="1" hidden="1">
      <c r="I674" s="373"/>
      <c r="J674" t="s" s="379">
        <v>5851</v>
      </c>
      <c r="K674" s="127"/>
      <c r="L674" s="128"/>
      <c r="M674" s="129">
        <v>1</v>
      </c>
      <c r="N674" s="142">
        <v>524.99</v>
      </c>
      <c r="O674" s="142">
        <v>524.99</v>
      </c>
    </row>
    <row r="675" ht="16.1" customHeight="1">
      <c r="I675" t="s" s="126">
        <v>5787</v>
      </c>
      <c r="J675" s="127"/>
      <c r="K675" s="127"/>
      <c r="L675" s="128"/>
      <c r="M675" s="129">
        <v>2</v>
      </c>
      <c r="N675" s="142">
        <v>1099.98</v>
      </c>
      <c r="O675" s="142">
        <v>1099.98</v>
      </c>
    </row>
    <row r="676" ht="9" customHeight="1" hidden="1">
      <c r="I676" s="373"/>
      <c r="J676" s="374"/>
      <c r="K676" s="374"/>
      <c r="L676" t="s" s="375">
        <v>19</v>
      </c>
      <c r="M676" s="376">
        <v>4</v>
      </c>
      <c r="N676" s="377">
        <v>119.99</v>
      </c>
      <c r="O676" s="377">
        <v>479.96</v>
      </c>
    </row>
    <row r="677" ht="9" customHeight="1" hidden="1">
      <c r="I677" s="373"/>
      <c r="J677" s="374"/>
      <c r="K677" s="374"/>
      <c r="L677" t="s" s="375">
        <v>15</v>
      </c>
      <c r="M677" s="376">
        <v>4</v>
      </c>
      <c r="N677" s="377">
        <v>9.99</v>
      </c>
      <c r="O677" s="377">
        <v>39.96</v>
      </c>
    </row>
    <row r="678" ht="9" customHeight="1" hidden="1">
      <c r="I678" s="373"/>
      <c r="J678" s="374"/>
      <c r="K678" s="378">
        <v>44986</v>
      </c>
      <c r="L678" s="128"/>
      <c r="M678" s="129">
        <v>8</v>
      </c>
      <c r="N678" s="142">
        <v>129.98</v>
      </c>
      <c r="O678" s="142">
        <v>519.92</v>
      </c>
    </row>
    <row r="679" ht="9" customHeight="1" hidden="1">
      <c r="I679" s="373"/>
      <c r="J679" t="s" s="379">
        <v>6023</v>
      </c>
      <c r="K679" s="127"/>
      <c r="L679" s="128"/>
      <c r="M679" s="129">
        <v>8</v>
      </c>
      <c r="N679" s="142">
        <v>129.98</v>
      </c>
      <c r="O679" s="142">
        <v>519.92</v>
      </c>
    </row>
    <row r="680" ht="9" customHeight="1" hidden="1">
      <c r="I680" s="373"/>
      <c r="J680" s="374"/>
      <c r="K680" s="374"/>
      <c r="L680" t="s" s="375">
        <v>73</v>
      </c>
      <c r="M680" s="376">
        <v>1</v>
      </c>
      <c r="N680" s="377">
        <v>399.99</v>
      </c>
      <c r="O680" s="377">
        <v>399.99</v>
      </c>
    </row>
    <row r="681" ht="9" customHeight="1" hidden="1">
      <c r="I681" s="373"/>
      <c r="J681" s="374"/>
      <c r="K681" s="374"/>
      <c r="L681" t="s" s="375">
        <v>15</v>
      </c>
      <c r="M681" s="376">
        <v>5</v>
      </c>
      <c r="N681" s="377">
        <v>8.99</v>
      </c>
      <c r="O681" s="377">
        <v>44.95</v>
      </c>
    </row>
    <row r="682" ht="9" customHeight="1" hidden="1">
      <c r="I682" s="373"/>
      <c r="J682" s="374"/>
      <c r="K682" s="378">
        <v>44986</v>
      </c>
      <c r="L682" s="128"/>
      <c r="M682" s="129">
        <v>6</v>
      </c>
      <c r="N682" s="142">
        <v>408.98</v>
      </c>
      <c r="O682" s="142">
        <v>444.94</v>
      </c>
    </row>
    <row r="683" ht="9" customHeight="1" hidden="1">
      <c r="I683" s="373"/>
      <c r="J683" t="s" s="379">
        <v>6020</v>
      </c>
      <c r="K683" s="127"/>
      <c r="L683" s="128"/>
      <c r="M683" s="129">
        <v>6</v>
      </c>
      <c r="N683" s="142">
        <v>408.98</v>
      </c>
      <c r="O683" s="142">
        <v>444.94</v>
      </c>
    </row>
    <row r="684" ht="16.1" customHeight="1">
      <c r="I684" t="s" s="126">
        <v>6021</v>
      </c>
      <c r="J684" s="127"/>
      <c r="K684" s="127"/>
      <c r="L684" s="128"/>
      <c r="M684" s="129">
        <v>14</v>
      </c>
      <c r="N684" s="142">
        <v>538.96</v>
      </c>
      <c r="O684" s="142">
        <v>964.86</v>
      </c>
    </row>
    <row r="685" ht="9" customHeight="1" hidden="1">
      <c r="I685" s="373"/>
      <c r="J685" s="374"/>
      <c r="K685" s="374"/>
      <c r="L685" t="s" s="375">
        <v>123</v>
      </c>
      <c r="M685" s="376">
        <v>2</v>
      </c>
      <c r="N685" s="377">
        <v>179.99</v>
      </c>
      <c r="O685" s="377">
        <v>359.98</v>
      </c>
    </row>
    <row r="686" ht="9" customHeight="1" hidden="1">
      <c r="I686" s="373"/>
      <c r="J686" s="374"/>
      <c r="K686" s="374"/>
      <c r="L686" t="s" s="375">
        <v>299</v>
      </c>
      <c r="M686" s="376">
        <v>4</v>
      </c>
      <c r="N686" s="377">
        <v>69.98999999999999</v>
      </c>
      <c r="O686" s="377">
        <v>279.96</v>
      </c>
    </row>
    <row r="687" ht="9" customHeight="1" hidden="1">
      <c r="I687" s="373"/>
      <c r="J687" s="374"/>
      <c r="K687" s="374"/>
      <c r="L687" t="s" s="375">
        <v>146</v>
      </c>
      <c r="M687" s="376">
        <v>4</v>
      </c>
      <c r="N687" s="377">
        <v>19.99</v>
      </c>
      <c r="O687" s="377">
        <v>79.95999999999999</v>
      </c>
    </row>
    <row r="688" ht="9" customHeight="1" hidden="1">
      <c r="I688" s="373"/>
      <c r="J688" s="374"/>
      <c r="K688" s="374"/>
      <c r="L688" t="s" s="375">
        <v>15</v>
      </c>
      <c r="M688" s="376">
        <v>1</v>
      </c>
      <c r="N688" s="377">
        <v>9.99</v>
      </c>
      <c r="O688" s="377">
        <v>9.99</v>
      </c>
    </row>
    <row r="689" ht="9" customHeight="1" hidden="1">
      <c r="I689" s="373"/>
      <c r="J689" s="374"/>
      <c r="K689" s="378">
        <v>44986</v>
      </c>
      <c r="L689" s="128"/>
      <c r="M689" s="129">
        <v>11</v>
      </c>
      <c r="N689" s="142">
        <v>279.96</v>
      </c>
      <c r="O689" s="142">
        <v>729.89</v>
      </c>
    </row>
    <row r="690" ht="9" customHeight="1" hidden="1">
      <c r="I690" s="373"/>
      <c r="J690" t="s" s="379">
        <v>5892</v>
      </c>
      <c r="K690" s="127"/>
      <c r="L690" s="128"/>
      <c r="M690" s="129">
        <v>11</v>
      </c>
      <c r="N690" s="142">
        <v>279.96</v>
      </c>
      <c r="O690" s="142">
        <v>729.89</v>
      </c>
    </row>
    <row r="691" ht="16.1" customHeight="1">
      <c r="I691" t="s" s="126">
        <v>3189</v>
      </c>
      <c r="J691" s="127"/>
      <c r="K691" s="127"/>
      <c r="L691" s="128"/>
      <c r="M691" s="129">
        <v>11</v>
      </c>
      <c r="N691" s="142">
        <v>279.96</v>
      </c>
      <c r="O691" s="142">
        <v>729.89</v>
      </c>
    </row>
    <row r="692" ht="9" customHeight="1" hidden="1">
      <c r="I692" s="373"/>
      <c r="J692" s="374"/>
      <c r="K692" s="374"/>
      <c r="L692" t="s" s="375">
        <v>5845</v>
      </c>
      <c r="M692" s="376">
        <v>4</v>
      </c>
      <c r="N692" s="377">
        <v>9.99</v>
      </c>
      <c r="O692" s="377">
        <v>39.96</v>
      </c>
    </row>
    <row r="693" ht="9" customHeight="1" hidden="1">
      <c r="I693" s="373"/>
      <c r="J693" s="374"/>
      <c r="K693" s="378">
        <v>44986</v>
      </c>
      <c r="L693" s="128"/>
      <c r="M693" s="129">
        <v>4</v>
      </c>
      <c r="N693" s="142">
        <v>9.99</v>
      </c>
      <c r="O693" s="142">
        <v>39.96</v>
      </c>
    </row>
    <row r="694" ht="9" customHeight="1" hidden="1">
      <c r="I694" s="373"/>
      <c r="J694" t="s" s="379">
        <v>5887</v>
      </c>
      <c r="K694" s="127"/>
      <c r="L694" s="128"/>
      <c r="M694" s="129">
        <v>4</v>
      </c>
      <c r="N694" s="142">
        <v>9.99</v>
      </c>
      <c r="O694" s="142">
        <v>39.96</v>
      </c>
    </row>
    <row r="695" ht="16.1" customHeight="1">
      <c r="I695" t="s" s="126">
        <v>506</v>
      </c>
      <c r="J695" s="127"/>
      <c r="K695" s="127"/>
      <c r="L695" s="128"/>
      <c r="M695" s="129">
        <v>4</v>
      </c>
      <c r="N695" s="142">
        <v>9.99</v>
      </c>
      <c r="O695" s="142">
        <v>39.96</v>
      </c>
    </row>
    <row r="696" ht="9" customHeight="1" hidden="1">
      <c r="I696" s="373"/>
      <c r="J696" s="374"/>
      <c r="K696" s="374"/>
      <c r="L696" t="s" s="375">
        <v>19</v>
      </c>
      <c r="M696" s="376">
        <v>2</v>
      </c>
      <c r="N696" s="377">
        <v>119.99</v>
      </c>
      <c r="O696" s="377">
        <v>239.98</v>
      </c>
    </row>
    <row r="697" ht="9" customHeight="1" hidden="1">
      <c r="I697" s="373"/>
      <c r="J697" s="374"/>
      <c r="K697" s="374"/>
      <c r="L697" t="s" s="375">
        <v>133</v>
      </c>
      <c r="M697" s="376">
        <v>1</v>
      </c>
      <c r="N697" s="377">
        <v>199.99</v>
      </c>
      <c r="O697" s="377">
        <v>199.99</v>
      </c>
    </row>
    <row r="698" ht="9" customHeight="1" hidden="1">
      <c r="I698" s="373"/>
      <c r="J698" s="374"/>
      <c r="K698" s="374"/>
      <c r="L698" t="s" s="375">
        <v>89</v>
      </c>
      <c r="M698" s="376">
        <v>1</v>
      </c>
      <c r="N698" s="377">
        <v>59.99</v>
      </c>
      <c r="O698" s="377">
        <v>59.99</v>
      </c>
    </row>
    <row r="699" ht="9" customHeight="1" hidden="1">
      <c r="I699" s="373"/>
      <c r="J699" s="374"/>
      <c r="K699" s="374"/>
      <c r="L699" t="s" s="375">
        <v>11</v>
      </c>
      <c r="M699" s="376">
        <v>1</v>
      </c>
      <c r="N699" s="377">
        <v>399.99</v>
      </c>
      <c r="O699" s="377">
        <v>399.99</v>
      </c>
    </row>
    <row r="700" ht="9" customHeight="1" hidden="1">
      <c r="I700" s="373"/>
      <c r="J700" s="374"/>
      <c r="K700" s="374"/>
      <c r="L700" t="s" s="375">
        <v>15</v>
      </c>
      <c r="M700" s="376">
        <v>2</v>
      </c>
      <c r="N700" s="377">
        <v>9.99</v>
      </c>
      <c r="O700" s="377">
        <v>19.98</v>
      </c>
    </row>
    <row r="701" ht="9" customHeight="1" hidden="1">
      <c r="I701" s="373"/>
      <c r="J701" s="374"/>
      <c r="K701" s="378">
        <v>44986</v>
      </c>
      <c r="L701" s="128"/>
      <c r="M701" s="129">
        <v>7</v>
      </c>
      <c r="N701" s="142">
        <v>789.95</v>
      </c>
      <c r="O701" s="142">
        <v>919.9299999999999</v>
      </c>
    </row>
    <row r="702" ht="9" customHeight="1" hidden="1">
      <c r="I702" s="373"/>
      <c r="J702" t="s" s="379">
        <v>5964</v>
      </c>
      <c r="K702" s="127"/>
      <c r="L702" s="128"/>
      <c r="M702" s="129">
        <v>7</v>
      </c>
      <c r="N702" s="142">
        <v>789.95</v>
      </c>
      <c r="O702" s="142">
        <v>919.9299999999999</v>
      </c>
    </row>
    <row r="703" ht="16.1" customHeight="1">
      <c r="I703" t="s" s="126">
        <v>3789</v>
      </c>
      <c r="J703" s="127"/>
      <c r="K703" s="127"/>
      <c r="L703" s="128"/>
      <c r="M703" s="129">
        <v>7</v>
      </c>
      <c r="N703" s="142">
        <v>789.95</v>
      </c>
      <c r="O703" s="142">
        <v>919.9299999999999</v>
      </c>
    </row>
    <row r="704" ht="9" customHeight="1" hidden="1">
      <c r="I704" s="373"/>
      <c r="J704" s="374"/>
      <c r="K704" s="374"/>
      <c r="L704" t="s" s="375">
        <v>5845</v>
      </c>
      <c r="M704" s="376">
        <v>2</v>
      </c>
      <c r="N704" s="377">
        <v>9.99</v>
      </c>
      <c r="O704" s="377">
        <v>19.98</v>
      </c>
    </row>
    <row r="705" ht="9" customHeight="1" hidden="1">
      <c r="I705" s="373"/>
      <c r="J705" s="374"/>
      <c r="K705" s="378">
        <v>44986</v>
      </c>
      <c r="L705" s="128"/>
      <c r="M705" s="129">
        <v>2</v>
      </c>
      <c r="N705" s="142">
        <v>9.99</v>
      </c>
      <c r="O705" s="142">
        <v>19.98</v>
      </c>
    </row>
    <row r="706" ht="9" customHeight="1" hidden="1">
      <c r="I706" s="373"/>
      <c r="J706" t="s" s="379">
        <v>6032</v>
      </c>
      <c r="K706" s="127"/>
      <c r="L706" s="128"/>
      <c r="M706" s="129">
        <v>2</v>
      </c>
      <c r="N706" s="142">
        <v>9.99</v>
      </c>
      <c r="O706" s="142">
        <v>19.98</v>
      </c>
    </row>
    <row r="707" ht="16.1" customHeight="1">
      <c r="I707" t="s" s="126">
        <v>6033</v>
      </c>
      <c r="J707" s="127"/>
      <c r="K707" s="127"/>
      <c r="L707" s="128"/>
      <c r="M707" s="129">
        <v>2</v>
      </c>
      <c r="N707" s="142">
        <v>9.99</v>
      </c>
      <c r="O707" s="142">
        <v>19.98</v>
      </c>
    </row>
    <row r="708" ht="9" customHeight="1" hidden="1">
      <c r="I708" s="373"/>
      <c r="J708" s="374"/>
      <c r="K708" s="374"/>
      <c r="L708" t="s" s="375">
        <v>5845</v>
      </c>
      <c r="M708" s="376">
        <v>1</v>
      </c>
      <c r="N708" s="377">
        <v>9.99</v>
      </c>
      <c r="O708" s="377">
        <v>9.99</v>
      </c>
    </row>
    <row r="709" ht="9" customHeight="1" hidden="1">
      <c r="I709" s="373"/>
      <c r="J709" s="374"/>
      <c r="K709" s="374"/>
      <c r="L709" t="s" s="375">
        <v>35</v>
      </c>
      <c r="M709" s="376">
        <v>2</v>
      </c>
      <c r="N709" s="377">
        <v>49.99</v>
      </c>
      <c r="O709" s="377">
        <v>99.98</v>
      </c>
    </row>
    <row r="710" ht="9" customHeight="1" hidden="1">
      <c r="I710" s="373"/>
      <c r="J710" s="374"/>
      <c r="K710" s="374"/>
      <c r="L710" t="s" s="375">
        <v>15</v>
      </c>
      <c r="M710" s="376">
        <v>1</v>
      </c>
      <c r="N710" s="377">
        <v>9.99</v>
      </c>
      <c r="O710" s="377">
        <v>9.99</v>
      </c>
    </row>
    <row r="711" ht="9" customHeight="1" hidden="1">
      <c r="I711" s="373"/>
      <c r="J711" s="374"/>
      <c r="K711" s="378">
        <v>44986</v>
      </c>
      <c r="L711" s="128"/>
      <c r="M711" s="129">
        <v>4</v>
      </c>
      <c r="N711" s="142">
        <v>69.97</v>
      </c>
      <c r="O711" s="142">
        <v>119.96</v>
      </c>
    </row>
    <row r="712" ht="9" customHeight="1" hidden="1">
      <c r="I712" s="373"/>
      <c r="J712" t="s" s="379">
        <v>5976</v>
      </c>
      <c r="K712" s="127"/>
      <c r="L712" s="128"/>
      <c r="M712" s="129">
        <v>4</v>
      </c>
      <c r="N712" s="142">
        <v>69.97</v>
      </c>
      <c r="O712" s="142">
        <v>119.96</v>
      </c>
    </row>
    <row r="713" ht="16.1" customHeight="1">
      <c r="I713" t="s" s="126">
        <v>5977</v>
      </c>
      <c r="J713" s="127"/>
      <c r="K713" s="127"/>
      <c r="L713" s="128"/>
      <c r="M713" s="129">
        <v>4</v>
      </c>
      <c r="N713" s="142">
        <v>69.97</v>
      </c>
      <c r="O713" s="142">
        <v>119.96</v>
      </c>
    </row>
    <row r="714" ht="9" customHeight="1" hidden="1">
      <c r="I714" s="373"/>
      <c r="J714" s="374"/>
      <c r="K714" s="374"/>
      <c r="L714" t="s" s="375">
        <v>5845</v>
      </c>
      <c r="M714" s="376">
        <v>1</v>
      </c>
      <c r="N714" s="377">
        <v>9.99</v>
      </c>
      <c r="O714" s="377">
        <v>9.99</v>
      </c>
    </row>
    <row r="715" ht="9" customHeight="1" hidden="1">
      <c r="I715" s="373"/>
      <c r="J715" s="374"/>
      <c r="K715" s="374"/>
      <c r="L715" t="s" s="375">
        <v>15</v>
      </c>
      <c r="M715" s="376">
        <v>1</v>
      </c>
      <c r="N715" s="377">
        <v>9.99</v>
      </c>
      <c r="O715" s="377">
        <v>9.99</v>
      </c>
    </row>
    <row r="716" ht="9" customHeight="1" hidden="1">
      <c r="I716" s="373"/>
      <c r="J716" s="374"/>
      <c r="K716" s="378">
        <v>44986</v>
      </c>
      <c r="L716" s="128"/>
      <c r="M716" s="129">
        <v>2</v>
      </c>
      <c r="N716" s="142">
        <v>19.98</v>
      </c>
      <c r="O716" s="142">
        <v>19.98</v>
      </c>
    </row>
    <row r="717" ht="9" customHeight="1" hidden="1">
      <c r="I717" s="373"/>
      <c r="J717" t="s" s="379">
        <v>6083</v>
      </c>
      <c r="K717" s="127"/>
      <c r="L717" s="128"/>
      <c r="M717" s="129">
        <v>2</v>
      </c>
      <c r="N717" s="142">
        <v>19.98</v>
      </c>
      <c r="O717" s="142">
        <v>19.98</v>
      </c>
    </row>
    <row r="718" ht="9" customHeight="1" hidden="1">
      <c r="I718" s="373"/>
      <c r="J718" s="374"/>
      <c r="K718" s="374"/>
      <c r="L718" t="s" s="375">
        <v>35</v>
      </c>
      <c r="M718" s="376">
        <v>1</v>
      </c>
      <c r="N718" s="377">
        <v>49.99</v>
      </c>
      <c r="O718" s="377">
        <v>49.99</v>
      </c>
    </row>
    <row r="719" ht="9" customHeight="1" hidden="1">
      <c r="I719" s="373"/>
      <c r="J719" s="374"/>
      <c r="K719" s="378">
        <v>44986</v>
      </c>
      <c r="L719" s="128"/>
      <c r="M719" s="129">
        <v>1</v>
      </c>
      <c r="N719" s="142">
        <v>49.99</v>
      </c>
      <c r="O719" s="142">
        <v>49.99</v>
      </c>
    </row>
    <row r="720" ht="9" customHeight="1" hidden="1">
      <c r="I720" s="373"/>
      <c r="J720" t="s" s="379">
        <v>6018</v>
      </c>
      <c r="K720" s="127"/>
      <c r="L720" s="128"/>
      <c r="M720" s="129">
        <v>1</v>
      </c>
      <c r="N720" s="142">
        <v>49.99</v>
      </c>
      <c r="O720" s="142">
        <v>49.99</v>
      </c>
    </row>
    <row r="721" ht="16.1" customHeight="1">
      <c r="I721" t="s" s="126">
        <v>6019</v>
      </c>
      <c r="J721" s="127"/>
      <c r="K721" s="127"/>
      <c r="L721" s="128"/>
      <c r="M721" s="129">
        <v>3</v>
      </c>
      <c r="N721" s="142">
        <v>69.97</v>
      </c>
      <c r="O721" s="142">
        <v>69.97</v>
      </c>
    </row>
    <row r="722" ht="9" customHeight="1" hidden="1">
      <c r="I722" s="373"/>
      <c r="J722" s="374"/>
      <c r="K722" s="374"/>
      <c r="L722" t="s" s="375">
        <v>35</v>
      </c>
      <c r="M722" s="376">
        <v>1</v>
      </c>
      <c r="N722" s="377">
        <v>49.99</v>
      </c>
      <c r="O722" s="377">
        <v>49.99</v>
      </c>
    </row>
    <row r="723" ht="9" customHeight="1" hidden="1">
      <c r="I723" s="373"/>
      <c r="J723" s="374"/>
      <c r="K723" s="378">
        <v>44986</v>
      </c>
      <c r="L723" s="128"/>
      <c r="M723" s="129">
        <v>1</v>
      </c>
      <c r="N723" s="142">
        <v>49.99</v>
      </c>
      <c r="O723" s="142">
        <v>49.99</v>
      </c>
    </row>
    <row r="724" ht="9" customHeight="1" hidden="1">
      <c r="I724" s="373"/>
      <c r="J724" t="s" s="379">
        <v>5869</v>
      </c>
      <c r="K724" s="127"/>
      <c r="L724" s="128"/>
      <c r="M724" s="129">
        <v>1</v>
      </c>
      <c r="N724" s="142">
        <v>49.99</v>
      </c>
      <c r="O724" s="142">
        <v>49.99</v>
      </c>
    </row>
    <row r="725" ht="16.1" customHeight="1">
      <c r="I725" t="s" s="126">
        <v>5870</v>
      </c>
      <c r="J725" s="127"/>
      <c r="K725" s="127"/>
      <c r="L725" s="128"/>
      <c r="M725" s="129">
        <v>1</v>
      </c>
      <c r="N725" s="142">
        <v>49.99</v>
      </c>
      <c r="O725" s="142">
        <v>49.99</v>
      </c>
    </row>
    <row r="726" ht="9" customHeight="1" hidden="1">
      <c r="I726" s="373"/>
      <c r="J726" s="374"/>
      <c r="K726" s="374"/>
      <c r="L726" t="s" s="375">
        <v>35</v>
      </c>
      <c r="M726" s="376">
        <v>1</v>
      </c>
      <c r="N726" s="377">
        <v>49.99</v>
      </c>
      <c r="O726" s="377">
        <v>49.99</v>
      </c>
    </row>
    <row r="727" ht="9" customHeight="1" hidden="1">
      <c r="I727" s="373"/>
      <c r="J727" s="374"/>
      <c r="K727" s="378">
        <v>44986</v>
      </c>
      <c r="L727" s="128"/>
      <c r="M727" s="129">
        <v>1</v>
      </c>
      <c r="N727" s="142">
        <v>49.99</v>
      </c>
      <c r="O727" s="142">
        <v>49.99</v>
      </c>
    </row>
    <row r="728" ht="9" customHeight="1" hidden="1">
      <c r="I728" s="373"/>
      <c r="J728" t="s" s="379">
        <v>5985</v>
      </c>
      <c r="K728" s="127"/>
      <c r="L728" s="128"/>
      <c r="M728" s="129">
        <v>1</v>
      </c>
      <c r="N728" s="142">
        <v>49.99</v>
      </c>
      <c r="O728" s="142">
        <v>49.99</v>
      </c>
    </row>
    <row r="729" ht="16.1" customHeight="1">
      <c r="I729" t="s" s="126">
        <v>5986</v>
      </c>
      <c r="J729" s="127"/>
      <c r="K729" s="127"/>
      <c r="L729" s="128"/>
      <c r="M729" s="129">
        <v>1</v>
      </c>
      <c r="N729" s="142">
        <v>49.99</v>
      </c>
      <c r="O729" s="142">
        <v>49.99</v>
      </c>
    </row>
    <row r="730" ht="9" customHeight="1" hidden="1">
      <c r="I730" s="373"/>
      <c r="J730" s="374"/>
      <c r="K730" s="374"/>
      <c r="L730" t="s" s="375">
        <v>95</v>
      </c>
      <c r="M730" s="376">
        <v>1</v>
      </c>
      <c r="N730" s="377">
        <v>349.99</v>
      </c>
      <c r="O730" s="377">
        <v>349.99</v>
      </c>
    </row>
    <row r="731" ht="9" customHeight="1" hidden="1">
      <c r="I731" s="373"/>
      <c r="J731" s="374"/>
      <c r="K731" s="378">
        <v>44986</v>
      </c>
      <c r="L731" s="128"/>
      <c r="M731" s="129">
        <v>1</v>
      </c>
      <c r="N731" s="142">
        <v>349.99</v>
      </c>
      <c r="O731" s="142">
        <v>349.99</v>
      </c>
    </row>
    <row r="732" ht="9" customHeight="1" hidden="1">
      <c r="I732" s="373"/>
      <c r="J732" t="s" s="379">
        <v>5852</v>
      </c>
      <c r="K732" s="127"/>
      <c r="L732" s="128"/>
      <c r="M732" s="129">
        <v>1</v>
      </c>
      <c r="N732" s="142">
        <v>349.99</v>
      </c>
      <c r="O732" s="142">
        <v>349.99</v>
      </c>
    </row>
    <row r="733" ht="16.1" customHeight="1">
      <c r="I733" t="s" s="126">
        <v>5853</v>
      </c>
      <c r="J733" s="127"/>
      <c r="K733" s="127"/>
      <c r="L733" s="128"/>
      <c r="M733" s="129">
        <v>1</v>
      </c>
      <c r="N733" s="142">
        <v>349.99</v>
      </c>
      <c r="O733" s="142">
        <v>349.99</v>
      </c>
    </row>
    <row r="734" ht="9" customHeight="1" hidden="1">
      <c r="I734" s="373"/>
      <c r="J734" s="374"/>
      <c r="K734" s="374"/>
      <c r="L734" t="s" s="375">
        <v>123</v>
      </c>
      <c r="M734" s="376">
        <v>4</v>
      </c>
      <c r="N734" s="377">
        <v>134.9925</v>
      </c>
      <c r="O734" s="377">
        <v>539.97</v>
      </c>
    </row>
    <row r="735" ht="9" customHeight="1" hidden="1">
      <c r="I735" s="373"/>
      <c r="J735" s="374"/>
      <c r="K735" s="374"/>
      <c r="L735" t="s" s="375">
        <v>19</v>
      </c>
      <c r="M735" s="376">
        <v>8</v>
      </c>
      <c r="N735" s="377">
        <v>89.99250000000001</v>
      </c>
      <c r="O735" s="377">
        <v>719.9400000000001</v>
      </c>
    </row>
    <row r="736" ht="9" customHeight="1" hidden="1">
      <c r="I736" s="373"/>
      <c r="J736" s="374"/>
      <c r="K736" s="374"/>
      <c r="L736" t="s" s="375">
        <v>2787</v>
      </c>
      <c r="M736" s="376">
        <v>12</v>
      </c>
      <c r="N736" s="377">
        <v>17.2425</v>
      </c>
      <c r="O736" s="377">
        <v>206.91</v>
      </c>
    </row>
    <row r="737" ht="9" customHeight="1" hidden="1">
      <c r="I737" s="373"/>
      <c r="J737" s="374"/>
      <c r="K737" s="374"/>
      <c r="L737" t="s" s="375">
        <v>1695</v>
      </c>
      <c r="M737" s="376">
        <v>18</v>
      </c>
      <c r="N737" s="377">
        <v>37.4925</v>
      </c>
      <c r="O737" s="377">
        <v>674.865</v>
      </c>
    </row>
    <row r="738" ht="9" customHeight="1" hidden="1">
      <c r="I738" s="373"/>
      <c r="J738" s="374"/>
      <c r="K738" s="374"/>
      <c r="L738" t="s" s="375">
        <v>179</v>
      </c>
      <c r="M738" s="376">
        <v>12</v>
      </c>
      <c r="N738" s="377">
        <v>37.4925</v>
      </c>
      <c r="O738" s="377">
        <v>449.91</v>
      </c>
    </row>
    <row r="739" ht="9" customHeight="1" hidden="1">
      <c r="I739" s="373"/>
      <c r="J739" s="374"/>
      <c r="K739" s="374"/>
      <c r="L739" t="s" s="375">
        <v>412</v>
      </c>
      <c r="M739" s="376">
        <v>300</v>
      </c>
      <c r="N739" s="377">
        <v>1.4925</v>
      </c>
      <c r="O739" s="377">
        <v>447.75</v>
      </c>
    </row>
    <row r="740" ht="9" customHeight="1" hidden="1">
      <c r="I740" s="373"/>
      <c r="J740" s="374"/>
      <c r="K740" s="374"/>
      <c r="L740" t="s" s="375">
        <v>23</v>
      </c>
      <c r="M740" s="376">
        <v>4</v>
      </c>
      <c r="N740" s="377">
        <v>0</v>
      </c>
      <c r="O740" s="377">
        <v>0</v>
      </c>
    </row>
    <row r="741" ht="9" customHeight="1" hidden="1">
      <c r="I741" s="373"/>
      <c r="J741" s="374"/>
      <c r="K741" s="374"/>
      <c r="L741" t="s" s="375">
        <v>359</v>
      </c>
      <c r="M741" s="376">
        <v>6</v>
      </c>
      <c r="N741" s="377">
        <v>22.4925</v>
      </c>
      <c r="O741" s="377">
        <v>134.955</v>
      </c>
    </row>
    <row r="742" ht="9" customHeight="1" hidden="1">
      <c r="I742" s="373"/>
      <c r="J742" s="374"/>
      <c r="K742" s="374"/>
      <c r="L742" t="s" s="375">
        <v>31</v>
      </c>
      <c r="M742" s="376">
        <v>2</v>
      </c>
      <c r="N742" s="377">
        <v>449.9925</v>
      </c>
      <c r="O742" s="377">
        <v>899.985</v>
      </c>
    </row>
    <row r="743" ht="9" customHeight="1" hidden="1">
      <c r="I743" s="373"/>
      <c r="J743" s="374"/>
      <c r="K743" s="374"/>
      <c r="L743" t="s" s="375">
        <v>81</v>
      </c>
      <c r="M743" s="376">
        <v>4</v>
      </c>
      <c r="N743" s="377">
        <v>637.4924999999999</v>
      </c>
      <c r="O743" s="377">
        <v>2549.97</v>
      </c>
    </row>
    <row r="744" ht="9" customHeight="1" hidden="1">
      <c r="I744" s="373"/>
      <c r="J744" s="374"/>
      <c r="K744" s="374"/>
      <c r="L744" t="s" s="375">
        <v>143</v>
      </c>
      <c r="M744" s="376">
        <v>1</v>
      </c>
      <c r="N744" s="377">
        <v>2499.99</v>
      </c>
      <c r="O744" s="377">
        <v>2499.99</v>
      </c>
    </row>
    <row r="745" ht="9" customHeight="1" hidden="1">
      <c r="I745" s="373"/>
      <c r="J745" s="374"/>
      <c r="K745" s="374"/>
      <c r="L745" t="s" s="375">
        <v>15</v>
      </c>
      <c r="M745" s="376">
        <v>37</v>
      </c>
      <c r="N745" s="377">
        <v>0</v>
      </c>
      <c r="O745" s="377">
        <v>0</v>
      </c>
    </row>
    <row r="746" ht="9" customHeight="1" hidden="1">
      <c r="I746" s="373"/>
      <c r="J746" s="374"/>
      <c r="K746" s="374"/>
      <c r="L746" t="s" s="375">
        <v>1030</v>
      </c>
      <c r="M746" s="376">
        <v>1</v>
      </c>
      <c r="N746" s="377">
        <v>0</v>
      </c>
      <c r="O746" s="377">
        <v>0</v>
      </c>
    </row>
    <row r="747" ht="9" customHeight="1" hidden="1">
      <c r="I747" s="373"/>
      <c r="J747" s="374"/>
      <c r="K747" s="374"/>
      <c r="L747" t="s" s="375">
        <v>63</v>
      </c>
      <c r="M747" s="376">
        <v>1</v>
      </c>
      <c r="N747" s="377">
        <v>125</v>
      </c>
      <c r="O747" s="377">
        <v>125</v>
      </c>
    </row>
    <row r="748" ht="9" customHeight="1" hidden="1">
      <c r="I748" s="373"/>
      <c r="J748" s="374"/>
      <c r="K748" s="378">
        <v>44986</v>
      </c>
      <c r="L748" s="128"/>
      <c r="M748" s="129">
        <v>410</v>
      </c>
      <c r="N748" s="142">
        <v>4053.6725</v>
      </c>
      <c r="O748" s="142">
        <v>9249.245000000001</v>
      </c>
    </row>
    <row r="749" ht="9" customHeight="1" hidden="1">
      <c r="I749" s="373"/>
      <c r="J749" t="s" s="379">
        <v>6041</v>
      </c>
      <c r="K749" s="127"/>
      <c r="L749" s="128"/>
      <c r="M749" s="129">
        <v>410</v>
      </c>
      <c r="N749" s="142">
        <v>4053.6725</v>
      </c>
      <c r="O749" s="142">
        <v>9249.245000000001</v>
      </c>
    </row>
    <row r="750" ht="16.1" customHeight="1">
      <c r="I750" t="s" s="126">
        <v>5179</v>
      </c>
      <c r="J750" s="127"/>
      <c r="K750" s="127"/>
      <c r="L750" s="128"/>
      <c r="M750" s="129">
        <v>410</v>
      </c>
      <c r="N750" s="142">
        <v>4053.6725</v>
      </c>
      <c r="O750" s="142">
        <v>9249.245000000001</v>
      </c>
    </row>
    <row r="751" ht="9" customHeight="1" hidden="1">
      <c r="I751" s="373"/>
      <c r="J751" s="374"/>
      <c r="K751" s="374"/>
      <c r="L751" t="s" s="375">
        <v>19</v>
      </c>
      <c r="M751" s="376">
        <v>6</v>
      </c>
      <c r="N751" s="377">
        <v>119.99</v>
      </c>
      <c r="O751" s="377">
        <v>719.9400000000001</v>
      </c>
    </row>
    <row r="752" ht="9" customHeight="1" hidden="1">
      <c r="I752" s="373"/>
      <c r="J752" s="374"/>
      <c r="K752" s="374"/>
      <c r="L752" t="s" s="375">
        <v>227</v>
      </c>
      <c r="M752" s="376">
        <v>6</v>
      </c>
      <c r="N752" s="377">
        <v>0</v>
      </c>
      <c r="O752" s="377">
        <v>0</v>
      </c>
    </row>
    <row r="753" ht="9" customHeight="1" hidden="1">
      <c r="I753" s="373"/>
      <c r="J753" s="374"/>
      <c r="K753" s="374"/>
      <c r="L753" t="s" s="375">
        <v>54</v>
      </c>
      <c r="M753" s="376">
        <v>6</v>
      </c>
      <c r="N753" s="377">
        <v>0</v>
      </c>
      <c r="O753" s="377">
        <v>0</v>
      </c>
    </row>
    <row r="754" ht="9" customHeight="1" hidden="1">
      <c r="I754" s="373"/>
      <c r="J754" s="374"/>
      <c r="K754" s="374"/>
      <c r="L754" t="s" s="375">
        <v>225</v>
      </c>
      <c r="M754" s="376">
        <v>6</v>
      </c>
      <c r="N754" s="377">
        <v>499.99</v>
      </c>
      <c r="O754" s="377">
        <v>2999.94</v>
      </c>
    </row>
    <row r="755" ht="9" customHeight="1" hidden="1">
      <c r="I755" s="373"/>
      <c r="J755" s="374"/>
      <c r="K755" s="374"/>
      <c r="L755" t="s" s="375">
        <v>133</v>
      </c>
      <c r="M755" s="376">
        <v>6</v>
      </c>
      <c r="N755" s="377">
        <v>199.99</v>
      </c>
      <c r="O755" s="377">
        <v>1199.94</v>
      </c>
    </row>
    <row r="756" ht="9" customHeight="1" hidden="1">
      <c r="I756" s="373"/>
      <c r="J756" s="374"/>
      <c r="K756" s="374"/>
      <c r="L756" t="s" s="375">
        <v>602</v>
      </c>
      <c r="M756" s="376">
        <v>6</v>
      </c>
      <c r="N756" s="377">
        <v>299.99</v>
      </c>
      <c r="O756" s="377">
        <v>1799.94</v>
      </c>
    </row>
    <row r="757" ht="9" customHeight="1" hidden="1">
      <c r="I757" s="373"/>
      <c r="J757" s="374"/>
      <c r="K757" s="374"/>
      <c r="L757" t="s" s="375">
        <v>77</v>
      </c>
      <c r="M757" s="376">
        <v>6</v>
      </c>
      <c r="N757" s="377">
        <v>19.99</v>
      </c>
      <c r="O757" s="377">
        <v>119.94</v>
      </c>
    </row>
    <row r="758" ht="9" customHeight="1" hidden="1">
      <c r="I758" s="373"/>
      <c r="J758" s="374"/>
      <c r="K758" s="374"/>
      <c r="L758" t="s" s="375">
        <v>15</v>
      </c>
      <c r="M758" s="376">
        <v>10</v>
      </c>
      <c r="N758" s="377">
        <v>8.49</v>
      </c>
      <c r="O758" s="377">
        <v>84.90000000000001</v>
      </c>
    </row>
    <row r="759" ht="9" customHeight="1" hidden="1">
      <c r="I759" s="373"/>
      <c r="J759" s="374"/>
      <c r="K759" s="378">
        <v>44986</v>
      </c>
      <c r="L759" s="128"/>
      <c r="M759" s="129">
        <v>52</v>
      </c>
      <c r="N759" s="142">
        <v>1148.44</v>
      </c>
      <c r="O759" s="142">
        <v>6924.6</v>
      </c>
    </row>
    <row r="760" ht="9" customHeight="1" hidden="1">
      <c r="I760" s="373"/>
      <c r="J760" t="s" s="379">
        <v>6106</v>
      </c>
      <c r="K760" s="127"/>
      <c r="L760" s="128"/>
      <c r="M760" s="129">
        <v>52</v>
      </c>
      <c r="N760" s="142">
        <v>1148.44</v>
      </c>
      <c r="O760" s="142">
        <v>6924.6</v>
      </c>
    </row>
    <row r="761" ht="16.1" customHeight="1">
      <c r="I761" t="s" s="126">
        <v>6107</v>
      </c>
      <c r="J761" s="127"/>
      <c r="K761" s="127"/>
      <c r="L761" s="128"/>
      <c r="M761" s="129">
        <v>52</v>
      </c>
      <c r="N761" s="142">
        <v>1148.44</v>
      </c>
      <c r="O761" s="142">
        <v>6924.6</v>
      </c>
    </row>
    <row r="762" ht="9" customHeight="1" hidden="1">
      <c r="I762" s="373"/>
      <c r="J762" s="374"/>
      <c r="K762" s="374"/>
      <c r="L762" t="s" s="375">
        <v>35</v>
      </c>
      <c r="M762" s="376">
        <v>1</v>
      </c>
      <c r="N762" s="377">
        <v>49.99</v>
      </c>
      <c r="O762" s="377">
        <v>49.99</v>
      </c>
    </row>
    <row r="763" ht="9" customHeight="1" hidden="1">
      <c r="I763" s="373"/>
      <c r="J763" s="374"/>
      <c r="K763" s="378">
        <v>44986</v>
      </c>
      <c r="L763" s="128"/>
      <c r="M763" s="129">
        <v>1</v>
      </c>
      <c r="N763" s="142">
        <v>49.99</v>
      </c>
      <c r="O763" s="142">
        <v>49.99</v>
      </c>
    </row>
    <row r="764" ht="9" customHeight="1" hidden="1">
      <c r="I764" s="373"/>
      <c r="J764" t="s" s="379">
        <v>5971</v>
      </c>
      <c r="K764" s="127"/>
      <c r="L764" s="128"/>
      <c r="M764" s="129">
        <v>1</v>
      </c>
      <c r="N764" s="142">
        <v>49.99</v>
      </c>
      <c r="O764" s="142">
        <v>49.99</v>
      </c>
    </row>
    <row r="765" ht="16.1" customHeight="1">
      <c r="I765" t="s" s="126">
        <v>5972</v>
      </c>
      <c r="J765" s="127"/>
      <c r="K765" s="127"/>
      <c r="L765" s="128"/>
      <c r="M765" s="129">
        <v>1</v>
      </c>
      <c r="N765" s="142">
        <v>49.99</v>
      </c>
      <c r="O765" s="142">
        <v>49.99</v>
      </c>
    </row>
    <row r="766" ht="9" customHeight="1" hidden="1">
      <c r="I766" s="373"/>
      <c r="J766" s="374"/>
      <c r="K766" s="374"/>
      <c r="L766" t="s" s="375">
        <v>1069</v>
      </c>
      <c r="M766" s="376">
        <v>2</v>
      </c>
      <c r="N766" s="377">
        <v>99.98999999999999</v>
      </c>
      <c r="O766" s="377">
        <v>199.98</v>
      </c>
    </row>
    <row r="767" ht="9" customHeight="1" hidden="1">
      <c r="I767" s="373"/>
      <c r="J767" s="374"/>
      <c r="K767" s="374"/>
      <c r="L767" t="s" s="375">
        <v>359</v>
      </c>
      <c r="M767" s="376">
        <v>4</v>
      </c>
      <c r="N767" s="377">
        <v>29.99</v>
      </c>
      <c r="O767" s="377">
        <v>119.96</v>
      </c>
    </row>
    <row r="768" ht="9" customHeight="1" hidden="1">
      <c r="I768" s="373"/>
      <c r="J768" s="374"/>
      <c r="K768" s="374"/>
      <c r="L768" t="s" s="375">
        <v>77</v>
      </c>
      <c r="M768" s="376">
        <v>10</v>
      </c>
      <c r="N768" s="377">
        <v>19.99</v>
      </c>
      <c r="O768" s="377">
        <v>199.9</v>
      </c>
    </row>
    <row r="769" ht="9" customHeight="1" hidden="1">
      <c r="I769" s="373"/>
      <c r="J769" s="374"/>
      <c r="K769" s="378">
        <v>44986</v>
      </c>
      <c r="L769" s="128"/>
      <c r="M769" s="129">
        <v>16</v>
      </c>
      <c r="N769" s="142">
        <v>149.97</v>
      </c>
      <c r="O769" s="142">
        <v>519.84</v>
      </c>
    </row>
    <row r="770" ht="9" customHeight="1" hidden="1">
      <c r="I770" s="373"/>
      <c r="J770" t="s" s="379">
        <v>5978</v>
      </c>
      <c r="K770" s="127"/>
      <c r="L770" s="128"/>
      <c r="M770" s="129">
        <v>16</v>
      </c>
      <c r="N770" s="142">
        <v>149.97</v>
      </c>
      <c r="O770" s="142">
        <v>519.84</v>
      </c>
    </row>
    <row r="771" ht="9" customHeight="1" hidden="1">
      <c r="I771" s="373"/>
      <c r="J771" s="374"/>
      <c r="K771" s="374"/>
      <c r="L771" t="s" s="375">
        <v>227</v>
      </c>
      <c r="M771" s="376">
        <v>2</v>
      </c>
      <c r="N771" s="377">
        <v>29.99</v>
      </c>
      <c r="O771" s="377">
        <v>59.98</v>
      </c>
    </row>
    <row r="772" ht="9" customHeight="1" hidden="1">
      <c r="I772" s="373"/>
      <c r="J772" s="374"/>
      <c r="K772" s="374"/>
      <c r="L772" t="s" s="375">
        <v>84</v>
      </c>
      <c r="M772" s="376">
        <v>2</v>
      </c>
      <c r="N772" s="377">
        <v>15</v>
      </c>
      <c r="O772" s="377">
        <v>30</v>
      </c>
    </row>
    <row r="773" ht="9" customHeight="1" hidden="1">
      <c r="I773" s="373"/>
      <c r="J773" s="374"/>
      <c r="K773" s="374"/>
      <c r="L773" t="s" s="375">
        <v>5138</v>
      </c>
      <c r="M773" s="376">
        <v>2</v>
      </c>
      <c r="N773" s="377">
        <v>0</v>
      </c>
      <c r="O773" s="377">
        <v>0</v>
      </c>
    </row>
    <row r="774" ht="9" customHeight="1" hidden="1">
      <c r="I774" s="373"/>
      <c r="J774" s="374"/>
      <c r="K774" s="374"/>
      <c r="L774" t="s" s="375">
        <v>179</v>
      </c>
      <c r="M774" s="376">
        <v>4</v>
      </c>
      <c r="N774" s="377">
        <v>49.99</v>
      </c>
      <c r="O774" s="377">
        <v>199.96</v>
      </c>
    </row>
    <row r="775" ht="9" customHeight="1" hidden="1">
      <c r="I775" s="373"/>
      <c r="J775" s="374"/>
      <c r="K775" s="374"/>
      <c r="L775" t="s" s="375">
        <v>1069</v>
      </c>
      <c r="M775" s="376">
        <v>2</v>
      </c>
      <c r="N775" s="377">
        <v>99.98999999999999</v>
      </c>
      <c r="O775" s="377">
        <v>199.98</v>
      </c>
    </row>
    <row r="776" ht="9" customHeight="1" hidden="1">
      <c r="I776" s="373"/>
      <c r="J776" s="374"/>
      <c r="K776" s="374"/>
      <c r="L776" t="s" s="375">
        <v>470</v>
      </c>
      <c r="M776" s="376">
        <v>2</v>
      </c>
      <c r="N776" s="377">
        <v>100</v>
      </c>
      <c r="O776" s="377">
        <v>200</v>
      </c>
    </row>
    <row r="777" ht="9" customHeight="1" hidden="1">
      <c r="I777" s="373"/>
      <c r="J777" s="374"/>
      <c r="K777" s="374"/>
      <c r="L777" t="s" s="375">
        <v>1479</v>
      </c>
      <c r="M777" s="376">
        <v>2</v>
      </c>
      <c r="N777" s="377">
        <v>299.99</v>
      </c>
      <c r="O777" s="377">
        <v>599.98</v>
      </c>
    </row>
    <row r="778" ht="9" customHeight="1" hidden="1">
      <c r="I778" s="373"/>
      <c r="J778" s="374"/>
      <c r="K778" s="374"/>
      <c r="L778" t="s" s="375">
        <v>52</v>
      </c>
      <c r="M778" s="376">
        <v>2</v>
      </c>
      <c r="N778" s="377">
        <v>0</v>
      </c>
      <c r="O778" s="377">
        <v>0</v>
      </c>
    </row>
    <row r="779" ht="9" customHeight="1" hidden="1">
      <c r="I779" s="373"/>
      <c r="J779" s="374"/>
      <c r="K779" s="374"/>
      <c r="L779" t="s" s="375">
        <v>359</v>
      </c>
      <c r="M779" s="376">
        <v>2</v>
      </c>
      <c r="N779" s="377">
        <v>29.99</v>
      </c>
      <c r="O779" s="377">
        <v>59.98</v>
      </c>
    </row>
    <row r="780" ht="9" customHeight="1" hidden="1">
      <c r="I780" s="373"/>
      <c r="J780" s="374"/>
      <c r="K780" s="374"/>
      <c r="L780" t="s" s="375">
        <v>77</v>
      </c>
      <c r="M780" s="376">
        <v>4</v>
      </c>
      <c r="N780" s="377">
        <v>19.99</v>
      </c>
      <c r="O780" s="377">
        <v>79.95999999999999</v>
      </c>
    </row>
    <row r="781" ht="9" customHeight="1" hidden="1">
      <c r="I781" s="373"/>
      <c r="J781" s="374"/>
      <c r="K781" s="374"/>
      <c r="L781" t="s" s="375">
        <v>50</v>
      </c>
      <c r="M781" s="376">
        <v>2</v>
      </c>
      <c r="N781" s="377">
        <v>0</v>
      </c>
      <c r="O781" s="377">
        <v>0</v>
      </c>
    </row>
    <row r="782" ht="9" customHeight="1" hidden="1">
      <c r="I782" s="373"/>
      <c r="J782" s="374"/>
      <c r="K782" s="374"/>
      <c r="L782" t="s" s="375">
        <v>48</v>
      </c>
      <c r="M782" s="376">
        <v>2</v>
      </c>
      <c r="N782" s="377">
        <v>1299.99</v>
      </c>
      <c r="O782" s="377">
        <v>2599.98</v>
      </c>
    </row>
    <row r="783" ht="9" customHeight="1" hidden="1">
      <c r="I783" s="373"/>
      <c r="J783" s="374"/>
      <c r="K783" s="378">
        <v>44986</v>
      </c>
      <c r="L783" s="128"/>
      <c r="M783" s="129">
        <v>28</v>
      </c>
      <c r="N783" s="142">
        <v>1944.93</v>
      </c>
      <c r="O783" s="142">
        <v>4029.82</v>
      </c>
    </row>
    <row r="784" ht="9" customHeight="1" hidden="1">
      <c r="I784" s="373"/>
      <c r="J784" t="s" s="379">
        <v>5975</v>
      </c>
      <c r="K784" s="127"/>
      <c r="L784" s="128"/>
      <c r="M784" s="129">
        <v>28</v>
      </c>
      <c r="N784" s="142">
        <v>1944.93</v>
      </c>
      <c r="O784" s="142">
        <v>4029.82</v>
      </c>
    </row>
    <row r="785" ht="16.1" customHeight="1">
      <c r="I785" t="s" s="126">
        <v>735</v>
      </c>
      <c r="J785" s="127"/>
      <c r="K785" s="127"/>
      <c r="L785" s="128"/>
      <c r="M785" s="129">
        <v>44</v>
      </c>
      <c r="N785" s="142">
        <v>2094.9</v>
      </c>
      <c r="O785" s="142">
        <v>4549.66</v>
      </c>
    </row>
    <row r="786" ht="9" customHeight="1" hidden="1">
      <c r="I786" s="373"/>
      <c r="J786" s="374"/>
      <c r="K786" s="374"/>
      <c r="L786" t="s" s="375">
        <v>73</v>
      </c>
      <c r="M786" s="376">
        <v>1</v>
      </c>
      <c r="N786" s="377">
        <v>399.99</v>
      </c>
      <c r="O786" s="377">
        <v>399.99</v>
      </c>
    </row>
    <row r="787" ht="9" customHeight="1" hidden="1">
      <c r="I787" s="373"/>
      <c r="J787" s="374"/>
      <c r="K787" s="378">
        <v>44986</v>
      </c>
      <c r="L787" s="128"/>
      <c r="M787" s="129">
        <v>1</v>
      </c>
      <c r="N787" s="142">
        <v>399.99</v>
      </c>
      <c r="O787" s="142">
        <v>399.99</v>
      </c>
    </row>
    <row r="788" ht="9" customHeight="1" hidden="1">
      <c r="I788" s="373"/>
      <c r="J788" t="s" s="379">
        <v>5895</v>
      </c>
      <c r="K788" s="127"/>
      <c r="L788" s="128"/>
      <c r="M788" s="129">
        <v>1</v>
      </c>
      <c r="N788" s="142">
        <v>399.99</v>
      </c>
      <c r="O788" s="142">
        <v>399.99</v>
      </c>
    </row>
    <row r="789" ht="16.1" customHeight="1">
      <c r="I789" t="s" s="126">
        <v>5896</v>
      </c>
      <c r="J789" s="127"/>
      <c r="K789" s="127"/>
      <c r="L789" s="128"/>
      <c r="M789" s="129">
        <v>1</v>
      </c>
      <c r="N789" s="142">
        <v>399.99</v>
      </c>
      <c r="O789" s="142">
        <v>399.99</v>
      </c>
    </row>
    <row r="790" ht="9" customHeight="1" hidden="1">
      <c r="I790" s="373"/>
      <c r="J790" s="374"/>
      <c r="K790" s="374"/>
      <c r="L790" t="s" s="375">
        <v>19</v>
      </c>
      <c r="M790" s="376">
        <v>2</v>
      </c>
      <c r="N790" s="377">
        <v>119.99</v>
      </c>
      <c r="O790" s="377">
        <v>239.98</v>
      </c>
    </row>
    <row r="791" ht="9" customHeight="1" hidden="1">
      <c r="I791" s="373"/>
      <c r="J791" s="374"/>
      <c r="K791" s="374"/>
      <c r="L791" t="s" s="375">
        <v>5845</v>
      </c>
      <c r="M791" s="376">
        <v>1</v>
      </c>
      <c r="N791" s="377">
        <v>9.99</v>
      </c>
      <c r="O791" s="377">
        <v>9.99</v>
      </c>
    </row>
    <row r="792" ht="9" customHeight="1" hidden="1">
      <c r="I792" s="373"/>
      <c r="J792" s="374"/>
      <c r="K792" s="374"/>
      <c r="L792" t="s" s="375">
        <v>15</v>
      </c>
      <c r="M792" s="376">
        <v>2</v>
      </c>
      <c r="N792" s="377">
        <v>9.99</v>
      </c>
      <c r="O792" s="377">
        <v>19.98</v>
      </c>
    </row>
    <row r="793" ht="9" customHeight="1" hidden="1">
      <c r="I793" s="373"/>
      <c r="J793" s="374"/>
      <c r="K793" s="378">
        <v>44986</v>
      </c>
      <c r="L793" s="128"/>
      <c r="M793" s="129">
        <v>5</v>
      </c>
      <c r="N793" s="142">
        <v>139.97</v>
      </c>
      <c r="O793" s="142">
        <v>269.95</v>
      </c>
    </row>
    <row r="794" ht="9" customHeight="1" hidden="1">
      <c r="I794" s="373"/>
      <c r="J794" t="s" s="379">
        <v>6113</v>
      </c>
      <c r="K794" s="127"/>
      <c r="L794" s="128"/>
      <c r="M794" s="129">
        <v>5</v>
      </c>
      <c r="N794" s="142">
        <v>139.97</v>
      </c>
      <c r="O794" s="142">
        <v>269.95</v>
      </c>
    </row>
    <row r="795" ht="16.1" customHeight="1">
      <c r="I795" t="s" s="126">
        <v>6114</v>
      </c>
      <c r="J795" s="127"/>
      <c r="K795" s="127"/>
      <c r="L795" s="128"/>
      <c r="M795" s="129">
        <v>5</v>
      </c>
      <c r="N795" s="142">
        <v>139.97</v>
      </c>
      <c r="O795" s="142">
        <v>269.95</v>
      </c>
    </row>
    <row r="796" ht="9" customHeight="1" hidden="1">
      <c r="I796" s="373"/>
      <c r="J796" s="374"/>
      <c r="K796" s="374"/>
      <c r="L796" t="s" s="375">
        <v>143</v>
      </c>
      <c r="M796" s="376">
        <v>1</v>
      </c>
      <c r="N796" s="377">
        <v>0</v>
      </c>
      <c r="O796" s="377">
        <v>0</v>
      </c>
    </row>
    <row r="797" ht="9" customHeight="1" hidden="1">
      <c r="I797" s="373"/>
      <c r="J797" s="374"/>
      <c r="K797" s="378">
        <v>44986</v>
      </c>
      <c r="L797" s="128"/>
      <c r="M797" s="129">
        <v>1</v>
      </c>
      <c r="N797" s="142">
        <v>0</v>
      </c>
      <c r="O797" s="142">
        <v>0</v>
      </c>
    </row>
    <row r="798" ht="9" customHeight="1" hidden="1">
      <c r="I798" s="373"/>
      <c r="J798" t="s" s="379">
        <v>6010</v>
      </c>
      <c r="K798" s="127"/>
      <c r="L798" s="128"/>
      <c r="M798" s="129">
        <v>1</v>
      </c>
      <c r="N798" s="142">
        <v>0</v>
      </c>
      <c r="O798" s="142">
        <v>0</v>
      </c>
    </row>
    <row r="799" ht="9" customHeight="1" hidden="1">
      <c r="I799" s="373"/>
      <c r="J799" s="374"/>
      <c r="K799" s="374"/>
      <c r="L799" t="s" s="375">
        <v>19</v>
      </c>
      <c r="M799" s="376">
        <v>10</v>
      </c>
      <c r="N799" s="377">
        <v>89.99250000000001</v>
      </c>
      <c r="O799" s="377">
        <v>899.925</v>
      </c>
    </row>
    <row r="800" ht="9" customHeight="1" hidden="1">
      <c r="I800" s="373"/>
      <c r="J800" s="374"/>
      <c r="K800" s="374"/>
      <c r="L800" t="s" s="375">
        <v>15</v>
      </c>
      <c r="M800" s="376">
        <v>10</v>
      </c>
      <c r="N800" s="377">
        <v>0</v>
      </c>
      <c r="O800" s="377">
        <v>0</v>
      </c>
    </row>
    <row r="801" ht="9" customHeight="1" hidden="1">
      <c r="I801" s="373"/>
      <c r="J801" s="374"/>
      <c r="K801" s="374"/>
      <c r="L801" t="s" s="375">
        <v>63</v>
      </c>
      <c r="M801" s="376">
        <v>1</v>
      </c>
      <c r="N801" s="377">
        <v>69.70999999999999</v>
      </c>
      <c r="O801" s="377">
        <v>69.70999999999999</v>
      </c>
    </row>
    <row r="802" ht="9" customHeight="1" hidden="1">
      <c r="I802" s="373"/>
      <c r="J802" s="374"/>
      <c r="K802" s="378">
        <v>44986</v>
      </c>
      <c r="L802" s="128"/>
      <c r="M802" s="129">
        <v>21</v>
      </c>
      <c r="N802" s="142">
        <v>159.7025</v>
      </c>
      <c r="O802" s="142">
        <v>969.635</v>
      </c>
    </row>
    <row r="803" ht="9" customHeight="1" hidden="1">
      <c r="I803" s="373"/>
      <c r="J803" t="s" s="379">
        <v>5900</v>
      </c>
      <c r="K803" s="127"/>
      <c r="L803" s="128"/>
      <c r="M803" s="129">
        <v>21</v>
      </c>
      <c r="N803" s="142">
        <v>159.7025</v>
      </c>
      <c r="O803" s="142">
        <v>969.635</v>
      </c>
    </row>
    <row r="804" ht="16.1" customHeight="1">
      <c r="I804" t="s" s="126">
        <v>4817</v>
      </c>
      <c r="J804" s="127"/>
      <c r="K804" s="127"/>
      <c r="L804" s="128"/>
      <c r="M804" s="129">
        <v>22</v>
      </c>
      <c r="N804" s="142">
        <v>159.7025</v>
      </c>
      <c r="O804" s="142">
        <v>969.635</v>
      </c>
    </row>
    <row r="805" ht="9" customHeight="1" hidden="1">
      <c r="I805" s="373"/>
      <c r="J805" s="374"/>
      <c r="K805" s="374"/>
      <c r="L805" t="s" s="375">
        <v>165</v>
      </c>
      <c r="M805" s="376">
        <v>4</v>
      </c>
      <c r="N805" s="377">
        <v>0</v>
      </c>
      <c r="O805" s="377">
        <v>0</v>
      </c>
    </row>
    <row r="806" ht="9" customHeight="1" hidden="1">
      <c r="I806" s="373"/>
      <c r="J806" s="374"/>
      <c r="K806" s="374"/>
      <c r="L806" t="s" s="375">
        <v>225</v>
      </c>
      <c r="M806" s="376">
        <v>4</v>
      </c>
      <c r="N806" s="377">
        <v>374.9925</v>
      </c>
      <c r="O806" s="377">
        <v>1499.97</v>
      </c>
    </row>
    <row r="807" ht="9" customHeight="1" hidden="1">
      <c r="I807" s="373"/>
      <c r="J807" s="374"/>
      <c r="K807" s="374"/>
      <c r="L807" t="s" s="375">
        <v>63</v>
      </c>
      <c r="M807" s="376">
        <v>1</v>
      </c>
      <c r="N807" s="377">
        <v>68.5</v>
      </c>
      <c r="O807" s="377">
        <v>68.5</v>
      </c>
    </row>
    <row r="808" ht="9" customHeight="1" hidden="1">
      <c r="I808" s="373"/>
      <c r="J808" s="374"/>
      <c r="K808" s="378">
        <v>44986</v>
      </c>
      <c r="L808" s="128"/>
      <c r="M808" s="129">
        <v>9</v>
      </c>
      <c r="N808" s="142">
        <v>443.4925</v>
      </c>
      <c r="O808" s="142">
        <v>1568.47</v>
      </c>
    </row>
    <row r="809" ht="9" customHeight="1" hidden="1">
      <c r="I809" s="373"/>
      <c r="J809" t="s" s="379">
        <v>5982</v>
      </c>
      <c r="K809" s="127"/>
      <c r="L809" s="128"/>
      <c r="M809" s="129">
        <v>9</v>
      </c>
      <c r="N809" s="142">
        <v>443.4925</v>
      </c>
      <c r="O809" s="142">
        <v>1568.47</v>
      </c>
    </row>
    <row r="810" ht="9" customHeight="1" hidden="1">
      <c r="I810" s="373"/>
      <c r="J810" s="374"/>
      <c r="K810" s="374"/>
      <c r="L810" t="s" s="375">
        <v>468</v>
      </c>
      <c r="M810" s="376">
        <v>1</v>
      </c>
      <c r="N810" s="377">
        <v>1874.9925</v>
      </c>
      <c r="O810" s="377">
        <v>1874.9925</v>
      </c>
    </row>
    <row r="811" ht="9" customHeight="1" hidden="1">
      <c r="I811" s="373"/>
      <c r="J811" s="374"/>
      <c r="K811" s="378">
        <v>44986</v>
      </c>
      <c r="L811" s="128"/>
      <c r="M811" s="129">
        <v>1</v>
      </c>
      <c r="N811" s="142">
        <v>1874.9925</v>
      </c>
      <c r="O811" s="142">
        <v>1874.9925</v>
      </c>
    </row>
    <row r="812" ht="9" customHeight="1" hidden="1">
      <c r="I812" s="373"/>
      <c r="J812" t="s" s="379">
        <v>5960</v>
      </c>
      <c r="K812" s="127"/>
      <c r="L812" s="128"/>
      <c r="M812" s="129">
        <v>1</v>
      </c>
      <c r="N812" s="142">
        <v>1874.9925</v>
      </c>
      <c r="O812" s="142">
        <v>1874.9925</v>
      </c>
    </row>
    <row r="813" ht="16.1" customHeight="1">
      <c r="I813" t="s" s="126">
        <v>896</v>
      </c>
      <c r="J813" s="127"/>
      <c r="K813" s="127"/>
      <c r="L813" s="128"/>
      <c r="M813" s="129">
        <v>10</v>
      </c>
      <c r="N813" s="142">
        <v>2318.485</v>
      </c>
      <c r="O813" s="142">
        <v>3443.4625</v>
      </c>
    </row>
    <row r="814" ht="9" customHeight="1" hidden="1">
      <c r="I814" s="373"/>
      <c r="J814" s="374"/>
      <c r="K814" s="374"/>
      <c r="L814" t="s" s="375">
        <v>19</v>
      </c>
      <c r="M814" s="376">
        <v>10</v>
      </c>
      <c r="N814" s="377">
        <v>119.99</v>
      </c>
      <c r="O814" s="377">
        <v>1199.9</v>
      </c>
    </row>
    <row r="815" ht="9" customHeight="1" hidden="1">
      <c r="I815" s="373"/>
      <c r="J815" s="374"/>
      <c r="K815" s="374"/>
      <c r="L815" t="s" s="375">
        <v>73</v>
      </c>
      <c r="M815" s="376">
        <v>1</v>
      </c>
      <c r="N815" s="377">
        <v>399.99</v>
      </c>
      <c r="O815" s="377">
        <v>399.99</v>
      </c>
    </row>
    <row r="816" ht="9" customHeight="1" hidden="1">
      <c r="I816" s="373"/>
      <c r="J816" s="374"/>
      <c r="K816" s="374"/>
      <c r="L816" t="s" s="375">
        <v>15</v>
      </c>
      <c r="M816" s="376">
        <v>10</v>
      </c>
      <c r="N816" s="377">
        <v>8.49</v>
      </c>
      <c r="O816" s="377">
        <v>84.90000000000001</v>
      </c>
    </row>
    <row r="817" ht="9" customHeight="1" hidden="1">
      <c r="I817" s="373"/>
      <c r="J817" s="374"/>
      <c r="K817" s="378">
        <v>44986</v>
      </c>
      <c r="L817" s="128"/>
      <c r="M817" s="129">
        <v>21</v>
      </c>
      <c r="N817" s="142">
        <v>528.47</v>
      </c>
      <c r="O817" s="142">
        <v>1684.79</v>
      </c>
    </row>
    <row r="818" ht="9" customHeight="1" hidden="1">
      <c r="I818" s="373"/>
      <c r="J818" t="s" s="379">
        <v>6013</v>
      </c>
      <c r="K818" s="127"/>
      <c r="L818" s="128"/>
      <c r="M818" s="129">
        <v>21</v>
      </c>
      <c r="N818" s="142">
        <v>528.47</v>
      </c>
      <c r="O818" s="142">
        <v>1684.79</v>
      </c>
    </row>
    <row r="819" ht="16.1" customHeight="1">
      <c r="I819" t="s" s="126">
        <v>6014</v>
      </c>
      <c r="J819" s="127"/>
      <c r="K819" s="127"/>
      <c r="L819" s="128"/>
      <c r="M819" s="129">
        <v>21</v>
      </c>
      <c r="N819" s="142">
        <v>528.47</v>
      </c>
      <c r="O819" s="142">
        <v>1684.79</v>
      </c>
    </row>
    <row r="820" ht="9" customHeight="1" hidden="1">
      <c r="I820" s="373"/>
      <c r="J820" s="374"/>
      <c r="K820" s="374"/>
      <c r="L820" t="s" s="375">
        <v>5845</v>
      </c>
      <c r="M820" s="376">
        <v>2</v>
      </c>
      <c r="N820" s="377">
        <v>9.99</v>
      </c>
      <c r="O820" s="377">
        <v>19.98</v>
      </c>
    </row>
    <row r="821" ht="9" customHeight="1" hidden="1">
      <c r="I821" s="373"/>
      <c r="J821" s="374"/>
      <c r="K821" s="374"/>
      <c r="L821" t="s" s="375">
        <v>35</v>
      </c>
      <c r="M821" s="376">
        <v>2</v>
      </c>
      <c r="N821" s="377">
        <v>49.99</v>
      </c>
      <c r="O821" s="377">
        <v>99.98</v>
      </c>
    </row>
    <row r="822" ht="9" customHeight="1" hidden="1">
      <c r="I822" s="373"/>
      <c r="J822" s="374"/>
      <c r="K822" s="378">
        <v>44986</v>
      </c>
      <c r="L822" s="128"/>
      <c r="M822" s="129">
        <v>4</v>
      </c>
      <c r="N822" s="142">
        <v>59.98</v>
      </c>
      <c r="O822" s="142">
        <v>119.96</v>
      </c>
    </row>
    <row r="823" ht="9" customHeight="1" hidden="1">
      <c r="I823" s="373"/>
      <c r="J823" t="s" s="379">
        <v>5989</v>
      </c>
      <c r="K823" s="127"/>
      <c r="L823" s="128"/>
      <c r="M823" s="129">
        <v>4</v>
      </c>
      <c r="N823" s="142">
        <v>59.98</v>
      </c>
      <c r="O823" s="142">
        <v>119.96</v>
      </c>
    </row>
    <row r="824" ht="16.1" customHeight="1">
      <c r="I824" t="s" s="126">
        <v>5990</v>
      </c>
      <c r="J824" s="127"/>
      <c r="K824" s="127"/>
      <c r="L824" s="128"/>
      <c r="M824" s="129">
        <v>4</v>
      </c>
      <c r="N824" s="142">
        <v>59.98</v>
      </c>
      <c r="O824" s="142">
        <v>119.96</v>
      </c>
    </row>
    <row r="825" ht="9" customHeight="1" hidden="1">
      <c r="I825" s="373"/>
      <c r="J825" s="374"/>
      <c r="K825" s="374"/>
      <c r="L825" t="s" s="375">
        <v>95</v>
      </c>
      <c r="M825" s="376">
        <v>1</v>
      </c>
      <c r="N825" s="377">
        <v>349.99</v>
      </c>
      <c r="O825" s="377">
        <v>349.99</v>
      </c>
    </row>
    <row r="826" ht="9" customHeight="1" hidden="1">
      <c r="I826" s="373"/>
      <c r="J826" s="374"/>
      <c r="K826" s="378">
        <v>44986</v>
      </c>
      <c r="L826" s="128"/>
      <c r="M826" s="129">
        <v>1</v>
      </c>
      <c r="N826" s="142">
        <v>349.99</v>
      </c>
      <c r="O826" s="142">
        <v>349.99</v>
      </c>
    </row>
    <row r="827" ht="9" customHeight="1" hidden="1">
      <c r="I827" s="373"/>
      <c r="J827" t="s" s="379">
        <v>5935</v>
      </c>
      <c r="K827" s="127"/>
      <c r="L827" s="128"/>
      <c r="M827" s="129">
        <v>1</v>
      </c>
      <c r="N827" s="142">
        <v>349.99</v>
      </c>
      <c r="O827" s="142">
        <v>349.99</v>
      </c>
    </row>
    <row r="828" ht="16.1" customHeight="1">
      <c r="I828" t="s" s="126">
        <v>5936</v>
      </c>
      <c r="J828" s="127"/>
      <c r="K828" s="127"/>
      <c r="L828" s="128"/>
      <c r="M828" s="129">
        <v>1</v>
      </c>
      <c r="N828" s="142">
        <v>349.99</v>
      </c>
      <c r="O828" s="142">
        <v>349.99</v>
      </c>
    </row>
    <row r="829" ht="9" customHeight="1" hidden="1">
      <c r="I829" s="373"/>
      <c r="J829" s="374"/>
      <c r="K829" s="374"/>
      <c r="L829" t="s" s="375">
        <v>5845</v>
      </c>
      <c r="M829" s="376">
        <v>2</v>
      </c>
      <c r="N829" s="377">
        <v>9.99</v>
      </c>
      <c r="O829" s="377">
        <v>19.98</v>
      </c>
    </row>
    <row r="830" ht="9" customHeight="1" hidden="1">
      <c r="I830" s="373"/>
      <c r="J830" s="374"/>
      <c r="K830" s="374"/>
      <c r="L830" t="s" s="375">
        <v>1695</v>
      </c>
      <c r="M830" s="376">
        <v>4</v>
      </c>
      <c r="N830" s="377">
        <v>49.99</v>
      </c>
      <c r="O830" s="377">
        <v>199.96</v>
      </c>
    </row>
    <row r="831" ht="9" customHeight="1" hidden="1">
      <c r="I831" s="373"/>
      <c r="J831" s="374"/>
      <c r="K831" s="374"/>
      <c r="L831" t="s" s="375">
        <v>15</v>
      </c>
      <c r="M831" s="376">
        <v>4</v>
      </c>
      <c r="N831" s="377">
        <v>9.99</v>
      </c>
      <c r="O831" s="377">
        <v>39.96</v>
      </c>
    </row>
    <row r="832" ht="9" customHeight="1" hidden="1">
      <c r="I832" s="373"/>
      <c r="J832" s="374"/>
      <c r="K832" s="378">
        <v>44986</v>
      </c>
      <c r="L832" s="128"/>
      <c r="M832" s="129">
        <v>10</v>
      </c>
      <c r="N832" s="142">
        <v>69.97</v>
      </c>
      <c r="O832" s="142">
        <v>259.9</v>
      </c>
    </row>
    <row r="833" ht="9" customHeight="1" hidden="1">
      <c r="I833" s="373"/>
      <c r="J833" t="s" s="379">
        <v>6031</v>
      </c>
      <c r="K833" s="127"/>
      <c r="L833" s="128"/>
      <c r="M833" s="129">
        <v>10</v>
      </c>
      <c r="N833" s="142">
        <v>69.97</v>
      </c>
      <c r="O833" s="142">
        <v>259.9</v>
      </c>
    </row>
    <row r="834" ht="9" customHeight="1" hidden="1">
      <c r="I834" s="373"/>
      <c r="J834" s="374"/>
      <c r="K834" s="374"/>
      <c r="L834" t="s" s="375">
        <v>5845</v>
      </c>
      <c r="M834" s="376">
        <v>1</v>
      </c>
      <c r="N834" s="377">
        <v>9.99</v>
      </c>
      <c r="O834" s="377">
        <v>9.99</v>
      </c>
    </row>
    <row r="835" ht="9" customHeight="1" hidden="1">
      <c r="I835" s="373"/>
      <c r="J835" s="374"/>
      <c r="K835" s="374"/>
      <c r="L835" t="s" s="375">
        <v>1695</v>
      </c>
      <c r="M835" s="376">
        <v>6</v>
      </c>
      <c r="N835" s="377">
        <v>49.99</v>
      </c>
      <c r="O835" s="377">
        <v>299.94</v>
      </c>
    </row>
    <row r="836" ht="9" customHeight="1" hidden="1">
      <c r="I836" s="373"/>
      <c r="J836" s="374"/>
      <c r="K836" s="374"/>
      <c r="L836" t="s" s="375">
        <v>15</v>
      </c>
      <c r="M836" s="376">
        <v>6</v>
      </c>
      <c r="N836" s="377">
        <v>8.99</v>
      </c>
      <c r="O836" s="377">
        <v>53.94</v>
      </c>
    </row>
    <row r="837" ht="9" customHeight="1" hidden="1">
      <c r="I837" s="373"/>
      <c r="J837" s="374"/>
      <c r="K837" s="378">
        <v>44986</v>
      </c>
      <c r="L837" s="128"/>
      <c r="M837" s="129">
        <v>13</v>
      </c>
      <c r="N837" s="142">
        <v>68.97</v>
      </c>
      <c r="O837" s="142">
        <v>363.87</v>
      </c>
    </row>
    <row r="838" ht="9" customHeight="1" hidden="1">
      <c r="I838" s="373"/>
      <c r="J838" t="s" s="379">
        <v>5933</v>
      </c>
      <c r="K838" s="127"/>
      <c r="L838" s="128"/>
      <c r="M838" s="129">
        <v>13</v>
      </c>
      <c r="N838" s="142">
        <v>68.97</v>
      </c>
      <c r="O838" s="142">
        <v>363.87</v>
      </c>
    </row>
    <row r="839" ht="16.1" customHeight="1">
      <c r="I839" t="s" s="126">
        <v>5934</v>
      </c>
      <c r="J839" s="127"/>
      <c r="K839" s="127"/>
      <c r="L839" s="128"/>
      <c r="M839" s="129">
        <v>23</v>
      </c>
      <c r="N839" s="142">
        <v>138.94</v>
      </c>
      <c r="O839" s="142">
        <v>623.77</v>
      </c>
    </row>
    <row r="840" ht="9" customHeight="1" hidden="1">
      <c r="I840" s="373"/>
      <c r="J840" s="374"/>
      <c r="K840" s="374"/>
      <c r="L840" t="s" s="375">
        <v>11</v>
      </c>
      <c r="M840" s="376">
        <v>1</v>
      </c>
      <c r="N840" s="377">
        <v>399.99</v>
      </c>
      <c r="O840" s="377">
        <v>399.99</v>
      </c>
    </row>
    <row r="841" ht="9" customHeight="1" hidden="1">
      <c r="I841" s="373"/>
      <c r="J841" s="374"/>
      <c r="K841" s="378">
        <v>44986</v>
      </c>
      <c r="L841" s="128"/>
      <c r="M841" s="129">
        <v>1</v>
      </c>
      <c r="N841" s="142">
        <v>399.99</v>
      </c>
      <c r="O841" s="142">
        <v>399.99</v>
      </c>
    </row>
    <row r="842" ht="9" customHeight="1" hidden="1">
      <c r="I842" s="373"/>
      <c r="J842" t="s" s="379">
        <v>6024</v>
      </c>
      <c r="K842" s="127"/>
      <c r="L842" s="128"/>
      <c r="M842" s="129">
        <v>1</v>
      </c>
      <c r="N842" s="142">
        <v>399.99</v>
      </c>
      <c r="O842" s="142">
        <v>399.99</v>
      </c>
    </row>
    <row r="843" ht="16.1" customHeight="1">
      <c r="I843" t="s" s="126">
        <v>6025</v>
      </c>
      <c r="J843" s="127"/>
      <c r="K843" s="127"/>
      <c r="L843" s="128"/>
      <c r="M843" s="129">
        <v>1</v>
      </c>
      <c r="N843" s="142">
        <v>399.99</v>
      </c>
      <c r="O843" s="142">
        <v>399.99</v>
      </c>
    </row>
    <row r="844" ht="9" customHeight="1" hidden="1">
      <c r="I844" s="373"/>
      <c r="J844" s="374"/>
      <c r="K844" s="374"/>
      <c r="L844" t="s" s="375">
        <v>1695</v>
      </c>
      <c r="M844" s="376">
        <v>2</v>
      </c>
      <c r="N844" s="377">
        <v>49.99</v>
      </c>
      <c r="O844" s="377">
        <v>99.98</v>
      </c>
    </row>
    <row r="845" ht="9" customHeight="1" hidden="1">
      <c r="I845" s="373"/>
      <c r="J845" s="374"/>
      <c r="K845" s="374"/>
      <c r="L845" t="s" s="375">
        <v>15</v>
      </c>
      <c r="M845" s="376">
        <v>2</v>
      </c>
      <c r="N845" s="377">
        <v>9.99</v>
      </c>
      <c r="O845" s="377">
        <v>19.98</v>
      </c>
    </row>
    <row r="846" ht="9" customHeight="1" hidden="1">
      <c r="I846" s="373"/>
      <c r="J846" s="374"/>
      <c r="K846" s="378">
        <v>44986</v>
      </c>
      <c r="L846" s="128"/>
      <c r="M846" s="129">
        <v>4</v>
      </c>
      <c r="N846" s="142">
        <v>59.98</v>
      </c>
      <c r="O846" s="142">
        <v>119.96</v>
      </c>
    </row>
    <row r="847" ht="9" customHeight="1" hidden="1">
      <c r="I847" s="373"/>
      <c r="J847" t="s" s="379">
        <v>5927</v>
      </c>
      <c r="K847" s="127"/>
      <c r="L847" s="128"/>
      <c r="M847" s="129">
        <v>4</v>
      </c>
      <c r="N847" s="142">
        <v>59.98</v>
      </c>
      <c r="O847" s="142">
        <v>119.96</v>
      </c>
    </row>
    <row r="848" ht="16.1" customHeight="1">
      <c r="I848" t="s" s="126">
        <v>5928</v>
      </c>
      <c r="J848" s="127"/>
      <c r="K848" s="127"/>
      <c r="L848" s="128"/>
      <c r="M848" s="129">
        <v>4</v>
      </c>
      <c r="N848" s="142">
        <v>59.98</v>
      </c>
      <c r="O848" s="142">
        <v>119.96</v>
      </c>
    </row>
    <row r="849" ht="9" customHeight="1" hidden="1">
      <c r="I849" s="373"/>
      <c r="J849" s="374"/>
      <c r="K849" s="374"/>
      <c r="L849" t="s" s="375">
        <v>5845</v>
      </c>
      <c r="M849" s="376">
        <v>2</v>
      </c>
      <c r="N849" s="377">
        <v>9.99</v>
      </c>
      <c r="O849" s="377">
        <v>19.98</v>
      </c>
    </row>
    <row r="850" ht="9" customHeight="1" hidden="1">
      <c r="I850" s="373"/>
      <c r="J850" s="374"/>
      <c r="K850" s="374"/>
      <c r="L850" t="s" s="375">
        <v>412</v>
      </c>
      <c r="M850" s="376">
        <v>5</v>
      </c>
      <c r="N850" s="377">
        <v>1.99</v>
      </c>
      <c r="O850" s="377">
        <v>9.949999999999999</v>
      </c>
    </row>
    <row r="851" ht="9" customHeight="1" hidden="1">
      <c r="I851" s="373"/>
      <c r="J851" s="374"/>
      <c r="K851" s="374"/>
      <c r="L851" t="s" s="375">
        <v>15</v>
      </c>
      <c r="M851" s="376">
        <v>1</v>
      </c>
      <c r="N851" s="377">
        <v>9.99</v>
      </c>
      <c r="O851" s="377">
        <v>9.99</v>
      </c>
    </row>
    <row r="852" ht="9" customHeight="1" hidden="1">
      <c r="I852" s="373"/>
      <c r="J852" s="374"/>
      <c r="K852" s="378">
        <v>44986</v>
      </c>
      <c r="L852" s="128"/>
      <c r="M852" s="129">
        <v>8</v>
      </c>
      <c r="N852" s="142">
        <v>21.97</v>
      </c>
      <c r="O852" s="142">
        <v>39.92</v>
      </c>
    </row>
    <row r="853" ht="9" customHeight="1" hidden="1">
      <c r="I853" s="373"/>
      <c r="J853" t="s" s="379">
        <v>6070</v>
      </c>
      <c r="K853" s="127"/>
      <c r="L853" s="128"/>
      <c r="M853" s="129">
        <v>8</v>
      </c>
      <c r="N853" s="142">
        <v>21.97</v>
      </c>
      <c r="O853" s="142">
        <v>39.92</v>
      </c>
    </row>
    <row r="854" ht="16.1" customHeight="1">
      <c r="I854" t="s" s="126">
        <v>6071</v>
      </c>
      <c r="J854" s="127"/>
      <c r="K854" s="127"/>
      <c r="L854" s="128"/>
      <c r="M854" s="129">
        <v>8</v>
      </c>
      <c r="N854" s="142">
        <v>21.97</v>
      </c>
      <c r="O854" s="142">
        <v>39.92</v>
      </c>
    </row>
    <row r="855" ht="9" customHeight="1" hidden="1">
      <c r="I855" s="373"/>
      <c r="J855" s="374"/>
      <c r="K855" s="374"/>
      <c r="L855" t="s" s="375">
        <v>1030</v>
      </c>
      <c r="M855" s="376">
        <v>1</v>
      </c>
      <c r="N855" s="377">
        <v>0</v>
      </c>
      <c r="O855" s="377">
        <v>0</v>
      </c>
    </row>
    <row r="856" ht="9" customHeight="1" hidden="1">
      <c r="I856" s="373"/>
      <c r="J856" s="374"/>
      <c r="K856" s="378">
        <v>44986</v>
      </c>
      <c r="L856" s="128"/>
      <c r="M856" s="129">
        <v>1</v>
      </c>
      <c r="N856" s="142">
        <v>0</v>
      </c>
      <c r="O856" s="142">
        <v>0</v>
      </c>
    </row>
    <row r="857" ht="9" customHeight="1" hidden="1">
      <c r="I857" s="373"/>
      <c r="J857" t="s" s="379">
        <v>5940</v>
      </c>
      <c r="K857" s="127"/>
      <c r="L857" s="128"/>
      <c r="M857" s="129">
        <v>1</v>
      </c>
      <c r="N857" s="142">
        <v>0</v>
      </c>
      <c r="O857" s="142">
        <v>0</v>
      </c>
    </row>
    <row r="858" ht="16.1" customHeight="1">
      <c r="I858" t="s" s="126">
        <v>329</v>
      </c>
      <c r="J858" s="127"/>
      <c r="K858" s="127"/>
      <c r="L858" s="128"/>
      <c r="M858" s="129">
        <v>1</v>
      </c>
      <c r="N858" s="142">
        <v>0</v>
      </c>
      <c r="O858" s="142">
        <v>0</v>
      </c>
    </row>
    <row r="859" ht="9" customHeight="1" hidden="1">
      <c r="I859" s="373"/>
      <c r="J859" s="374"/>
      <c r="K859" s="374"/>
      <c r="L859" t="s" s="375">
        <v>227</v>
      </c>
      <c r="M859" s="376">
        <v>2</v>
      </c>
      <c r="N859" s="377">
        <v>29.99</v>
      </c>
      <c r="O859" s="377">
        <v>59.98</v>
      </c>
    </row>
    <row r="860" ht="9" customHeight="1" hidden="1">
      <c r="I860" s="373"/>
      <c r="J860" s="374"/>
      <c r="K860" s="374"/>
      <c r="L860" t="s" s="375">
        <v>5138</v>
      </c>
      <c r="M860" s="376">
        <v>1</v>
      </c>
      <c r="N860" s="377">
        <v>0</v>
      </c>
      <c r="O860" s="377">
        <v>0</v>
      </c>
    </row>
    <row r="861" ht="9" customHeight="1" hidden="1">
      <c r="I861" s="373"/>
      <c r="J861" s="374"/>
      <c r="K861" s="374"/>
      <c r="L861" t="s" s="375">
        <v>602</v>
      </c>
      <c r="M861" s="376">
        <v>1</v>
      </c>
      <c r="N861" s="377">
        <v>175</v>
      </c>
      <c r="O861" s="377">
        <v>175</v>
      </c>
    </row>
    <row r="862" ht="9" customHeight="1" hidden="1">
      <c r="I862" s="373"/>
      <c r="J862" s="374"/>
      <c r="K862" s="374"/>
      <c r="L862" t="s" s="375">
        <v>95</v>
      </c>
      <c r="M862" s="376">
        <v>1</v>
      </c>
      <c r="N862" s="377">
        <v>349.99</v>
      </c>
      <c r="O862" s="377">
        <v>349.99</v>
      </c>
    </row>
    <row r="863" ht="9" customHeight="1" hidden="1">
      <c r="I863" s="373"/>
      <c r="J863" s="374"/>
      <c r="K863" s="374"/>
      <c r="L863" t="s" s="375">
        <v>81</v>
      </c>
      <c r="M863" s="376">
        <v>1</v>
      </c>
      <c r="N863" s="377">
        <v>849.99</v>
      </c>
      <c r="O863" s="377">
        <v>849.99</v>
      </c>
    </row>
    <row r="864" ht="9" customHeight="1" hidden="1">
      <c r="I864" s="373"/>
      <c r="J864" s="374"/>
      <c r="K864" s="374"/>
      <c r="L864" t="s" s="375">
        <v>50</v>
      </c>
      <c r="M864" s="376">
        <v>1</v>
      </c>
      <c r="N864" s="377">
        <v>0</v>
      </c>
      <c r="O864" s="377">
        <v>0</v>
      </c>
    </row>
    <row r="865" ht="9" customHeight="1" hidden="1">
      <c r="I865" s="373"/>
      <c r="J865" s="374"/>
      <c r="K865" s="378">
        <v>44986</v>
      </c>
      <c r="L865" s="128"/>
      <c r="M865" s="129">
        <v>7</v>
      </c>
      <c r="N865" s="142">
        <v>1404.97</v>
      </c>
      <c r="O865" s="142">
        <v>1434.96</v>
      </c>
    </row>
    <row r="866" ht="9" customHeight="1" hidden="1">
      <c r="I866" s="373"/>
      <c r="J866" t="s" s="379">
        <v>5997</v>
      </c>
      <c r="K866" s="127"/>
      <c r="L866" s="128"/>
      <c r="M866" s="129">
        <v>7</v>
      </c>
      <c r="N866" s="142">
        <v>1404.97</v>
      </c>
      <c r="O866" s="142">
        <v>1434.96</v>
      </c>
    </row>
    <row r="867" ht="16.1" customHeight="1">
      <c r="I867" t="s" s="126">
        <v>5489</v>
      </c>
      <c r="J867" s="127"/>
      <c r="K867" s="127"/>
      <c r="L867" s="128"/>
      <c r="M867" s="129">
        <v>7</v>
      </c>
      <c r="N867" s="142">
        <v>1404.97</v>
      </c>
      <c r="O867" s="142">
        <v>1434.96</v>
      </c>
    </row>
    <row r="868" ht="9" customHeight="1" hidden="1">
      <c r="I868" s="373"/>
      <c r="J868" s="374"/>
      <c r="K868" s="374"/>
      <c r="L868" t="s" s="375">
        <v>19</v>
      </c>
      <c r="M868" s="376">
        <v>2</v>
      </c>
      <c r="N868" s="377">
        <v>119.99</v>
      </c>
      <c r="O868" s="377">
        <v>239.98</v>
      </c>
    </row>
    <row r="869" ht="9" customHeight="1" hidden="1">
      <c r="I869" s="373"/>
      <c r="J869" s="374"/>
      <c r="K869" s="374"/>
      <c r="L869" t="s" s="375">
        <v>15</v>
      </c>
      <c r="M869" s="376">
        <v>2</v>
      </c>
      <c r="N869" s="377">
        <v>9.99</v>
      </c>
      <c r="O869" s="377">
        <v>19.98</v>
      </c>
    </row>
    <row r="870" ht="9" customHeight="1" hidden="1">
      <c r="I870" s="373"/>
      <c r="J870" s="374"/>
      <c r="K870" s="378">
        <v>44986</v>
      </c>
      <c r="L870" s="128"/>
      <c r="M870" s="129">
        <v>4</v>
      </c>
      <c r="N870" s="142">
        <v>129.98</v>
      </c>
      <c r="O870" s="142">
        <v>259.96</v>
      </c>
    </row>
    <row r="871" ht="9" customHeight="1" hidden="1">
      <c r="I871" s="373"/>
      <c r="J871" t="s" s="379">
        <v>5903</v>
      </c>
      <c r="K871" s="127"/>
      <c r="L871" s="128"/>
      <c r="M871" s="129">
        <v>4</v>
      </c>
      <c r="N871" s="142">
        <v>129.98</v>
      </c>
      <c r="O871" s="142">
        <v>259.96</v>
      </c>
    </row>
    <row r="872" ht="16.1" customHeight="1">
      <c r="I872" t="s" s="126">
        <v>3672</v>
      </c>
      <c r="J872" s="127"/>
      <c r="K872" s="127"/>
      <c r="L872" s="128"/>
      <c r="M872" s="129">
        <v>4</v>
      </c>
      <c r="N872" s="142">
        <v>129.98</v>
      </c>
      <c r="O872" s="142">
        <v>259.96</v>
      </c>
    </row>
    <row r="873" ht="9" customHeight="1" hidden="1">
      <c r="I873" s="373"/>
      <c r="J873" s="374"/>
      <c r="K873" s="374"/>
      <c r="L873" t="s" s="375">
        <v>227</v>
      </c>
      <c r="M873" s="376">
        <v>4</v>
      </c>
      <c r="N873" s="377">
        <v>29.99</v>
      </c>
      <c r="O873" s="377">
        <v>119.96</v>
      </c>
    </row>
    <row r="874" ht="9" customHeight="1" hidden="1">
      <c r="I874" s="373"/>
      <c r="J874" s="374"/>
      <c r="K874" s="374"/>
      <c r="L874" t="s" s="375">
        <v>84</v>
      </c>
      <c r="M874" s="376">
        <v>4</v>
      </c>
      <c r="N874" s="377">
        <v>0</v>
      </c>
      <c r="O874" s="377">
        <v>0</v>
      </c>
    </row>
    <row r="875" ht="9" customHeight="1" hidden="1">
      <c r="I875" s="373"/>
      <c r="J875" s="374"/>
      <c r="K875" s="374"/>
      <c r="L875" t="s" s="375">
        <v>412</v>
      </c>
      <c r="M875" s="376">
        <v>10</v>
      </c>
      <c r="N875" s="377">
        <v>1.99</v>
      </c>
      <c r="O875" s="377">
        <v>19.9</v>
      </c>
    </row>
    <row r="876" ht="9" customHeight="1" hidden="1">
      <c r="I876" s="373"/>
      <c r="J876" s="374"/>
      <c r="K876" s="374"/>
      <c r="L876" t="s" s="375">
        <v>133</v>
      </c>
      <c r="M876" s="376">
        <v>4</v>
      </c>
      <c r="N876" s="377">
        <v>50</v>
      </c>
      <c r="O876" s="377">
        <v>200</v>
      </c>
    </row>
    <row r="877" ht="9" customHeight="1" hidden="1">
      <c r="I877" s="373"/>
      <c r="J877" s="374"/>
      <c r="K877" s="374"/>
      <c r="L877" t="s" s="375">
        <v>52</v>
      </c>
      <c r="M877" s="376">
        <v>4</v>
      </c>
      <c r="N877" s="377">
        <v>0</v>
      </c>
      <c r="O877" s="377">
        <v>0</v>
      </c>
    </row>
    <row r="878" ht="9" customHeight="1" hidden="1">
      <c r="I878" s="373"/>
      <c r="J878" s="374"/>
      <c r="K878" s="374"/>
      <c r="L878" t="s" s="375">
        <v>31</v>
      </c>
      <c r="M878" s="376">
        <v>1</v>
      </c>
      <c r="N878" s="377">
        <v>599.99</v>
      </c>
      <c r="O878" s="377">
        <v>599.99</v>
      </c>
    </row>
    <row r="879" ht="9" customHeight="1" hidden="1">
      <c r="I879" s="373"/>
      <c r="J879" s="374"/>
      <c r="K879" s="374"/>
      <c r="L879" t="s" s="375">
        <v>50</v>
      </c>
      <c r="M879" s="376">
        <v>4</v>
      </c>
      <c r="N879" s="377">
        <v>0</v>
      </c>
      <c r="O879" s="377">
        <v>0</v>
      </c>
    </row>
    <row r="880" ht="9" customHeight="1" hidden="1">
      <c r="I880" s="373"/>
      <c r="J880" s="374"/>
      <c r="K880" s="374"/>
      <c r="L880" t="s" s="375">
        <v>48</v>
      </c>
      <c r="M880" s="376">
        <v>4</v>
      </c>
      <c r="N880" s="377">
        <v>1299.99</v>
      </c>
      <c r="O880" s="377">
        <v>5199.96</v>
      </c>
    </row>
    <row r="881" ht="9" customHeight="1" hidden="1">
      <c r="I881" s="373"/>
      <c r="J881" s="374"/>
      <c r="K881" s="374"/>
      <c r="L881" t="s" s="375">
        <v>59</v>
      </c>
      <c r="M881" s="376">
        <v>1</v>
      </c>
      <c r="N881" s="377">
        <v>1199.99</v>
      </c>
      <c r="O881" s="377">
        <v>1199.99</v>
      </c>
    </row>
    <row r="882" ht="9" customHeight="1" hidden="1">
      <c r="I882" s="373"/>
      <c r="J882" s="374"/>
      <c r="K882" s="374"/>
      <c r="L882" t="s" s="375">
        <v>15</v>
      </c>
      <c r="M882" s="376">
        <v>4</v>
      </c>
      <c r="N882" s="377">
        <v>19.98</v>
      </c>
      <c r="O882" s="377">
        <v>39.96</v>
      </c>
    </row>
    <row r="883" ht="9" customHeight="1" hidden="1">
      <c r="I883" s="373"/>
      <c r="J883" s="374"/>
      <c r="K883" s="378">
        <v>44986</v>
      </c>
      <c r="L883" s="128"/>
      <c r="M883" s="129">
        <v>40</v>
      </c>
      <c r="N883" s="142">
        <v>3201.93</v>
      </c>
      <c r="O883" s="142">
        <v>7379.76</v>
      </c>
    </row>
    <row r="884" ht="9" customHeight="1" hidden="1">
      <c r="I884" s="373"/>
      <c r="J884" t="s" s="379">
        <v>5840</v>
      </c>
      <c r="K884" s="127"/>
      <c r="L884" s="128"/>
      <c r="M884" s="129">
        <v>40</v>
      </c>
      <c r="N884" s="142">
        <v>3201.93</v>
      </c>
      <c r="O884" s="142">
        <v>7379.76</v>
      </c>
    </row>
    <row r="885" ht="16.1" customHeight="1">
      <c r="I885" t="s" s="126">
        <v>5712</v>
      </c>
      <c r="J885" s="127"/>
      <c r="K885" s="127"/>
      <c r="L885" s="128"/>
      <c r="M885" s="129">
        <v>40</v>
      </c>
      <c r="N885" s="142">
        <v>3201.93</v>
      </c>
      <c r="O885" s="142">
        <v>7379.76</v>
      </c>
    </row>
    <row r="886" ht="9" customHeight="1" hidden="1">
      <c r="I886" s="373"/>
      <c r="J886" s="374"/>
      <c r="K886" s="374"/>
      <c r="L886" t="s" s="375">
        <v>95</v>
      </c>
      <c r="M886" s="376">
        <v>1</v>
      </c>
      <c r="N886" s="377">
        <v>349.99</v>
      </c>
      <c r="O886" s="377">
        <v>349.99</v>
      </c>
    </row>
    <row r="887" ht="9" customHeight="1" hidden="1">
      <c r="I887" s="373"/>
      <c r="J887" s="374"/>
      <c r="K887" s="378">
        <v>44986</v>
      </c>
      <c r="L887" s="128"/>
      <c r="M887" s="129">
        <v>1</v>
      </c>
      <c r="N887" s="142">
        <v>349.99</v>
      </c>
      <c r="O887" s="142">
        <v>349.99</v>
      </c>
    </row>
    <row r="888" ht="9" customHeight="1" hidden="1">
      <c r="I888" s="373"/>
      <c r="J888" t="s" s="379">
        <v>6000</v>
      </c>
      <c r="K888" s="127"/>
      <c r="L888" s="128"/>
      <c r="M888" s="129">
        <v>1</v>
      </c>
      <c r="N888" s="142">
        <v>349.99</v>
      </c>
      <c r="O888" s="142">
        <v>349.99</v>
      </c>
    </row>
    <row r="889" ht="16.1" customHeight="1">
      <c r="I889" t="s" s="126">
        <v>6001</v>
      </c>
      <c r="J889" s="127"/>
      <c r="K889" s="127"/>
      <c r="L889" s="128"/>
      <c r="M889" s="129">
        <v>1</v>
      </c>
      <c r="N889" s="142">
        <v>349.99</v>
      </c>
      <c r="O889" s="142">
        <v>349.99</v>
      </c>
    </row>
    <row r="890" ht="9" customHeight="1" hidden="1">
      <c r="I890" s="373"/>
      <c r="J890" s="374"/>
      <c r="K890" s="374"/>
      <c r="L890" t="s" s="375">
        <v>31</v>
      </c>
      <c r="M890" s="376">
        <v>1</v>
      </c>
      <c r="N890" s="377">
        <v>599.99</v>
      </c>
      <c r="O890" s="377">
        <v>599.99</v>
      </c>
    </row>
    <row r="891" ht="9" customHeight="1" hidden="1">
      <c r="I891" s="373"/>
      <c r="J891" s="374"/>
      <c r="K891" s="378">
        <v>44986</v>
      </c>
      <c r="L891" s="128"/>
      <c r="M891" s="129">
        <v>1</v>
      </c>
      <c r="N891" s="142">
        <v>599.99</v>
      </c>
      <c r="O891" s="142">
        <v>599.99</v>
      </c>
    </row>
    <row r="892" ht="9" customHeight="1" hidden="1">
      <c r="I892" s="373"/>
      <c r="J892" t="s" s="379">
        <v>6022</v>
      </c>
      <c r="K892" s="127"/>
      <c r="L892" s="128"/>
      <c r="M892" s="129">
        <v>1</v>
      </c>
      <c r="N892" s="142">
        <v>599.99</v>
      </c>
      <c r="O892" s="142">
        <v>599.99</v>
      </c>
    </row>
    <row r="893" ht="16.1" customHeight="1">
      <c r="I893" t="s" s="126">
        <v>2630</v>
      </c>
      <c r="J893" s="127"/>
      <c r="K893" s="127"/>
      <c r="L893" s="128"/>
      <c r="M893" s="129">
        <v>1</v>
      </c>
      <c r="N893" s="142">
        <v>599.99</v>
      </c>
      <c r="O893" s="142">
        <v>599.99</v>
      </c>
    </row>
    <row r="894" ht="9" customHeight="1" hidden="1">
      <c r="I894" s="373"/>
      <c r="J894" s="374"/>
      <c r="K894" s="374"/>
      <c r="L894" t="s" s="375">
        <v>35</v>
      </c>
      <c r="M894" s="376">
        <v>1</v>
      </c>
      <c r="N894" s="377">
        <v>49.99</v>
      </c>
      <c r="O894" s="377">
        <v>49.99</v>
      </c>
    </row>
    <row r="895" ht="9" customHeight="1" hidden="1">
      <c r="I895" s="373"/>
      <c r="J895" s="374"/>
      <c r="K895" s="378">
        <v>44986</v>
      </c>
      <c r="L895" s="128"/>
      <c r="M895" s="129">
        <v>1</v>
      </c>
      <c r="N895" s="142">
        <v>49.99</v>
      </c>
      <c r="O895" s="142">
        <v>49.99</v>
      </c>
    </row>
    <row r="896" ht="9" customHeight="1" hidden="1">
      <c r="I896" s="373"/>
      <c r="J896" t="s" s="379">
        <v>5995</v>
      </c>
      <c r="K896" s="127"/>
      <c r="L896" s="128"/>
      <c r="M896" s="129">
        <v>1</v>
      </c>
      <c r="N896" s="142">
        <v>49.99</v>
      </c>
      <c r="O896" s="142">
        <v>49.99</v>
      </c>
    </row>
    <row r="897" ht="16.1" customHeight="1">
      <c r="I897" t="s" s="126">
        <v>5996</v>
      </c>
      <c r="J897" s="127"/>
      <c r="K897" s="127"/>
      <c r="L897" s="128"/>
      <c r="M897" s="129">
        <v>1</v>
      </c>
      <c r="N897" s="142">
        <v>49.99</v>
      </c>
      <c r="O897" s="142">
        <v>49.99</v>
      </c>
    </row>
    <row r="898" ht="9" customHeight="1" hidden="1">
      <c r="I898" s="373"/>
      <c r="J898" s="374"/>
      <c r="K898" s="374"/>
      <c r="L898" t="s" s="375">
        <v>1593</v>
      </c>
      <c r="M898" s="376">
        <v>1</v>
      </c>
      <c r="N898" s="377">
        <v>99.98999999999999</v>
      </c>
      <c r="O898" s="377">
        <v>99.98999999999999</v>
      </c>
    </row>
    <row r="899" ht="9" customHeight="1" hidden="1">
      <c r="I899" s="373"/>
      <c r="J899" s="374"/>
      <c r="K899" s="378">
        <v>44986</v>
      </c>
      <c r="L899" s="128"/>
      <c r="M899" s="129">
        <v>1</v>
      </c>
      <c r="N899" s="142">
        <v>99.98999999999999</v>
      </c>
      <c r="O899" s="142">
        <v>99.98999999999999</v>
      </c>
    </row>
    <row r="900" ht="9" customHeight="1" hidden="1">
      <c r="I900" s="373"/>
      <c r="J900" t="s" s="379">
        <v>6089</v>
      </c>
      <c r="K900" s="127"/>
      <c r="L900" s="128"/>
      <c r="M900" s="129">
        <v>1</v>
      </c>
      <c r="N900" s="142">
        <v>99.98999999999999</v>
      </c>
      <c r="O900" s="142">
        <v>99.98999999999999</v>
      </c>
    </row>
    <row r="901" ht="16.1" customHeight="1">
      <c r="I901" t="s" s="126">
        <v>6090</v>
      </c>
      <c r="J901" s="127"/>
      <c r="K901" s="127"/>
      <c r="L901" s="128"/>
      <c r="M901" s="129">
        <v>1</v>
      </c>
      <c r="N901" s="142">
        <v>99.98999999999999</v>
      </c>
      <c r="O901" s="142">
        <v>99.98999999999999</v>
      </c>
    </row>
    <row r="902" ht="9" customHeight="1" hidden="1">
      <c r="I902" s="373"/>
      <c r="J902" s="374"/>
      <c r="K902" s="374"/>
      <c r="L902" t="s" s="375">
        <v>95</v>
      </c>
      <c r="M902" s="376">
        <v>1</v>
      </c>
      <c r="N902" s="377">
        <v>349.99</v>
      </c>
      <c r="O902" s="377">
        <v>349.99</v>
      </c>
    </row>
    <row r="903" ht="9" customHeight="1" hidden="1">
      <c r="I903" s="373"/>
      <c r="J903" s="374"/>
      <c r="K903" s="378">
        <v>44986</v>
      </c>
      <c r="L903" s="128"/>
      <c r="M903" s="129">
        <v>1</v>
      </c>
      <c r="N903" s="142">
        <v>349.99</v>
      </c>
      <c r="O903" s="142">
        <v>349.99</v>
      </c>
    </row>
    <row r="904" ht="9" customHeight="1" hidden="1">
      <c r="I904" s="373"/>
      <c r="J904" t="s" s="379">
        <v>6044</v>
      </c>
      <c r="K904" s="127"/>
      <c r="L904" s="128"/>
      <c r="M904" s="129">
        <v>1</v>
      </c>
      <c r="N904" s="142">
        <v>349.99</v>
      </c>
      <c r="O904" s="142">
        <v>349.99</v>
      </c>
    </row>
    <row r="905" ht="16.1" customHeight="1">
      <c r="I905" t="s" s="126">
        <v>6045</v>
      </c>
      <c r="J905" s="127"/>
      <c r="K905" s="127"/>
      <c r="L905" s="128"/>
      <c r="M905" s="129">
        <v>1</v>
      </c>
      <c r="N905" s="142">
        <v>349.99</v>
      </c>
      <c r="O905" s="142">
        <v>349.99</v>
      </c>
    </row>
    <row r="906" ht="9" customHeight="1" hidden="1">
      <c r="I906" s="373"/>
      <c r="J906" s="374"/>
      <c r="K906" s="374"/>
      <c r="L906" t="s" s="375">
        <v>89</v>
      </c>
      <c r="M906" s="376">
        <v>2</v>
      </c>
      <c r="N906" s="377">
        <v>59.99</v>
      </c>
      <c r="O906" s="377">
        <v>119.98</v>
      </c>
    </row>
    <row r="907" ht="9" customHeight="1" hidden="1">
      <c r="I907" s="373"/>
      <c r="J907" s="374"/>
      <c r="K907" s="378">
        <v>44986</v>
      </c>
      <c r="L907" s="128"/>
      <c r="M907" s="129">
        <v>2</v>
      </c>
      <c r="N907" s="142">
        <v>59.99</v>
      </c>
      <c r="O907" s="142">
        <v>119.98</v>
      </c>
    </row>
    <row r="908" ht="9" customHeight="1" hidden="1">
      <c r="I908" s="373"/>
      <c r="J908" t="s" s="379">
        <v>5947</v>
      </c>
      <c r="K908" s="127"/>
      <c r="L908" s="128"/>
      <c r="M908" s="129">
        <v>2</v>
      </c>
      <c r="N908" s="142">
        <v>59.99</v>
      </c>
      <c r="O908" s="142">
        <v>119.98</v>
      </c>
    </row>
    <row r="909" ht="9" customHeight="1" hidden="1">
      <c r="I909" s="373"/>
      <c r="J909" s="374"/>
      <c r="K909" s="374"/>
      <c r="L909" t="s" s="375">
        <v>89</v>
      </c>
      <c r="M909" s="376">
        <v>6</v>
      </c>
      <c r="N909" s="377">
        <v>59.99</v>
      </c>
      <c r="O909" s="377">
        <v>359.94</v>
      </c>
    </row>
    <row r="910" ht="9" customHeight="1" hidden="1">
      <c r="I910" s="373"/>
      <c r="J910" s="374"/>
      <c r="K910" s="378">
        <v>44986</v>
      </c>
      <c r="L910" s="128"/>
      <c r="M910" s="129">
        <v>6</v>
      </c>
      <c r="N910" s="142">
        <v>59.99</v>
      </c>
      <c r="O910" s="142">
        <v>359.94</v>
      </c>
    </row>
    <row r="911" ht="9" customHeight="1" hidden="1">
      <c r="I911" s="373"/>
      <c r="J911" t="s" s="379">
        <v>5908</v>
      </c>
      <c r="K911" s="127"/>
      <c r="L911" s="128"/>
      <c r="M911" s="129">
        <v>6</v>
      </c>
      <c r="N911" s="142">
        <v>59.99</v>
      </c>
      <c r="O911" s="142">
        <v>359.94</v>
      </c>
    </row>
    <row r="912" ht="16.1" customHeight="1">
      <c r="I912" t="s" s="126">
        <v>5909</v>
      </c>
      <c r="J912" s="127"/>
      <c r="K912" s="127"/>
      <c r="L912" s="128"/>
      <c r="M912" s="129">
        <v>8</v>
      </c>
      <c r="N912" s="142">
        <v>119.98</v>
      </c>
      <c r="O912" s="142">
        <v>479.92</v>
      </c>
    </row>
    <row r="913" ht="9" customHeight="1" hidden="1">
      <c r="I913" s="373"/>
      <c r="J913" s="374"/>
      <c r="K913" s="374"/>
      <c r="L913" t="s" s="375">
        <v>133</v>
      </c>
      <c r="M913" s="376">
        <v>2</v>
      </c>
      <c r="N913" s="377">
        <v>50</v>
      </c>
      <c r="O913" s="377">
        <v>100</v>
      </c>
    </row>
    <row r="914" ht="9" customHeight="1" hidden="1">
      <c r="I914" s="373"/>
      <c r="J914" s="374"/>
      <c r="K914" s="374"/>
      <c r="L914" t="s" s="375">
        <v>81</v>
      </c>
      <c r="M914" s="376">
        <v>2</v>
      </c>
      <c r="N914" s="377">
        <v>849.99</v>
      </c>
      <c r="O914" s="377">
        <v>1699.98</v>
      </c>
    </row>
    <row r="915" ht="9" customHeight="1" hidden="1">
      <c r="I915" s="373"/>
      <c r="J915" s="374"/>
      <c r="K915" s="374"/>
      <c r="L915" t="s" s="375">
        <v>50</v>
      </c>
      <c r="M915" s="376">
        <v>2</v>
      </c>
      <c r="N915" s="377">
        <v>0</v>
      </c>
      <c r="O915" s="377">
        <v>0</v>
      </c>
    </row>
    <row r="916" ht="9" customHeight="1" hidden="1">
      <c r="I916" s="373"/>
      <c r="J916" s="374"/>
      <c r="K916" s="378">
        <v>44986</v>
      </c>
      <c r="L916" s="128"/>
      <c r="M916" s="129">
        <v>6</v>
      </c>
      <c r="N916" s="142">
        <v>899.99</v>
      </c>
      <c r="O916" s="142">
        <v>1799.98</v>
      </c>
    </row>
    <row r="917" ht="9" customHeight="1" hidden="1">
      <c r="I917" s="373"/>
      <c r="J917" t="s" s="379">
        <v>6086</v>
      </c>
      <c r="K917" s="127"/>
      <c r="L917" s="128"/>
      <c r="M917" s="129">
        <v>6</v>
      </c>
      <c r="N917" s="142">
        <v>899.99</v>
      </c>
      <c r="O917" s="142">
        <v>1799.98</v>
      </c>
    </row>
    <row r="918" ht="16.1" customHeight="1">
      <c r="I918" t="s" s="126">
        <v>4235</v>
      </c>
      <c r="J918" s="127"/>
      <c r="K918" s="127"/>
      <c r="L918" s="128"/>
      <c r="M918" s="129">
        <v>6</v>
      </c>
      <c r="N918" s="142">
        <v>899.99</v>
      </c>
      <c r="O918" s="142">
        <v>1799.98</v>
      </c>
    </row>
    <row r="919" ht="9" customHeight="1" hidden="1">
      <c r="I919" s="373"/>
      <c r="J919" s="374"/>
      <c r="K919" s="374"/>
      <c r="L919" t="s" s="375">
        <v>15</v>
      </c>
      <c r="M919" s="376">
        <v>1</v>
      </c>
      <c r="N919" s="377">
        <v>9.99</v>
      </c>
      <c r="O919" s="377">
        <v>9.99</v>
      </c>
    </row>
    <row r="920" ht="9" customHeight="1" hidden="1">
      <c r="I920" s="373"/>
      <c r="J920" s="374"/>
      <c r="K920" s="378">
        <v>44986</v>
      </c>
      <c r="L920" s="128"/>
      <c r="M920" s="129">
        <v>1</v>
      </c>
      <c r="N920" s="142">
        <v>9.99</v>
      </c>
      <c r="O920" s="142">
        <v>9.99</v>
      </c>
    </row>
    <row r="921" ht="9" customHeight="1" hidden="1">
      <c r="I921" s="373"/>
      <c r="J921" t="s" s="379">
        <v>6098</v>
      </c>
      <c r="K921" s="127"/>
      <c r="L921" s="128"/>
      <c r="M921" s="129">
        <v>1</v>
      </c>
      <c r="N921" s="142">
        <v>9.99</v>
      </c>
      <c r="O921" s="142">
        <v>9.99</v>
      </c>
    </row>
    <row r="922" ht="16.1" customHeight="1">
      <c r="I922" t="s" s="126">
        <v>3407</v>
      </c>
      <c r="J922" s="127"/>
      <c r="K922" s="127"/>
      <c r="L922" s="128"/>
      <c r="M922" s="129">
        <v>1</v>
      </c>
      <c r="N922" s="142">
        <v>9.99</v>
      </c>
      <c r="O922" s="142">
        <v>9.99</v>
      </c>
    </row>
    <row r="923" ht="9" customHeight="1" hidden="1">
      <c r="I923" s="373"/>
      <c r="J923" s="374"/>
      <c r="K923" s="374"/>
      <c r="L923" t="s" s="375">
        <v>35</v>
      </c>
      <c r="M923" s="376">
        <v>1</v>
      </c>
      <c r="N923" s="377">
        <v>49.99</v>
      </c>
      <c r="O923" s="377">
        <v>49.99</v>
      </c>
    </row>
    <row r="924" ht="9" customHeight="1" hidden="1">
      <c r="I924" s="373"/>
      <c r="J924" s="374"/>
      <c r="K924" s="378">
        <v>44986</v>
      </c>
      <c r="L924" s="128"/>
      <c r="M924" s="129">
        <v>1</v>
      </c>
      <c r="N924" s="142">
        <v>49.99</v>
      </c>
      <c r="O924" s="142">
        <v>49.99</v>
      </c>
    </row>
    <row r="925" ht="9" customHeight="1" hidden="1">
      <c r="I925" s="373"/>
      <c r="J925" t="s" s="379">
        <v>6067</v>
      </c>
      <c r="K925" s="127"/>
      <c r="L925" s="128"/>
      <c r="M925" s="129">
        <v>1</v>
      </c>
      <c r="N925" s="142">
        <v>49.99</v>
      </c>
      <c r="O925" s="142">
        <v>49.99</v>
      </c>
    </row>
    <row r="926" ht="16.1" customHeight="1">
      <c r="I926" t="s" s="126">
        <v>3783</v>
      </c>
      <c r="J926" s="127"/>
      <c r="K926" s="127"/>
      <c r="L926" s="128"/>
      <c r="M926" s="129">
        <v>1</v>
      </c>
      <c r="N926" s="142">
        <v>49.99</v>
      </c>
      <c r="O926" s="142">
        <v>49.99</v>
      </c>
    </row>
    <row r="927" ht="9" customHeight="1" hidden="1">
      <c r="I927" s="373"/>
      <c r="J927" s="374"/>
      <c r="K927" s="374"/>
      <c r="L927" t="s" s="375">
        <v>171</v>
      </c>
      <c r="M927" s="376">
        <v>1</v>
      </c>
      <c r="N927" s="377">
        <v>549.99</v>
      </c>
      <c r="O927" s="377">
        <v>549.99</v>
      </c>
    </row>
    <row r="928" ht="9" customHeight="1" hidden="1">
      <c r="I928" s="373"/>
      <c r="J928" s="374"/>
      <c r="K928" s="378">
        <v>44986</v>
      </c>
      <c r="L928" s="128"/>
      <c r="M928" s="129">
        <v>1</v>
      </c>
      <c r="N928" s="142">
        <v>549.99</v>
      </c>
      <c r="O928" s="142">
        <v>549.99</v>
      </c>
    </row>
    <row r="929" ht="9" customHeight="1" hidden="1">
      <c r="I929" s="373"/>
      <c r="J929" t="s" s="379">
        <v>5902</v>
      </c>
      <c r="K929" s="127"/>
      <c r="L929" s="128"/>
      <c r="M929" s="129">
        <v>1</v>
      </c>
      <c r="N929" s="142">
        <v>549.99</v>
      </c>
      <c r="O929" s="142">
        <v>549.99</v>
      </c>
    </row>
    <row r="930" ht="9" customHeight="1" hidden="1">
      <c r="I930" s="373"/>
      <c r="J930" s="374"/>
      <c r="K930" s="374"/>
      <c r="L930" t="s" s="375">
        <v>35</v>
      </c>
      <c r="M930" s="376">
        <v>1</v>
      </c>
      <c r="N930" s="377">
        <v>49.99</v>
      </c>
      <c r="O930" s="377">
        <v>49.99</v>
      </c>
    </row>
    <row r="931" ht="9" customHeight="1" hidden="1">
      <c r="I931" s="373"/>
      <c r="J931" s="374"/>
      <c r="K931" s="378">
        <v>44986</v>
      </c>
      <c r="L931" s="128"/>
      <c r="M931" s="129">
        <v>1</v>
      </c>
      <c r="N931" s="142">
        <v>49.99</v>
      </c>
      <c r="O931" s="142">
        <v>49.99</v>
      </c>
    </row>
    <row r="932" ht="9" customHeight="1" hidden="1">
      <c r="I932" s="373"/>
      <c r="J932" t="s" s="379">
        <v>5849</v>
      </c>
      <c r="K932" s="127"/>
      <c r="L932" s="128"/>
      <c r="M932" s="129">
        <v>1</v>
      </c>
      <c r="N932" s="142">
        <v>49.99</v>
      </c>
      <c r="O932" s="142">
        <v>49.99</v>
      </c>
    </row>
    <row r="933" ht="16.1" customHeight="1">
      <c r="I933" t="s" s="126">
        <v>5850</v>
      </c>
      <c r="J933" s="127"/>
      <c r="K933" s="127"/>
      <c r="L933" s="128"/>
      <c r="M933" s="129">
        <v>2</v>
      </c>
      <c r="N933" s="142">
        <v>599.98</v>
      </c>
      <c r="O933" s="142">
        <v>599.98</v>
      </c>
    </row>
    <row r="934" ht="9" customHeight="1" hidden="1">
      <c r="I934" s="373"/>
      <c r="J934" s="374"/>
      <c r="K934" s="374"/>
      <c r="L934" t="s" s="375">
        <v>73</v>
      </c>
      <c r="M934" s="376">
        <v>1</v>
      </c>
      <c r="N934" s="377">
        <v>399.99</v>
      </c>
      <c r="O934" s="377">
        <v>399.99</v>
      </c>
    </row>
    <row r="935" ht="9" customHeight="1" hidden="1">
      <c r="I935" s="373"/>
      <c r="J935" s="374"/>
      <c r="K935" s="378">
        <v>44986</v>
      </c>
      <c r="L935" s="128"/>
      <c r="M935" s="129">
        <v>1</v>
      </c>
      <c r="N935" s="142">
        <v>399.99</v>
      </c>
      <c r="O935" s="142">
        <v>399.99</v>
      </c>
    </row>
    <row r="936" ht="9" customHeight="1" hidden="1">
      <c r="I936" s="373"/>
      <c r="J936" t="s" s="379">
        <v>5847</v>
      </c>
      <c r="K936" s="127"/>
      <c r="L936" s="128"/>
      <c r="M936" s="129">
        <v>1</v>
      </c>
      <c r="N936" s="142">
        <v>399.99</v>
      </c>
      <c r="O936" s="142">
        <v>399.99</v>
      </c>
    </row>
    <row r="937" ht="16.1" customHeight="1">
      <c r="I937" t="s" s="126">
        <v>5848</v>
      </c>
      <c r="J937" s="127"/>
      <c r="K937" s="127"/>
      <c r="L937" s="128"/>
      <c r="M937" s="129">
        <v>1</v>
      </c>
      <c r="N937" s="142">
        <v>399.99</v>
      </c>
      <c r="O937" s="142">
        <v>399.99</v>
      </c>
    </row>
    <row r="938" ht="9" customHeight="1" hidden="1">
      <c r="I938" s="373"/>
      <c r="J938" s="374"/>
      <c r="K938" s="374"/>
      <c r="L938" t="s" s="375">
        <v>2961</v>
      </c>
      <c r="M938" s="376">
        <v>2</v>
      </c>
      <c r="N938" s="377">
        <v>0</v>
      </c>
      <c r="O938" s="377">
        <v>0</v>
      </c>
    </row>
    <row r="939" ht="9" customHeight="1" hidden="1">
      <c r="I939" s="373"/>
      <c r="J939" s="374"/>
      <c r="K939" s="374"/>
      <c r="L939" t="s" s="375">
        <v>2099</v>
      </c>
      <c r="M939" s="376">
        <v>2</v>
      </c>
      <c r="N939" s="377">
        <v>99.98999999999999</v>
      </c>
      <c r="O939" s="377">
        <v>199.98</v>
      </c>
    </row>
    <row r="940" ht="9" customHeight="1" hidden="1">
      <c r="I940" s="373"/>
      <c r="J940" s="374"/>
      <c r="K940" s="374"/>
      <c r="L940" t="s" s="375">
        <v>227</v>
      </c>
      <c r="M940" s="376">
        <v>2</v>
      </c>
      <c r="N940" s="377">
        <v>0</v>
      </c>
      <c r="O940" s="377">
        <v>0</v>
      </c>
    </row>
    <row r="941" ht="9" customHeight="1" hidden="1">
      <c r="I941" s="373"/>
      <c r="J941" s="374"/>
      <c r="K941" s="374"/>
      <c r="L941" t="s" s="375">
        <v>84</v>
      </c>
      <c r="M941" s="376">
        <v>2</v>
      </c>
      <c r="N941" s="377">
        <v>0</v>
      </c>
      <c r="O941" s="377">
        <v>0</v>
      </c>
    </row>
    <row r="942" ht="9" customHeight="1" hidden="1">
      <c r="I942" s="373"/>
      <c r="J942" s="374"/>
      <c r="K942" s="374"/>
      <c r="L942" t="s" s="375">
        <v>225</v>
      </c>
      <c r="M942" s="376">
        <v>2</v>
      </c>
      <c r="N942" s="377">
        <v>499.99</v>
      </c>
      <c r="O942" s="377">
        <v>999.98</v>
      </c>
    </row>
    <row r="943" ht="9" customHeight="1" hidden="1">
      <c r="I943" s="373"/>
      <c r="J943" s="374"/>
      <c r="K943" s="378">
        <v>44986</v>
      </c>
      <c r="L943" s="128"/>
      <c r="M943" s="129">
        <v>10</v>
      </c>
      <c r="N943" s="142">
        <v>599.98</v>
      </c>
      <c r="O943" s="142">
        <v>1199.96</v>
      </c>
    </row>
    <row r="944" ht="9" customHeight="1" hidden="1">
      <c r="I944" s="373"/>
      <c r="J944" t="s" s="379">
        <v>5859</v>
      </c>
      <c r="K944" s="127"/>
      <c r="L944" s="128"/>
      <c r="M944" s="129">
        <v>10</v>
      </c>
      <c r="N944" s="142">
        <v>599.98</v>
      </c>
      <c r="O944" s="142">
        <v>1199.96</v>
      </c>
    </row>
    <row r="945" ht="16.1" customHeight="1">
      <c r="I945" t="s" s="126">
        <v>5860</v>
      </c>
      <c r="J945" s="127"/>
      <c r="K945" s="127"/>
      <c r="L945" s="128"/>
      <c r="M945" s="129">
        <v>10</v>
      </c>
      <c r="N945" s="142">
        <v>599.98</v>
      </c>
      <c r="O945" s="142">
        <v>1199.96</v>
      </c>
    </row>
    <row r="946" ht="9" customHeight="1" hidden="1">
      <c r="I946" s="373"/>
      <c r="J946" s="374"/>
      <c r="K946" s="374"/>
      <c r="L946" t="s" s="375">
        <v>2071</v>
      </c>
      <c r="M946" s="376">
        <v>1</v>
      </c>
      <c r="N946" s="377">
        <v>0</v>
      </c>
      <c r="O946" s="377">
        <v>0</v>
      </c>
    </row>
    <row r="947" ht="9" customHeight="1" hidden="1">
      <c r="I947" s="373"/>
      <c r="J947" s="374"/>
      <c r="K947" s="374"/>
      <c r="L947" t="s" s="375">
        <v>5980</v>
      </c>
      <c r="M947" s="376">
        <v>1</v>
      </c>
      <c r="N947" s="377">
        <v>0</v>
      </c>
      <c r="O947" s="377">
        <v>0</v>
      </c>
    </row>
    <row r="948" ht="9" customHeight="1" hidden="1">
      <c r="I948" s="373"/>
      <c r="J948" s="374"/>
      <c r="K948" s="378">
        <v>44986</v>
      </c>
      <c r="L948" s="128"/>
      <c r="M948" s="129">
        <v>2</v>
      </c>
      <c r="N948" s="142">
        <v>0</v>
      </c>
      <c r="O948" s="142">
        <v>0</v>
      </c>
    </row>
    <row r="949" ht="9" customHeight="1" hidden="1">
      <c r="I949" s="373"/>
      <c r="J949" t="s" s="379">
        <v>5979</v>
      </c>
      <c r="K949" s="127"/>
      <c r="L949" s="128"/>
      <c r="M949" s="129">
        <v>2</v>
      </c>
      <c r="N949" s="142">
        <v>0</v>
      </c>
      <c r="O949" s="142">
        <v>0</v>
      </c>
    </row>
    <row r="950" ht="9" customHeight="1" hidden="1">
      <c r="I950" s="373"/>
      <c r="J950" s="374"/>
      <c r="K950" s="374"/>
      <c r="L950" t="s" s="375">
        <v>73</v>
      </c>
      <c r="M950" s="376">
        <v>2</v>
      </c>
      <c r="N950" s="377">
        <v>299.9925</v>
      </c>
      <c r="O950" s="377">
        <v>599.985</v>
      </c>
    </row>
    <row r="951" ht="9" customHeight="1" hidden="1">
      <c r="I951" s="373"/>
      <c r="J951" s="374"/>
      <c r="K951" s="374"/>
      <c r="L951" t="s" s="375">
        <v>63</v>
      </c>
      <c r="M951" s="376">
        <v>1</v>
      </c>
      <c r="N951" s="377">
        <v>68.5</v>
      </c>
      <c r="O951" s="377">
        <v>68.5</v>
      </c>
    </row>
    <row r="952" ht="9" customHeight="1" hidden="1">
      <c r="I952" s="373"/>
      <c r="J952" s="374"/>
      <c r="K952" s="378">
        <v>44986</v>
      </c>
      <c r="L952" s="128"/>
      <c r="M952" s="129">
        <v>3</v>
      </c>
      <c r="N952" s="142">
        <v>368.4925</v>
      </c>
      <c r="O952" s="142">
        <v>668.485</v>
      </c>
    </row>
    <row r="953" ht="9" customHeight="1" hidden="1">
      <c r="I953" s="373"/>
      <c r="J953" t="s" s="379">
        <v>5930</v>
      </c>
      <c r="K953" s="127"/>
      <c r="L953" s="128"/>
      <c r="M953" s="129">
        <v>3</v>
      </c>
      <c r="N953" s="142">
        <v>368.4925</v>
      </c>
      <c r="O953" s="142">
        <v>668.485</v>
      </c>
    </row>
    <row r="954" ht="16.1" customHeight="1">
      <c r="I954" t="s" s="126">
        <v>1913</v>
      </c>
      <c r="J954" s="127"/>
      <c r="K954" s="127"/>
      <c r="L954" s="128"/>
      <c r="M954" s="129">
        <v>5</v>
      </c>
      <c r="N954" s="142">
        <v>368.4925</v>
      </c>
      <c r="O954" s="142">
        <v>668.485</v>
      </c>
    </row>
    <row r="955" ht="9" customHeight="1" hidden="1">
      <c r="I955" s="373"/>
      <c r="J955" s="374"/>
      <c r="K955" s="374"/>
      <c r="L955" t="s" s="375">
        <v>54</v>
      </c>
      <c r="M955" s="376">
        <v>4</v>
      </c>
      <c r="N955" s="377">
        <v>0</v>
      </c>
      <c r="O955" s="377">
        <v>0</v>
      </c>
    </row>
    <row r="956" ht="9" customHeight="1" hidden="1">
      <c r="I956" s="373"/>
      <c r="J956" s="374"/>
      <c r="K956" s="374"/>
      <c r="L956" t="s" s="375">
        <v>660</v>
      </c>
      <c r="M956" s="376">
        <v>4</v>
      </c>
      <c r="N956" s="377">
        <v>0</v>
      </c>
      <c r="O956" s="377">
        <v>0</v>
      </c>
    </row>
    <row r="957" ht="9" customHeight="1" hidden="1">
      <c r="I957" s="373"/>
      <c r="J957" s="374"/>
      <c r="K957" s="374"/>
      <c r="L957" t="s" s="375">
        <v>23</v>
      </c>
      <c r="M957" s="376">
        <v>4</v>
      </c>
      <c r="N957" s="377">
        <v>0</v>
      </c>
      <c r="O957" s="377">
        <v>0</v>
      </c>
    </row>
    <row r="958" ht="9" customHeight="1" hidden="1">
      <c r="I958" s="373"/>
      <c r="J958" s="374"/>
      <c r="K958" s="374"/>
      <c r="L958" t="s" s="375">
        <v>81</v>
      </c>
      <c r="M958" s="376">
        <v>4</v>
      </c>
      <c r="N958" s="377">
        <v>849.99</v>
      </c>
      <c r="O958" s="377">
        <v>3399.96</v>
      </c>
    </row>
    <row r="959" ht="9" customHeight="1" hidden="1">
      <c r="I959" s="373"/>
      <c r="J959" s="374"/>
      <c r="K959" s="374"/>
      <c r="L959" t="s" s="375">
        <v>50</v>
      </c>
      <c r="M959" s="376">
        <v>4</v>
      </c>
      <c r="N959" s="377">
        <v>0</v>
      </c>
      <c r="O959" s="377">
        <v>0</v>
      </c>
    </row>
    <row r="960" ht="9" customHeight="1" hidden="1">
      <c r="I960" s="373"/>
      <c r="J960" s="374"/>
      <c r="K960" s="374"/>
      <c r="L960" t="s" s="375">
        <v>15</v>
      </c>
      <c r="M960" s="376">
        <v>4</v>
      </c>
      <c r="N960" s="377">
        <v>0</v>
      </c>
      <c r="O960" s="377">
        <v>0</v>
      </c>
    </row>
    <row r="961" ht="9" customHeight="1" hidden="1">
      <c r="I961" s="373"/>
      <c r="J961" s="374"/>
      <c r="K961" s="374"/>
      <c r="L961" t="s" s="375">
        <v>63</v>
      </c>
      <c r="M961" s="376">
        <v>1</v>
      </c>
      <c r="N961" s="377">
        <v>123.9</v>
      </c>
      <c r="O961" s="377">
        <v>123.9</v>
      </c>
    </row>
    <row r="962" ht="9" customHeight="1" hidden="1">
      <c r="I962" s="373"/>
      <c r="J962" s="374"/>
      <c r="K962" s="378">
        <v>44986</v>
      </c>
      <c r="L962" s="128"/>
      <c r="M962" s="129">
        <v>25</v>
      </c>
      <c r="N962" s="142">
        <v>973.89</v>
      </c>
      <c r="O962" s="142">
        <v>3523.86</v>
      </c>
    </row>
    <row r="963" ht="9" customHeight="1" hidden="1">
      <c r="I963" s="373"/>
      <c r="J963" t="s" s="379">
        <v>5958</v>
      </c>
      <c r="K963" s="127"/>
      <c r="L963" s="128"/>
      <c r="M963" s="129">
        <v>25</v>
      </c>
      <c r="N963" s="142">
        <v>973.89</v>
      </c>
      <c r="O963" s="142">
        <v>3523.86</v>
      </c>
    </row>
    <row r="964" ht="9" customHeight="1" hidden="1">
      <c r="I964" s="373"/>
      <c r="J964" s="374"/>
      <c r="K964" s="374"/>
      <c r="L964" t="s" s="375">
        <v>54</v>
      </c>
      <c r="M964" s="376">
        <v>4</v>
      </c>
      <c r="N964" s="377">
        <v>0</v>
      </c>
      <c r="O964" s="377">
        <v>0</v>
      </c>
    </row>
    <row r="965" ht="9" customHeight="1" hidden="1">
      <c r="I965" s="373"/>
      <c r="J965" s="374"/>
      <c r="K965" s="374"/>
      <c r="L965" t="s" s="375">
        <v>660</v>
      </c>
      <c r="M965" s="376">
        <v>4</v>
      </c>
      <c r="N965" s="377">
        <v>0</v>
      </c>
      <c r="O965" s="377">
        <v>0</v>
      </c>
    </row>
    <row r="966" ht="9" customHeight="1" hidden="1">
      <c r="I966" s="373"/>
      <c r="J966" s="374"/>
      <c r="K966" s="374"/>
      <c r="L966" t="s" s="375">
        <v>412</v>
      </c>
      <c r="M966" s="376">
        <v>4</v>
      </c>
      <c r="N966" s="377">
        <v>0</v>
      </c>
      <c r="O966" s="377">
        <v>0</v>
      </c>
    </row>
    <row r="967" ht="9" customHeight="1" hidden="1">
      <c r="I967" s="373"/>
      <c r="J967" s="374"/>
      <c r="K967" s="374"/>
      <c r="L967" t="s" s="375">
        <v>119</v>
      </c>
      <c r="M967" s="376">
        <v>4</v>
      </c>
      <c r="N967" s="377">
        <v>0</v>
      </c>
      <c r="O967" s="377">
        <v>0</v>
      </c>
    </row>
    <row r="968" ht="9" customHeight="1" hidden="1">
      <c r="I968" s="373"/>
      <c r="J968" s="374"/>
      <c r="K968" s="374"/>
      <c r="L968" t="s" s="375">
        <v>23</v>
      </c>
      <c r="M968" s="376">
        <v>4</v>
      </c>
      <c r="N968" s="377">
        <v>0</v>
      </c>
      <c r="O968" s="377">
        <v>0</v>
      </c>
    </row>
    <row r="969" ht="9" customHeight="1" hidden="1">
      <c r="I969" s="373"/>
      <c r="J969" s="374"/>
      <c r="K969" s="374"/>
      <c r="L969" t="s" s="375">
        <v>81</v>
      </c>
      <c r="M969" s="376">
        <v>4</v>
      </c>
      <c r="N969" s="377">
        <v>849.99</v>
      </c>
      <c r="O969" s="377">
        <v>3399.96</v>
      </c>
    </row>
    <row r="970" ht="9" customHeight="1" hidden="1">
      <c r="I970" s="373"/>
      <c r="J970" s="374"/>
      <c r="K970" s="374"/>
      <c r="L970" t="s" s="375">
        <v>50</v>
      </c>
      <c r="M970" s="376">
        <v>4</v>
      </c>
      <c r="N970" s="377">
        <v>0</v>
      </c>
      <c r="O970" s="377">
        <v>0</v>
      </c>
    </row>
    <row r="971" ht="9" customHeight="1" hidden="1">
      <c r="I971" s="373"/>
      <c r="J971" s="374"/>
      <c r="K971" s="374"/>
      <c r="L971" t="s" s="375">
        <v>15</v>
      </c>
      <c r="M971" s="376">
        <v>4</v>
      </c>
      <c r="N971" s="377">
        <v>0</v>
      </c>
      <c r="O971" s="377">
        <v>0</v>
      </c>
    </row>
    <row r="972" ht="9" customHeight="1" hidden="1">
      <c r="I972" s="373"/>
      <c r="J972" s="374"/>
      <c r="K972" s="374"/>
      <c r="L972" t="s" s="375">
        <v>63</v>
      </c>
      <c r="M972" s="376">
        <v>1</v>
      </c>
      <c r="N972" s="377">
        <v>142.86</v>
      </c>
      <c r="O972" s="377">
        <v>142.86</v>
      </c>
    </row>
    <row r="973" ht="9" customHeight="1" hidden="1">
      <c r="I973" s="373"/>
      <c r="J973" s="374"/>
      <c r="K973" s="378">
        <v>44986</v>
      </c>
      <c r="L973" s="128"/>
      <c r="M973" s="129">
        <v>33</v>
      </c>
      <c r="N973" s="142">
        <v>992.85</v>
      </c>
      <c r="O973" s="142">
        <v>3542.82</v>
      </c>
    </row>
    <row r="974" ht="9" customHeight="1" hidden="1">
      <c r="I974" s="373"/>
      <c r="J974" t="s" s="379">
        <v>5956</v>
      </c>
      <c r="K974" s="127"/>
      <c r="L974" s="128"/>
      <c r="M974" s="129">
        <v>33</v>
      </c>
      <c r="N974" s="142">
        <v>992.85</v>
      </c>
      <c r="O974" s="142">
        <v>3542.82</v>
      </c>
    </row>
    <row r="975" ht="16.1" customHeight="1">
      <c r="I975" t="s" s="126">
        <v>2222</v>
      </c>
      <c r="J975" s="127"/>
      <c r="K975" s="127"/>
      <c r="L975" s="128"/>
      <c r="M975" s="129">
        <v>58</v>
      </c>
      <c r="N975" s="142">
        <v>1966.74</v>
      </c>
      <c r="O975" s="142">
        <v>7066.68</v>
      </c>
    </row>
    <row r="976" ht="9" customHeight="1" hidden="1">
      <c r="I976" s="373"/>
      <c r="J976" s="374"/>
      <c r="K976" s="374"/>
      <c r="L976" t="s" s="375">
        <v>1030</v>
      </c>
      <c r="M976" s="376">
        <v>1</v>
      </c>
      <c r="N976" s="377">
        <v>0</v>
      </c>
      <c r="O976" s="377">
        <v>0</v>
      </c>
    </row>
    <row r="977" ht="9" customHeight="1" hidden="1">
      <c r="I977" s="373"/>
      <c r="J977" s="374"/>
      <c r="K977" s="378">
        <v>44986</v>
      </c>
      <c r="L977" s="128"/>
      <c r="M977" s="129">
        <v>1</v>
      </c>
      <c r="N977" s="142">
        <v>0</v>
      </c>
      <c r="O977" s="142">
        <v>0</v>
      </c>
    </row>
    <row r="978" ht="9" customHeight="1" hidden="1">
      <c r="I978" s="373"/>
      <c r="J978" t="s" s="379">
        <v>6058</v>
      </c>
      <c r="K978" s="127"/>
      <c r="L978" s="128"/>
      <c r="M978" s="129">
        <v>1</v>
      </c>
      <c r="N978" s="142">
        <v>0</v>
      </c>
      <c r="O978" s="142">
        <v>0</v>
      </c>
    </row>
    <row r="979" ht="16.1" customHeight="1">
      <c r="I979" t="s" s="126">
        <v>3370</v>
      </c>
      <c r="J979" s="127"/>
      <c r="K979" s="127"/>
      <c r="L979" s="128"/>
      <c r="M979" s="129">
        <v>1</v>
      </c>
      <c r="N979" s="142">
        <v>0</v>
      </c>
      <c r="O979" s="142">
        <v>0</v>
      </c>
    </row>
    <row r="980" ht="9" customHeight="1" hidden="1">
      <c r="I980" s="373"/>
      <c r="J980" s="374"/>
      <c r="K980" s="374"/>
      <c r="L980" t="s" s="375">
        <v>59</v>
      </c>
      <c r="M980" s="376">
        <v>1</v>
      </c>
      <c r="N980" s="377">
        <v>1199.99</v>
      </c>
      <c r="O980" s="377">
        <v>1199.99</v>
      </c>
    </row>
    <row r="981" ht="9" customHeight="1" hidden="1">
      <c r="I981" s="373"/>
      <c r="J981" s="374"/>
      <c r="K981" s="378">
        <v>44986</v>
      </c>
      <c r="L981" s="128"/>
      <c r="M981" s="129">
        <v>1</v>
      </c>
      <c r="N981" s="142">
        <v>1199.99</v>
      </c>
      <c r="O981" s="142">
        <v>1199.99</v>
      </c>
    </row>
    <row r="982" ht="9" customHeight="1" hidden="1">
      <c r="I982" s="373"/>
      <c r="J982" t="s" s="379">
        <v>6048</v>
      </c>
      <c r="K982" s="127"/>
      <c r="L982" s="128"/>
      <c r="M982" s="129">
        <v>1</v>
      </c>
      <c r="N982" s="142">
        <v>1199.99</v>
      </c>
      <c r="O982" s="142">
        <v>1199.99</v>
      </c>
    </row>
    <row r="983" ht="16.1" customHeight="1">
      <c r="I983" t="s" s="126">
        <v>6049</v>
      </c>
      <c r="J983" s="127"/>
      <c r="K983" s="127"/>
      <c r="L983" s="128"/>
      <c r="M983" s="129">
        <v>1</v>
      </c>
      <c r="N983" s="142">
        <v>1199.99</v>
      </c>
      <c r="O983" s="142">
        <v>1199.99</v>
      </c>
    </row>
    <row r="984" ht="9" customHeight="1" hidden="1">
      <c r="I984" s="373"/>
      <c r="J984" s="374"/>
      <c r="K984" s="374"/>
      <c r="L984" t="s" s="375">
        <v>59</v>
      </c>
      <c r="M984" s="376">
        <v>1</v>
      </c>
      <c r="N984" s="377">
        <v>1199.99</v>
      </c>
      <c r="O984" s="377">
        <v>1199.99</v>
      </c>
    </row>
    <row r="985" ht="9" customHeight="1" hidden="1">
      <c r="I985" s="373"/>
      <c r="J985" s="374"/>
      <c r="K985" s="378">
        <v>44986</v>
      </c>
      <c r="L985" s="128"/>
      <c r="M985" s="129">
        <v>1</v>
      </c>
      <c r="N985" s="142">
        <v>1199.99</v>
      </c>
      <c r="O985" s="142">
        <v>1199.99</v>
      </c>
    </row>
    <row r="986" ht="9" customHeight="1" hidden="1">
      <c r="I986" s="373"/>
      <c r="J986" t="s" s="379">
        <v>6118</v>
      </c>
      <c r="K986" s="127"/>
      <c r="L986" s="128"/>
      <c r="M986" s="129">
        <v>1</v>
      </c>
      <c r="N986" s="142">
        <v>1199.99</v>
      </c>
      <c r="O986" s="142">
        <v>1199.99</v>
      </c>
    </row>
    <row r="987" ht="16.1" customHeight="1">
      <c r="I987" t="s" s="126">
        <v>6119</v>
      </c>
      <c r="J987" s="127"/>
      <c r="K987" s="127"/>
      <c r="L987" s="128"/>
      <c r="M987" s="129">
        <v>1</v>
      </c>
      <c r="N987" s="142">
        <v>1199.99</v>
      </c>
      <c r="O987" s="142">
        <v>1199.99</v>
      </c>
    </row>
    <row r="988" ht="9" customHeight="1" hidden="1">
      <c r="I988" s="373"/>
      <c r="J988" s="374"/>
      <c r="K988" s="374"/>
      <c r="L988" t="s" s="375">
        <v>73</v>
      </c>
      <c r="M988" s="376">
        <v>1</v>
      </c>
      <c r="N988" s="377">
        <v>399.99</v>
      </c>
      <c r="O988" s="377">
        <v>399.99</v>
      </c>
    </row>
    <row r="989" ht="9" customHeight="1" hidden="1">
      <c r="I989" s="373"/>
      <c r="J989" s="374"/>
      <c r="K989" s="378">
        <v>44986</v>
      </c>
      <c r="L989" s="128"/>
      <c r="M989" s="129">
        <v>1</v>
      </c>
      <c r="N989" s="142">
        <v>399.99</v>
      </c>
      <c r="O989" s="142">
        <v>399.99</v>
      </c>
    </row>
    <row r="990" ht="9" customHeight="1" hidden="1">
      <c r="I990" s="373"/>
      <c r="J990" t="s" s="379">
        <v>6015</v>
      </c>
      <c r="K990" s="127"/>
      <c r="L990" s="128"/>
      <c r="M990" s="129">
        <v>1</v>
      </c>
      <c r="N990" s="142">
        <v>399.99</v>
      </c>
      <c r="O990" s="142">
        <v>399.99</v>
      </c>
    </row>
    <row r="991" ht="9" customHeight="1" hidden="1">
      <c r="I991" s="373"/>
      <c r="J991" s="374"/>
      <c r="K991" s="374"/>
      <c r="L991" t="s" s="375">
        <v>19</v>
      </c>
      <c r="M991" s="376">
        <v>1</v>
      </c>
      <c r="N991" s="377">
        <v>119.99</v>
      </c>
      <c r="O991" s="377">
        <v>119.99</v>
      </c>
    </row>
    <row r="992" ht="9" customHeight="1" hidden="1">
      <c r="I992" s="373"/>
      <c r="J992" s="374"/>
      <c r="K992" s="374"/>
      <c r="L992" t="s" s="375">
        <v>15</v>
      </c>
      <c r="M992" s="376">
        <v>2</v>
      </c>
      <c r="N992" s="377">
        <v>19.98</v>
      </c>
      <c r="O992" s="377">
        <v>19.98</v>
      </c>
    </row>
    <row r="993" ht="9" customHeight="1" hidden="1">
      <c r="I993" s="373"/>
      <c r="J993" s="374"/>
      <c r="K993" s="378">
        <v>44986</v>
      </c>
      <c r="L993" s="128"/>
      <c r="M993" s="129">
        <v>3</v>
      </c>
      <c r="N993" s="142">
        <v>139.97</v>
      </c>
      <c r="O993" s="142">
        <v>139.97</v>
      </c>
    </row>
    <row r="994" ht="9" customHeight="1" hidden="1">
      <c r="I994" s="373"/>
      <c r="J994" t="s" s="379">
        <v>5998</v>
      </c>
      <c r="K994" s="127"/>
      <c r="L994" s="128"/>
      <c r="M994" s="129">
        <v>3</v>
      </c>
      <c r="N994" s="142">
        <v>139.97</v>
      </c>
      <c r="O994" s="142">
        <v>139.97</v>
      </c>
    </row>
    <row r="995" ht="16.1" customHeight="1">
      <c r="I995" t="s" s="126">
        <v>5999</v>
      </c>
      <c r="J995" s="127"/>
      <c r="K995" s="127"/>
      <c r="L995" s="128"/>
      <c r="M995" s="129">
        <v>4</v>
      </c>
      <c r="N995" s="142">
        <v>539.96</v>
      </c>
      <c r="O995" s="142">
        <v>539.96</v>
      </c>
    </row>
    <row r="996" ht="9" customHeight="1" hidden="1">
      <c r="I996" s="373"/>
      <c r="J996" s="374"/>
      <c r="K996" s="374"/>
      <c r="L996" t="s" s="375">
        <v>35</v>
      </c>
      <c r="M996" s="376">
        <v>2</v>
      </c>
      <c r="N996" s="377">
        <v>49.99</v>
      </c>
      <c r="O996" s="377">
        <v>99.98</v>
      </c>
    </row>
    <row r="997" ht="9" customHeight="1" hidden="1">
      <c r="I997" s="373"/>
      <c r="J997" s="374"/>
      <c r="K997" s="378">
        <v>44986</v>
      </c>
      <c r="L997" s="128"/>
      <c r="M997" s="129">
        <v>2</v>
      </c>
      <c r="N997" s="142">
        <v>49.99</v>
      </c>
      <c r="O997" s="142">
        <v>99.98</v>
      </c>
    </row>
    <row r="998" ht="9" customHeight="1" hidden="1">
      <c r="I998" s="373"/>
      <c r="J998" t="s" s="379">
        <v>6091</v>
      </c>
      <c r="K998" s="127"/>
      <c r="L998" s="128"/>
      <c r="M998" s="129">
        <v>2</v>
      </c>
      <c r="N998" s="142">
        <v>49.99</v>
      </c>
      <c r="O998" s="142">
        <v>99.98</v>
      </c>
    </row>
    <row r="999" ht="9" customHeight="1" hidden="1">
      <c r="I999" s="373"/>
      <c r="J999" s="374"/>
      <c r="K999" s="374"/>
      <c r="L999" t="s" s="375">
        <v>35</v>
      </c>
      <c r="M999" s="376">
        <v>3</v>
      </c>
      <c r="N999" s="377">
        <v>49.99</v>
      </c>
      <c r="O999" s="377">
        <v>149.97</v>
      </c>
    </row>
    <row r="1000" ht="9" customHeight="1" hidden="1">
      <c r="I1000" s="373"/>
      <c r="J1000" s="374"/>
      <c r="K1000" s="378">
        <v>44986</v>
      </c>
      <c r="L1000" s="128"/>
      <c r="M1000" s="129">
        <v>3</v>
      </c>
      <c r="N1000" s="142">
        <v>49.99</v>
      </c>
      <c r="O1000" s="142">
        <v>149.97</v>
      </c>
    </row>
    <row r="1001" ht="9" customHeight="1" hidden="1">
      <c r="I1001" s="373"/>
      <c r="J1001" t="s" s="379">
        <v>6037</v>
      </c>
      <c r="K1001" s="127"/>
      <c r="L1001" s="128"/>
      <c r="M1001" s="129">
        <v>3</v>
      </c>
      <c r="N1001" s="142">
        <v>49.99</v>
      </c>
      <c r="O1001" s="142">
        <v>149.97</v>
      </c>
    </row>
    <row r="1002" ht="16.1" customHeight="1">
      <c r="I1002" t="s" s="126">
        <v>6038</v>
      </c>
      <c r="J1002" s="127"/>
      <c r="K1002" s="127"/>
      <c r="L1002" s="128"/>
      <c r="M1002" s="129">
        <v>5</v>
      </c>
      <c r="N1002" s="142">
        <v>99.98</v>
      </c>
      <c r="O1002" s="142">
        <v>249.95</v>
      </c>
    </row>
    <row r="1003" ht="9" customHeight="1" hidden="1">
      <c r="I1003" s="373"/>
      <c r="J1003" s="374"/>
      <c r="K1003" s="374"/>
      <c r="L1003" t="s" s="375">
        <v>412</v>
      </c>
      <c r="M1003" s="376">
        <v>8</v>
      </c>
      <c r="N1003" s="377">
        <v>1.99</v>
      </c>
      <c r="O1003" s="377">
        <v>15.92</v>
      </c>
    </row>
    <row r="1004" ht="9" customHeight="1" hidden="1">
      <c r="I1004" s="373"/>
      <c r="J1004" s="374"/>
      <c r="K1004" s="374"/>
      <c r="L1004" t="s" s="375">
        <v>23</v>
      </c>
      <c r="M1004" s="376">
        <v>1</v>
      </c>
      <c r="N1004" s="377">
        <v>149.99</v>
      </c>
      <c r="O1004" s="377">
        <v>149.99</v>
      </c>
    </row>
    <row r="1005" ht="9" customHeight="1" hidden="1">
      <c r="I1005" s="373"/>
      <c r="J1005" s="374"/>
      <c r="K1005" s="374"/>
      <c r="L1005" t="s" s="375">
        <v>89</v>
      </c>
      <c r="M1005" s="376">
        <v>2</v>
      </c>
      <c r="N1005" s="377">
        <v>59.99</v>
      </c>
      <c r="O1005" s="377">
        <v>119.98</v>
      </c>
    </row>
    <row r="1006" ht="9" customHeight="1" hidden="1">
      <c r="I1006" s="373"/>
      <c r="J1006" s="374"/>
      <c r="K1006" s="374"/>
      <c r="L1006" t="s" s="375">
        <v>1731</v>
      </c>
      <c r="M1006" s="376">
        <v>1</v>
      </c>
      <c r="N1006" s="377">
        <v>24.99</v>
      </c>
      <c r="O1006" s="377">
        <v>24.99</v>
      </c>
    </row>
    <row r="1007" ht="9" customHeight="1" hidden="1">
      <c r="I1007" s="373"/>
      <c r="J1007" s="374"/>
      <c r="K1007" s="378">
        <v>44986</v>
      </c>
      <c r="L1007" s="128"/>
      <c r="M1007" s="129">
        <v>12</v>
      </c>
      <c r="N1007" s="142">
        <v>236.96</v>
      </c>
      <c r="O1007" s="142">
        <v>310.88</v>
      </c>
    </row>
    <row r="1008" ht="9" customHeight="1" hidden="1">
      <c r="I1008" s="373"/>
      <c r="J1008" t="s" s="379">
        <v>6096</v>
      </c>
      <c r="K1008" s="127"/>
      <c r="L1008" s="128"/>
      <c r="M1008" s="129">
        <v>12</v>
      </c>
      <c r="N1008" s="142">
        <v>236.96</v>
      </c>
      <c r="O1008" s="142">
        <v>310.88</v>
      </c>
    </row>
    <row r="1009" ht="16.1" customHeight="1">
      <c r="I1009" t="s" s="126">
        <v>6097</v>
      </c>
      <c r="J1009" s="127"/>
      <c r="K1009" s="127"/>
      <c r="L1009" s="128"/>
      <c r="M1009" s="129">
        <v>12</v>
      </c>
      <c r="N1009" s="142">
        <v>236.96</v>
      </c>
      <c r="O1009" s="142">
        <v>310.88</v>
      </c>
    </row>
    <row r="1010" ht="9" customHeight="1" hidden="1">
      <c r="I1010" s="373"/>
      <c r="J1010" s="374"/>
      <c r="K1010" s="374"/>
      <c r="L1010" t="s" s="375">
        <v>35</v>
      </c>
      <c r="M1010" s="376">
        <v>2</v>
      </c>
      <c r="N1010" s="377">
        <v>49.99</v>
      </c>
      <c r="O1010" s="377">
        <v>99.98</v>
      </c>
    </row>
    <row r="1011" ht="9" customHeight="1" hidden="1">
      <c r="I1011" s="373"/>
      <c r="J1011" s="374"/>
      <c r="K1011" s="378">
        <v>44986</v>
      </c>
      <c r="L1011" s="128"/>
      <c r="M1011" s="129">
        <v>2</v>
      </c>
      <c r="N1011" s="142">
        <v>49.99</v>
      </c>
      <c r="O1011" s="142">
        <v>99.98</v>
      </c>
    </row>
    <row r="1012" ht="9" customHeight="1" hidden="1">
      <c r="I1012" s="373"/>
      <c r="J1012" t="s" s="379">
        <v>5857</v>
      </c>
      <c r="K1012" s="127"/>
      <c r="L1012" s="128"/>
      <c r="M1012" s="129">
        <v>2</v>
      </c>
      <c r="N1012" s="142">
        <v>49.99</v>
      </c>
      <c r="O1012" s="142">
        <v>99.98</v>
      </c>
    </row>
    <row r="1013" ht="16.1" customHeight="1">
      <c r="I1013" t="s" s="126">
        <v>5858</v>
      </c>
      <c r="J1013" s="127"/>
      <c r="K1013" s="127"/>
      <c r="L1013" s="128"/>
      <c r="M1013" s="129">
        <v>2</v>
      </c>
      <c r="N1013" s="142">
        <v>49.99</v>
      </c>
      <c r="O1013" s="142">
        <v>99.98</v>
      </c>
    </row>
    <row r="1014" ht="9" customHeight="1" hidden="1">
      <c r="I1014" s="373"/>
      <c r="J1014" s="374"/>
      <c r="K1014" s="374"/>
      <c r="L1014" t="s" s="375">
        <v>95</v>
      </c>
      <c r="M1014" s="376">
        <v>1</v>
      </c>
      <c r="N1014" s="377">
        <v>349.99</v>
      </c>
      <c r="O1014" s="377">
        <v>349.99</v>
      </c>
    </row>
    <row r="1015" ht="9" customHeight="1" hidden="1">
      <c r="I1015" s="373"/>
      <c r="J1015" s="374"/>
      <c r="K1015" s="378">
        <v>44986</v>
      </c>
      <c r="L1015" s="128"/>
      <c r="M1015" s="129">
        <v>1</v>
      </c>
      <c r="N1015" s="142">
        <v>349.99</v>
      </c>
      <c r="O1015" s="142">
        <v>349.99</v>
      </c>
    </row>
    <row r="1016" ht="9" customHeight="1" hidden="1">
      <c r="I1016" s="373"/>
      <c r="J1016" t="s" s="379">
        <v>5931</v>
      </c>
      <c r="K1016" s="127"/>
      <c r="L1016" s="128"/>
      <c r="M1016" s="129">
        <v>1</v>
      </c>
      <c r="N1016" s="142">
        <v>349.99</v>
      </c>
      <c r="O1016" s="142">
        <v>349.99</v>
      </c>
    </row>
    <row r="1017" ht="16.1" customHeight="1">
      <c r="I1017" t="s" s="126">
        <v>5932</v>
      </c>
      <c r="J1017" s="127"/>
      <c r="K1017" s="127"/>
      <c r="L1017" s="128"/>
      <c r="M1017" s="129">
        <v>1</v>
      </c>
      <c r="N1017" s="142">
        <v>349.99</v>
      </c>
      <c r="O1017" s="142">
        <v>349.99</v>
      </c>
    </row>
    <row r="1018" ht="9" customHeight="1" hidden="1">
      <c r="I1018" s="373"/>
      <c r="J1018" s="374"/>
      <c r="K1018" s="374"/>
      <c r="L1018" t="s" s="375">
        <v>19</v>
      </c>
      <c r="M1018" s="376">
        <v>4</v>
      </c>
      <c r="N1018" s="377">
        <v>89.99250000000001</v>
      </c>
      <c r="O1018" s="377">
        <v>359.97</v>
      </c>
    </row>
    <row r="1019" ht="9" customHeight="1" hidden="1">
      <c r="I1019" s="373"/>
      <c r="J1019" s="374"/>
      <c r="K1019" s="374"/>
      <c r="L1019" t="s" s="375">
        <v>54</v>
      </c>
      <c r="M1019" s="376">
        <v>4</v>
      </c>
      <c r="N1019" s="377">
        <v>0</v>
      </c>
      <c r="O1019" s="377">
        <v>0</v>
      </c>
    </row>
    <row r="1020" ht="9" customHeight="1" hidden="1">
      <c r="I1020" s="373"/>
      <c r="J1020" s="374"/>
      <c r="K1020" s="374"/>
      <c r="L1020" t="s" s="375">
        <v>23</v>
      </c>
      <c r="M1020" s="376">
        <v>4</v>
      </c>
      <c r="N1020" s="377">
        <v>0</v>
      </c>
      <c r="O1020" s="377">
        <v>0</v>
      </c>
    </row>
    <row r="1021" ht="9" customHeight="1" hidden="1">
      <c r="I1021" s="373"/>
      <c r="J1021" s="374"/>
      <c r="K1021" s="374"/>
      <c r="L1021" t="s" s="375">
        <v>133</v>
      </c>
      <c r="M1021" s="376">
        <v>4</v>
      </c>
      <c r="N1021" s="377">
        <v>149.9925</v>
      </c>
      <c r="O1021" s="377">
        <v>599.97</v>
      </c>
    </row>
    <row r="1022" ht="9" customHeight="1" hidden="1">
      <c r="I1022" s="373"/>
      <c r="J1022" s="374"/>
      <c r="K1022" s="374"/>
      <c r="L1022" t="s" s="375">
        <v>52</v>
      </c>
      <c r="M1022" s="376">
        <v>4</v>
      </c>
      <c r="N1022" s="377">
        <v>0</v>
      </c>
      <c r="O1022" s="377">
        <v>0</v>
      </c>
    </row>
    <row r="1023" ht="9" customHeight="1" hidden="1">
      <c r="I1023" s="373"/>
      <c r="J1023" s="374"/>
      <c r="K1023" s="374"/>
      <c r="L1023" t="s" s="375">
        <v>50</v>
      </c>
      <c r="M1023" s="376">
        <v>4</v>
      </c>
      <c r="N1023" s="377">
        <v>0</v>
      </c>
      <c r="O1023" s="377">
        <v>0</v>
      </c>
    </row>
    <row r="1024" ht="9" customHeight="1" hidden="1">
      <c r="I1024" s="373"/>
      <c r="J1024" s="374"/>
      <c r="K1024" s="374"/>
      <c r="L1024" t="s" s="375">
        <v>48</v>
      </c>
      <c r="M1024" s="376">
        <v>4</v>
      </c>
      <c r="N1024" s="377">
        <v>974.9924999999999</v>
      </c>
      <c r="O1024" s="377">
        <v>3899.97</v>
      </c>
    </row>
    <row r="1025" ht="9" customHeight="1" hidden="1">
      <c r="I1025" s="373"/>
      <c r="J1025" s="374"/>
      <c r="K1025" s="374"/>
      <c r="L1025" t="s" s="375">
        <v>15</v>
      </c>
      <c r="M1025" s="376">
        <v>8</v>
      </c>
      <c r="N1025" s="377">
        <v>0</v>
      </c>
      <c r="O1025" s="377">
        <v>0</v>
      </c>
    </row>
    <row r="1026" ht="9" customHeight="1" hidden="1">
      <c r="I1026" s="373"/>
      <c r="J1026" s="374"/>
      <c r="K1026" s="378">
        <v>44986</v>
      </c>
      <c r="L1026" s="128"/>
      <c r="M1026" s="129">
        <v>36</v>
      </c>
      <c r="N1026" s="142">
        <v>1214.9775</v>
      </c>
      <c r="O1026" s="142">
        <v>4859.91</v>
      </c>
    </row>
    <row r="1027" ht="9" customHeight="1" hidden="1">
      <c r="I1027" s="373"/>
      <c r="J1027" t="s" s="379">
        <v>6072</v>
      </c>
      <c r="K1027" s="127"/>
      <c r="L1027" s="128"/>
      <c r="M1027" s="129">
        <v>36</v>
      </c>
      <c r="N1027" s="142">
        <v>1214.9775</v>
      </c>
      <c r="O1027" s="142">
        <v>4859.91</v>
      </c>
    </row>
    <row r="1028" ht="9" customHeight="1" hidden="1">
      <c r="I1028" s="373"/>
      <c r="J1028" s="374"/>
      <c r="K1028" s="374"/>
      <c r="L1028" t="s" s="375">
        <v>19</v>
      </c>
      <c r="M1028" s="376">
        <v>4</v>
      </c>
      <c r="N1028" s="377">
        <v>89.99250000000001</v>
      </c>
      <c r="O1028" s="377">
        <v>359.97</v>
      </c>
    </row>
    <row r="1029" ht="9" customHeight="1" hidden="1">
      <c r="I1029" s="373"/>
      <c r="J1029" s="374"/>
      <c r="K1029" s="374"/>
      <c r="L1029" t="s" s="375">
        <v>54</v>
      </c>
      <c r="M1029" s="376">
        <v>4</v>
      </c>
      <c r="N1029" s="377">
        <v>0</v>
      </c>
      <c r="O1029" s="377">
        <v>0</v>
      </c>
    </row>
    <row r="1030" ht="9" customHeight="1" hidden="1">
      <c r="I1030" s="373"/>
      <c r="J1030" s="374"/>
      <c r="K1030" s="374"/>
      <c r="L1030" t="s" s="375">
        <v>23</v>
      </c>
      <c r="M1030" s="376">
        <v>4</v>
      </c>
      <c r="N1030" s="377">
        <v>0</v>
      </c>
      <c r="O1030" s="377">
        <v>0</v>
      </c>
    </row>
    <row r="1031" ht="9" customHeight="1" hidden="1">
      <c r="I1031" s="373"/>
      <c r="J1031" s="374"/>
      <c r="K1031" s="374"/>
      <c r="L1031" t="s" s="375">
        <v>133</v>
      </c>
      <c r="M1031" s="376">
        <v>4</v>
      </c>
      <c r="N1031" s="377">
        <v>149.9925</v>
      </c>
      <c r="O1031" s="377">
        <v>599.97</v>
      </c>
    </row>
    <row r="1032" ht="9" customHeight="1" hidden="1">
      <c r="I1032" s="373"/>
      <c r="J1032" s="374"/>
      <c r="K1032" s="374"/>
      <c r="L1032" t="s" s="375">
        <v>50</v>
      </c>
      <c r="M1032" s="376">
        <v>4</v>
      </c>
      <c r="N1032" s="377">
        <v>0</v>
      </c>
      <c r="O1032" s="377">
        <v>0</v>
      </c>
    </row>
    <row r="1033" ht="9" customHeight="1" hidden="1">
      <c r="I1033" s="373"/>
      <c r="J1033" s="374"/>
      <c r="K1033" s="374"/>
      <c r="L1033" t="s" s="375">
        <v>48</v>
      </c>
      <c r="M1033" s="376">
        <v>4</v>
      </c>
      <c r="N1033" s="377">
        <v>974.9924999999999</v>
      </c>
      <c r="O1033" s="377">
        <v>3899.97</v>
      </c>
    </row>
    <row r="1034" ht="9" customHeight="1" hidden="1">
      <c r="I1034" s="373"/>
      <c r="J1034" s="374"/>
      <c r="K1034" s="374"/>
      <c r="L1034" t="s" s="375">
        <v>15</v>
      </c>
      <c r="M1034" s="376">
        <v>10</v>
      </c>
      <c r="N1034" s="377">
        <v>6.3675</v>
      </c>
      <c r="O1034" s="377">
        <v>63.675</v>
      </c>
    </row>
    <row r="1035" ht="9" customHeight="1" hidden="1">
      <c r="I1035" s="373"/>
      <c r="J1035" s="374"/>
      <c r="K1035" s="378">
        <v>44986</v>
      </c>
      <c r="L1035" s="128"/>
      <c r="M1035" s="129">
        <v>34</v>
      </c>
      <c r="N1035" s="142">
        <v>1221.345</v>
      </c>
      <c r="O1035" s="142">
        <v>4923.585</v>
      </c>
    </row>
    <row r="1036" ht="9" customHeight="1" hidden="1">
      <c r="I1036" s="373"/>
      <c r="J1036" t="s" s="379">
        <v>6075</v>
      </c>
      <c r="K1036" s="127"/>
      <c r="L1036" s="128"/>
      <c r="M1036" s="129">
        <v>34</v>
      </c>
      <c r="N1036" s="142">
        <v>1221.345</v>
      </c>
      <c r="O1036" s="142">
        <v>4923.585</v>
      </c>
    </row>
    <row r="1037" ht="16.1" customHeight="1">
      <c r="I1037" t="s" s="126">
        <v>704</v>
      </c>
      <c r="J1037" s="127"/>
      <c r="K1037" s="127"/>
      <c r="L1037" s="128"/>
      <c r="M1037" s="129">
        <v>70</v>
      </c>
      <c r="N1037" s="142">
        <v>2436.3225</v>
      </c>
      <c r="O1037" s="142">
        <v>9783.495000000001</v>
      </c>
    </row>
    <row r="1038" ht="9" customHeight="1" hidden="1">
      <c r="I1038" s="373"/>
      <c r="J1038" s="374"/>
      <c r="K1038" s="374"/>
      <c r="L1038" t="s" s="375">
        <v>11</v>
      </c>
      <c r="M1038" s="376">
        <v>2</v>
      </c>
      <c r="N1038" s="377">
        <v>399.99</v>
      </c>
      <c r="O1038" s="377">
        <v>799.98</v>
      </c>
    </row>
    <row r="1039" ht="9" customHeight="1" hidden="1">
      <c r="I1039" s="373"/>
      <c r="J1039" s="374"/>
      <c r="K1039" s="378">
        <v>44986</v>
      </c>
      <c r="L1039" s="128"/>
      <c r="M1039" s="129">
        <v>2</v>
      </c>
      <c r="N1039" s="142">
        <v>399.99</v>
      </c>
      <c r="O1039" s="142">
        <v>799.98</v>
      </c>
    </row>
    <row r="1040" ht="9" customHeight="1" hidden="1">
      <c r="I1040" s="373"/>
      <c r="J1040" t="s" s="379">
        <v>5867</v>
      </c>
      <c r="K1040" s="127"/>
      <c r="L1040" s="128"/>
      <c r="M1040" s="129">
        <v>2</v>
      </c>
      <c r="N1040" s="142">
        <v>399.99</v>
      </c>
      <c r="O1040" s="142">
        <v>799.98</v>
      </c>
    </row>
    <row r="1041" ht="16.1" customHeight="1">
      <c r="I1041" t="s" s="126">
        <v>5868</v>
      </c>
      <c r="J1041" s="127"/>
      <c r="K1041" s="127"/>
      <c r="L1041" s="128"/>
      <c r="M1041" s="129">
        <v>2</v>
      </c>
      <c r="N1041" s="142">
        <v>399.99</v>
      </c>
      <c r="O1041" s="142">
        <v>799.98</v>
      </c>
    </row>
    <row r="1042" ht="9" customHeight="1" hidden="1">
      <c r="I1042" s="373"/>
      <c r="J1042" s="374"/>
      <c r="K1042" s="374"/>
      <c r="L1042" t="s" s="375">
        <v>35</v>
      </c>
      <c r="M1042" s="376">
        <v>2</v>
      </c>
      <c r="N1042" s="377">
        <v>49.99</v>
      </c>
      <c r="O1042" s="377">
        <v>99.98</v>
      </c>
    </row>
    <row r="1043" ht="9" customHeight="1" hidden="1">
      <c r="I1043" s="373"/>
      <c r="J1043" s="374"/>
      <c r="K1043" s="378">
        <v>44986</v>
      </c>
      <c r="L1043" s="128"/>
      <c r="M1043" s="129">
        <v>2</v>
      </c>
      <c r="N1043" s="142">
        <v>49.99</v>
      </c>
      <c r="O1043" s="142">
        <v>99.98</v>
      </c>
    </row>
    <row r="1044" ht="9" customHeight="1" hidden="1">
      <c r="I1044" s="373"/>
      <c r="J1044" t="s" s="379">
        <v>5883</v>
      </c>
      <c r="K1044" s="127"/>
      <c r="L1044" s="128"/>
      <c r="M1044" s="129">
        <v>2</v>
      </c>
      <c r="N1044" s="142">
        <v>49.99</v>
      </c>
      <c r="O1044" s="142">
        <v>99.98</v>
      </c>
    </row>
    <row r="1045" ht="16.1" customHeight="1">
      <c r="I1045" t="s" s="126">
        <v>5884</v>
      </c>
      <c r="J1045" s="127"/>
      <c r="K1045" s="127"/>
      <c r="L1045" s="128"/>
      <c r="M1045" s="129">
        <v>2</v>
      </c>
      <c r="N1045" s="142">
        <v>49.99</v>
      </c>
      <c r="O1045" s="142">
        <v>99.98</v>
      </c>
    </row>
    <row r="1046" ht="9" customHeight="1" hidden="1">
      <c r="I1046" s="373"/>
      <c r="J1046" s="374"/>
      <c r="K1046" s="374"/>
      <c r="L1046" t="s" s="375">
        <v>95</v>
      </c>
      <c r="M1046" s="376">
        <v>1</v>
      </c>
      <c r="N1046" s="377">
        <v>324.99</v>
      </c>
      <c r="O1046" s="377">
        <v>324.99</v>
      </c>
    </row>
    <row r="1047" ht="9" customHeight="1" hidden="1">
      <c r="I1047" s="373"/>
      <c r="J1047" s="374"/>
      <c r="K1047" s="378">
        <v>44986</v>
      </c>
      <c r="L1047" s="128"/>
      <c r="M1047" s="129">
        <v>1</v>
      </c>
      <c r="N1047" s="142">
        <v>324.99</v>
      </c>
      <c r="O1047" s="142">
        <v>324.99</v>
      </c>
    </row>
    <row r="1048" ht="9" customHeight="1" hidden="1">
      <c r="I1048" s="373"/>
      <c r="J1048" t="s" s="379">
        <v>5910</v>
      </c>
      <c r="K1048" s="127"/>
      <c r="L1048" s="128"/>
      <c r="M1048" s="129">
        <v>1</v>
      </c>
      <c r="N1048" s="142">
        <v>324.99</v>
      </c>
      <c r="O1048" s="142">
        <v>324.99</v>
      </c>
    </row>
    <row r="1049" ht="16.1" customHeight="1">
      <c r="I1049" t="s" s="126">
        <v>3723</v>
      </c>
      <c r="J1049" s="127"/>
      <c r="K1049" s="127"/>
      <c r="L1049" s="128"/>
      <c r="M1049" s="129">
        <v>1</v>
      </c>
      <c r="N1049" s="142">
        <v>324.99</v>
      </c>
      <c r="O1049" s="142">
        <v>324.99</v>
      </c>
    </row>
    <row r="1050" ht="9" customHeight="1" hidden="1">
      <c r="I1050" s="373"/>
      <c r="J1050" s="374"/>
      <c r="K1050" s="374"/>
      <c r="L1050" t="s" s="375">
        <v>1695</v>
      </c>
      <c r="M1050" s="376">
        <v>1</v>
      </c>
      <c r="N1050" s="377">
        <v>49.99</v>
      </c>
      <c r="O1050" s="377">
        <v>49.99</v>
      </c>
    </row>
    <row r="1051" ht="9" customHeight="1" hidden="1">
      <c r="I1051" s="373"/>
      <c r="J1051" s="374"/>
      <c r="K1051" s="374"/>
      <c r="L1051" t="s" s="375">
        <v>15</v>
      </c>
      <c r="M1051" s="376">
        <v>1</v>
      </c>
      <c r="N1051" s="377">
        <v>9.99</v>
      </c>
      <c r="O1051" s="377">
        <v>9.99</v>
      </c>
    </row>
    <row r="1052" ht="9" customHeight="1" hidden="1">
      <c r="I1052" s="373"/>
      <c r="J1052" s="374"/>
      <c r="K1052" s="378">
        <v>44986</v>
      </c>
      <c r="L1052" s="128"/>
      <c r="M1052" s="129">
        <v>2</v>
      </c>
      <c r="N1052" s="142">
        <v>59.98</v>
      </c>
      <c r="O1052" s="142">
        <v>59.98</v>
      </c>
    </row>
    <row r="1053" ht="9" customHeight="1" hidden="1">
      <c r="I1053" s="373"/>
      <c r="J1053" t="s" s="379">
        <v>5991</v>
      </c>
      <c r="K1053" s="127"/>
      <c r="L1053" s="128"/>
      <c r="M1053" s="129">
        <v>2</v>
      </c>
      <c r="N1053" s="142">
        <v>59.98</v>
      </c>
      <c r="O1053" s="142">
        <v>59.98</v>
      </c>
    </row>
    <row r="1054" ht="16.1" customHeight="1">
      <c r="I1054" t="s" s="126">
        <v>5992</v>
      </c>
      <c r="J1054" s="127"/>
      <c r="K1054" s="127"/>
      <c r="L1054" s="128"/>
      <c r="M1054" s="129">
        <v>2</v>
      </c>
      <c r="N1054" s="142">
        <v>59.98</v>
      </c>
      <c r="O1054" s="142">
        <v>59.98</v>
      </c>
    </row>
    <row r="1055" ht="9" customHeight="1" hidden="1">
      <c r="I1055" s="373"/>
      <c r="J1055" s="374"/>
      <c r="K1055" s="374"/>
      <c r="L1055" t="s" s="375">
        <v>73</v>
      </c>
      <c r="M1055" s="376">
        <v>1</v>
      </c>
      <c r="N1055" s="377">
        <v>399.99</v>
      </c>
      <c r="O1055" s="377">
        <v>399.99</v>
      </c>
    </row>
    <row r="1056" ht="9" customHeight="1" hidden="1">
      <c r="I1056" s="373"/>
      <c r="J1056" s="374"/>
      <c r="K1056" s="378">
        <v>44986</v>
      </c>
      <c r="L1056" s="128"/>
      <c r="M1056" s="129">
        <v>1</v>
      </c>
      <c r="N1056" s="142">
        <v>399.99</v>
      </c>
      <c r="O1056" s="142">
        <v>399.99</v>
      </c>
    </row>
    <row r="1057" ht="9" customHeight="1" hidden="1">
      <c r="I1057" s="373"/>
      <c r="J1057" t="s" s="379">
        <v>5838</v>
      </c>
      <c r="K1057" s="127"/>
      <c r="L1057" s="128"/>
      <c r="M1057" s="129">
        <v>1</v>
      </c>
      <c r="N1057" s="142">
        <v>399.99</v>
      </c>
      <c r="O1057" s="142">
        <v>399.99</v>
      </c>
    </row>
    <row r="1058" ht="16.1" customHeight="1">
      <c r="I1058" t="s" s="126">
        <v>5839</v>
      </c>
      <c r="J1058" s="127"/>
      <c r="K1058" s="127"/>
      <c r="L1058" s="128"/>
      <c r="M1058" s="129">
        <v>1</v>
      </c>
      <c r="N1058" s="142">
        <v>399.99</v>
      </c>
      <c r="O1058" s="142">
        <v>399.99</v>
      </c>
    </row>
    <row r="1059" ht="9" customHeight="1" hidden="1">
      <c r="I1059" s="373"/>
      <c r="J1059" s="374"/>
      <c r="K1059" s="374"/>
      <c r="L1059" t="s" s="375">
        <v>589</v>
      </c>
      <c r="M1059" s="376">
        <v>1</v>
      </c>
      <c r="N1059" s="377">
        <v>7.49</v>
      </c>
      <c r="O1059" s="377">
        <v>7.49</v>
      </c>
    </row>
    <row r="1060" ht="9" customHeight="1" hidden="1">
      <c r="I1060" s="373"/>
      <c r="J1060" s="374"/>
      <c r="K1060" s="378">
        <v>44986</v>
      </c>
      <c r="L1060" s="128"/>
      <c r="M1060" s="129">
        <v>1</v>
      </c>
      <c r="N1060" s="142">
        <v>7.49</v>
      </c>
      <c r="O1060" s="142">
        <v>7.49</v>
      </c>
    </row>
    <row r="1061" ht="9" customHeight="1" hidden="1">
      <c r="I1061" s="373"/>
      <c r="J1061" t="s" s="379">
        <v>6059</v>
      </c>
      <c r="K1061" s="127"/>
      <c r="L1061" s="128"/>
      <c r="M1061" s="129">
        <v>1</v>
      </c>
      <c r="N1061" s="142">
        <v>7.49</v>
      </c>
      <c r="O1061" s="142">
        <v>7.49</v>
      </c>
    </row>
    <row r="1062" ht="16.1" customHeight="1">
      <c r="I1062" t="s" s="126">
        <v>6060</v>
      </c>
      <c r="J1062" s="127"/>
      <c r="K1062" s="127"/>
      <c r="L1062" s="128"/>
      <c r="M1062" s="129">
        <v>1</v>
      </c>
      <c r="N1062" s="142">
        <v>7.49</v>
      </c>
      <c r="O1062" s="142">
        <v>7.49</v>
      </c>
    </row>
    <row r="1063" ht="9" customHeight="1" hidden="1">
      <c r="I1063" s="373"/>
      <c r="J1063" s="374"/>
      <c r="K1063" s="374"/>
      <c r="L1063" t="s" s="375">
        <v>369</v>
      </c>
      <c r="M1063" s="376">
        <v>1</v>
      </c>
      <c r="N1063" s="377">
        <v>0</v>
      </c>
      <c r="O1063" s="377">
        <v>0</v>
      </c>
    </row>
    <row r="1064" ht="9" customHeight="1" hidden="1">
      <c r="I1064" s="373"/>
      <c r="J1064" s="374"/>
      <c r="K1064" s="378">
        <v>44986</v>
      </c>
      <c r="L1064" s="128"/>
      <c r="M1064" s="129">
        <v>1</v>
      </c>
      <c r="N1064" s="142">
        <v>0</v>
      </c>
      <c r="O1064" s="142">
        <v>0</v>
      </c>
    </row>
    <row r="1065" ht="9" customHeight="1" hidden="1">
      <c r="I1065" s="373"/>
      <c r="J1065" t="s" s="379">
        <v>6095</v>
      </c>
      <c r="K1065" s="127"/>
      <c r="L1065" s="128"/>
      <c r="M1065" s="129">
        <v>1</v>
      </c>
      <c r="N1065" s="142">
        <v>0</v>
      </c>
      <c r="O1065" s="142">
        <v>0</v>
      </c>
    </row>
    <row r="1066" ht="16.1" customHeight="1">
      <c r="I1066" t="s" s="126">
        <v>2382</v>
      </c>
      <c r="J1066" s="127"/>
      <c r="K1066" s="127"/>
      <c r="L1066" s="128"/>
      <c r="M1066" s="129">
        <v>1</v>
      </c>
      <c r="N1066" s="142">
        <v>0</v>
      </c>
      <c r="O1066" s="142">
        <v>0</v>
      </c>
    </row>
    <row r="1067" ht="9" customHeight="1" hidden="1">
      <c r="I1067" s="373"/>
      <c r="J1067" s="374"/>
      <c r="K1067" s="374"/>
      <c r="L1067" t="s" s="375">
        <v>3480</v>
      </c>
      <c r="M1067" s="376">
        <v>1</v>
      </c>
      <c r="N1067" s="377">
        <v>0</v>
      </c>
      <c r="O1067" s="377">
        <v>0</v>
      </c>
    </row>
    <row r="1068" ht="9" customHeight="1" hidden="1">
      <c r="I1068" s="373"/>
      <c r="J1068" s="374"/>
      <c r="K1068" s="378">
        <v>44986</v>
      </c>
      <c r="L1068" s="128"/>
      <c r="M1068" s="129">
        <v>1</v>
      </c>
      <c r="N1068" s="142">
        <v>0</v>
      </c>
      <c r="O1068" s="142">
        <v>0</v>
      </c>
    </row>
    <row r="1069" ht="9" customHeight="1" hidden="1">
      <c r="I1069" s="373"/>
      <c r="J1069" t="s" s="379">
        <v>5863</v>
      </c>
      <c r="K1069" s="127"/>
      <c r="L1069" s="128"/>
      <c r="M1069" s="129">
        <v>1</v>
      </c>
      <c r="N1069" s="142">
        <v>0</v>
      </c>
      <c r="O1069" s="142">
        <v>0</v>
      </c>
    </row>
    <row r="1070" ht="16.1" customHeight="1">
      <c r="I1070" t="s" s="126">
        <v>2671</v>
      </c>
      <c r="J1070" s="127"/>
      <c r="K1070" s="127"/>
      <c r="L1070" s="128"/>
      <c r="M1070" s="129">
        <v>1</v>
      </c>
      <c r="N1070" s="142">
        <v>0</v>
      </c>
      <c r="O1070" s="142">
        <v>0</v>
      </c>
    </row>
    <row r="1071" ht="9" customHeight="1" hidden="1">
      <c r="I1071" s="373"/>
      <c r="J1071" s="374"/>
      <c r="K1071" s="374"/>
      <c r="L1071" t="s" s="375">
        <v>5913</v>
      </c>
      <c r="M1071" s="376">
        <v>2</v>
      </c>
      <c r="N1071" s="377">
        <v>917</v>
      </c>
      <c r="O1071" s="377">
        <v>1834</v>
      </c>
    </row>
    <row r="1072" ht="9" customHeight="1" hidden="1">
      <c r="I1072" s="373"/>
      <c r="J1072" s="374"/>
      <c r="K1072" s="374"/>
      <c r="L1072" t="s" s="375">
        <v>63</v>
      </c>
      <c r="M1072" s="376">
        <v>1</v>
      </c>
      <c r="N1072" s="377">
        <v>25</v>
      </c>
      <c r="O1072" s="377">
        <v>25</v>
      </c>
    </row>
    <row r="1073" ht="9" customHeight="1" hidden="1">
      <c r="I1073" s="373"/>
      <c r="J1073" s="374"/>
      <c r="K1073" s="378">
        <v>44986</v>
      </c>
      <c r="L1073" s="128"/>
      <c r="M1073" s="129">
        <v>3</v>
      </c>
      <c r="N1073" s="142">
        <v>942</v>
      </c>
      <c r="O1073" s="142">
        <v>1859</v>
      </c>
    </row>
    <row r="1074" ht="9" customHeight="1" hidden="1">
      <c r="I1074" s="373"/>
      <c r="J1074" t="s" s="379">
        <v>5912</v>
      </c>
      <c r="K1074" s="127"/>
      <c r="L1074" s="128"/>
      <c r="M1074" s="129">
        <v>3</v>
      </c>
      <c r="N1074" s="142">
        <v>942</v>
      </c>
      <c r="O1074" s="142">
        <v>1859</v>
      </c>
    </row>
    <row r="1075" ht="16.1" customHeight="1">
      <c r="I1075" t="s" s="126">
        <v>473</v>
      </c>
      <c r="J1075" s="127"/>
      <c r="K1075" s="127"/>
      <c r="L1075" s="128"/>
      <c r="M1075" s="129">
        <v>3</v>
      </c>
      <c r="N1075" s="142">
        <v>942</v>
      </c>
      <c r="O1075" s="142">
        <v>1859</v>
      </c>
    </row>
    <row r="1076" ht="9" customHeight="1" hidden="1">
      <c r="I1076" s="373"/>
      <c r="J1076" s="374"/>
      <c r="K1076" s="374"/>
      <c r="L1076" t="s" s="375">
        <v>258</v>
      </c>
      <c r="M1076" s="376">
        <v>10</v>
      </c>
      <c r="N1076" s="377">
        <v>0</v>
      </c>
      <c r="O1076" s="377">
        <v>0</v>
      </c>
    </row>
    <row r="1077" ht="9" customHeight="1" hidden="1">
      <c r="I1077" s="373"/>
      <c r="J1077" s="374"/>
      <c r="K1077" s="378">
        <v>44986</v>
      </c>
      <c r="L1077" s="128"/>
      <c r="M1077" s="129">
        <v>10</v>
      </c>
      <c r="N1077" s="142">
        <v>0</v>
      </c>
      <c r="O1077" s="142">
        <v>0</v>
      </c>
    </row>
    <row r="1078" ht="9" customHeight="1" hidden="1">
      <c r="I1078" s="373"/>
      <c r="J1078" t="s" s="379">
        <v>5917</v>
      </c>
      <c r="K1078" s="127"/>
      <c r="L1078" s="128"/>
      <c r="M1078" s="129">
        <v>10</v>
      </c>
      <c r="N1078" s="142">
        <v>0</v>
      </c>
      <c r="O1078" s="142">
        <v>0</v>
      </c>
    </row>
    <row r="1079" ht="16.1" customHeight="1">
      <c r="I1079" t="s" s="126">
        <v>42</v>
      </c>
      <c r="J1079" s="127"/>
      <c r="K1079" s="127"/>
      <c r="L1079" s="128"/>
      <c r="M1079" s="129">
        <v>10</v>
      </c>
      <c r="N1079" s="142">
        <v>0</v>
      </c>
      <c r="O1079" s="142">
        <v>0</v>
      </c>
    </row>
    <row r="1080" ht="9" customHeight="1" hidden="1">
      <c r="I1080" s="373"/>
      <c r="J1080" s="374"/>
      <c r="K1080" s="374"/>
      <c r="L1080" t="s" s="375">
        <v>73</v>
      </c>
      <c r="M1080" s="376">
        <v>1</v>
      </c>
      <c r="N1080" s="377">
        <v>399.99</v>
      </c>
      <c r="O1080" s="377">
        <v>399.99</v>
      </c>
    </row>
    <row r="1081" ht="9" customHeight="1" hidden="1">
      <c r="I1081" s="373"/>
      <c r="J1081" s="374"/>
      <c r="K1081" s="378">
        <v>44986</v>
      </c>
      <c r="L1081" s="128"/>
      <c r="M1081" s="129">
        <v>1</v>
      </c>
      <c r="N1081" s="142">
        <v>399.99</v>
      </c>
      <c r="O1081" s="142">
        <v>399.99</v>
      </c>
    </row>
    <row r="1082" ht="9" customHeight="1" hidden="1">
      <c r="I1082" s="373"/>
      <c r="J1082" t="s" s="379">
        <v>5891</v>
      </c>
      <c r="K1082" s="127"/>
      <c r="L1082" s="128"/>
      <c r="M1082" s="129">
        <v>1</v>
      </c>
      <c r="N1082" s="142">
        <v>399.99</v>
      </c>
      <c r="O1082" s="142">
        <v>399.99</v>
      </c>
    </row>
    <row r="1083" ht="9" customHeight="1" hidden="1">
      <c r="I1083" s="373"/>
      <c r="J1083" s="374"/>
      <c r="K1083" s="374"/>
      <c r="L1083" t="s" s="375">
        <v>35</v>
      </c>
      <c r="M1083" s="376">
        <v>2</v>
      </c>
      <c r="N1083" s="377">
        <v>49.99</v>
      </c>
      <c r="O1083" s="377">
        <v>99.98</v>
      </c>
    </row>
    <row r="1084" ht="9" customHeight="1" hidden="1">
      <c r="I1084" s="373"/>
      <c r="J1084" s="374"/>
      <c r="K1084" s="378">
        <v>44986</v>
      </c>
      <c r="L1084" s="128"/>
      <c r="M1084" s="129">
        <v>2</v>
      </c>
      <c r="N1084" s="142">
        <v>49.99</v>
      </c>
      <c r="O1084" s="142">
        <v>99.98</v>
      </c>
    </row>
    <row r="1085" ht="9" customHeight="1" hidden="1">
      <c r="I1085" s="373"/>
      <c r="J1085" t="s" s="379">
        <v>5841</v>
      </c>
      <c r="K1085" s="127"/>
      <c r="L1085" s="128"/>
      <c r="M1085" s="129">
        <v>2</v>
      </c>
      <c r="N1085" s="142">
        <v>49.99</v>
      </c>
      <c r="O1085" s="142">
        <v>99.98</v>
      </c>
    </row>
    <row r="1086" ht="16.1" customHeight="1">
      <c r="I1086" t="s" s="126">
        <v>5842</v>
      </c>
      <c r="J1086" s="127"/>
      <c r="K1086" s="127"/>
      <c r="L1086" s="128"/>
      <c r="M1086" s="129">
        <v>3</v>
      </c>
      <c r="N1086" s="142">
        <v>449.98</v>
      </c>
      <c r="O1086" s="142">
        <v>499.97</v>
      </c>
    </row>
    <row r="1087" ht="9" customHeight="1" hidden="1">
      <c r="I1087" s="373"/>
      <c r="J1087" s="374"/>
      <c r="K1087" s="374"/>
      <c r="L1087" t="s" s="375">
        <v>359</v>
      </c>
      <c r="M1087" s="376">
        <v>1</v>
      </c>
      <c r="N1087" s="377">
        <v>29.99</v>
      </c>
      <c r="O1087" s="377">
        <v>29.99</v>
      </c>
    </row>
    <row r="1088" ht="9" customHeight="1" hidden="1">
      <c r="I1088" s="373"/>
      <c r="J1088" s="374"/>
      <c r="K1088" s="378">
        <v>44986</v>
      </c>
      <c r="L1088" s="128"/>
      <c r="M1088" s="129">
        <v>1</v>
      </c>
      <c r="N1088" s="142">
        <v>29.99</v>
      </c>
      <c r="O1088" s="142">
        <v>29.99</v>
      </c>
    </row>
    <row r="1089" ht="9" customHeight="1" hidden="1">
      <c r="I1089" s="373"/>
      <c r="J1089" t="s" s="379">
        <v>5954</v>
      </c>
      <c r="K1089" s="127"/>
      <c r="L1089" s="128"/>
      <c r="M1089" s="129">
        <v>1</v>
      </c>
      <c r="N1089" s="142">
        <v>29.99</v>
      </c>
      <c r="O1089" s="142">
        <v>29.99</v>
      </c>
    </row>
    <row r="1090" ht="16.1" customHeight="1">
      <c r="I1090" t="s" s="126">
        <v>5955</v>
      </c>
      <c r="J1090" s="127"/>
      <c r="K1090" s="127"/>
      <c r="L1090" s="128"/>
      <c r="M1090" s="129">
        <v>1</v>
      </c>
      <c r="N1090" s="142">
        <v>29.99</v>
      </c>
      <c r="O1090" s="142">
        <v>29.99</v>
      </c>
    </row>
    <row r="1091" ht="9" customHeight="1" hidden="1">
      <c r="I1091" s="373"/>
      <c r="J1091" s="374"/>
      <c r="K1091" s="374"/>
      <c r="L1091" t="s" s="375">
        <v>54</v>
      </c>
      <c r="M1091" s="376">
        <v>1</v>
      </c>
      <c r="N1091" s="377">
        <v>9.99</v>
      </c>
      <c r="O1091" s="377">
        <v>9.99</v>
      </c>
    </row>
    <row r="1092" ht="9" customHeight="1" hidden="1">
      <c r="I1092" s="373"/>
      <c r="J1092" s="374"/>
      <c r="K1092" s="378">
        <v>44986</v>
      </c>
      <c r="L1092" s="128"/>
      <c r="M1092" s="129">
        <v>1</v>
      </c>
      <c r="N1092" s="142">
        <v>9.99</v>
      </c>
      <c r="O1092" s="142">
        <v>9.99</v>
      </c>
    </row>
    <row r="1093" ht="9" customHeight="1" hidden="1">
      <c r="I1093" s="373"/>
      <c r="J1093" t="s" s="379">
        <v>6122</v>
      </c>
      <c r="K1093" s="127"/>
      <c r="L1093" s="128"/>
      <c r="M1093" s="129">
        <v>1</v>
      </c>
      <c r="N1093" s="142">
        <v>9.99</v>
      </c>
      <c r="O1093" s="142">
        <v>9.99</v>
      </c>
    </row>
    <row r="1094" ht="16.1" customHeight="1">
      <c r="I1094" t="s" s="126">
        <v>6123</v>
      </c>
      <c r="J1094" s="127"/>
      <c r="K1094" s="127"/>
      <c r="L1094" s="128"/>
      <c r="M1094" s="129">
        <v>1</v>
      </c>
      <c r="N1094" s="142">
        <v>9.99</v>
      </c>
      <c r="O1094" s="142">
        <v>9.99</v>
      </c>
    </row>
    <row r="1095" ht="9" customHeight="1" hidden="1">
      <c r="I1095" s="373"/>
      <c r="J1095" s="374"/>
      <c r="K1095" s="374"/>
      <c r="L1095" t="s" s="375">
        <v>89</v>
      </c>
      <c r="M1095" s="376">
        <v>1</v>
      </c>
      <c r="N1095" s="377">
        <v>59.99</v>
      </c>
      <c r="O1095" s="377">
        <v>59.99</v>
      </c>
    </row>
    <row r="1096" ht="9" customHeight="1" hidden="1">
      <c r="I1096" s="373"/>
      <c r="J1096" s="374"/>
      <c r="K1096" s="378">
        <v>44986</v>
      </c>
      <c r="L1096" s="128"/>
      <c r="M1096" s="129">
        <v>1</v>
      </c>
      <c r="N1096" s="142">
        <v>59.99</v>
      </c>
      <c r="O1096" s="142">
        <v>59.99</v>
      </c>
    </row>
    <row r="1097" ht="9" customHeight="1" hidden="1">
      <c r="I1097" s="373"/>
      <c r="J1097" t="s" s="379">
        <v>5941</v>
      </c>
      <c r="K1097" s="127"/>
      <c r="L1097" s="128"/>
      <c r="M1097" s="129">
        <v>1</v>
      </c>
      <c r="N1097" s="142">
        <v>59.99</v>
      </c>
      <c r="O1097" s="142">
        <v>59.99</v>
      </c>
    </row>
    <row r="1098" ht="16.1" customHeight="1">
      <c r="I1098" t="s" s="126">
        <v>5942</v>
      </c>
      <c r="J1098" s="127"/>
      <c r="K1098" s="127"/>
      <c r="L1098" s="128"/>
      <c r="M1098" s="129">
        <v>1</v>
      </c>
      <c r="N1098" s="142">
        <v>59.99</v>
      </c>
      <c r="O1098" s="142">
        <v>59.99</v>
      </c>
    </row>
    <row r="1099" ht="9" customHeight="1" hidden="1">
      <c r="I1099" s="373"/>
      <c r="J1099" s="374"/>
      <c r="K1099" s="374"/>
      <c r="L1099" t="s" s="375">
        <v>1695</v>
      </c>
      <c r="M1099" s="376">
        <v>2</v>
      </c>
      <c r="N1099" s="377">
        <v>49.99</v>
      </c>
      <c r="O1099" s="377">
        <v>99.98</v>
      </c>
    </row>
    <row r="1100" ht="9" customHeight="1" hidden="1">
      <c r="I1100" s="373"/>
      <c r="J1100" s="374"/>
      <c r="K1100" s="374"/>
      <c r="L1100" t="s" s="375">
        <v>15</v>
      </c>
      <c r="M1100" s="376">
        <v>2</v>
      </c>
      <c r="N1100" s="377">
        <v>9.99</v>
      </c>
      <c r="O1100" s="377">
        <v>19.98</v>
      </c>
    </row>
    <row r="1101" ht="9" customHeight="1" hidden="1">
      <c r="I1101" s="373"/>
      <c r="J1101" s="374"/>
      <c r="K1101" s="378">
        <v>44986</v>
      </c>
      <c r="L1101" s="128"/>
      <c r="M1101" s="129">
        <v>4</v>
      </c>
      <c r="N1101" s="142">
        <v>59.98</v>
      </c>
      <c r="O1101" s="142">
        <v>119.96</v>
      </c>
    </row>
    <row r="1102" ht="9" customHeight="1" hidden="1">
      <c r="I1102" s="373"/>
      <c r="J1102" t="s" s="379">
        <v>6087</v>
      </c>
      <c r="K1102" s="127"/>
      <c r="L1102" s="128"/>
      <c r="M1102" s="129">
        <v>4</v>
      </c>
      <c r="N1102" s="142">
        <v>59.98</v>
      </c>
      <c r="O1102" s="142">
        <v>119.96</v>
      </c>
    </row>
    <row r="1103" ht="16.1" customHeight="1">
      <c r="I1103" t="s" s="126">
        <v>6088</v>
      </c>
      <c r="J1103" s="127"/>
      <c r="K1103" s="127"/>
      <c r="L1103" s="128"/>
      <c r="M1103" s="129">
        <v>4</v>
      </c>
      <c r="N1103" s="142">
        <v>59.98</v>
      </c>
      <c r="O1103" s="142">
        <v>119.96</v>
      </c>
    </row>
    <row r="1104" ht="9" customHeight="1" hidden="1">
      <c r="I1104" s="373"/>
      <c r="J1104" s="374"/>
      <c r="K1104" s="374"/>
      <c r="L1104" t="s" s="375">
        <v>5381</v>
      </c>
      <c r="M1104" s="376">
        <v>4</v>
      </c>
      <c r="N1104" s="377">
        <v>299.99</v>
      </c>
      <c r="O1104" s="377">
        <v>1199.96</v>
      </c>
    </row>
    <row r="1105" ht="9" customHeight="1" hidden="1">
      <c r="I1105" s="373"/>
      <c r="J1105" s="374"/>
      <c r="K1105" s="374"/>
      <c r="L1105" t="s" s="375">
        <v>1986</v>
      </c>
      <c r="M1105" s="376">
        <v>7</v>
      </c>
      <c r="N1105" s="377">
        <v>94.98999999999999</v>
      </c>
      <c r="O1105" s="377">
        <v>664.9299999999999</v>
      </c>
    </row>
    <row r="1106" ht="9" customHeight="1" hidden="1">
      <c r="I1106" s="373"/>
      <c r="J1106" s="374"/>
      <c r="K1106" s="374"/>
      <c r="L1106" t="s" s="375">
        <v>15</v>
      </c>
      <c r="M1106" s="376">
        <v>2</v>
      </c>
      <c r="N1106" s="377">
        <v>0</v>
      </c>
      <c r="O1106" s="377">
        <v>0</v>
      </c>
    </row>
    <row r="1107" ht="9" customHeight="1" hidden="1">
      <c r="I1107" s="373"/>
      <c r="J1107" s="374"/>
      <c r="K1107" s="374"/>
      <c r="L1107" t="s" s="375">
        <v>861</v>
      </c>
      <c r="M1107" s="376">
        <v>1</v>
      </c>
      <c r="N1107" s="377">
        <v>163.18</v>
      </c>
      <c r="O1107" s="377">
        <v>163.18</v>
      </c>
    </row>
    <row r="1108" ht="9" customHeight="1" hidden="1">
      <c r="I1108" s="373"/>
      <c r="J1108" s="374"/>
      <c r="K1108" s="378">
        <v>44986</v>
      </c>
      <c r="L1108" s="128"/>
      <c r="M1108" s="129">
        <v>14</v>
      </c>
      <c r="N1108" s="142">
        <v>558.16</v>
      </c>
      <c r="O1108" s="142">
        <v>2028.07</v>
      </c>
    </row>
    <row r="1109" ht="9" customHeight="1" hidden="1">
      <c r="I1109" s="373"/>
      <c r="J1109" t="s" s="379">
        <v>6077</v>
      </c>
      <c r="K1109" s="127"/>
      <c r="L1109" s="128"/>
      <c r="M1109" s="129">
        <v>14</v>
      </c>
      <c r="N1109" s="142">
        <v>558.16</v>
      </c>
      <c r="O1109" s="142">
        <v>2028.07</v>
      </c>
    </row>
    <row r="1110" ht="9" customHeight="1" hidden="1">
      <c r="I1110" s="373"/>
      <c r="J1110" s="374"/>
      <c r="K1110" s="374"/>
      <c r="L1110" t="s" s="375">
        <v>2961</v>
      </c>
      <c r="M1110" s="376">
        <v>7</v>
      </c>
      <c r="N1110" s="377">
        <v>0</v>
      </c>
      <c r="O1110" s="377">
        <v>0</v>
      </c>
    </row>
    <row r="1111" ht="9" customHeight="1" hidden="1">
      <c r="I1111" s="373"/>
      <c r="J1111" s="374"/>
      <c r="K1111" s="378">
        <v>44986</v>
      </c>
      <c r="L1111" s="128"/>
      <c r="M1111" s="129">
        <v>7</v>
      </c>
      <c r="N1111" s="142">
        <v>0</v>
      </c>
      <c r="O1111" s="142">
        <v>0</v>
      </c>
    </row>
    <row r="1112" ht="9" customHeight="1" hidden="1">
      <c r="I1112" s="373"/>
      <c r="J1112" t="s" s="379">
        <v>6050</v>
      </c>
      <c r="K1112" s="127"/>
      <c r="L1112" s="128"/>
      <c r="M1112" s="129">
        <v>7</v>
      </c>
      <c r="N1112" s="142">
        <v>0</v>
      </c>
      <c r="O1112" s="142">
        <v>0</v>
      </c>
    </row>
    <row r="1113" ht="16.1" customHeight="1">
      <c r="I1113" t="s" s="126">
        <v>1985</v>
      </c>
      <c r="J1113" s="127"/>
      <c r="K1113" s="127"/>
      <c r="L1113" s="128"/>
      <c r="M1113" s="129">
        <v>21</v>
      </c>
      <c r="N1113" s="142">
        <v>558.16</v>
      </c>
      <c r="O1113" s="142">
        <v>2028.07</v>
      </c>
    </row>
    <row r="1114" ht="9" customHeight="1" hidden="1">
      <c r="I1114" s="373"/>
      <c r="J1114" s="374"/>
      <c r="K1114" s="374"/>
      <c r="L1114" t="s" s="375">
        <v>470</v>
      </c>
      <c r="M1114" s="376">
        <v>1</v>
      </c>
      <c r="N1114" s="377">
        <v>249.99</v>
      </c>
      <c r="O1114" s="377">
        <v>249.99</v>
      </c>
    </row>
    <row r="1115" ht="9" customHeight="1" hidden="1">
      <c r="I1115" s="373"/>
      <c r="J1115" s="374"/>
      <c r="K1115" s="378">
        <v>44986</v>
      </c>
      <c r="L1115" s="128"/>
      <c r="M1115" s="129">
        <v>1</v>
      </c>
      <c r="N1115" s="142">
        <v>249.99</v>
      </c>
      <c r="O1115" s="142">
        <v>249.99</v>
      </c>
    </row>
    <row r="1116" ht="9" customHeight="1" hidden="1">
      <c r="I1116" s="373"/>
      <c r="J1116" t="s" s="379">
        <v>5854</v>
      </c>
      <c r="K1116" s="127"/>
      <c r="L1116" s="128"/>
      <c r="M1116" s="129">
        <v>1</v>
      </c>
      <c r="N1116" s="142">
        <v>249.99</v>
      </c>
      <c r="O1116" s="142">
        <v>249.99</v>
      </c>
    </row>
    <row r="1117" ht="9" customHeight="1" hidden="1">
      <c r="I1117" s="373"/>
      <c r="J1117" s="374"/>
      <c r="K1117" s="374"/>
      <c r="L1117" t="s" s="375">
        <v>470</v>
      </c>
      <c r="M1117" s="376">
        <v>1</v>
      </c>
      <c r="N1117" s="377">
        <v>0</v>
      </c>
      <c r="O1117" s="377">
        <v>0</v>
      </c>
    </row>
    <row r="1118" ht="9" customHeight="1" hidden="1">
      <c r="I1118" s="373"/>
      <c r="J1118" s="374"/>
      <c r="K1118" s="378">
        <v>44986</v>
      </c>
      <c r="L1118" s="128"/>
      <c r="M1118" s="129">
        <v>1</v>
      </c>
      <c r="N1118" s="142">
        <v>0</v>
      </c>
      <c r="O1118" s="142">
        <v>0</v>
      </c>
    </row>
    <row r="1119" ht="9" customHeight="1" hidden="1">
      <c r="I1119" s="373"/>
      <c r="J1119" t="s" s="379">
        <v>5855</v>
      </c>
      <c r="K1119" s="127"/>
      <c r="L1119" s="128"/>
      <c r="M1119" s="129">
        <v>1</v>
      </c>
      <c r="N1119" s="142">
        <v>0</v>
      </c>
      <c r="O1119" s="142">
        <v>0</v>
      </c>
    </row>
    <row r="1120" ht="16.1" customHeight="1">
      <c r="I1120" t="s" s="126">
        <v>2503</v>
      </c>
      <c r="J1120" s="127"/>
      <c r="K1120" s="127"/>
      <c r="L1120" s="128"/>
      <c r="M1120" s="129">
        <v>2</v>
      </c>
      <c r="N1120" s="142">
        <v>249.99</v>
      </c>
      <c r="O1120" s="142">
        <v>249.99</v>
      </c>
    </row>
    <row r="1121" ht="9" customHeight="1" hidden="1">
      <c r="I1121" s="373"/>
      <c r="J1121" s="374"/>
      <c r="K1121" s="374"/>
      <c r="L1121" t="s" s="375">
        <v>369</v>
      </c>
      <c r="M1121" s="376">
        <v>3</v>
      </c>
      <c r="N1121" s="377">
        <v>0</v>
      </c>
      <c r="O1121" s="377">
        <v>0</v>
      </c>
    </row>
    <row r="1122" ht="9" customHeight="1" hidden="1">
      <c r="I1122" s="373"/>
      <c r="J1122" s="374"/>
      <c r="K1122" s="378">
        <v>44986</v>
      </c>
      <c r="L1122" s="128"/>
      <c r="M1122" s="129">
        <v>3</v>
      </c>
      <c r="N1122" s="142">
        <v>0</v>
      </c>
      <c r="O1122" s="142">
        <v>0</v>
      </c>
    </row>
    <row r="1123" ht="9" customHeight="1" hidden="1">
      <c r="I1123" s="373"/>
      <c r="J1123" t="s" s="379">
        <v>5915</v>
      </c>
      <c r="K1123" s="127"/>
      <c r="L1123" s="128"/>
      <c r="M1123" s="129">
        <v>3</v>
      </c>
      <c r="N1123" s="142">
        <v>0</v>
      </c>
      <c r="O1123" s="142">
        <v>0</v>
      </c>
    </row>
    <row r="1124" ht="16.1" customHeight="1">
      <c r="I1124" t="s" s="126">
        <v>3590</v>
      </c>
      <c r="J1124" s="127"/>
      <c r="K1124" s="127"/>
      <c r="L1124" s="128"/>
      <c r="M1124" s="129">
        <v>3</v>
      </c>
      <c r="N1124" s="142">
        <v>0</v>
      </c>
      <c r="O1124" s="142">
        <v>0</v>
      </c>
    </row>
    <row r="1125" ht="9" customHeight="1" hidden="1">
      <c r="I1125" s="373"/>
      <c r="J1125" s="374"/>
      <c r="K1125" s="374"/>
      <c r="L1125" t="s" s="375">
        <v>95</v>
      </c>
      <c r="M1125" s="376">
        <v>1</v>
      </c>
      <c r="N1125" s="377">
        <v>324.99</v>
      </c>
      <c r="O1125" s="377">
        <v>324.99</v>
      </c>
    </row>
    <row r="1126" ht="9" customHeight="1" hidden="1">
      <c r="I1126" s="373"/>
      <c r="J1126" s="374"/>
      <c r="K1126" s="378">
        <v>44986</v>
      </c>
      <c r="L1126" s="128"/>
      <c r="M1126" s="129">
        <v>1</v>
      </c>
      <c r="N1126" s="142">
        <v>324.99</v>
      </c>
      <c r="O1126" s="142">
        <v>324.99</v>
      </c>
    </row>
    <row r="1127" ht="9" customHeight="1" hidden="1">
      <c r="I1127" s="373"/>
      <c r="J1127" t="s" s="379">
        <v>5871</v>
      </c>
      <c r="K1127" s="127"/>
      <c r="L1127" s="128"/>
      <c r="M1127" s="129">
        <v>1</v>
      </c>
      <c r="N1127" s="142">
        <v>324.99</v>
      </c>
      <c r="O1127" s="142">
        <v>324.99</v>
      </c>
    </row>
    <row r="1128" ht="16.1" customHeight="1">
      <c r="I1128" t="s" s="126">
        <v>5872</v>
      </c>
      <c r="J1128" s="127"/>
      <c r="K1128" s="127"/>
      <c r="L1128" s="128"/>
      <c r="M1128" s="129">
        <v>1</v>
      </c>
      <c r="N1128" s="142">
        <v>324.99</v>
      </c>
      <c r="O1128" s="142">
        <v>324.99</v>
      </c>
    </row>
    <row r="1129" ht="9" customHeight="1" hidden="1">
      <c r="I1129" s="373"/>
      <c r="J1129" s="374"/>
      <c r="K1129" s="374"/>
      <c r="L1129" t="s" s="375">
        <v>19</v>
      </c>
      <c r="M1129" s="376">
        <v>1</v>
      </c>
      <c r="N1129" s="377">
        <v>119.99</v>
      </c>
      <c r="O1129" s="377">
        <v>119.99</v>
      </c>
    </row>
    <row r="1130" ht="9" customHeight="1" hidden="1">
      <c r="I1130" s="373"/>
      <c r="J1130" s="374"/>
      <c r="K1130" s="374"/>
      <c r="L1130" t="s" s="375">
        <v>59</v>
      </c>
      <c r="M1130" s="376">
        <v>1</v>
      </c>
      <c r="N1130" s="377">
        <v>1199.99</v>
      </c>
      <c r="O1130" s="377">
        <v>1199.99</v>
      </c>
    </row>
    <row r="1131" ht="9" customHeight="1" hidden="1">
      <c r="I1131" s="373"/>
      <c r="J1131" s="374"/>
      <c r="K1131" s="374"/>
      <c r="L1131" t="s" s="375">
        <v>73</v>
      </c>
      <c r="M1131" s="376">
        <v>1</v>
      </c>
      <c r="N1131" s="377">
        <v>399.99</v>
      </c>
      <c r="O1131" s="377">
        <v>399.99</v>
      </c>
    </row>
    <row r="1132" ht="9" customHeight="1" hidden="1">
      <c r="I1132" s="373"/>
      <c r="J1132" s="374"/>
      <c r="K1132" s="374"/>
      <c r="L1132" t="s" s="375">
        <v>15</v>
      </c>
      <c r="M1132" s="376">
        <v>1</v>
      </c>
      <c r="N1132" s="377">
        <v>9.99</v>
      </c>
      <c r="O1132" s="377">
        <v>9.99</v>
      </c>
    </row>
    <row r="1133" ht="9" customHeight="1" hidden="1">
      <c r="I1133" s="373"/>
      <c r="J1133" s="374"/>
      <c r="K1133" s="378">
        <v>44986</v>
      </c>
      <c r="L1133" s="128"/>
      <c r="M1133" s="129">
        <v>4</v>
      </c>
      <c r="N1133" s="142">
        <v>1729.96</v>
      </c>
      <c r="O1133" s="142">
        <v>1729.96</v>
      </c>
    </row>
    <row r="1134" ht="9" customHeight="1" hidden="1">
      <c r="I1134" s="373"/>
      <c r="J1134" t="s" s="379">
        <v>5993</v>
      </c>
      <c r="K1134" s="127"/>
      <c r="L1134" s="128"/>
      <c r="M1134" s="129">
        <v>4</v>
      </c>
      <c r="N1134" s="142">
        <v>1729.96</v>
      </c>
      <c r="O1134" s="142">
        <v>1729.96</v>
      </c>
    </row>
    <row r="1135" ht="16.1" customHeight="1">
      <c r="I1135" t="s" s="126">
        <v>5994</v>
      </c>
      <c r="J1135" s="127"/>
      <c r="K1135" s="127"/>
      <c r="L1135" s="128"/>
      <c r="M1135" s="129">
        <v>4</v>
      </c>
      <c r="N1135" s="142">
        <v>1729.96</v>
      </c>
      <c r="O1135" s="142">
        <v>1729.96</v>
      </c>
    </row>
    <row r="1136" ht="9" customHeight="1" hidden="1">
      <c r="I1136" s="373"/>
      <c r="J1136" s="374"/>
      <c r="K1136" s="374"/>
      <c r="L1136" t="s" s="375">
        <v>412</v>
      </c>
      <c r="M1136" s="376">
        <v>5</v>
      </c>
      <c r="N1136" s="377">
        <v>1.99</v>
      </c>
      <c r="O1136" s="377">
        <v>9.949999999999999</v>
      </c>
    </row>
    <row r="1137" ht="9" customHeight="1" hidden="1">
      <c r="I1137" s="373"/>
      <c r="J1137" s="374"/>
      <c r="K1137" s="374"/>
      <c r="L1137" t="s" s="375">
        <v>50</v>
      </c>
      <c r="M1137" s="376">
        <v>1</v>
      </c>
      <c r="N1137" s="377">
        <v>29.99</v>
      </c>
      <c r="O1137" s="377">
        <v>29.99</v>
      </c>
    </row>
    <row r="1138" ht="9" customHeight="1" hidden="1">
      <c r="I1138" s="373"/>
      <c r="J1138" s="374"/>
      <c r="K1138" s="378">
        <v>44986</v>
      </c>
      <c r="L1138" s="128"/>
      <c r="M1138" s="129">
        <v>6</v>
      </c>
      <c r="N1138" s="142">
        <v>31.98</v>
      </c>
      <c r="O1138" s="142">
        <v>39.94</v>
      </c>
    </row>
    <row r="1139" ht="9" customHeight="1" hidden="1">
      <c r="I1139" s="373"/>
      <c r="J1139" t="s" s="379">
        <v>5937</v>
      </c>
      <c r="K1139" s="127"/>
      <c r="L1139" s="128"/>
      <c r="M1139" s="129">
        <v>6</v>
      </c>
      <c r="N1139" s="142">
        <v>31.98</v>
      </c>
      <c r="O1139" s="142">
        <v>39.94</v>
      </c>
    </row>
    <row r="1140" ht="16.1" customHeight="1">
      <c r="I1140" t="s" s="126">
        <v>3038</v>
      </c>
      <c r="J1140" s="127"/>
      <c r="K1140" s="127"/>
      <c r="L1140" s="128"/>
      <c r="M1140" s="129">
        <v>6</v>
      </c>
      <c r="N1140" s="142">
        <v>31.98</v>
      </c>
      <c r="O1140" s="142">
        <v>39.94</v>
      </c>
    </row>
    <row r="1141" ht="9" customHeight="1" hidden="1">
      <c r="I1141" s="373"/>
      <c r="J1141" s="374"/>
      <c r="K1141" s="374"/>
      <c r="L1141" t="s" s="375">
        <v>5845</v>
      </c>
      <c r="M1141" s="376">
        <v>6</v>
      </c>
      <c r="N1141" s="377">
        <v>9.99</v>
      </c>
      <c r="O1141" s="377">
        <v>59.94</v>
      </c>
    </row>
    <row r="1142" ht="9" customHeight="1" hidden="1">
      <c r="I1142" s="373"/>
      <c r="J1142" s="374"/>
      <c r="K1142" s="378">
        <v>44986</v>
      </c>
      <c r="L1142" s="128"/>
      <c r="M1142" s="129">
        <v>6</v>
      </c>
      <c r="N1142" s="142">
        <v>9.99</v>
      </c>
      <c r="O1142" s="142">
        <v>59.94</v>
      </c>
    </row>
    <row r="1143" ht="9" customHeight="1" hidden="1">
      <c r="I1143" s="373"/>
      <c r="J1143" t="s" s="379">
        <v>5843</v>
      </c>
      <c r="K1143" s="127"/>
      <c r="L1143" s="128"/>
      <c r="M1143" s="129">
        <v>6</v>
      </c>
      <c r="N1143" s="142">
        <v>9.99</v>
      </c>
      <c r="O1143" s="142">
        <v>59.94</v>
      </c>
    </row>
    <row r="1144" ht="16.1" customHeight="1">
      <c r="I1144" t="s" s="126">
        <v>5844</v>
      </c>
      <c r="J1144" s="127"/>
      <c r="K1144" s="127"/>
      <c r="L1144" s="128"/>
      <c r="M1144" s="129">
        <v>6</v>
      </c>
      <c r="N1144" s="142">
        <v>9.99</v>
      </c>
      <c r="O1144" s="142">
        <v>59.94</v>
      </c>
    </row>
    <row r="1145" ht="9" customHeight="1" hidden="1">
      <c r="I1145" s="373"/>
      <c r="J1145" s="374"/>
      <c r="K1145" s="374"/>
      <c r="L1145" t="s" s="375">
        <v>95</v>
      </c>
      <c r="M1145" s="376">
        <v>2</v>
      </c>
      <c r="N1145" s="377">
        <v>349.99</v>
      </c>
      <c r="O1145" s="377">
        <v>699.98</v>
      </c>
    </row>
    <row r="1146" ht="9" customHeight="1" hidden="1">
      <c r="I1146" s="373"/>
      <c r="J1146" s="374"/>
      <c r="K1146" s="378">
        <v>44986</v>
      </c>
      <c r="L1146" s="128"/>
      <c r="M1146" s="129">
        <v>2</v>
      </c>
      <c r="N1146" s="142">
        <v>349.99</v>
      </c>
      <c r="O1146" s="142">
        <v>699.98</v>
      </c>
    </row>
    <row r="1147" ht="9" customHeight="1" hidden="1">
      <c r="I1147" s="373"/>
      <c r="J1147" t="s" s="379">
        <v>5967</v>
      </c>
      <c r="K1147" s="127"/>
      <c r="L1147" s="128"/>
      <c r="M1147" s="129">
        <v>2</v>
      </c>
      <c r="N1147" s="142">
        <v>349.99</v>
      </c>
      <c r="O1147" s="142">
        <v>699.98</v>
      </c>
    </row>
    <row r="1148" ht="16.1" customHeight="1">
      <c r="I1148" t="s" s="126">
        <v>5968</v>
      </c>
      <c r="J1148" s="127"/>
      <c r="K1148" s="127"/>
      <c r="L1148" s="128"/>
      <c r="M1148" s="129">
        <v>2</v>
      </c>
      <c r="N1148" s="142">
        <v>349.99</v>
      </c>
      <c r="O1148" s="142">
        <v>699.98</v>
      </c>
    </row>
    <row r="1149" ht="9" customHeight="1" hidden="1">
      <c r="I1149" s="373"/>
      <c r="J1149" s="374"/>
      <c r="K1149" s="374"/>
      <c r="L1149" t="s" s="375">
        <v>95</v>
      </c>
      <c r="M1149" s="376">
        <v>1</v>
      </c>
      <c r="N1149" s="377">
        <v>349.99</v>
      </c>
      <c r="O1149" s="377">
        <v>349.99</v>
      </c>
    </row>
    <row r="1150" ht="9" customHeight="1" hidden="1">
      <c r="I1150" s="373"/>
      <c r="J1150" s="374"/>
      <c r="K1150" s="378">
        <v>44986</v>
      </c>
      <c r="L1150" s="128"/>
      <c r="M1150" s="129">
        <v>1</v>
      </c>
      <c r="N1150" s="142">
        <v>349.99</v>
      </c>
      <c r="O1150" s="142">
        <v>349.99</v>
      </c>
    </row>
    <row r="1151" ht="9" customHeight="1" hidden="1">
      <c r="I1151" s="373"/>
      <c r="J1151" t="s" s="379">
        <v>5904</v>
      </c>
      <c r="K1151" s="127"/>
      <c r="L1151" s="128"/>
      <c r="M1151" s="129">
        <v>1</v>
      </c>
      <c r="N1151" s="142">
        <v>349.99</v>
      </c>
      <c r="O1151" s="142">
        <v>349.99</v>
      </c>
    </row>
    <row r="1152" ht="16.1" customHeight="1">
      <c r="I1152" t="s" s="126">
        <v>5905</v>
      </c>
      <c r="J1152" s="127"/>
      <c r="K1152" s="127"/>
      <c r="L1152" s="128"/>
      <c r="M1152" s="129">
        <v>1</v>
      </c>
      <c r="N1152" s="142">
        <v>349.99</v>
      </c>
      <c r="O1152" s="142">
        <v>349.99</v>
      </c>
    </row>
    <row r="1153" ht="9" customHeight="1" hidden="1">
      <c r="I1153" s="373"/>
      <c r="J1153" s="374"/>
      <c r="K1153" s="374"/>
      <c r="L1153" t="s" s="375">
        <v>123</v>
      </c>
      <c r="M1153" s="376">
        <v>2</v>
      </c>
      <c r="N1153" s="377">
        <v>179.99</v>
      </c>
      <c r="O1153" s="377">
        <v>359.98</v>
      </c>
    </row>
    <row r="1154" ht="9" customHeight="1" hidden="1">
      <c r="I1154" s="373"/>
      <c r="J1154" s="374"/>
      <c r="K1154" s="374"/>
      <c r="L1154" t="s" s="375">
        <v>54</v>
      </c>
      <c r="M1154" s="376">
        <v>4</v>
      </c>
      <c r="N1154" s="377">
        <v>0</v>
      </c>
      <c r="O1154" s="377">
        <v>0</v>
      </c>
    </row>
    <row r="1155" ht="9" customHeight="1" hidden="1">
      <c r="I1155" s="373"/>
      <c r="J1155" s="374"/>
      <c r="K1155" s="374"/>
      <c r="L1155" t="s" s="375">
        <v>299</v>
      </c>
      <c r="M1155" s="376">
        <v>4</v>
      </c>
      <c r="N1155" s="377">
        <v>69.98999999999999</v>
      </c>
      <c r="O1155" s="377">
        <v>279.96</v>
      </c>
    </row>
    <row r="1156" ht="9" customHeight="1" hidden="1">
      <c r="I1156" s="373"/>
      <c r="J1156" s="374"/>
      <c r="K1156" s="374"/>
      <c r="L1156" t="s" s="375">
        <v>882</v>
      </c>
      <c r="M1156" s="376">
        <v>4</v>
      </c>
      <c r="N1156" s="377">
        <v>74.98999999999999</v>
      </c>
      <c r="O1156" s="377">
        <v>299.96</v>
      </c>
    </row>
    <row r="1157" ht="9" customHeight="1" hidden="1">
      <c r="I1157" s="373"/>
      <c r="J1157" s="374"/>
      <c r="K1157" s="374"/>
      <c r="L1157" t="s" s="375">
        <v>487</v>
      </c>
      <c r="M1157" s="376">
        <v>3</v>
      </c>
      <c r="N1157" s="377">
        <v>109.99</v>
      </c>
      <c r="O1157" s="377">
        <v>329.97</v>
      </c>
    </row>
    <row r="1158" ht="9" customHeight="1" hidden="1">
      <c r="I1158" s="373"/>
      <c r="J1158" s="374"/>
      <c r="K1158" s="374"/>
      <c r="L1158" t="s" s="375">
        <v>23</v>
      </c>
      <c r="M1158" s="376">
        <v>2</v>
      </c>
      <c r="N1158" s="377">
        <v>0</v>
      </c>
      <c r="O1158" s="377">
        <v>0</v>
      </c>
    </row>
    <row r="1159" ht="9" customHeight="1" hidden="1">
      <c r="I1159" s="373"/>
      <c r="J1159" s="374"/>
      <c r="K1159" s="374"/>
      <c r="L1159" t="s" s="375">
        <v>602</v>
      </c>
      <c r="M1159" s="376">
        <v>2</v>
      </c>
      <c r="N1159" s="377">
        <v>175</v>
      </c>
      <c r="O1159" s="377">
        <v>350</v>
      </c>
    </row>
    <row r="1160" ht="9" customHeight="1" hidden="1">
      <c r="I1160" s="373"/>
      <c r="J1160" s="374"/>
      <c r="K1160" s="374"/>
      <c r="L1160" t="s" s="375">
        <v>52</v>
      </c>
      <c r="M1160" s="376">
        <v>4</v>
      </c>
      <c r="N1160" s="377">
        <v>0</v>
      </c>
      <c r="O1160" s="377">
        <v>0</v>
      </c>
    </row>
    <row r="1161" ht="9" customHeight="1" hidden="1">
      <c r="I1161" s="373"/>
      <c r="J1161" s="374"/>
      <c r="K1161" s="374"/>
      <c r="L1161" t="s" s="375">
        <v>146</v>
      </c>
      <c r="M1161" s="376">
        <v>2</v>
      </c>
      <c r="N1161" s="377">
        <v>19.99</v>
      </c>
      <c r="O1161" s="377">
        <v>39.98</v>
      </c>
    </row>
    <row r="1162" ht="9" customHeight="1" hidden="1">
      <c r="I1162" s="373"/>
      <c r="J1162" s="374"/>
      <c r="K1162" s="374"/>
      <c r="L1162" t="s" s="375">
        <v>50</v>
      </c>
      <c r="M1162" s="376">
        <v>4</v>
      </c>
      <c r="N1162" s="377">
        <v>0</v>
      </c>
      <c r="O1162" s="377">
        <v>0</v>
      </c>
    </row>
    <row r="1163" ht="9" customHeight="1" hidden="1">
      <c r="I1163" s="373"/>
      <c r="J1163" s="374"/>
      <c r="K1163" s="374"/>
      <c r="L1163" t="s" s="375">
        <v>48</v>
      </c>
      <c r="M1163" s="376">
        <v>4</v>
      </c>
      <c r="N1163" s="377">
        <v>1299.99</v>
      </c>
      <c r="O1163" s="377">
        <v>5199.96</v>
      </c>
    </row>
    <row r="1164" ht="9" customHeight="1" hidden="1">
      <c r="I1164" s="373"/>
      <c r="J1164" s="374"/>
      <c r="K1164" s="374"/>
      <c r="L1164" t="s" s="375">
        <v>143</v>
      </c>
      <c r="M1164" s="376">
        <v>1</v>
      </c>
      <c r="N1164" s="377">
        <v>3199.99</v>
      </c>
      <c r="O1164" s="377">
        <v>3199.99</v>
      </c>
    </row>
    <row r="1165" ht="9" customHeight="1" hidden="1">
      <c r="I1165" s="373"/>
      <c r="J1165" s="374"/>
      <c r="K1165" s="374"/>
      <c r="L1165" t="s" s="375">
        <v>15</v>
      </c>
      <c r="M1165" s="376">
        <v>4</v>
      </c>
      <c r="N1165" s="377">
        <v>0</v>
      </c>
      <c r="O1165" s="377">
        <v>0</v>
      </c>
    </row>
    <row r="1166" ht="9" customHeight="1" hidden="1">
      <c r="I1166" s="373"/>
      <c r="J1166" s="374"/>
      <c r="K1166" s="374"/>
      <c r="L1166" t="s" s="375">
        <v>6008</v>
      </c>
      <c r="M1166" s="376">
        <v>1</v>
      </c>
      <c r="N1166" s="377">
        <v>0</v>
      </c>
      <c r="O1166" s="377">
        <v>0</v>
      </c>
    </row>
    <row r="1167" ht="9" customHeight="1" hidden="1">
      <c r="I1167" s="373"/>
      <c r="J1167" s="374"/>
      <c r="K1167" s="378">
        <v>44986</v>
      </c>
      <c r="L1167" s="128"/>
      <c r="M1167" s="129">
        <v>41</v>
      </c>
      <c r="N1167" s="142">
        <v>5129.93</v>
      </c>
      <c r="O1167" s="142">
        <v>10059.8</v>
      </c>
    </row>
    <row r="1168" ht="9" customHeight="1" hidden="1">
      <c r="I1168" s="373"/>
      <c r="J1168" t="s" s="379">
        <v>6002</v>
      </c>
      <c r="K1168" s="127"/>
      <c r="L1168" s="128"/>
      <c r="M1168" s="129">
        <v>41</v>
      </c>
      <c r="N1168" s="142">
        <v>5129.93</v>
      </c>
      <c r="O1168" s="142">
        <v>10059.8</v>
      </c>
    </row>
    <row r="1169" ht="16.1" customHeight="1">
      <c r="I1169" t="s" s="126">
        <v>1053</v>
      </c>
      <c r="J1169" s="127"/>
      <c r="K1169" s="127"/>
      <c r="L1169" s="128"/>
      <c r="M1169" s="129">
        <v>41</v>
      </c>
      <c r="N1169" s="142">
        <v>5129.93</v>
      </c>
      <c r="O1169" s="142">
        <v>10059.8</v>
      </c>
    </row>
    <row r="1170" ht="9" customHeight="1" hidden="1">
      <c r="I1170" s="373"/>
      <c r="J1170" s="374"/>
      <c r="K1170" s="374"/>
      <c r="L1170" t="s" s="375">
        <v>11</v>
      </c>
      <c r="M1170" s="376">
        <v>1</v>
      </c>
      <c r="N1170" s="377">
        <v>399.99</v>
      </c>
      <c r="O1170" s="377">
        <v>399.99</v>
      </c>
    </row>
    <row r="1171" ht="9" customHeight="1" hidden="1">
      <c r="I1171" s="373"/>
      <c r="J1171" s="374"/>
      <c r="K1171" s="378">
        <v>44986</v>
      </c>
      <c r="L1171" s="128"/>
      <c r="M1171" s="129">
        <v>1</v>
      </c>
      <c r="N1171" s="142">
        <v>399.99</v>
      </c>
      <c r="O1171" s="142">
        <v>399.99</v>
      </c>
    </row>
    <row r="1172" ht="9" customHeight="1" hidden="1">
      <c r="I1172" s="373"/>
      <c r="J1172" t="s" s="379">
        <v>5925</v>
      </c>
      <c r="K1172" s="127"/>
      <c r="L1172" s="128"/>
      <c r="M1172" s="129">
        <v>1</v>
      </c>
      <c r="N1172" s="142">
        <v>399.99</v>
      </c>
      <c r="O1172" s="142">
        <v>399.99</v>
      </c>
    </row>
    <row r="1173" ht="16.1" customHeight="1">
      <c r="I1173" t="s" s="126">
        <v>5926</v>
      </c>
      <c r="J1173" s="127"/>
      <c r="K1173" s="127"/>
      <c r="L1173" s="128"/>
      <c r="M1173" s="129">
        <v>1</v>
      </c>
      <c r="N1173" s="142">
        <v>399.99</v>
      </c>
      <c r="O1173" s="142">
        <v>399.99</v>
      </c>
    </row>
    <row r="1174" ht="9" customHeight="1" hidden="1">
      <c r="I1174" s="373"/>
      <c r="J1174" s="374"/>
      <c r="K1174" s="374"/>
      <c r="L1174" t="s" s="375">
        <v>227</v>
      </c>
      <c r="M1174" s="376">
        <v>4</v>
      </c>
      <c r="N1174" s="377">
        <v>0</v>
      </c>
      <c r="O1174" s="377">
        <v>0</v>
      </c>
    </row>
    <row r="1175" ht="9" customHeight="1" hidden="1">
      <c r="I1175" s="373"/>
      <c r="J1175" s="374"/>
      <c r="K1175" s="374"/>
      <c r="L1175" t="s" s="375">
        <v>4870</v>
      </c>
      <c r="M1175" s="376">
        <v>4</v>
      </c>
      <c r="N1175" s="377">
        <v>499.99</v>
      </c>
      <c r="O1175" s="377">
        <v>1999.96</v>
      </c>
    </row>
    <row r="1176" ht="9" customHeight="1" hidden="1">
      <c r="I1176" s="373"/>
      <c r="J1176" s="374"/>
      <c r="K1176" s="374"/>
      <c r="L1176" t="s" s="375">
        <v>143</v>
      </c>
      <c r="M1176" s="376">
        <v>1</v>
      </c>
      <c r="N1176" s="377">
        <v>3199.99</v>
      </c>
      <c r="O1176" s="377">
        <v>3199.99</v>
      </c>
    </row>
    <row r="1177" ht="9" customHeight="1" hidden="1">
      <c r="I1177" s="373"/>
      <c r="J1177" s="374"/>
      <c r="K1177" s="374"/>
      <c r="L1177" t="s" s="375">
        <v>59</v>
      </c>
      <c r="M1177" s="376">
        <v>1</v>
      </c>
      <c r="N1177" s="377">
        <v>1199.99</v>
      </c>
      <c r="O1177" s="377">
        <v>1199.99</v>
      </c>
    </row>
    <row r="1178" ht="9" customHeight="1" hidden="1">
      <c r="I1178" s="373"/>
      <c r="J1178" s="374"/>
      <c r="K1178" s="378">
        <v>44986</v>
      </c>
      <c r="L1178" s="128"/>
      <c r="M1178" s="129">
        <v>10</v>
      </c>
      <c r="N1178" s="142">
        <v>4899.97</v>
      </c>
      <c r="O1178" s="142">
        <v>6399.94</v>
      </c>
    </row>
    <row r="1179" ht="9" customHeight="1" hidden="1">
      <c r="I1179" s="373"/>
      <c r="J1179" t="s" s="379">
        <v>6039</v>
      </c>
      <c r="K1179" s="127"/>
      <c r="L1179" s="128"/>
      <c r="M1179" s="129">
        <v>10</v>
      </c>
      <c r="N1179" s="142">
        <v>4899.97</v>
      </c>
      <c r="O1179" s="142">
        <v>6399.94</v>
      </c>
    </row>
    <row r="1180" ht="16.1" customHeight="1">
      <c r="I1180" t="s" s="126">
        <v>6040</v>
      </c>
      <c r="J1180" s="127"/>
      <c r="K1180" s="127"/>
      <c r="L1180" s="128"/>
      <c r="M1180" s="129">
        <v>10</v>
      </c>
      <c r="N1180" s="142">
        <v>4899.97</v>
      </c>
      <c r="O1180" s="142">
        <v>6399.94</v>
      </c>
    </row>
    <row r="1181" ht="9" customHeight="1" hidden="1">
      <c r="I1181" s="373"/>
      <c r="J1181" s="374"/>
      <c r="K1181" s="374"/>
      <c r="L1181" t="s" s="375">
        <v>50</v>
      </c>
      <c r="M1181" s="376">
        <v>1</v>
      </c>
      <c r="N1181" s="377">
        <v>22.4925</v>
      </c>
      <c r="O1181" s="377">
        <v>22.4925</v>
      </c>
    </row>
    <row r="1182" ht="9" customHeight="1" hidden="1">
      <c r="I1182" s="373"/>
      <c r="J1182" s="374"/>
      <c r="K1182" s="374"/>
      <c r="L1182" t="s" s="375">
        <v>63</v>
      </c>
      <c r="M1182" s="376">
        <v>1</v>
      </c>
      <c r="N1182" s="377">
        <v>28.78</v>
      </c>
      <c r="O1182" s="377">
        <v>28.78</v>
      </c>
    </row>
    <row r="1183" ht="9" customHeight="1" hidden="1">
      <c r="I1183" s="373"/>
      <c r="J1183" s="374"/>
      <c r="K1183" s="378">
        <v>44986</v>
      </c>
      <c r="L1183" s="128"/>
      <c r="M1183" s="129">
        <v>2</v>
      </c>
      <c r="N1183" s="142">
        <v>51.2725</v>
      </c>
      <c r="O1183" s="142">
        <v>51.2725</v>
      </c>
    </row>
    <row r="1184" ht="9" customHeight="1" hidden="1">
      <c r="I1184" s="373"/>
      <c r="J1184" t="s" s="379">
        <v>5888</v>
      </c>
      <c r="K1184" s="127"/>
      <c r="L1184" s="128"/>
      <c r="M1184" s="129">
        <v>2</v>
      </c>
      <c r="N1184" s="142">
        <v>51.2725</v>
      </c>
      <c r="O1184" s="142">
        <v>51.2725</v>
      </c>
    </row>
    <row r="1185" ht="16.1" customHeight="1">
      <c r="I1185" t="s" s="126">
        <v>122</v>
      </c>
      <c r="J1185" s="127"/>
      <c r="K1185" s="127"/>
      <c r="L1185" s="128"/>
      <c r="M1185" s="129">
        <v>2</v>
      </c>
      <c r="N1185" s="142">
        <v>51.2725</v>
      </c>
      <c r="O1185" s="142">
        <v>51.2725</v>
      </c>
    </row>
    <row r="1186" ht="9" customHeight="1" hidden="1">
      <c r="I1186" s="373"/>
      <c r="J1186" s="374"/>
      <c r="K1186" s="374"/>
      <c r="L1186" t="s" s="375">
        <v>123</v>
      </c>
      <c r="M1186" s="376">
        <v>6</v>
      </c>
      <c r="N1186" s="377">
        <v>134.9925</v>
      </c>
      <c r="O1186" s="377">
        <v>809.955</v>
      </c>
    </row>
    <row r="1187" ht="9" customHeight="1" hidden="1">
      <c r="I1187" s="373"/>
      <c r="J1187" s="374"/>
      <c r="K1187" s="374"/>
      <c r="L1187" t="s" s="375">
        <v>54</v>
      </c>
      <c r="M1187" s="376">
        <v>12</v>
      </c>
      <c r="N1187" s="377">
        <v>7.4925</v>
      </c>
      <c r="O1187" s="377">
        <v>89.91</v>
      </c>
    </row>
    <row r="1188" ht="9" customHeight="1" hidden="1">
      <c r="I1188" s="373"/>
      <c r="J1188" s="374"/>
      <c r="K1188" s="374"/>
      <c r="L1188" t="s" s="375">
        <v>589</v>
      </c>
      <c r="M1188" s="376">
        <v>3</v>
      </c>
      <c r="N1188" s="377">
        <v>5.6175</v>
      </c>
      <c r="O1188" s="377">
        <v>16.8525</v>
      </c>
    </row>
    <row r="1189" ht="9" customHeight="1" hidden="1">
      <c r="I1189" s="373"/>
      <c r="J1189" s="374"/>
      <c r="K1189" s="374"/>
      <c r="L1189" t="s" s="375">
        <v>882</v>
      </c>
      <c r="M1189" s="376">
        <v>12</v>
      </c>
      <c r="N1189" s="377">
        <v>56.2425</v>
      </c>
      <c r="O1189" s="377">
        <v>674.91</v>
      </c>
    </row>
    <row r="1190" ht="9" customHeight="1" hidden="1">
      <c r="I1190" s="373"/>
      <c r="J1190" s="374"/>
      <c r="K1190" s="374"/>
      <c r="L1190" t="s" s="375">
        <v>462</v>
      </c>
      <c r="M1190" s="376">
        <v>6</v>
      </c>
      <c r="N1190" s="377">
        <v>149.9925</v>
      </c>
      <c r="O1190" s="377">
        <v>899.955</v>
      </c>
    </row>
    <row r="1191" ht="9" customHeight="1" hidden="1">
      <c r="I1191" s="373"/>
      <c r="J1191" s="374"/>
      <c r="K1191" s="374"/>
      <c r="L1191" t="s" s="375">
        <v>602</v>
      </c>
      <c r="M1191" s="376">
        <v>12</v>
      </c>
      <c r="N1191" s="377">
        <v>224.9925</v>
      </c>
      <c r="O1191" s="377">
        <v>2699.91</v>
      </c>
    </row>
    <row r="1192" ht="9" customHeight="1" hidden="1">
      <c r="I1192" s="373"/>
      <c r="J1192" s="374"/>
      <c r="K1192" s="374"/>
      <c r="L1192" t="s" s="375">
        <v>722</v>
      </c>
      <c r="M1192" s="376">
        <v>12</v>
      </c>
      <c r="N1192" s="377">
        <v>652.4924999999999</v>
      </c>
      <c r="O1192" s="377">
        <v>7829.91</v>
      </c>
    </row>
    <row r="1193" ht="9" customHeight="1" hidden="1">
      <c r="I1193" s="373"/>
      <c r="J1193" s="374"/>
      <c r="K1193" s="374"/>
      <c r="L1193" t="s" s="375">
        <v>50</v>
      </c>
      <c r="M1193" s="376">
        <v>12</v>
      </c>
      <c r="N1193" s="377">
        <v>0</v>
      </c>
      <c r="O1193" s="377">
        <v>0</v>
      </c>
    </row>
    <row r="1194" ht="9" customHeight="1" hidden="1">
      <c r="I1194" s="373"/>
      <c r="J1194" s="374"/>
      <c r="K1194" s="374"/>
      <c r="L1194" t="s" s="375">
        <v>73</v>
      </c>
      <c r="M1194" s="376">
        <v>3</v>
      </c>
      <c r="N1194" s="377">
        <v>299.9925</v>
      </c>
      <c r="O1194" s="377">
        <v>899.9775</v>
      </c>
    </row>
    <row r="1195" ht="9" customHeight="1" hidden="1">
      <c r="I1195" s="373"/>
      <c r="J1195" s="374"/>
      <c r="K1195" s="374"/>
      <c r="L1195" t="s" s="375">
        <v>559</v>
      </c>
      <c r="M1195" s="376">
        <v>150</v>
      </c>
      <c r="N1195" s="377">
        <v>0</v>
      </c>
      <c r="O1195" s="377">
        <v>0</v>
      </c>
    </row>
    <row r="1196" ht="9" customHeight="1" hidden="1">
      <c r="I1196" s="373"/>
      <c r="J1196" s="374"/>
      <c r="K1196" s="374"/>
      <c r="L1196" t="s" s="375">
        <v>47</v>
      </c>
      <c r="M1196" s="376">
        <v>1</v>
      </c>
      <c r="N1196" s="377">
        <v>200</v>
      </c>
      <c r="O1196" s="377">
        <v>200</v>
      </c>
    </row>
    <row r="1197" ht="9" customHeight="1" hidden="1">
      <c r="I1197" s="373"/>
      <c r="J1197" s="374"/>
      <c r="K1197" s="378">
        <v>44986</v>
      </c>
      <c r="L1197" s="128"/>
      <c r="M1197" s="129">
        <v>229</v>
      </c>
      <c r="N1197" s="142">
        <v>1731.815</v>
      </c>
      <c r="O1197" s="142">
        <v>14121.38</v>
      </c>
    </row>
    <row r="1198" ht="9" customHeight="1" hidden="1">
      <c r="I1198" s="373"/>
      <c r="J1198" t="s" s="379">
        <v>5911</v>
      </c>
      <c r="K1198" s="127"/>
      <c r="L1198" s="128"/>
      <c r="M1198" s="129">
        <v>229</v>
      </c>
      <c r="N1198" s="142">
        <v>1731.815</v>
      </c>
      <c r="O1198" s="142">
        <v>14121.38</v>
      </c>
    </row>
    <row r="1199" ht="16.1" customHeight="1">
      <c r="I1199" t="s" s="126">
        <v>1622</v>
      </c>
      <c r="J1199" s="127"/>
      <c r="K1199" s="127"/>
      <c r="L1199" s="128"/>
      <c r="M1199" s="129">
        <v>229</v>
      </c>
      <c r="N1199" s="142">
        <v>1731.815</v>
      </c>
      <c r="O1199" s="142">
        <v>14121.38</v>
      </c>
    </row>
    <row r="1200" ht="9" customHeight="1" hidden="1">
      <c r="I1200" s="373"/>
      <c r="J1200" s="374"/>
      <c r="K1200" s="374"/>
      <c r="L1200" t="s" s="375">
        <v>1030</v>
      </c>
      <c r="M1200" s="376">
        <v>1</v>
      </c>
      <c r="N1200" s="377">
        <v>0</v>
      </c>
      <c r="O1200" s="377">
        <v>0</v>
      </c>
    </row>
    <row r="1201" ht="9" customHeight="1" hidden="1">
      <c r="I1201" s="373"/>
      <c r="J1201" s="374"/>
      <c r="K1201" s="378">
        <v>44986</v>
      </c>
      <c r="L1201" s="128"/>
      <c r="M1201" s="129">
        <v>1</v>
      </c>
      <c r="N1201" s="142">
        <v>0</v>
      </c>
      <c r="O1201" s="142">
        <v>0</v>
      </c>
    </row>
    <row r="1202" ht="9" customHeight="1" hidden="1">
      <c r="I1202" s="373"/>
      <c r="J1202" t="s" s="379">
        <v>6012</v>
      </c>
      <c r="K1202" s="127"/>
      <c r="L1202" s="128"/>
      <c r="M1202" s="129">
        <v>1</v>
      </c>
      <c r="N1202" s="142">
        <v>0</v>
      </c>
      <c r="O1202" s="142">
        <v>0</v>
      </c>
    </row>
    <row r="1203" ht="9" customHeight="1" hidden="1">
      <c r="I1203" s="373"/>
      <c r="J1203" s="374"/>
      <c r="K1203" s="374"/>
      <c r="L1203" t="s" s="375">
        <v>50</v>
      </c>
      <c r="M1203" s="376">
        <v>6</v>
      </c>
      <c r="N1203" s="377">
        <v>20</v>
      </c>
      <c r="O1203" s="377">
        <v>120</v>
      </c>
    </row>
    <row r="1204" ht="9" customHeight="1" hidden="1">
      <c r="I1204" s="373"/>
      <c r="J1204" s="374"/>
      <c r="K1204" s="378">
        <v>44986</v>
      </c>
      <c r="L1204" s="128"/>
      <c r="M1204" s="129">
        <v>6</v>
      </c>
      <c r="N1204" s="142">
        <v>20</v>
      </c>
      <c r="O1204" s="142">
        <v>120</v>
      </c>
    </row>
    <row r="1205" ht="9" customHeight="1" hidden="1">
      <c r="I1205" s="373"/>
      <c r="J1205" t="s" s="379">
        <v>5901</v>
      </c>
      <c r="K1205" s="127"/>
      <c r="L1205" s="128"/>
      <c r="M1205" s="129">
        <v>6</v>
      </c>
      <c r="N1205" s="142">
        <v>20</v>
      </c>
      <c r="O1205" s="142">
        <v>120</v>
      </c>
    </row>
    <row r="1206" ht="16.1" customHeight="1">
      <c r="I1206" t="s" s="126">
        <v>2931</v>
      </c>
      <c r="J1206" s="127"/>
      <c r="K1206" s="127"/>
      <c r="L1206" s="128"/>
      <c r="M1206" s="129">
        <v>7</v>
      </c>
      <c r="N1206" s="142">
        <v>20</v>
      </c>
      <c r="O1206" s="142">
        <v>120</v>
      </c>
    </row>
    <row r="1207" ht="9" customHeight="1" hidden="1">
      <c r="I1207" s="373"/>
      <c r="J1207" s="374"/>
      <c r="K1207" s="374"/>
      <c r="L1207" t="s" s="375">
        <v>35</v>
      </c>
      <c r="M1207" s="376">
        <v>2</v>
      </c>
      <c r="N1207" s="377">
        <v>49.99</v>
      </c>
      <c r="O1207" s="377">
        <v>99.98</v>
      </c>
    </row>
    <row r="1208" ht="9" customHeight="1" hidden="1">
      <c r="I1208" s="373"/>
      <c r="J1208" s="374"/>
      <c r="K1208" s="378">
        <v>44986</v>
      </c>
      <c r="L1208" s="128"/>
      <c r="M1208" s="129">
        <v>2</v>
      </c>
      <c r="N1208" s="142">
        <v>49.99</v>
      </c>
      <c r="O1208" s="142">
        <v>99.98</v>
      </c>
    </row>
    <row r="1209" ht="9" customHeight="1" hidden="1">
      <c r="I1209" s="373"/>
      <c r="J1209" t="s" s="379">
        <v>5962</v>
      </c>
      <c r="K1209" s="127"/>
      <c r="L1209" s="128"/>
      <c r="M1209" s="129">
        <v>2</v>
      </c>
      <c r="N1209" s="142">
        <v>49.99</v>
      </c>
      <c r="O1209" s="142">
        <v>99.98</v>
      </c>
    </row>
    <row r="1210" ht="16.1" customHeight="1">
      <c r="I1210" t="s" s="126">
        <v>5963</v>
      </c>
      <c r="J1210" s="127"/>
      <c r="K1210" s="127"/>
      <c r="L1210" s="128"/>
      <c r="M1210" s="129">
        <v>2</v>
      </c>
      <c r="N1210" s="142">
        <v>49.99</v>
      </c>
      <c r="O1210" s="142">
        <v>99.98</v>
      </c>
    </row>
    <row r="1211" ht="9" customHeight="1" hidden="1">
      <c r="I1211" s="373"/>
      <c r="J1211" s="374"/>
      <c r="K1211" s="374"/>
      <c r="L1211" t="s" s="375">
        <v>35</v>
      </c>
      <c r="M1211" s="376">
        <v>1</v>
      </c>
      <c r="N1211" s="377">
        <v>49.99</v>
      </c>
      <c r="O1211" s="377">
        <v>49.99</v>
      </c>
    </row>
    <row r="1212" ht="9" customHeight="1" hidden="1">
      <c r="I1212" s="373"/>
      <c r="J1212" s="374"/>
      <c r="K1212" s="374"/>
      <c r="L1212" t="s" s="375">
        <v>171</v>
      </c>
      <c r="M1212" s="376">
        <v>1</v>
      </c>
      <c r="N1212" s="377">
        <v>549.99</v>
      </c>
      <c r="O1212" s="377">
        <v>549.99</v>
      </c>
    </row>
    <row r="1213" ht="9" customHeight="1" hidden="1">
      <c r="I1213" s="373"/>
      <c r="J1213" s="374"/>
      <c r="K1213" s="378">
        <v>44986</v>
      </c>
      <c r="L1213" s="128"/>
      <c r="M1213" s="129">
        <v>2</v>
      </c>
      <c r="N1213" s="142">
        <v>599.98</v>
      </c>
      <c r="O1213" s="142">
        <v>599.98</v>
      </c>
    </row>
    <row r="1214" ht="9" customHeight="1" hidden="1">
      <c r="I1214" s="373"/>
      <c r="J1214" t="s" s="379">
        <v>6054</v>
      </c>
      <c r="K1214" s="127"/>
      <c r="L1214" s="128"/>
      <c r="M1214" s="129">
        <v>2</v>
      </c>
      <c r="N1214" s="142">
        <v>599.98</v>
      </c>
      <c r="O1214" s="142">
        <v>599.98</v>
      </c>
    </row>
    <row r="1215" ht="16.1" customHeight="1">
      <c r="I1215" t="s" s="126">
        <v>6055</v>
      </c>
      <c r="J1215" s="127"/>
      <c r="K1215" s="127"/>
      <c r="L1215" s="128"/>
      <c r="M1215" s="129">
        <v>2</v>
      </c>
      <c r="N1215" s="142">
        <v>599.98</v>
      </c>
      <c r="O1215" s="142">
        <v>599.98</v>
      </c>
    </row>
    <row r="1216" ht="9" customHeight="1" hidden="1">
      <c r="I1216" s="373"/>
      <c r="J1216" s="374"/>
      <c r="K1216" s="374"/>
      <c r="L1216" t="s" s="375">
        <v>35</v>
      </c>
      <c r="M1216" s="376">
        <v>2</v>
      </c>
      <c r="N1216" s="377">
        <v>49.99</v>
      </c>
      <c r="O1216" s="377">
        <v>99.98</v>
      </c>
    </row>
    <row r="1217" ht="9" customHeight="1" hidden="1">
      <c r="I1217" s="373"/>
      <c r="J1217" s="374"/>
      <c r="K1217" s="374"/>
      <c r="L1217" t="s" s="375">
        <v>31</v>
      </c>
      <c r="M1217" s="376">
        <v>2</v>
      </c>
      <c r="N1217" s="377">
        <v>599.99</v>
      </c>
      <c r="O1217" s="377">
        <v>1199.98</v>
      </c>
    </row>
    <row r="1218" ht="9" customHeight="1" hidden="1">
      <c r="I1218" s="373"/>
      <c r="J1218" s="374"/>
      <c r="K1218" s="378">
        <v>44986</v>
      </c>
      <c r="L1218" s="128"/>
      <c r="M1218" s="129">
        <v>4</v>
      </c>
      <c r="N1218" s="142">
        <v>649.98</v>
      </c>
      <c r="O1218" s="142">
        <v>1299.96</v>
      </c>
    </row>
    <row r="1219" ht="9" customHeight="1" hidden="1">
      <c r="I1219" s="373"/>
      <c r="J1219" t="s" s="379">
        <v>6063</v>
      </c>
      <c r="K1219" s="127"/>
      <c r="L1219" s="128"/>
      <c r="M1219" s="129">
        <v>4</v>
      </c>
      <c r="N1219" s="142">
        <v>649.98</v>
      </c>
      <c r="O1219" s="142">
        <v>1299.96</v>
      </c>
    </row>
    <row r="1220" ht="16.1" customHeight="1">
      <c r="I1220" t="s" s="126">
        <v>6064</v>
      </c>
      <c r="J1220" s="127"/>
      <c r="K1220" s="127"/>
      <c r="L1220" s="128"/>
      <c r="M1220" s="129">
        <v>4</v>
      </c>
      <c r="N1220" s="142">
        <v>649.98</v>
      </c>
      <c r="O1220" s="142">
        <v>1299.96</v>
      </c>
    </row>
    <row r="1221" ht="9" customHeight="1" hidden="1">
      <c r="I1221" s="373"/>
      <c r="J1221" s="374"/>
      <c r="K1221" s="374"/>
      <c r="L1221" t="s" s="375">
        <v>35</v>
      </c>
      <c r="M1221" s="376">
        <v>1</v>
      </c>
      <c r="N1221" s="377">
        <v>49.99</v>
      </c>
      <c r="O1221" s="377">
        <v>49.99</v>
      </c>
    </row>
    <row r="1222" ht="9" customHeight="1" hidden="1">
      <c r="I1222" s="373"/>
      <c r="J1222" s="374"/>
      <c r="K1222" s="374"/>
      <c r="L1222" t="s" s="375">
        <v>31</v>
      </c>
      <c r="M1222" s="376">
        <v>1</v>
      </c>
      <c r="N1222" s="377">
        <v>599.99</v>
      </c>
      <c r="O1222" s="377">
        <v>599.99</v>
      </c>
    </row>
    <row r="1223" ht="9" customHeight="1" hidden="1">
      <c r="I1223" s="373"/>
      <c r="J1223" s="374"/>
      <c r="K1223" s="378">
        <v>44986</v>
      </c>
      <c r="L1223" s="128"/>
      <c r="M1223" s="129">
        <v>2</v>
      </c>
      <c r="N1223" s="142">
        <v>649.98</v>
      </c>
      <c r="O1223" s="142">
        <v>649.98</v>
      </c>
    </row>
    <row r="1224" ht="9" customHeight="1" hidden="1">
      <c r="I1224" s="373"/>
      <c r="J1224" t="s" s="379">
        <v>5885</v>
      </c>
      <c r="K1224" s="127"/>
      <c r="L1224" s="128"/>
      <c r="M1224" s="129">
        <v>2</v>
      </c>
      <c r="N1224" s="142">
        <v>649.98</v>
      </c>
      <c r="O1224" s="142">
        <v>649.98</v>
      </c>
    </row>
    <row r="1225" ht="16.1" customHeight="1">
      <c r="I1225" t="s" s="126">
        <v>5886</v>
      </c>
      <c r="J1225" s="127"/>
      <c r="K1225" s="127"/>
      <c r="L1225" s="128"/>
      <c r="M1225" s="129">
        <v>2</v>
      </c>
      <c r="N1225" s="142">
        <v>649.98</v>
      </c>
      <c r="O1225" s="142">
        <v>649.98</v>
      </c>
    </row>
    <row r="1226" ht="9" customHeight="1" hidden="1">
      <c r="I1226" s="373"/>
      <c r="J1226" s="374"/>
      <c r="K1226" s="374"/>
      <c r="L1226" t="s" s="375">
        <v>1593</v>
      </c>
      <c r="M1226" s="376">
        <v>1</v>
      </c>
      <c r="N1226" s="377">
        <v>99.98999999999999</v>
      </c>
      <c r="O1226" s="377">
        <v>99.98999999999999</v>
      </c>
    </row>
    <row r="1227" ht="9" customHeight="1" hidden="1">
      <c r="I1227" s="373"/>
      <c r="J1227" s="374"/>
      <c r="K1227" s="378">
        <v>44986</v>
      </c>
      <c r="L1227" s="128"/>
      <c r="M1227" s="129">
        <v>1</v>
      </c>
      <c r="N1227" s="142">
        <v>99.98999999999999</v>
      </c>
      <c r="O1227" s="142">
        <v>99.98999999999999</v>
      </c>
    </row>
    <row r="1228" ht="9" customHeight="1" hidden="1">
      <c r="I1228" s="373"/>
      <c r="J1228" t="s" s="379">
        <v>6120</v>
      </c>
      <c r="K1228" s="127"/>
      <c r="L1228" s="128"/>
      <c r="M1228" s="129">
        <v>1</v>
      </c>
      <c r="N1228" s="142">
        <v>99.98999999999999</v>
      </c>
      <c r="O1228" s="142">
        <v>99.98999999999999</v>
      </c>
    </row>
    <row r="1229" ht="16.1" customHeight="1">
      <c r="I1229" t="s" s="126">
        <v>6121</v>
      </c>
      <c r="J1229" s="127"/>
      <c r="K1229" s="127"/>
      <c r="L1229" s="128"/>
      <c r="M1229" s="129">
        <v>1</v>
      </c>
      <c r="N1229" s="142">
        <v>99.98999999999999</v>
      </c>
      <c r="O1229" s="142">
        <v>99.98999999999999</v>
      </c>
    </row>
    <row r="1230" ht="9" customHeight="1" hidden="1">
      <c r="I1230" s="373"/>
      <c r="J1230" s="374"/>
      <c r="K1230" s="374"/>
      <c r="L1230" t="s" s="375">
        <v>179</v>
      </c>
      <c r="M1230" s="376">
        <v>2</v>
      </c>
      <c r="N1230" s="377">
        <v>49.99</v>
      </c>
      <c r="O1230" s="377">
        <v>99.98</v>
      </c>
    </row>
    <row r="1231" ht="9" customHeight="1" hidden="1">
      <c r="I1231" s="373"/>
      <c r="J1231" s="374"/>
      <c r="K1231" s="378">
        <v>44986</v>
      </c>
      <c r="L1231" s="128"/>
      <c r="M1231" s="129">
        <v>2</v>
      </c>
      <c r="N1231" s="142">
        <v>49.99</v>
      </c>
      <c r="O1231" s="142">
        <v>99.98</v>
      </c>
    </row>
    <row r="1232" ht="9" customHeight="1" hidden="1">
      <c r="I1232" s="373"/>
      <c r="J1232" t="s" s="379">
        <v>6115</v>
      </c>
      <c r="K1232" s="127"/>
      <c r="L1232" s="128"/>
      <c r="M1232" s="129">
        <v>2</v>
      </c>
      <c r="N1232" s="142">
        <v>49.99</v>
      </c>
      <c r="O1232" s="142">
        <v>99.98</v>
      </c>
    </row>
    <row r="1233" ht="16.1" customHeight="1">
      <c r="I1233" t="s" s="126">
        <v>5718</v>
      </c>
      <c r="J1233" s="127"/>
      <c r="K1233" s="127"/>
      <c r="L1233" s="128"/>
      <c r="M1233" s="129">
        <v>2</v>
      </c>
      <c r="N1233" s="142">
        <v>49.99</v>
      </c>
      <c r="O1233" s="142">
        <v>99.98</v>
      </c>
    </row>
    <row r="1234" ht="9" customHeight="1" hidden="1">
      <c r="I1234" s="373"/>
      <c r="J1234" s="374"/>
      <c r="K1234" s="374"/>
      <c r="L1234" t="s" s="375">
        <v>19</v>
      </c>
      <c r="M1234" s="376">
        <v>2</v>
      </c>
      <c r="N1234" s="377">
        <v>119.99</v>
      </c>
      <c r="O1234" s="377">
        <v>239.98</v>
      </c>
    </row>
    <row r="1235" ht="9" customHeight="1" hidden="1">
      <c r="I1235" s="373"/>
      <c r="J1235" s="374"/>
      <c r="K1235" s="374"/>
      <c r="L1235" t="s" s="375">
        <v>15</v>
      </c>
      <c r="M1235" s="376">
        <v>2</v>
      </c>
      <c r="N1235" s="377">
        <v>9.99</v>
      </c>
      <c r="O1235" s="377">
        <v>19.98</v>
      </c>
    </row>
    <row r="1236" ht="9" customHeight="1" hidden="1">
      <c r="I1236" s="373"/>
      <c r="J1236" s="374"/>
      <c r="K1236" s="378">
        <v>44986</v>
      </c>
      <c r="L1236" s="128"/>
      <c r="M1236" s="129">
        <v>4</v>
      </c>
      <c r="N1236" s="142">
        <v>129.98</v>
      </c>
      <c r="O1236" s="142">
        <v>259.96</v>
      </c>
    </row>
    <row r="1237" ht="9" customHeight="1" hidden="1">
      <c r="I1237" s="373"/>
      <c r="J1237" t="s" s="379">
        <v>5879</v>
      </c>
      <c r="K1237" s="127"/>
      <c r="L1237" s="128"/>
      <c r="M1237" s="129">
        <v>4</v>
      </c>
      <c r="N1237" s="142">
        <v>129.98</v>
      </c>
      <c r="O1237" s="142">
        <v>259.96</v>
      </c>
    </row>
    <row r="1238" ht="16.1" customHeight="1">
      <c r="I1238" t="s" s="126">
        <v>5880</v>
      </c>
      <c r="J1238" s="127"/>
      <c r="K1238" s="127"/>
      <c r="L1238" s="128"/>
      <c r="M1238" s="129">
        <v>4</v>
      </c>
      <c r="N1238" s="142">
        <v>129.98</v>
      </c>
      <c r="O1238" s="142">
        <v>259.96</v>
      </c>
    </row>
    <row r="1239" ht="9" customHeight="1" hidden="1">
      <c r="I1239" s="373"/>
      <c r="J1239" s="374"/>
      <c r="K1239" s="374"/>
      <c r="L1239" t="s" s="375">
        <v>11</v>
      </c>
      <c r="M1239" s="376">
        <v>1</v>
      </c>
      <c r="N1239" s="377">
        <v>399.99</v>
      </c>
      <c r="O1239" s="377">
        <v>399.99</v>
      </c>
    </row>
    <row r="1240" ht="9" customHeight="1" hidden="1">
      <c r="I1240" s="373"/>
      <c r="J1240" s="374"/>
      <c r="K1240" s="378">
        <v>44986</v>
      </c>
      <c r="L1240" s="128"/>
      <c r="M1240" s="129">
        <v>1</v>
      </c>
      <c r="N1240" s="142">
        <v>399.99</v>
      </c>
      <c r="O1240" s="142">
        <v>399.99</v>
      </c>
    </row>
    <row r="1241" ht="9" customHeight="1" hidden="1">
      <c r="I1241" s="373"/>
      <c r="J1241" t="s" s="379">
        <v>5943</v>
      </c>
      <c r="K1241" s="127"/>
      <c r="L1241" s="128"/>
      <c r="M1241" s="129">
        <v>1</v>
      </c>
      <c r="N1241" s="142">
        <v>399.99</v>
      </c>
      <c r="O1241" s="142">
        <v>399.99</v>
      </c>
    </row>
    <row r="1242" ht="16.1" customHeight="1">
      <c r="I1242" t="s" s="126">
        <v>5944</v>
      </c>
      <c r="J1242" s="127"/>
      <c r="K1242" s="127"/>
      <c r="L1242" s="128"/>
      <c r="M1242" s="129">
        <v>1</v>
      </c>
      <c r="N1242" s="142">
        <v>399.99</v>
      </c>
      <c r="O1242" s="142">
        <v>399.99</v>
      </c>
    </row>
    <row r="1243" ht="9" customHeight="1" hidden="1">
      <c r="I1243" s="373"/>
      <c r="J1243" s="374"/>
      <c r="K1243" s="374"/>
      <c r="L1243" t="s" s="375">
        <v>1236</v>
      </c>
      <c r="M1243" s="376">
        <v>1</v>
      </c>
      <c r="N1243" s="377">
        <v>0</v>
      </c>
      <c r="O1243" s="377">
        <v>0</v>
      </c>
    </row>
    <row r="1244" ht="9" customHeight="1" hidden="1">
      <c r="I1244" s="373"/>
      <c r="J1244" s="374"/>
      <c r="K1244" s="374"/>
      <c r="L1244" t="s" s="375">
        <v>762</v>
      </c>
      <c r="M1244" s="376">
        <v>1</v>
      </c>
      <c r="N1244" s="377">
        <v>0</v>
      </c>
      <c r="O1244" s="377">
        <v>0</v>
      </c>
    </row>
    <row r="1245" ht="9" customHeight="1" hidden="1">
      <c r="I1245" s="373"/>
      <c r="J1245" s="374"/>
      <c r="K1245" s="378">
        <v>44986</v>
      </c>
      <c r="L1245" s="128"/>
      <c r="M1245" s="129">
        <v>2</v>
      </c>
      <c r="N1245" s="142">
        <v>0</v>
      </c>
      <c r="O1245" s="142">
        <v>0</v>
      </c>
    </row>
    <row r="1246" ht="9" customHeight="1" hidden="1">
      <c r="I1246" s="373"/>
      <c r="J1246" t="s" s="379">
        <v>6030</v>
      </c>
      <c r="K1246" s="127"/>
      <c r="L1246" s="128"/>
      <c r="M1246" s="129">
        <v>2</v>
      </c>
      <c r="N1246" s="142">
        <v>0</v>
      </c>
      <c r="O1246" s="142">
        <v>0</v>
      </c>
    </row>
    <row r="1247" ht="16.1" customHeight="1">
      <c r="I1247" t="s" s="132">
        <v>2899</v>
      </c>
      <c r="J1247" s="133"/>
      <c r="K1247" s="133"/>
      <c r="L1247" s="134"/>
      <c r="M1247" s="135">
        <v>2</v>
      </c>
      <c r="N1247" s="143">
        <v>0</v>
      </c>
      <c r="O1247" s="143">
        <v>0</v>
      </c>
    </row>
    <row r="1248" ht="16.1" customHeight="1">
      <c r="I1248" t="s" s="33">
        <v>620</v>
      </c>
      <c r="J1248" s="90"/>
      <c r="K1248" s="90"/>
      <c r="L1248" s="91"/>
      <c r="M1248" s="34">
        <v>1609</v>
      </c>
      <c r="N1248" s="35">
        <v>77503.534499999994</v>
      </c>
      <c r="O1248" s="35">
        <v>160626.911</v>
      </c>
    </row>
    <row r="1250" ht="15.55" customHeight="1">
      <c r="P1250" t="s" s="2">
        <v>6130</v>
      </c>
      <c r="Q1250" s="2"/>
    </row>
    <row r="1251" ht="13.1" customHeight="1">
      <c r="P1251" t="s" s="37">
        <v>4</v>
      </c>
      <c r="Q1251" t="s" s="145">
        <v>617</v>
      </c>
    </row>
    <row r="1252" ht="13.1" customHeight="1">
      <c r="P1252" t="s" s="38">
        <v>412</v>
      </c>
      <c r="Q1252" s="34">
        <v>377</v>
      </c>
    </row>
    <row r="1253" ht="12.9" customHeight="1">
      <c r="P1253" t="s" s="40">
        <v>15</v>
      </c>
      <c r="Q1253" s="146">
        <v>181</v>
      </c>
    </row>
    <row r="1254" ht="12.9" customHeight="1">
      <c r="P1254" t="s" s="40">
        <v>559</v>
      </c>
      <c r="Q1254" s="146">
        <v>150</v>
      </c>
    </row>
    <row r="1255" ht="12.9" customHeight="1">
      <c r="P1255" t="s" s="40">
        <v>19</v>
      </c>
      <c r="Q1255" s="146">
        <v>71</v>
      </c>
    </row>
    <row r="1256" ht="12.9" customHeight="1">
      <c r="P1256" t="s" s="40">
        <v>50</v>
      </c>
      <c r="Q1256" s="146">
        <v>63</v>
      </c>
    </row>
    <row r="1257" ht="12.9" customHeight="1">
      <c r="P1257" t="s" s="40">
        <v>133</v>
      </c>
      <c r="Q1257" s="146">
        <v>56</v>
      </c>
    </row>
    <row r="1258" ht="12.9" customHeight="1">
      <c r="P1258" t="s" s="40">
        <v>54</v>
      </c>
      <c r="Q1258" s="146">
        <v>41</v>
      </c>
    </row>
    <row r="1259" ht="12.9" customHeight="1">
      <c r="P1259" t="s" s="40">
        <v>1695</v>
      </c>
      <c r="Q1259" s="146">
        <v>39</v>
      </c>
    </row>
    <row r="1260" ht="12.9" customHeight="1">
      <c r="P1260" t="s" s="40">
        <v>35</v>
      </c>
      <c r="Q1260" s="146">
        <v>33</v>
      </c>
    </row>
    <row r="1261" ht="12.9" customHeight="1">
      <c r="P1261" t="s" s="40">
        <v>48</v>
      </c>
      <c r="Q1261" s="146">
        <v>31</v>
      </c>
    </row>
    <row r="1262" ht="12.9" customHeight="1">
      <c r="P1262" t="s" s="40">
        <v>227</v>
      </c>
      <c r="Q1262" s="146">
        <v>26</v>
      </c>
    </row>
    <row r="1263" ht="12.9" customHeight="1">
      <c r="P1263" t="s" s="40">
        <v>5845</v>
      </c>
      <c r="Q1263" s="146">
        <v>26</v>
      </c>
    </row>
    <row r="1264" ht="12.9" customHeight="1">
      <c r="P1264" t="s" s="40">
        <v>179</v>
      </c>
      <c r="Q1264" s="146">
        <v>26</v>
      </c>
    </row>
    <row r="1265" ht="12.9" customHeight="1">
      <c r="P1265" t="s" s="40">
        <v>602</v>
      </c>
      <c r="Q1265" s="146">
        <v>25</v>
      </c>
    </row>
    <row r="1266" ht="12.9" customHeight="1">
      <c r="P1266" t="s" s="40">
        <v>23</v>
      </c>
      <c r="Q1266" s="146">
        <v>24</v>
      </c>
    </row>
    <row r="1267" ht="12.9" customHeight="1">
      <c r="P1267" t="s" s="40">
        <v>77</v>
      </c>
      <c r="Q1267" s="146">
        <v>24</v>
      </c>
    </row>
    <row r="1268" ht="12.9" customHeight="1">
      <c r="P1268" t="s" s="40">
        <v>2961</v>
      </c>
      <c r="Q1268" s="146">
        <v>23</v>
      </c>
    </row>
    <row r="1269" ht="12.9" customHeight="1">
      <c r="P1269" t="s" s="40">
        <v>882</v>
      </c>
      <c r="Q1269" s="146">
        <v>20</v>
      </c>
    </row>
    <row r="1270" ht="12.9" customHeight="1">
      <c r="P1270" t="s" s="40">
        <v>52</v>
      </c>
      <c r="Q1270" s="146">
        <v>19</v>
      </c>
    </row>
    <row r="1271" ht="12.9" customHeight="1">
      <c r="P1271" t="s" s="40">
        <v>95</v>
      </c>
      <c r="Q1271" s="146">
        <v>19</v>
      </c>
    </row>
    <row r="1272" ht="12.9" customHeight="1">
      <c r="P1272" t="s" s="40">
        <v>84</v>
      </c>
      <c r="Q1272" s="146">
        <v>18</v>
      </c>
    </row>
    <row r="1273" ht="12.9" customHeight="1">
      <c r="P1273" t="s" s="40">
        <v>73</v>
      </c>
      <c r="Q1273" s="146">
        <v>18</v>
      </c>
    </row>
    <row r="1274" ht="12.9" customHeight="1">
      <c r="P1274" t="s" s="40">
        <v>359</v>
      </c>
      <c r="Q1274" s="146">
        <v>17</v>
      </c>
    </row>
    <row r="1275" ht="12.9" customHeight="1">
      <c r="P1275" t="s" s="40">
        <v>81</v>
      </c>
      <c r="Q1275" s="146">
        <v>17</v>
      </c>
    </row>
    <row r="1276" ht="12.9" customHeight="1">
      <c r="P1276" t="s" s="40">
        <v>123</v>
      </c>
      <c r="Q1276" s="146">
        <v>16</v>
      </c>
    </row>
    <row r="1277" ht="12.9" customHeight="1">
      <c r="P1277" t="s" s="40">
        <v>225</v>
      </c>
      <c r="Q1277" s="146">
        <v>14</v>
      </c>
    </row>
    <row r="1278" ht="12.9" customHeight="1">
      <c r="P1278" t="s" s="40">
        <v>2787</v>
      </c>
      <c r="Q1278" s="146">
        <v>13</v>
      </c>
    </row>
    <row r="1279" ht="12.9" customHeight="1">
      <c r="P1279" t="s" s="40">
        <v>89</v>
      </c>
      <c r="Q1279" s="146">
        <v>13</v>
      </c>
    </row>
    <row r="1280" ht="12.9" customHeight="1">
      <c r="P1280" t="s" s="40">
        <v>722</v>
      </c>
      <c r="Q1280" s="146">
        <v>12</v>
      </c>
    </row>
    <row r="1281" ht="12.9" customHeight="1">
      <c r="P1281" t="s" s="40">
        <v>63</v>
      </c>
      <c r="Q1281" s="146">
        <v>12</v>
      </c>
    </row>
    <row r="1282" ht="12.9" customHeight="1">
      <c r="P1282" t="s" s="40">
        <v>31</v>
      </c>
      <c r="Q1282" s="146">
        <v>11</v>
      </c>
    </row>
    <row r="1283" ht="12.9" customHeight="1">
      <c r="P1283" t="s" s="40">
        <v>146</v>
      </c>
      <c r="Q1283" s="146">
        <v>10</v>
      </c>
    </row>
    <row r="1284" ht="12.9" customHeight="1">
      <c r="P1284" t="s" s="40">
        <v>258</v>
      </c>
      <c r="Q1284" s="146">
        <v>10</v>
      </c>
    </row>
    <row r="1285" ht="12.9" customHeight="1">
      <c r="P1285" t="s" s="40">
        <v>487</v>
      </c>
      <c r="Q1285" s="146">
        <v>9</v>
      </c>
    </row>
    <row r="1286" ht="12.9" customHeight="1">
      <c r="P1286" t="s" s="40">
        <v>171</v>
      </c>
      <c r="Q1286" s="146">
        <v>9</v>
      </c>
    </row>
    <row r="1287" ht="12.9" customHeight="1">
      <c r="P1287" t="s" s="40">
        <v>59</v>
      </c>
      <c r="Q1287" s="146">
        <v>9</v>
      </c>
    </row>
    <row r="1288" ht="12.9" customHeight="1">
      <c r="P1288" t="s" s="40">
        <v>660</v>
      </c>
      <c r="Q1288" s="146">
        <v>8</v>
      </c>
    </row>
    <row r="1289" ht="12.9" customHeight="1">
      <c r="P1289" t="s" s="40">
        <v>299</v>
      </c>
      <c r="Q1289" s="146">
        <v>8</v>
      </c>
    </row>
    <row r="1290" ht="12.9" customHeight="1">
      <c r="P1290" t="s" s="40">
        <v>1986</v>
      </c>
      <c r="Q1290" s="146">
        <v>7</v>
      </c>
    </row>
    <row r="1291" ht="12.9" customHeight="1">
      <c r="P1291" t="s" s="40">
        <v>589</v>
      </c>
      <c r="Q1291" s="146">
        <v>6</v>
      </c>
    </row>
    <row r="1292" ht="12.9" customHeight="1">
      <c r="P1292" t="s" s="40">
        <v>1069</v>
      </c>
      <c r="Q1292" s="146">
        <v>6</v>
      </c>
    </row>
    <row r="1293" ht="12.9" customHeight="1">
      <c r="P1293" t="s" s="40">
        <v>462</v>
      </c>
      <c r="Q1293" s="146">
        <v>6</v>
      </c>
    </row>
    <row r="1294" ht="12.9" customHeight="1">
      <c r="P1294" t="s" s="40">
        <v>470</v>
      </c>
      <c r="Q1294" s="146">
        <v>6</v>
      </c>
    </row>
    <row r="1295" ht="12.9" customHeight="1">
      <c r="P1295" t="s" s="40">
        <v>1729</v>
      </c>
      <c r="Q1295" s="146">
        <v>6</v>
      </c>
    </row>
    <row r="1296" ht="12.9" customHeight="1">
      <c r="P1296" t="s" s="40">
        <v>11</v>
      </c>
      <c r="Q1296" s="146">
        <v>6</v>
      </c>
    </row>
    <row r="1297" ht="12.9" customHeight="1">
      <c r="P1297" t="s" s="40">
        <v>1731</v>
      </c>
      <c r="Q1297" s="146">
        <v>5</v>
      </c>
    </row>
    <row r="1298" ht="12.9" customHeight="1">
      <c r="P1298" t="s" s="40">
        <v>5381</v>
      </c>
      <c r="Q1298" s="146">
        <v>4</v>
      </c>
    </row>
    <row r="1299" ht="12.9" customHeight="1">
      <c r="P1299" t="s" s="40">
        <v>165</v>
      </c>
      <c r="Q1299" s="146">
        <v>4</v>
      </c>
    </row>
    <row r="1300" ht="12.9" customHeight="1">
      <c r="P1300" t="s" s="40">
        <v>369</v>
      </c>
      <c r="Q1300" s="146">
        <v>4</v>
      </c>
    </row>
    <row r="1301" ht="12.9" customHeight="1">
      <c r="P1301" t="s" s="40">
        <v>5138</v>
      </c>
      <c r="Q1301" s="146">
        <v>4</v>
      </c>
    </row>
    <row r="1302" ht="12.9" customHeight="1">
      <c r="P1302" t="s" s="40">
        <v>119</v>
      </c>
      <c r="Q1302" s="146">
        <v>4</v>
      </c>
    </row>
    <row r="1303" ht="12.9" customHeight="1">
      <c r="P1303" t="s" s="40">
        <v>4870</v>
      </c>
      <c r="Q1303" s="146">
        <v>4</v>
      </c>
    </row>
    <row r="1304" ht="12.9" customHeight="1">
      <c r="P1304" t="s" s="40">
        <v>1593</v>
      </c>
      <c r="Q1304" s="146">
        <v>4</v>
      </c>
    </row>
    <row r="1305" ht="12.9" customHeight="1">
      <c r="P1305" t="s" s="40">
        <v>143</v>
      </c>
      <c r="Q1305" s="146">
        <v>4</v>
      </c>
    </row>
    <row r="1306" ht="12.9" customHeight="1">
      <c r="P1306" t="s" s="40">
        <v>1030</v>
      </c>
      <c r="Q1306" s="146">
        <v>4</v>
      </c>
    </row>
    <row r="1307" ht="12.9" customHeight="1">
      <c r="P1307" t="s" s="40">
        <v>2099</v>
      </c>
      <c r="Q1307" s="146">
        <v>2</v>
      </c>
    </row>
    <row r="1308" ht="12.9" customHeight="1">
      <c r="P1308" t="s" s="40">
        <v>2968</v>
      </c>
      <c r="Q1308" s="146">
        <v>2</v>
      </c>
    </row>
    <row r="1309" ht="12.9" customHeight="1">
      <c r="P1309" t="s" s="40">
        <v>2347</v>
      </c>
      <c r="Q1309" s="146">
        <v>2</v>
      </c>
    </row>
    <row r="1310" ht="12.9" customHeight="1">
      <c r="P1310" t="s" s="40">
        <v>354</v>
      </c>
      <c r="Q1310" s="146">
        <v>2</v>
      </c>
    </row>
    <row r="1311" ht="12.9" customHeight="1">
      <c r="P1311" t="s" s="40">
        <v>1479</v>
      </c>
      <c r="Q1311" s="146">
        <v>2</v>
      </c>
    </row>
    <row r="1312" ht="12.9" customHeight="1">
      <c r="P1312" t="s" s="40">
        <v>1257</v>
      </c>
      <c r="Q1312" s="146">
        <v>2</v>
      </c>
    </row>
    <row r="1313" ht="12.9" customHeight="1">
      <c r="P1313" t="s" s="40">
        <v>5913</v>
      </c>
      <c r="Q1313" s="146">
        <v>2</v>
      </c>
    </row>
    <row r="1314" ht="12.9" customHeight="1">
      <c r="P1314" t="s" s="40">
        <v>47</v>
      </c>
      <c r="Q1314" s="146">
        <v>2</v>
      </c>
    </row>
    <row r="1315" ht="12.9" customHeight="1">
      <c r="P1315" t="s" s="40">
        <v>125</v>
      </c>
      <c r="Q1315" s="146">
        <v>1</v>
      </c>
    </row>
    <row r="1316" ht="12.9" customHeight="1">
      <c r="P1316" t="s" s="40">
        <v>39</v>
      </c>
      <c r="Q1316" s="146">
        <v>1</v>
      </c>
    </row>
    <row r="1317" ht="12.9" customHeight="1">
      <c r="P1317" t="s" s="40">
        <v>468</v>
      </c>
      <c r="Q1317" s="146">
        <v>1</v>
      </c>
    </row>
    <row r="1318" ht="12.9" customHeight="1">
      <c r="P1318" t="s" s="40">
        <v>3480</v>
      </c>
      <c r="Q1318" s="146">
        <v>1</v>
      </c>
    </row>
    <row r="1319" ht="12.9" customHeight="1">
      <c r="P1319" t="s" s="40">
        <v>2071</v>
      </c>
      <c r="Q1319" s="146">
        <v>1</v>
      </c>
    </row>
    <row r="1320" ht="12.9" customHeight="1">
      <c r="P1320" t="s" s="40">
        <v>6008</v>
      </c>
      <c r="Q1320" s="146">
        <v>1</v>
      </c>
    </row>
    <row r="1321" ht="12.9" customHeight="1">
      <c r="P1321" t="s" s="40">
        <v>254</v>
      </c>
      <c r="Q1321" s="146">
        <v>1</v>
      </c>
    </row>
    <row r="1322" ht="12.9" customHeight="1">
      <c r="P1322" t="s" s="40">
        <v>1236</v>
      </c>
      <c r="Q1322" s="146">
        <v>1</v>
      </c>
    </row>
    <row r="1323" ht="12.9" customHeight="1">
      <c r="P1323" t="s" s="40">
        <v>861</v>
      </c>
      <c r="Q1323" s="146">
        <v>1</v>
      </c>
    </row>
    <row r="1324" ht="12.9" customHeight="1">
      <c r="P1324" t="s" s="40">
        <v>762</v>
      </c>
      <c r="Q1324" s="146">
        <v>1</v>
      </c>
    </row>
    <row r="1325" ht="13.1" customHeight="1">
      <c r="P1325" t="s" s="42">
        <v>5980</v>
      </c>
      <c r="Q1325" s="147">
        <v>1</v>
      </c>
    </row>
    <row r="1326" ht="13.1" customHeight="1">
      <c r="P1326" t="s" s="44">
        <v>620</v>
      </c>
      <c r="Q1326" s="34">
        <v>1609</v>
      </c>
    </row>
    <row r="1328" ht="15.55" customHeight="1">
      <c r="R1328" t="s" s="2">
        <v>6131</v>
      </c>
      <c r="S1328" s="2"/>
    </row>
    <row r="1329" ht="13.1" customHeight="1">
      <c r="R1329" t="s" s="37">
        <v>4</v>
      </c>
      <c r="S1329" t="s" s="145">
        <v>619</v>
      </c>
    </row>
    <row r="1330" ht="13.1" customHeight="1">
      <c r="R1330" t="s" s="38">
        <v>48</v>
      </c>
      <c r="S1330" s="50">
        <v>35954.715</v>
      </c>
    </row>
    <row r="1331" ht="12.9" customHeight="1">
      <c r="R1331" t="s" s="40">
        <v>81</v>
      </c>
      <c r="S1331" s="150">
        <v>13599.84</v>
      </c>
    </row>
    <row r="1332" ht="12.9" customHeight="1">
      <c r="R1332" t="s" s="40">
        <v>59</v>
      </c>
      <c r="S1332" s="150">
        <v>10799.91</v>
      </c>
    </row>
    <row r="1333" ht="12.9" customHeight="1">
      <c r="R1333" t="s" s="40">
        <v>143</v>
      </c>
      <c r="S1333" s="150">
        <v>8899.969999999999</v>
      </c>
    </row>
    <row r="1334" ht="12.9" customHeight="1">
      <c r="R1334" t="s" s="40">
        <v>722</v>
      </c>
      <c r="S1334" s="150">
        <v>7829.91</v>
      </c>
    </row>
    <row r="1335" ht="12.9" customHeight="1">
      <c r="R1335" t="s" s="40">
        <v>19</v>
      </c>
      <c r="S1335" s="150">
        <v>7739.355</v>
      </c>
    </row>
    <row r="1336" ht="12.9" customHeight="1">
      <c r="R1336" t="s" s="40">
        <v>133</v>
      </c>
      <c r="S1336" s="150">
        <v>7249.84</v>
      </c>
    </row>
    <row r="1337" ht="12.9" customHeight="1">
      <c r="R1337" t="s" s="40">
        <v>73</v>
      </c>
      <c r="S1337" s="150">
        <v>6659.8335</v>
      </c>
    </row>
    <row r="1338" ht="12.9" customHeight="1">
      <c r="R1338" t="s" s="40">
        <v>95</v>
      </c>
      <c r="S1338" s="150">
        <v>6504.812</v>
      </c>
    </row>
    <row r="1339" ht="12.9" customHeight="1">
      <c r="R1339" t="s" s="40">
        <v>225</v>
      </c>
      <c r="S1339" s="150">
        <v>6499.87</v>
      </c>
    </row>
    <row r="1340" ht="12.9" customHeight="1">
      <c r="R1340" t="s" s="40">
        <v>31</v>
      </c>
      <c r="S1340" s="150">
        <v>6274.895</v>
      </c>
    </row>
    <row r="1341" ht="12.9" customHeight="1">
      <c r="R1341" t="s" s="40">
        <v>602</v>
      </c>
      <c r="S1341" s="150">
        <v>6224.81</v>
      </c>
    </row>
    <row r="1342" ht="12.9" customHeight="1">
      <c r="R1342" t="s" s="40">
        <v>171</v>
      </c>
      <c r="S1342" s="150">
        <v>4649.915</v>
      </c>
    </row>
    <row r="1343" ht="12.9" customHeight="1">
      <c r="R1343" t="s" s="40">
        <v>123</v>
      </c>
      <c r="S1343" s="150">
        <v>2429.865</v>
      </c>
    </row>
    <row r="1344" ht="12.9" customHeight="1">
      <c r="R1344" t="s" s="40">
        <v>11</v>
      </c>
      <c r="S1344" s="150">
        <v>2399.94</v>
      </c>
    </row>
    <row r="1345" ht="12.9" customHeight="1">
      <c r="R1345" t="s" s="40">
        <v>4870</v>
      </c>
      <c r="S1345" s="150">
        <v>1999.96</v>
      </c>
    </row>
    <row r="1346" ht="12.9" customHeight="1">
      <c r="R1346" t="s" s="40">
        <v>468</v>
      </c>
      <c r="S1346" s="150">
        <v>1874.9925</v>
      </c>
    </row>
    <row r="1347" ht="12.9" customHeight="1">
      <c r="R1347" t="s" s="40">
        <v>5913</v>
      </c>
      <c r="S1347" s="150">
        <v>1834</v>
      </c>
    </row>
    <row r="1348" ht="12.9" customHeight="1">
      <c r="R1348" t="s" s="40">
        <v>1695</v>
      </c>
      <c r="S1348" s="150">
        <v>1724.655</v>
      </c>
    </row>
    <row r="1349" ht="12.9" customHeight="1">
      <c r="R1349" t="s" s="40">
        <v>35</v>
      </c>
      <c r="S1349" s="150">
        <v>1649.67</v>
      </c>
    </row>
    <row r="1350" ht="12.9" customHeight="1">
      <c r="R1350" t="s" s="40">
        <v>882</v>
      </c>
      <c r="S1350" s="150">
        <v>1274.83</v>
      </c>
    </row>
    <row r="1351" ht="12.9" customHeight="1">
      <c r="R1351" t="s" s="40">
        <v>5381</v>
      </c>
      <c r="S1351" s="150">
        <v>1199.96</v>
      </c>
    </row>
    <row r="1352" ht="12.9" customHeight="1">
      <c r="R1352" t="s" s="40">
        <v>179</v>
      </c>
      <c r="S1352" s="150">
        <v>1149.77</v>
      </c>
    </row>
    <row r="1353" ht="12.9" customHeight="1">
      <c r="R1353" t="s" s="40">
        <v>15</v>
      </c>
      <c r="S1353" s="150">
        <v>995.675</v>
      </c>
    </row>
    <row r="1354" ht="12.9" customHeight="1">
      <c r="R1354" t="s" s="40">
        <v>63</v>
      </c>
      <c r="S1354" s="150">
        <v>900.36</v>
      </c>
    </row>
    <row r="1355" ht="12.9" customHeight="1">
      <c r="R1355" t="s" s="40">
        <v>462</v>
      </c>
      <c r="S1355" s="150">
        <v>899.955</v>
      </c>
    </row>
    <row r="1356" ht="12.9" customHeight="1">
      <c r="R1356" t="s" s="40">
        <v>1257</v>
      </c>
      <c r="S1356" s="150">
        <v>850</v>
      </c>
    </row>
    <row r="1357" ht="12.9" customHeight="1">
      <c r="R1357" t="s" s="40">
        <v>470</v>
      </c>
      <c r="S1357" s="150">
        <v>824.975</v>
      </c>
    </row>
    <row r="1358" ht="12.9" customHeight="1">
      <c r="R1358" t="s" s="40">
        <v>89</v>
      </c>
      <c r="S1358" s="150">
        <v>779.87</v>
      </c>
    </row>
    <row r="1359" ht="12.9" customHeight="1">
      <c r="R1359" t="s" s="40">
        <v>1986</v>
      </c>
      <c r="S1359" s="150">
        <v>664.9299999999999</v>
      </c>
    </row>
    <row r="1360" ht="12.9" customHeight="1">
      <c r="R1360" t="s" s="40">
        <v>2347</v>
      </c>
      <c r="S1360" s="150">
        <v>659.9880000000001</v>
      </c>
    </row>
    <row r="1361" ht="12.9" customHeight="1">
      <c r="R1361" t="s" s="40">
        <v>1479</v>
      </c>
      <c r="S1361" s="150">
        <v>599.98</v>
      </c>
    </row>
    <row r="1362" ht="12.9" customHeight="1">
      <c r="R1362" t="s" s="40">
        <v>412</v>
      </c>
      <c r="S1362" s="150">
        <v>593.02</v>
      </c>
    </row>
    <row r="1363" ht="12.9" customHeight="1">
      <c r="R1363" t="s" s="40">
        <v>299</v>
      </c>
      <c r="S1363" s="150">
        <v>559.92</v>
      </c>
    </row>
    <row r="1364" ht="12.9" customHeight="1">
      <c r="R1364" t="s" s="40">
        <v>1069</v>
      </c>
      <c r="S1364" s="150">
        <v>549.9450000000001</v>
      </c>
    </row>
    <row r="1365" ht="12.9" customHeight="1">
      <c r="R1365" t="s" s="40">
        <v>77</v>
      </c>
      <c r="S1365" s="150">
        <v>479.76</v>
      </c>
    </row>
    <row r="1366" ht="12.9" customHeight="1">
      <c r="R1366" t="s" s="40">
        <v>359</v>
      </c>
      <c r="S1366" s="150">
        <v>434.855</v>
      </c>
    </row>
    <row r="1367" ht="12.9" customHeight="1">
      <c r="R1367" t="s" s="40">
        <v>1593</v>
      </c>
      <c r="S1367" s="150">
        <v>399.96</v>
      </c>
    </row>
    <row r="1368" ht="12.9" customHeight="1">
      <c r="R1368" t="s" s="40">
        <v>47</v>
      </c>
      <c r="S1368" s="150">
        <v>350</v>
      </c>
    </row>
    <row r="1369" ht="12.9" customHeight="1">
      <c r="R1369" t="s" s="40">
        <v>227</v>
      </c>
      <c r="S1369" s="150">
        <v>344.885</v>
      </c>
    </row>
    <row r="1370" ht="12.9" customHeight="1">
      <c r="R1370" t="s" s="40">
        <v>487</v>
      </c>
      <c r="S1370" s="150">
        <v>329.97</v>
      </c>
    </row>
    <row r="1371" ht="12.9" customHeight="1">
      <c r="R1371" t="s" s="40">
        <v>50</v>
      </c>
      <c r="S1371" s="150">
        <v>322.4325</v>
      </c>
    </row>
    <row r="1372" ht="12.9" customHeight="1">
      <c r="R1372" t="s" s="40">
        <v>2961</v>
      </c>
      <c r="S1372" s="150">
        <v>321.86</v>
      </c>
    </row>
    <row r="1373" ht="12.9" customHeight="1">
      <c r="R1373" t="s" s="40">
        <v>354</v>
      </c>
      <c r="S1373" s="150">
        <v>299.98</v>
      </c>
    </row>
    <row r="1374" ht="12.9" customHeight="1">
      <c r="R1374" t="s" s="40">
        <v>23</v>
      </c>
      <c r="S1374" s="150">
        <v>299.98</v>
      </c>
    </row>
    <row r="1375" ht="12.9" customHeight="1">
      <c r="R1375" t="s" s="40">
        <v>5845</v>
      </c>
      <c r="S1375" s="150">
        <v>259.74</v>
      </c>
    </row>
    <row r="1376" ht="12.9" customHeight="1">
      <c r="R1376" t="s" s="40">
        <v>2787</v>
      </c>
      <c r="S1376" s="150">
        <v>229.9</v>
      </c>
    </row>
    <row r="1377" ht="12.9" customHeight="1">
      <c r="R1377" t="s" s="40">
        <v>2099</v>
      </c>
      <c r="S1377" s="150">
        <v>199.98</v>
      </c>
    </row>
    <row r="1378" ht="12.9" customHeight="1">
      <c r="R1378" t="s" s="40">
        <v>146</v>
      </c>
      <c r="S1378" s="150">
        <v>199.9</v>
      </c>
    </row>
    <row r="1379" ht="12.9" customHeight="1">
      <c r="R1379" t="s" s="40">
        <v>861</v>
      </c>
      <c r="S1379" s="150">
        <v>163.18</v>
      </c>
    </row>
    <row r="1380" ht="12.9" customHeight="1">
      <c r="R1380" t="s" s="40">
        <v>1731</v>
      </c>
      <c r="S1380" s="150">
        <v>124.95</v>
      </c>
    </row>
    <row r="1381" ht="12.9" customHeight="1">
      <c r="R1381" t="s" s="40">
        <v>2968</v>
      </c>
      <c r="S1381" s="150">
        <v>112.5</v>
      </c>
    </row>
    <row r="1382" ht="12.9" customHeight="1">
      <c r="R1382" t="s" s="40">
        <v>39</v>
      </c>
      <c r="S1382" s="150">
        <v>109.99</v>
      </c>
    </row>
    <row r="1383" ht="12.9" customHeight="1">
      <c r="R1383" t="s" s="40">
        <v>54</v>
      </c>
      <c r="S1383" s="150">
        <v>99.90000000000001</v>
      </c>
    </row>
    <row r="1384" ht="12.9" customHeight="1">
      <c r="R1384" t="s" s="40">
        <v>1729</v>
      </c>
      <c r="S1384" s="150">
        <v>89.94</v>
      </c>
    </row>
    <row r="1385" ht="12.9" customHeight="1">
      <c r="R1385" t="s" s="40">
        <v>125</v>
      </c>
      <c r="S1385" s="150">
        <v>64.98999999999999</v>
      </c>
    </row>
    <row r="1386" ht="12.9" customHeight="1">
      <c r="R1386" t="s" s="40">
        <v>589</v>
      </c>
      <c r="S1386" s="150">
        <v>39.3225</v>
      </c>
    </row>
    <row r="1387" ht="12.9" customHeight="1">
      <c r="R1387" t="s" s="40">
        <v>84</v>
      </c>
      <c r="S1387" s="150">
        <v>30</v>
      </c>
    </row>
    <row r="1388" ht="12.9" customHeight="1">
      <c r="R1388" t="s" s="40">
        <v>5138</v>
      </c>
      <c r="S1388" s="150">
        <v>15</v>
      </c>
    </row>
    <row r="1389" ht="12.9" customHeight="1">
      <c r="R1389" t="s" s="40">
        <v>165</v>
      </c>
      <c r="S1389" s="149">
        <v>0</v>
      </c>
    </row>
    <row r="1390" ht="12.9" customHeight="1">
      <c r="R1390" t="s" s="40">
        <v>369</v>
      </c>
      <c r="S1390" s="149">
        <v>0</v>
      </c>
    </row>
    <row r="1391" ht="12.9" customHeight="1">
      <c r="R1391" t="s" s="40">
        <v>660</v>
      </c>
      <c r="S1391" s="149">
        <v>0</v>
      </c>
    </row>
    <row r="1392" ht="12.9" customHeight="1">
      <c r="R1392" t="s" s="40">
        <v>119</v>
      </c>
      <c r="S1392" s="149">
        <v>0</v>
      </c>
    </row>
    <row r="1393" ht="12.9" customHeight="1">
      <c r="R1393" t="s" s="40">
        <v>52</v>
      </c>
      <c r="S1393" s="149">
        <v>0</v>
      </c>
    </row>
    <row r="1394" ht="12.9" customHeight="1">
      <c r="R1394" t="s" s="40">
        <v>258</v>
      </c>
      <c r="S1394" s="149">
        <v>0</v>
      </c>
    </row>
    <row r="1395" ht="12.9" customHeight="1">
      <c r="R1395" t="s" s="40">
        <v>559</v>
      </c>
      <c r="S1395" s="149">
        <v>0</v>
      </c>
    </row>
    <row r="1396" ht="12.9" customHeight="1">
      <c r="R1396" t="s" s="40">
        <v>1030</v>
      </c>
      <c r="S1396" s="149">
        <v>0</v>
      </c>
    </row>
    <row r="1397" ht="12.9" customHeight="1">
      <c r="R1397" t="s" s="40">
        <v>3480</v>
      </c>
      <c r="S1397" s="149">
        <v>0</v>
      </c>
    </row>
    <row r="1398" ht="12.9" customHeight="1">
      <c r="R1398" t="s" s="40">
        <v>2071</v>
      </c>
      <c r="S1398" s="149">
        <v>0</v>
      </c>
    </row>
    <row r="1399" ht="12.9" customHeight="1">
      <c r="R1399" t="s" s="40">
        <v>6008</v>
      </c>
      <c r="S1399" s="149">
        <v>0</v>
      </c>
    </row>
    <row r="1400" ht="12.9" customHeight="1">
      <c r="R1400" t="s" s="40">
        <v>254</v>
      </c>
      <c r="S1400" s="149">
        <v>0</v>
      </c>
    </row>
    <row r="1401" ht="12.9" customHeight="1">
      <c r="R1401" t="s" s="40">
        <v>1236</v>
      </c>
      <c r="S1401" s="149">
        <v>0</v>
      </c>
    </row>
    <row r="1402" ht="12.9" customHeight="1">
      <c r="R1402" t="s" s="40">
        <v>762</v>
      </c>
      <c r="S1402" s="149">
        <v>0</v>
      </c>
    </row>
    <row r="1403" ht="13.1" customHeight="1">
      <c r="R1403" t="s" s="42">
        <v>5980</v>
      </c>
      <c r="S1403" s="151">
        <v>0</v>
      </c>
    </row>
    <row r="1404" ht="13.1" customHeight="1">
      <c r="R1404" t="s" s="44">
        <v>620</v>
      </c>
      <c r="S1404" s="50">
        <v>160626.911</v>
      </c>
    </row>
  </sheetData>
  <mergeCells count="4">
    <mergeCell ref="A1:H1"/>
    <mergeCell ref="I394:O394"/>
    <mergeCell ref="P1250:Q1250"/>
    <mergeCell ref="R1328:S132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5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195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82" customWidth="1"/>
    <col min="6" max="6" width="12.4062" style="382" customWidth="1"/>
    <col min="7" max="8" width="16.3516" style="382" customWidth="1"/>
    <col min="9" max="9" width="32.3828" style="383" customWidth="1"/>
    <col min="10" max="15" width="13.3516" style="383" customWidth="1"/>
    <col min="16" max="16" width="55.6562" style="384" customWidth="1"/>
    <col min="17" max="17" width="9.875" style="384" customWidth="1"/>
    <col min="18" max="18" width="38.8828" style="385" customWidth="1"/>
    <col min="19" max="19" width="11.375" style="385" customWidth="1"/>
    <col min="20" max="16384" width="16.3516" style="385" customWidth="1"/>
  </cols>
  <sheetData>
    <row r="1" ht="15.55" customHeight="1">
      <c r="A1" t="s" s="2">
        <v>6132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6133</v>
      </c>
      <c r="B3" t="s" s="5">
        <v>6134</v>
      </c>
      <c r="C3" s="6">
        <v>44985.9650825463</v>
      </c>
      <c r="D3" t="s" s="7">
        <v>171</v>
      </c>
      <c r="E3" t="s" s="7">
        <v>172</v>
      </c>
      <c r="F3" s="8">
        <v>2</v>
      </c>
      <c r="G3" s="9">
        <v>549.99</v>
      </c>
      <c r="H3" s="9">
        <v>1099.98</v>
      </c>
    </row>
    <row r="4" ht="12.9" customHeight="1">
      <c r="A4" t="s" s="10">
        <v>6135</v>
      </c>
      <c r="B4" t="s" s="11">
        <v>6136</v>
      </c>
      <c r="C4" s="12">
        <v>44985.885892418984</v>
      </c>
      <c r="D4" t="s" s="13">
        <v>95</v>
      </c>
      <c r="E4" t="s" s="13">
        <v>12</v>
      </c>
      <c r="F4" s="14">
        <v>1</v>
      </c>
      <c r="G4" s="15">
        <v>349.99</v>
      </c>
      <c r="H4" s="15">
        <v>349.99</v>
      </c>
    </row>
    <row r="5" ht="12.9" customHeight="1">
      <c r="A5" t="s" s="10">
        <v>6137</v>
      </c>
      <c r="B5" t="s" s="11">
        <v>6033</v>
      </c>
      <c r="C5" s="12">
        <v>44985.879743240737</v>
      </c>
      <c r="D5" t="s" s="13">
        <v>77</v>
      </c>
      <c r="E5" t="s" s="13">
        <v>4224</v>
      </c>
      <c r="F5" s="14">
        <v>1</v>
      </c>
      <c r="G5" s="15">
        <v>19.99</v>
      </c>
      <c r="H5" s="15">
        <v>19.99</v>
      </c>
    </row>
    <row r="6" ht="12.9" customHeight="1">
      <c r="A6" t="s" s="10">
        <v>6137</v>
      </c>
      <c r="B6" t="s" s="11">
        <v>6033</v>
      </c>
      <c r="C6" s="12">
        <v>44985.879743240737</v>
      </c>
      <c r="D6" t="s" s="13">
        <v>1729</v>
      </c>
      <c r="E6" t="s" s="13">
        <v>4639</v>
      </c>
      <c r="F6" s="14">
        <v>1</v>
      </c>
      <c r="G6" s="15">
        <v>14.99</v>
      </c>
      <c r="H6" s="15">
        <v>14.99</v>
      </c>
    </row>
    <row r="7" ht="12.9" customHeight="1">
      <c r="A7" t="s" s="10">
        <v>6138</v>
      </c>
      <c r="B7" t="s" s="11">
        <v>6139</v>
      </c>
      <c r="C7" s="12">
        <v>44985.830504490739</v>
      </c>
      <c r="D7" t="s" s="13">
        <v>412</v>
      </c>
      <c r="E7" t="s" s="13">
        <v>413</v>
      </c>
      <c r="F7" s="14">
        <v>10</v>
      </c>
      <c r="G7" s="15">
        <v>1.99</v>
      </c>
      <c r="H7" s="15">
        <v>19.9</v>
      </c>
    </row>
    <row r="8" ht="12.9" customHeight="1">
      <c r="A8" t="s" s="10">
        <v>6140</v>
      </c>
      <c r="B8" t="s" s="11">
        <v>6141</v>
      </c>
      <c r="C8" s="12">
        <v>44985.780117719907</v>
      </c>
      <c r="D8" t="s" s="13">
        <v>89</v>
      </c>
      <c r="E8" t="s" s="13">
        <v>90</v>
      </c>
      <c r="F8" s="14">
        <v>1</v>
      </c>
      <c r="G8" s="15">
        <v>59.99</v>
      </c>
      <c r="H8" s="15">
        <v>59.99</v>
      </c>
    </row>
    <row r="9" ht="12.9" customHeight="1">
      <c r="A9" t="s" s="10">
        <v>6142</v>
      </c>
      <c r="B9" t="s" s="11">
        <v>6080</v>
      </c>
      <c r="C9" s="12">
        <v>44985.608605486108</v>
      </c>
      <c r="D9" t="s" s="13">
        <v>19</v>
      </c>
      <c r="E9" t="s" s="13">
        <v>20</v>
      </c>
      <c r="F9" s="14">
        <v>8</v>
      </c>
      <c r="G9" s="15">
        <v>119.99</v>
      </c>
      <c r="H9" s="15">
        <v>959.92</v>
      </c>
    </row>
    <row r="10" ht="12.9" customHeight="1">
      <c r="A10" t="s" s="10">
        <v>6142</v>
      </c>
      <c r="B10" t="s" s="11">
        <v>6080</v>
      </c>
      <c r="C10" s="12">
        <v>44985.608605486108</v>
      </c>
      <c r="D10" t="s" s="13">
        <v>15</v>
      </c>
      <c r="E10" t="s" s="13">
        <v>4757</v>
      </c>
      <c r="F10" s="14">
        <v>8</v>
      </c>
      <c r="G10" s="15">
        <v>8.99</v>
      </c>
      <c r="H10" s="15">
        <v>71.92</v>
      </c>
    </row>
    <row r="11" ht="12.9" customHeight="1">
      <c r="A11" t="s" s="10">
        <v>6142</v>
      </c>
      <c r="B11" t="s" s="11">
        <v>6080</v>
      </c>
      <c r="C11" s="12">
        <v>44985.608605486108</v>
      </c>
      <c r="D11" t="s" s="13">
        <v>470</v>
      </c>
      <c r="E11" t="s" s="13">
        <v>828</v>
      </c>
      <c r="F11" s="14">
        <v>2</v>
      </c>
      <c r="G11" s="15">
        <v>249.99</v>
      </c>
      <c r="H11" s="15">
        <v>499.98</v>
      </c>
    </row>
    <row r="12" ht="12.9" customHeight="1">
      <c r="A12" t="s" s="10">
        <v>6142</v>
      </c>
      <c r="B12" t="s" s="11">
        <v>6080</v>
      </c>
      <c r="C12" s="12">
        <v>44985.608605486108</v>
      </c>
      <c r="D12" t="s" s="13">
        <v>1731</v>
      </c>
      <c r="E12" t="s" s="13">
        <v>4657</v>
      </c>
      <c r="F12" s="14">
        <v>2</v>
      </c>
      <c r="G12" s="15">
        <v>24.99</v>
      </c>
      <c r="H12" s="15">
        <v>49.98</v>
      </c>
    </row>
    <row r="13" ht="12.9" customHeight="1">
      <c r="A13" t="s" s="10">
        <v>6143</v>
      </c>
      <c r="B13" t="s" s="11">
        <v>4817</v>
      </c>
      <c r="C13" s="12">
        <v>44985</v>
      </c>
      <c r="D13" t="s" s="13">
        <v>468</v>
      </c>
      <c r="E13" t="s" s="13">
        <v>6144</v>
      </c>
      <c r="F13" s="14">
        <v>2</v>
      </c>
      <c r="G13" s="15">
        <v>1749.993</v>
      </c>
      <c r="H13" s="15">
        <v>3499.986</v>
      </c>
    </row>
    <row r="14" ht="12.9" customHeight="1">
      <c r="A14" t="s" s="10">
        <v>6143</v>
      </c>
      <c r="B14" t="s" s="11">
        <v>4817</v>
      </c>
      <c r="C14" s="12">
        <v>44985</v>
      </c>
      <c r="D14" t="s" s="13">
        <v>722</v>
      </c>
      <c r="E14" t="s" s="13">
        <v>6145</v>
      </c>
      <c r="F14" s="14">
        <v>6</v>
      </c>
      <c r="G14" s="15">
        <v>652.4924999999999</v>
      </c>
      <c r="H14" s="15">
        <v>3914.955</v>
      </c>
    </row>
    <row r="15" ht="12.9" customHeight="1">
      <c r="A15" t="s" s="10">
        <v>6143</v>
      </c>
      <c r="B15" t="s" s="11">
        <v>4817</v>
      </c>
      <c r="C15" s="12">
        <v>44985</v>
      </c>
      <c r="D15" t="s" s="13">
        <v>143</v>
      </c>
      <c r="E15" t="s" s="13">
        <v>144</v>
      </c>
      <c r="F15" s="14">
        <v>1</v>
      </c>
      <c r="G15" s="15">
        <v>2499.99</v>
      </c>
      <c r="H15" s="15">
        <v>2499.99</v>
      </c>
    </row>
    <row r="16" ht="12.9" customHeight="1">
      <c r="A16" t="s" s="10">
        <v>6143</v>
      </c>
      <c r="B16" t="s" s="11">
        <v>4817</v>
      </c>
      <c r="C16" s="12">
        <v>44985</v>
      </c>
      <c r="D16" t="s" s="13">
        <v>23</v>
      </c>
      <c r="E16" t="s" s="13">
        <v>6146</v>
      </c>
      <c r="F16" s="14">
        <v>8</v>
      </c>
      <c r="G16" s="15">
        <v>0</v>
      </c>
      <c r="H16" s="15">
        <v>0</v>
      </c>
    </row>
    <row r="17" ht="12.9" customHeight="1">
      <c r="A17" t="s" s="10">
        <v>6143</v>
      </c>
      <c r="B17" t="s" s="11">
        <v>4817</v>
      </c>
      <c r="C17" s="12">
        <v>44985</v>
      </c>
      <c r="D17" t="s" s="13">
        <v>1593</v>
      </c>
      <c r="E17" t="s" s="13">
        <v>6147</v>
      </c>
      <c r="F17" s="14">
        <v>6</v>
      </c>
      <c r="G17" s="15">
        <v>0</v>
      </c>
      <c r="H17" s="15">
        <v>0</v>
      </c>
    </row>
    <row r="18" ht="12.9" customHeight="1">
      <c r="A18" t="s" s="10">
        <v>6143</v>
      </c>
      <c r="B18" t="s" s="11">
        <v>4817</v>
      </c>
      <c r="C18" s="12">
        <v>44985</v>
      </c>
      <c r="D18" t="s" s="13">
        <v>54</v>
      </c>
      <c r="E18" t="s" s="13">
        <v>55</v>
      </c>
      <c r="F18" s="14">
        <v>14</v>
      </c>
      <c r="G18" s="15">
        <v>0</v>
      </c>
      <c r="H18" s="15">
        <v>0</v>
      </c>
    </row>
    <row r="19" ht="12.9" customHeight="1">
      <c r="A19" t="s" s="10">
        <v>6143</v>
      </c>
      <c r="B19" t="s" s="11">
        <v>4817</v>
      </c>
      <c r="C19" s="12">
        <v>44985</v>
      </c>
      <c r="D19" t="s" s="13">
        <v>15</v>
      </c>
      <c r="E19" t="s" s="13">
        <v>5496</v>
      </c>
      <c r="F19" s="14">
        <v>14</v>
      </c>
      <c r="G19" s="15">
        <v>0</v>
      </c>
      <c r="H19" s="15">
        <v>0</v>
      </c>
    </row>
    <row r="20" ht="12.9" customHeight="1">
      <c r="A20" t="s" s="10">
        <v>6143</v>
      </c>
      <c r="B20" t="s" s="11">
        <v>4817</v>
      </c>
      <c r="C20" s="12">
        <v>44985</v>
      </c>
      <c r="D20" t="s" s="13">
        <v>89</v>
      </c>
      <c r="E20" t="s" s="13">
        <v>90</v>
      </c>
      <c r="F20" s="14">
        <v>6</v>
      </c>
      <c r="G20" s="15">
        <v>44.9925</v>
      </c>
      <c r="H20" s="15">
        <v>269.955</v>
      </c>
    </row>
    <row r="21" ht="12.9" customHeight="1">
      <c r="A21" t="s" s="10">
        <v>6143</v>
      </c>
      <c r="B21" t="s" s="11">
        <v>4817</v>
      </c>
      <c r="C21" s="12">
        <v>44985</v>
      </c>
      <c r="D21" t="s" s="13">
        <v>50</v>
      </c>
      <c r="E21" t="s" s="13">
        <v>83</v>
      </c>
      <c r="F21" s="14">
        <v>18</v>
      </c>
      <c r="G21" s="15">
        <v>22.4925</v>
      </c>
      <c r="H21" s="15">
        <v>404.865</v>
      </c>
    </row>
    <row r="22" ht="12.9" customHeight="1">
      <c r="A22" t="s" s="10">
        <v>6143</v>
      </c>
      <c r="B22" t="s" s="11">
        <v>4817</v>
      </c>
      <c r="C22" s="12">
        <v>44985</v>
      </c>
      <c r="D22" t="s" s="13">
        <v>5274</v>
      </c>
      <c r="E22" s="16"/>
      <c r="F22" s="14">
        <v>1</v>
      </c>
      <c r="G22" s="15">
        <v>313.35</v>
      </c>
      <c r="H22" s="15">
        <v>313.35</v>
      </c>
    </row>
    <row r="23" ht="12.9" customHeight="1">
      <c r="A23" t="s" s="10">
        <v>6143</v>
      </c>
      <c r="B23" t="s" s="11">
        <v>4817</v>
      </c>
      <c r="C23" s="12">
        <v>44985</v>
      </c>
      <c r="D23" t="s" s="13">
        <v>63</v>
      </c>
      <c r="E23" s="16"/>
      <c r="F23" s="14">
        <v>1</v>
      </c>
      <c r="G23" s="15">
        <v>260</v>
      </c>
      <c r="H23" s="15">
        <v>260</v>
      </c>
    </row>
    <row r="24" ht="12.9" customHeight="1">
      <c r="A24" t="s" s="10">
        <v>6148</v>
      </c>
      <c r="B24" t="s" s="11">
        <v>1500</v>
      </c>
      <c r="C24" s="12">
        <v>44985</v>
      </c>
      <c r="D24" t="s" s="13">
        <v>143</v>
      </c>
      <c r="E24" t="s" s="13">
        <v>144</v>
      </c>
      <c r="F24" s="14">
        <v>1</v>
      </c>
      <c r="G24" s="15">
        <v>2499.99</v>
      </c>
      <c r="H24" s="15">
        <v>2499.99</v>
      </c>
    </row>
    <row r="25" ht="12.9" customHeight="1">
      <c r="A25" t="s" s="10">
        <v>6148</v>
      </c>
      <c r="B25" t="s" s="11">
        <v>1500</v>
      </c>
      <c r="C25" s="12">
        <v>44985</v>
      </c>
      <c r="D25" t="s" s="13">
        <v>468</v>
      </c>
      <c r="E25" t="s" s="13">
        <v>6149</v>
      </c>
      <c r="F25" s="14">
        <v>3</v>
      </c>
      <c r="G25" s="15">
        <v>1874.9925</v>
      </c>
      <c r="H25" s="15">
        <v>5624.9775</v>
      </c>
    </row>
    <row r="26" ht="12.9" customHeight="1">
      <c r="A26" t="s" s="10">
        <v>6148</v>
      </c>
      <c r="B26" t="s" s="11">
        <v>1500</v>
      </c>
      <c r="C26" s="12">
        <v>44985</v>
      </c>
      <c r="D26" t="s" s="13">
        <v>468</v>
      </c>
      <c r="E26" t="s" s="13">
        <v>6150</v>
      </c>
      <c r="F26" s="14">
        <v>1</v>
      </c>
      <c r="G26" s="15">
        <v>1749.993</v>
      </c>
      <c r="H26" s="15">
        <v>1749.993</v>
      </c>
    </row>
    <row r="27" ht="12.9" customHeight="1">
      <c r="A27" t="s" s="10">
        <v>6148</v>
      </c>
      <c r="B27" t="s" s="11">
        <v>1500</v>
      </c>
      <c r="C27" s="12">
        <v>44985</v>
      </c>
      <c r="D27" t="s" s="13">
        <v>1695</v>
      </c>
      <c r="E27" t="s" s="13">
        <v>140</v>
      </c>
      <c r="F27" s="14">
        <v>8</v>
      </c>
      <c r="G27" s="15">
        <v>37.4925</v>
      </c>
      <c r="H27" s="15">
        <v>299.94</v>
      </c>
    </row>
    <row r="28" ht="12.9" customHeight="1">
      <c r="A28" t="s" s="10">
        <v>6148</v>
      </c>
      <c r="B28" t="s" s="11">
        <v>1500</v>
      </c>
      <c r="C28" s="12">
        <v>44985</v>
      </c>
      <c r="D28" t="s" s="13">
        <v>23</v>
      </c>
      <c r="E28" t="s" s="13">
        <v>6151</v>
      </c>
      <c r="F28" s="14">
        <v>16</v>
      </c>
      <c r="G28" s="15">
        <v>0</v>
      </c>
      <c r="H28" s="15">
        <v>0</v>
      </c>
    </row>
    <row r="29" ht="12.9" customHeight="1">
      <c r="A29" t="s" s="10">
        <v>6148</v>
      </c>
      <c r="B29" t="s" s="11">
        <v>1500</v>
      </c>
      <c r="C29" s="12">
        <v>44985</v>
      </c>
      <c r="D29" t="s" s="13">
        <v>54</v>
      </c>
      <c r="E29" t="s" s="13">
        <v>93</v>
      </c>
      <c r="F29" s="14">
        <v>16</v>
      </c>
      <c r="G29" s="15">
        <v>0</v>
      </c>
      <c r="H29" s="15">
        <v>0</v>
      </c>
    </row>
    <row r="30" ht="12.9" customHeight="1">
      <c r="A30" t="s" s="10">
        <v>6148</v>
      </c>
      <c r="B30" t="s" s="11">
        <v>1500</v>
      </c>
      <c r="C30" s="12">
        <v>44985</v>
      </c>
      <c r="D30" t="s" s="13">
        <v>15</v>
      </c>
      <c r="E30" t="s" s="13">
        <v>4757</v>
      </c>
      <c r="F30" s="14">
        <v>16</v>
      </c>
      <c r="G30" s="15">
        <v>0</v>
      </c>
      <c r="H30" s="15">
        <v>0</v>
      </c>
    </row>
    <row r="31" ht="12.9" customHeight="1">
      <c r="A31" t="s" s="10">
        <v>6148</v>
      </c>
      <c r="B31" t="s" s="11">
        <v>1500</v>
      </c>
      <c r="C31" s="12">
        <v>44985</v>
      </c>
      <c r="D31" t="s" s="13">
        <v>50</v>
      </c>
      <c r="E31" t="s" s="13">
        <v>83</v>
      </c>
      <c r="F31" s="14">
        <v>4</v>
      </c>
      <c r="G31" s="15">
        <v>0</v>
      </c>
      <c r="H31" s="15">
        <v>0</v>
      </c>
    </row>
    <row r="32" ht="12.9" customHeight="1">
      <c r="A32" t="s" s="10">
        <v>6148</v>
      </c>
      <c r="B32" t="s" s="11">
        <v>1500</v>
      </c>
      <c r="C32" s="12">
        <v>44985</v>
      </c>
      <c r="D32" t="s" s="13">
        <v>47</v>
      </c>
      <c r="E32" s="16"/>
      <c r="F32" s="14">
        <v>1</v>
      </c>
      <c r="G32" s="15">
        <v>175</v>
      </c>
      <c r="H32" s="15">
        <v>175</v>
      </c>
    </row>
    <row r="33" ht="12.9" customHeight="1">
      <c r="A33" t="s" s="10">
        <v>6148</v>
      </c>
      <c r="B33" t="s" s="11">
        <v>1500</v>
      </c>
      <c r="C33" s="12">
        <v>44985</v>
      </c>
      <c r="D33" t="s" s="13">
        <v>861</v>
      </c>
      <c r="E33" s="16"/>
      <c r="F33" s="14">
        <v>1</v>
      </c>
      <c r="G33" s="15">
        <v>890.3</v>
      </c>
      <c r="H33" s="15">
        <v>890.3</v>
      </c>
    </row>
    <row r="34" ht="12.9" customHeight="1">
      <c r="A34" t="s" s="10">
        <v>6152</v>
      </c>
      <c r="B34" t="s" s="11">
        <v>2301</v>
      </c>
      <c r="C34" s="12">
        <v>44985</v>
      </c>
      <c r="D34" t="s" s="13">
        <v>661</v>
      </c>
      <c r="E34" t="s" s="13">
        <v>6153</v>
      </c>
      <c r="F34" s="14">
        <v>2</v>
      </c>
      <c r="G34" s="15">
        <v>0</v>
      </c>
      <c r="H34" s="15">
        <v>0</v>
      </c>
    </row>
    <row r="35" ht="12.9" customHeight="1">
      <c r="A35" t="s" s="10">
        <v>6154</v>
      </c>
      <c r="B35" t="s" s="11">
        <v>6155</v>
      </c>
      <c r="C35" s="12">
        <v>44984.906581979165</v>
      </c>
      <c r="D35" t="s" s="13">
        <v>54</v>
      </c>
      <c r="E35" t="s" s="13">
        <v>93</v>
      </c>
      <c r="F35" s="14">
        <v>2</v>
      </c>
      <c r="G35" s="15">
        <v>9.99</v>
      </c>
      <c r="H35" s="15">
        <v>19.98</v>
      </c>
    </row>
    <row r="36" ht="12.9" customHeight="1">
      <c r="A36" t="s" s="10">
        <v>6154</v>
      </c>
      <c r="B36" t="s" s="11">
        <v>6155</v>
      </c>
      <c r="C36" s="12">
        <v>44984.906581979165</v>
      </c>
      <c r="D36" t="s" s="13">
        <v>15</v>
      </c>
      <c r="E36" t="s" s="13">
        <v>4757</v>
      </c>
      <c r="F36" s="14">
        <v>1</v>
      </c>
      <c r="G36" s="15">
        <v>9.99</v>
      </c>
      <c r="H36" s="15">
        <v>9.99</v>
      </c>
    </row>
    <row r="37" ht="12.9" customHeight="1">
      <c r="A37" t="s" s="10">
        <v>6156</v>
      </c>
      <c r="B37" t="s" s="11">
        <v>1586</v>
      </c>
      <c r="C37" s="12">
        <v>44984.873624409724</v>
      </c>
      <c r="D37" t="s" s="13">
        <v>52</v>
      </c>
      <c r="E37" t="s" s="13">
        <v>4287</v>
      </c>
      <c r="F37" s="14">
        <v>6</v>
      </c>
      <c r="G37" s="15">
        <v>19.99</v>
      </c>
      <c r="H37" s="15">
        <v>119.94</v>
      </c>
    </row>
    <row r="38" ht="12.9" customHeight="1">
      <c r="A38" t="s" s="10">
        <v>6156</v>
      </c>
      <c r="B38" t="s" s="11">
        <v>1586</v>
      </c>
      <c r="C38" s="12">
        <v>44984.873624409724</v>
      </c>
      <c r="D38" t="s" s="13">
        <v>1695</v>
      </c>
      <c r="E38" t="s" s="13">
        <v>140</v>
      </c>
      <c r="F38" s="14">
        <v>1</v>
      </c>
      <c r="G38" s="15">
        <v>49.99</v>
      </c>
      <c r="H38" s="15">
        <v>49.99</v>
      </c>
    </row>
    <row r="39" ht="12.9" customHeight="1">
      <c r="A39" t="s" s="10">
        <v>6156</v>
      </c>
      <c r="B39" t="s" s="11">
        <v>1586</v>
      </c>
      <c r="C39" s="12">
        <v>44984.873624409724</v>
      </c>
      <c r="D39" t="s" s="13">
        <v>15</v>
      </c>
      <c r="E39" t="s" s="13">
        <v>4757</v>
      </c>
      <c r="F39" s="14">
        <v>1</v>
      </c>
      <c r="G39" s="15">
        <v>9.99</v>
      </c>
      <c r="H39" s="15">
        <v>9.99</v>
      </c>
    </row>
    <row r="40" ht="12.9" customHeight="1">
      <c r="A40" t="s" s="10">
        <v>6156</v>
      </c>
      <c r="B40" t="s" s="11">
        <v>1586</v>
      </c>
      <c r="C40" s="12">
        <v>44984.873624409724</v>
      </c>
      <c r="D40" t="s" s="13">
        <v>1961</v>
      </c>
      <c r="E40" t="s" s="13">
        <v>1962</v>
      </c>
      <c r="F40" s="14">
        <v>2</v>
      </c>
      <c r="G40" s="15">
        <v>109.99</v>
      </c>
      <c r="H40" s="15">
        <v>219.98</v>
      </c>
    </row>
    <row r="41" ht="12.9" customHeight="1">
      <c r="A41" t="s" s="10">
        <v>6156</v>
      </c>
      <c r="B41" t="s" s="11">
        <v>1586</v>
      </c>
      <c r="C41" s="12">
        <v>44984.873624409724</v>
      </c>
      <c r="D41" t="s" s="13">
        <v>19</v>
      </c>
      <c r="E41" t="s" s="13">
        <v>20</v>
      </c>
      <c r="F41" s="14">
        <v>2</v>
      </c>
      <c r="G41" s="15">
        <v>119.99</v>
      </c>
      <c r="H41" s="15">
        <v>239.98</v>
      </c>
    </row>
    <row r="42" ht="12.9" customHeight="1">
      <c r="A42" t="s" s="10">
        <v>6156</v>
      </c>
      <c r="B42" t="s" s="11">
        <v>1586</v>
      </c>
      <c r="C42" s="12">
        <v>44984.873624409724</v>
      </c>
      <c r="D42" t="s" s="13">
        <v>15</v>
      </c>
      <c r="E42" t="s" s="13">
        <v>4757</v>
      </c>
      <c r="F42" s="14">
        <v>2</v>
      </c>
      <c r="G42" s="15">
        <v>9.99</v>
      </c>
      <c r="H42" s="15">
        <v>19.98</v>
      </c>
    </row>
    <row r="43" ht="12.9" customHeight="1">
      <c r="A43" t="s" s="10">
        <v>6157</v>
      </c>
      <c r="B43" t="s" s="11">
        <v>1536</v>
      </c>
      <c r="C43" s="12">
        <v>44984.826855011575</v>
      </c>
      <c r="D43" t="s" s="13">
        <v>19</v>
      </c>
      <c r="E43" t="s" s="13">
        <v>20</v>
      </c>
      <c r="F43" s="14">
        <v>2</v>
      </c>
      <c r="G43" s="15">
        <v>119.99</v>
      </c>
      <c r="H43" s="15">
        <v>239.98</v>
      </c>
    </row>
    <row r="44" ht="12.9" customHeight="1">
      <c r="A44" t="s" s="10">
        <v>6157</v>
      </c>
      <c r="B44" t="s" s="11">
        <v>1536</v>
      </c>
      <c r="C44" s="12">
        <v>44984.826855011575</v>
      </c>
      <c r="D44" t="s" s="13">
        <v>15</v>
      </c>
      <c r="E44" t="s" s="13">
        <v>4757</v>
      </c>
      <c r="F44" s="14">
        <v>2</v>
      </c>
      <c r="G44" s="15">
        <v>9.99</v>
      </c>
      <c r="H44" s="15">
        <v>19.98</v>
      </c>
    </row>
    <row r="45" ht="12.9" customHeight="1">
      <c r="A45" t="s" s="10">
        <v>6157</v>
      </c>
      <c r="B45" t="s" s="11">
        <v>1536</v>
      </c>
      <c r="C45" s="12">
        <v>44984.826855011575</v>
      </c>
      <c r="D45" t="s" s="13">
        <v>1695</v>
      </c>
      <c r="E45" t="s" s="13">
        <v>140</v>
      </c>
      <c r="F45" s="14">
        <v>2</v>
      </c>
      <c r="G45" s="15">
        <v>49.99</v>
      </c>
      <c r="H45" s="15">
        <v>99.98</v>
      </c>
    </row>
    <row r="46" ht="12.9" customHeight="1">
      <c r="A46" t="s" s="10">
        <v>6157</v>
      </c>
      <c r="B46" t="s" s="11">
        <v>1536</v>
      </c>
      <c r="C46" s="12">
        <v>44984.826855011575</v>
      </c>
      <c r="D46" t="s" s="13">
        <v>15</v>
      </c>
      <c r="E46" t="s" s="13">
        <v>4757</v>
      </c>
      <c r="F46" s="14">
        <v>2</v>
      </c>
      <c r="G46" s="15">
        <v>9.99</v>
      </c>
      <c r="H46" s="15">
        <v>19.98</v>
      </c>
    </row>
    <row r="47" ht="12.9" customHeight="1">
      <c r="A47" t="s" s="10">
        <v>6157</v>
      </c>
      <c r="B47" t="s" s="11">
        <v>1536</v>
      </c>
      <c r="C47" s="12">
        <v>44984.826855011575</v>
      </c>
      <c r="D47" t="s" s="13">
        <v>15</v>
      </c>
      <c r="E47" t="s" s="13">
        <v>4757</v>
      </c>
      <c r="F47" s="14">
        <v>2</v>
      </c>
      <c r="G47" s="15">
        <v>9.99</v>
      </c>
      <c r="H47" s="15">
        <v>19.98</v>
      </c>
    </row>
    <row r="48" ht="12.9" customHeight="1">
      <c r="A48" t="s" s="10">
        <v>6158</v>
      </c>
      <c r="B48" t="s" s="11">
        <v>6159</v>
      </c>
      <c r="C48" s="12">
        <v>44984.776435115738</v>
      </c>
      <c r="D48" t="s" s="13">
        <v>73</v>
      </c>
      <c r="E48" t="s" s="13">
        <v>74</v>
      </c>
      <c r="F48" s="14">
        <v>2</v>
      </c>
      <c r="G48" s="15">
        <v>399.99</v>
      </c>
      <c r="H48" s="15">
        <v>799.98</v>
      </c>
    </row>
    <row r="49" ht="12.9" customHeight="1">
      <c r="A49" t="s" s="10">
        <v>6160</v>
      </c>
      <c r="B49" t="s" s="11">
        <v>555</v>
      </c>
      <c r="C49" s="12">
        <v>44984</v>
      </c>
      <c r="D49" t="s" s="13">
        <v>11</v>
      </c>
      <c r="E49" t="s" s="13">
        <v>12</v>
      </c>
      <c r="F49" s="14">
        <v>2</v>
      </c>
      <c r="G49" s="15">
        <v>299.9925</v>
      </c>
      <c r="H49" s="15">
        <v>599.985</v>
      </c>
    </row>
    <row r="50" ht="12.9" customHeight="1">
      <c r="A50" t="s" s="10">
        <v>6160</v>
      </c>
      <c r="B50" t="s" s="11">
        <v>555</v>
      </c>
      <c r="C50" s="12">
        <v>44984</v>
      </c>
      <c r="D50" t="s" s="13">
        <v>31</v>
      </c>
      <c r="E50" t="s" s="13">
        <v>32</v>
      </c>
      <c r="F50" s="14">
        <v>1</v>
      </c>
      <c r="G50" s="15">
        <v>449.9925</v>
      </c>
      <c r="H50" s="15">
        <v>449.9925</v>
      </c>
    </row>
    <row r="51" ht="12.9" customHeight="1">
      <c r="A51" t="s" s="10">
        <v>6160</v>
      </c>
      <c r="B51" t="s" s="11">
        <v>555</v>
      </c>
      <c r="C51" s="12">
        <v>44984</v>
      </c>
      <c r="D51" t="s" s="13">
        <v>1030</v>
      </c>
      <c r="E51" t="s" s="13">
        <v>1031</v>
      </c>
      <c r="F51" s="14">
        <v>2</v>
      </c>
      <c r="G51" s="15">
        <v>0</v>
      </c>
      <c r="H51" s="15">
        <v>0</v>
      </c>
    </row>
    <row r="52" ht="12.9" customHeight="1">
      <c r="A52" t="s" s="10">
        <v>6160</v>
      </c>
      <c r="B52" t="s" s="11">
        <v>555</v>
      </c>
      <c r="C52" s="12">
        <v>44984</v>
      </c>
      <c r="D52" t="s" s="13">
        <v>63</v>
      </c>
      <c r="E52" s="16"/>
      <c r="F52" s="14">
        <v>1</v>
      </c>
      <c r="G52" s="15">
        <v>178.55</v>
      </c>
      <c r="H52" s="15">
        <v>178.55</v>
      </c>
    </row>
    <row r="53" ht="12.9" customHeight="1">
      <c r="A53" t="s" s="10">
        <v>6161</v>
      </c>
      <c r="B53" t="s" s="11">
        <v>2313</v>
      </c>
      <c r="C53" s="12">
        <v>44983.283814571761</v>
      </c>
      <c r="D53" t="s" s="13">
        <v>412</v>
      </c>
      <c r="E53" t="s" s="13">
        <v>413</v>
      </c>
      <c r="F53" s="14">
        <v>10</v>
      </c>
      <c r="G53" s="15">
        <v>1.99</v>
      </c>
      <c r="H53" s="15">
        <v>19.9</v>
      </c>
    </row>
    <row r="54" ht="12.9" customHeight="1">
      <c r="A54" t="s" s="10">
        <v>6162</v>
      </c>
      <c r="B54" t="s" s="11">
        <v>6163</v>
      </c>
      <c r="C54" s="12">
        <v>44982.794590543985</v>
      </c>
      <c r="D54" t="s" s="13">
        <v>1695</v>
      </c>
      <c r="E54" t="s" s="13">
        <v>140</v>
      </c>
      <c r="F54" s="14">
        <v>1</v>
      </c>
      <c r="G54" s="15">
        <v>49.99</v>
      </c>
      <c r="H54" s="15">
        <v>49.99</v>
      </c>
    </row>
    <row r="55" ht="12.9" customHeight="1">
      <c r="A55" t="s" s="10">
        <v>6162</v>
      </c>
      <c r="B55" t="s" s="11">
        <v>6163</v>
      </c>
      <c r="C55" s="12">
        <v>44982.794590543985</v>
      </c>
      <c r="D55" t="s" s="13">
        <v>15</v>
      </c>
      <c r="E55" t="s" s="13">
        <v>4757</v>
      </c>
      <c r="F55" s="14">
        <v>1</v>
      </c>
      <c r="G55" s="15">
        <v>9.99</v>
      </c>
      <c r="H55" s="15">
        <v>9.99</v>
      </c>
    </row>
    <row r="56" ht="12.9" customHeight="1">
      <c r="A56" t="s" s="10">
        <v>6164</v>
      </c>
      <c r="B56" t="s" s="11">
        <v>6163</v>
      </c>
      <c r="C56" s="12">
        <v>44982.151818564816</v>
      </c>
      <c r="D56" t="s" s="13">
        <v>73</v>
      </c>
      <c r="E56" t="s" s="13">
        <v>74</v>
      </c>
      <c r="F56" s="14">
        <v>1</v>
      </c>
      <c r="G56" s="15">
        <v>399.99</v>
      </c>
      <c r="H56" s="15">
        <v>399.99</v>
      </c>
    </row>
    <row r="57" ht="12.9" customHeight="1">
      <c r="A57" t="s" s="10">
        <v>6165</v>
      </c>
      <c r="B57" t="s" s="11">
        <v>2940</v>
      </c>
      <c r="C57" s="12">
        <v>44982</v>
      </c>
      <c r="D57" t="s" s="13">
        <v>73</v>
      </c>
      <c r="E57" t="s" s="13">
        <v>74</v>
      </c>
      <c r="F57" s="14">
        <v>1</v>
      </c>
      <c r="G57" s="15">
        <v>359.991</v>
      </c>
      <c r="H57" s="15">
        <v>359.991</v>
      </c>
    </row>
    <row r="58" ht="12.9" customHeight="1">
      <c r="A58" t="s" s="10">
        <v>6166</v>
      </c>
      <c r="B58" t="s" s="11">
        <v>391</v>
      </c>
      <c r="C58" s="12">
        <v>44982</v>
      </c>
      <c r="D58" t="s" s="13">
        <v>412</v>
      </c>
      <c r="E58" t="s" s="13">
        <v>413</v>
      </c>
      <c r="F58" s="14">
        <v>20</v>
      </c>
      <c r="G58" s="15">
        <v>0</v>
      </c>
      <c r="H58" s="15">
        <v>0</v>
      </c>
    </row>
    <row r="59" ht="12.9" customHeight="1">
      <c r="A59" t="s" s="10">
        <v>6167</v>
      </c>
      <c r="B59" t="s" s="11">
        <v>6033</v>
      </c>
      <c r="C59" s="12">
        <v>44981.887918611108</v>
      </c>
      <c r="D59" t="s" s="13">
        <v>39</v>
      </c>
      <c r="E59" t="s" s="13">
        <v>828</v>
      </c>
      <c r="F59" s="14">
        <v>1</v>
      </c>
      <c r="G59" s="15">
        <v>109.99</v>
      </c>
      <c r="H59" s="15">
        <v>109.99</v>
      </c>
    </row>
    <row r="60" ht="12.9" customHeight="1">
      <c r="A60" t="s" s="10">
        <v>6167</v>
      </c>
      <c r="B60" t="s" s="11">
        <v>6033</v>
      </c>
      <c r="C60" s="12">
        <v>44981.887918611108</v>
      </c>
      <c r="D60" t="s" s="13">
        <v>84</v>
      </c>
      <c r="E60" t="s" s="13">
        <v>4225</v>
      </c>
      <c r="F60" s="14">
        <v>1</v>
      </c>
      <c r="G60" s="15">
        <v>15</v>
      </c>
      <c r="H60" s="15">
        <v>15</v>
      </c>
    </row>
    <row r="61" ht="12.9" customHeight="1">
      <c r="A61" t="s" s="10">
        <v>6168</v>
      </c>
      <c r="B61" t="s" s="11">
        <v>755</v>
      </c>
      <c r="C61" s="12">
        <v>44981.723592905095</v>
      </c>
      <c r="D61" t="s" s="13">
        <v>31</v>
      </c>
      <c r="E61" t="s" s="13">
        <v>32</v>
      </c>
      <c r="F61" s="14">
        <v>1</v>
      </c>
      <c r="G61" s="15">
        <v>584.98</v>
      </c>
      <c r="H61" s="15">
        <v>584.98</v>
      </c>
    </row>
    <row r="62" ht="12.9" customHeight="1">
      <c r="A62" t="s" s="10">
        <v>6168</v>
      </c>
      <c r="B62" t="s" s="11">
        <v>755</v>
      </c>
      <c r="C62" s="12">
        <v>44981.723592905095</v>
      </c>
      <c r="D62" t="s" s="13">
        <v>15</v>
      </c>
      <c r="E62" t="s" s="13">
        <v>4757</v>
      </c>
      <c r="F62" s="14">
        <v>1</v>
      </c>
      <c r="G62" s="15">
        <v>9.99</v>
      </c>
      <c r="H62" s="15">
        <v>9.99</v>
      </c>
    </row>
    <row r="63" ht="12.9" customHeight="1">
      <c r="A63" t="s" s="10">
        <v>6169</v>
      </c>
      <c r="B63" t="s" s="11">
        <v>6170</v>
      </c>
      <c r="C63" s="12">
        <v>44981.408366574076</v>
      </c>
      <c r="D63" t="s" s="13">
        <v>23</v>
      </c>
      <c r="E63" t="s" s="13">
        <v>828</v>
      </c>
      <c r="F63" s="14">
        <v>1</v>
      </c>
      <c r="G63" s="15">
        <v>149.99</v>
      </c>
      <c r="H63" s="15">
        <v>149.99</v>
      </c>
    </row>
    <row r="64" ht="12.9" customHeight="1">
      <c r="A64" t="s" s="10">
        <v>6171</v>
      </c>
      <c r="B64" t="s" s="11">
        <v>6172</v>
      </c>
      <c r="C64" s="12">
        <v>44981.118791909721</v>
      </c>
      <c r="D64" t="s" s="13">
        <v>1729</v>
      </c>
      <c r="E64" t="s" s="13">
        <v>4639</v>
      </c>
      <c r="F64" s="14">
        <v>2</v>
      </c>
      <c r="G64" s="15">
        <v>14.99</v>
      </c>
      <c r="H64" s="15">
        <v>29.98</v>
      </c>
    </row>
    <row r="65" ht="12.9" customHeight="1">
      <c r="A65" t="s" s="10">
        <v>6173</v>
      </c>
      <c r="B65" t="s" s="11">
        <v>6174</v>
      </c>
      <c r="C65" s="12">
        <v>44980.899493958335</v>
      </c>
      <c r="D65" t="s" s="13">
        <v>171</v>
      </c>
      <c r="E65" t="s" s="13">
        <v>172</v>
      </c>
      <c r="F65" s="14">
        <v>1</v>
      </c>
      <c r="G65" s="15">
        <v>549.99</v>
      </c>
      <c r="H65" s="15">
        <v>549.99</v>
      </c>
    </row>
    <row r="66" ht="12.9" customHeight="1">
      <c r="A66" t="s" s="10">
        <v>6175</v>
      </c>
      <c r="B66" t="s" s="11">
        <v>4421</v>
      </c>
      <c r="C66" s="12">
        <v>44980.898471608794</v>
      </c>
      <c r="D66" t="s" s="13">
        <v>589</v>
      </c>
      <c r="E66" t="s" s="13">
        <v>590</v>
      </c>
      <c r="F66" s="14">
        <v>2</v>
      </c>
      <c r="G66" s="15">
        <v>7.49</v>
      </c>
      <c r="H66" s="15">
        <v>14.98</v>
      </c>
    </row>
    <row r="67" ht="12.9" customHeight="1">
      <c r="A67" t="s" s="10">
        <v>6176</v>
      </c>
      <c r="B67" t="s" s="11">
        <v>6177</v>
      </c>
      <c r="C67" s="12">
        <v>44980.884514745369</v>
      </c>
      <c r="D67" t="s" s="13">
        <v>123</v>
      </c>
      <c r="E67" t="s" s="13">
        <v>124</v>
      </c>
      <c r="F67" s="14">
        <v>1</v>
      </c>
      <c r="G67" s="15">
        <v>179.99</v>
      </c>
      <c r="H67" s="15">
        <v>179.99</v>
      </c>
    </row>
    <row r="68" ht="12.9" customHeight="1">
      <c r="A68" t="s" s="10">
        <v>6176</v>
      </c>
      <c r="B68" t="s" s="11">
        <v>6177</v>
      </c>
      <c r="C68" s="12">
        <v>44980.884514745369</v>
      </c>
      <c r="D68" t="s" s="13">
        <v>146</v>
      </c>
      <c r="E68" t="s" s="13">
        <v>147</v>
      </c>
      <c r="F68" s="14">
        <v>2</v>
      </c>
      <c r="G68" s="15">
        <v>19.99</v>
      </c>
      <c r="H68" s="15">
        <v>39.98</v>
      </c>
    </row>
    <row r="69" ht="12.9" customHeight="1">
      <c r="A69" t="s" s="10">
        <v>6176</v>
      </c>
      <c r="B69" t="s" s="11">
        <v>6177</v>
      </c>
      <c r="C69" s="12">
        <v>44980.884514745369</v>
      </c>
      <c r="D69" t="s" s="13">
        <v>412</v>
      </c>
      <c r="E69" t="s" s="13">
        <v>413</v>
      </c>
      <c r="F69" s="14">
        <v>20</v>
      </c>
      <c r="G69" s="15">
        <v>1.99</v>
      </c>
      <c r="H69" s="15">
        <v>39.8</v>
      </c>
    </row>
    <row r="70" ht="12.9" customHeight="1">
      <c r="A70" t="s" s="10">
        <v>6178</v>
      </c>
      <c r="B70" t="s" s="11">
        <v>5639</v>
      </c>
      <c r="C70" s="12">
        <v>44980.689441145834</v>
      </c>
      <c r="D70" t="s" s="13">
        <v>52</v>
      </c>
      <c r="E70" t="s" s="13">
        <v>4287</v>
      </c>
      <c r="F70" s="14">
        <v>2</v>
      </c>
      <c r="G70" s="15">
        <v>19.99</v>
      </c>
      <c r="H70" s="15">
        <v>39.98</v>
      </c>
    </row>
    <row r="71" ht="12.9" customHeight="1">
      <c r="A71" t="s" s="10">
        <v>6179</v>
      </c>
      <c r="B71" t="s" s="11">
        <v>5934</v>
      </c>
      <c r="C71" s="12">
        <v>44980.665144201390</v>
      </c>
      <c r="D71" t="s" s="13">
        <v>143</v>
      </c>
      <c r="E71" t="s" s="13">
        <v>144</v>
      </c>
      <c r="F71" s="14">
        <v>1</v>
      </c>
      <c r="G71" s="15">
        <v>3199.99</v>
      </c>
      <c r="H71" s="15">
        <v>3199.99</v>
      </c>
    </row>
    <row r="72" ht="12.9" customHeight="1">
      <c r="A72" t="s" s="10">
        <v>6180</v>
      </c>
      <c r="B72" t="s" s="11">
        <v>6181</v>
      </c>
      <c r="C72" s="12">
        <v>44980.019828217592</v>
      </c>
      <c r="D72" t="s" s="13">
        <v>35</v>
      </c>
      <c r="E72" t="s" s="13">
        <v>36</v>
      </c>
      <c r="F72" s="14">
        <v>1</v>
      </c>
      <c r="G72" s="15">
        <v>49.99</v>
      </c>
      <c r="H72" s="15">
        <v>49.99</v>
      </c>
    </row>
    <row r="73" ht="12.9" customHeight="1">
      <c r="A73" t="s" s="10">
        <v>6182</v>
      </c>
      <c r="B73" t="s" s="11">
        <v>5179</v>
      </c>
      <c r="C73" s="12">
        <v>44980</v>
      </c>
      <c r="D73" t="s" s="13">
        <v>123</v>
      </c>
      <c r="E73" t="s" s="13">
        <v>124</v>
      </c>
      <c r="F73" s="14">
        <v>10</v>
      </c>
      <c r="G73" s="15">
        <v>134.9925</v>
      </c>
      <c r="H73" s="15">
        <v>1349.925</v>
      </c>
    </row>
    <row r="74" ht="12.9" customHeight="1">
      <c r="A74" t="s" s="10">
        <v>6182</v>
      </c>
      <c r="B74" t="s" s="11">
        <v>5179</v>
      </c>
      <c r="C74" s="12">
        <v>44980</v>
      </c>
      <c r="D74" t="s" s="13">
        <v>299</v>
      </c>
      <c r="E74" t="s" s="13">
        <v>300</v>
      </c>
      <c r="F74" s="14">
        <v>16</v>
      </c>
      <c r="G74" s="15">
        <v>52.4925</v>
      </c>
      <c r="H74" s="15">
        <v>839.88</v>
      </c>
    </row>
    <row r="75" ht="12.9" customHeight="1">
      <c r="A75" t="s" s="10">
        <v>6182</v>
      </c>
      <c r="B75" t="s" s="11">
        <v>5179</v>
      </c>
      <c r="C75" s="12">
        <v>44980</v>
      </c>
      <c r="D75" t="s" s="13">
        <v>19</v>
      </c>
      <c r="E75" t="s" s="13">
        <v>20</v>
      </c>
      <c r="F75" s="14">
        <v>8</v>
      </c>
      <c r="G75" s="15">
        <v>89.99250000000001</v>
      </c>
      <c r="H75" s="15">
        <v>719.9400000000001</v>
      </c>
    </row>
    <row r="76" ht="12.9" customHeight="1">
      <c r="A76" t="s" s="10">
        <v>6182</v>
      </c>
      <c r="B76" t="s" s="11">
        <v>5179</v>
      </c>
      <c r="C76" s="12">
        <v>44980</v>
      </c>
      <c r="D76" t="s" s="13">
        <v>81</v>
      </c>
      <c r="E76" t="s" s="13">
        <v>82</v>
      </c>
      <c r="F76" s="14">
        <v>28</v>
      </c>
      <c r="G76" s="15">
        <v>637.4924999999999</v>
      </c>
      <c r="H76" s="15">
        <v>17849.79</v>
      </c>
    </row>
    <row r="77" ht="12.9" customHeight="1">
      <c r="A77" t="s" s="10">
        <v>6182</v>
      </c>
      <c r="B77" t="s" s="11">
        <v>5179</v>
      </c>
      <c r="C77" s="12">
        <v>44980</v>
      </c>
      <c r="D77" t="s" s="13">
        <v>23</v>
      </c>
      <c r="E77" t="s" s="13">
        <v>5493</v>
      </c>
      <c r="F77" s="14">
        <v>28</v>
      </c>
      <c r="G77" s="15">
        <v>0</v>
      </c>
      <c r="H77" s="15">
        <v>0</v>
      </c>
    </row>
    <row r="78" ht="12.9" customHeight="1">
      <c r="A78" t="s" s="10">
        <v>6182</v>
      </c>
      <c r="B78" t="s" s="11">
        <v>5179</v>
      </c>
      <c r="C78" s="12">
        <v>44980</v>
      </c>
      <c r="D78" t="s" s="13">
        <v>54</v>
      </c>
      <c r="E78" t="s" s="13">
        <v>55</v>
      </c>
      <c r="F78" s="14">
        <v>28</v>
      </c>
      <c r="G78" s="15">
        <v>0</v>
      </c>
      <c r="H78" s="15">
        <v>0</v>
      </c>
    </row>
    <row r="79" ht="12.9" customHeight="1">
      <c r="A79" t="s" s="10">
        <v>6182</v>
      </c>
      <c r="B79" t="s" s="11">
        <v>5179</v>
      </c>
      <c r="C79" s="12">
        <v>44980</v>
      </c>
      <c r="D79" t="s" s="13">
        <v>15</v>
      </c>
      <c r="E79" t="s" s="13">
        <v>5957</v>
      </c>
      <c r="F79" s="14">
        <v>36</v>
      </c>
      <c r="G79" s="15">
        <v>0</v>
      </c>
      <c r="H79" s="15">
        <v>0</v>
      </c>
    </row>
    <row r="80" ht="12.9" customHeight="1">
      <c r="A80" t="s" s="10">
        <v>6182</v>
      </c>
      <c r="B80" t="s" s="11">
        <v>5179</v>
      </c>
      <c r="C80" s="12">
        <v>44980</v>
      </c>
      <c r="D80" t="s" s="13">
        <v>50</v>
      </c>
      <c r="E80" t="s" s="13">
        <v>83</v>
      </c>
      <c r="F80" s="14">
        <v>28</v>
      </c>
      <c r="G80" s="15">
        <v>0</v>
      </c>
      <c r="H80" s="15">
        <v>0</v>
      </c>
    </row>
    <row r="81" ht="12.9" customHeight="1">
      <c r="A81" t="s" s="10">
        <v>6182</v>
      </c>
      <c r="B81" t="s" s="11">
        <v>5179</v>
      </c>
      <c r="C81" s="12">
        <v>44980</v>
      </c>
      <c r="D81" t="s" s="13">
        <v>63</v>
      </c>
      <c r="E81" s="16"/>
      <c r="F81" s="14">
        <v>1</v>
      </c>
      <c r="G81" s="15">
        <v>396.4</v>
      </c>
      <c r="H81" s="15">
        <v>396.4</v>
      </c>
    </row>
    <row r="82" ht="12.9" customHeight="1">
      <c r="A82" t="s" s="10">
        <v>6183</v>
      </c>
      <c r="B82" t="s" s="11">
        <v>476</v>
      </c>
      <c r="C82" s="12">
        <v>44980</v>
      </c>
      <c r="D82" t="s" s="13">
        <v>73</v>
      </c>
      <c r="E82" t="s" s="13">
        <v>74</v>
      </c>
      <c r="F82" s="14">
        <v>1</v>
      </c>
      <c r="G82" s="15">
        <v>299.9925</v>
      </c>
      <c r="H82" s="15">
        <v>299.9925</v>
      </c>
    </row>
    <row r="83" ht="12.9" customHeight="1">
      <c r="A83" t="s" s="10">
        <v>6183</v>
      </c>
      <c r="B83" t="s" s="11">
        <v>476</v>
      </c>
      <c r="C83" s="12">
        <v>44980</v>
      </c>
      <c r="D83" t="s" s="13">
        <v>63</v>
      </c>
      <c r="E83" s="16"/>
      <c r="F83" s="14">
        <v>1</v>
      </c>
      <c r="G83" s="15">
        <v>27.5</v>
      </c>
      <c r="H83" s="15">
        <v>27.5</v>
      </c>
    </row>
    <row r="84" ht="12.9" customHeight="1">
      <c r="A84" t="s" s="10">
        <v>6184</v>
      </c>
      <c r="B84" t="s" s="11">
        <v>6185</v>
      </c>
      <c r="C84" s="12">
        <v>44980</v>
      </c>
      <c r="D84" t="s" s="13">
        <v>52</v>
      </c>
      <c r="E84" t="s" s="13">
        <v>4287</v>
      </c>
      <c r="F84" s="14">
        <v>6</v>
      </c>
      <c r="G84" s="15">
        <v>14.9925</v>
      </c>
      <c r="H84" s="15">
        <v>89.955</v>
      </c>
    </row>
    <row r="85" ht="12.9" customHeight="1">
      <c r="A85" t="s" s="10">
        <v>6184</v>
      </c>
      <c r="B85" t="s" s="11">
        <v>6185</v>
      </c>
      <c r="C85" s="12">
        <v>44980</v>
      </c>
      <c r="D85" t="s" s="13">
        <v>63</v>
      </c>
      <c r="E85" s="16"/>
      <c r="F85" s="14">
        <v>1</v>
      </c>
      <c r="G85" s="15">
        <v>15</v>
      </c>
      <c r="H85" s="15">
        <v>15</v>
      </c>
    </row>
    <row r="86" ht="12.9" customHeight="1">
      <c r="A86" t="s" s="10">
        <v>6186</v>
      </c>
      <c r="B86" t="s" s="11">
        <v>6187</v>
      </c>
      <c r="C86" s="12">
        <v>44979.610128715278</v>
      </c>
      <c r="D86" t="s" s="13">
        <v>73</v>
      </c>
      <c r="E86" t="s" s="13">
        <v>74</v>
      </c>
      <c r="F86" s="14">
        <v>1</v>
      </c>
      <c r="G86" s="15">
        <v>399.99</v>
      </c>
      <c r="H86" s="15">
        <v>399.99</v>
      </c>
    </row>
    <row r="87" ht="12.9" customHeight="1">
      <c r="A87" t="s" s="10">
        <v>6188</v>
      </c>
      <c r="B87" t="s" s="11">
        <v>5934</v>
      </c>
      <c r="C87" s="12">
        <v>44979.248626180553</v>
      </c>
      <c r="D87" t="s" s="13">
        <v>35</v>
      </c>
      <c r="E87" t="s" s="13">
        <v>36</v>
      </c>
      <c r="F87" s="14">
        <v>2</v>
      </c>
      <c r="G87" s="15">
        <v>49.99</v>
      </c>
      <c r="H87" s="15">
        <v>99.98</v>
      </c>
    </row>
    <row r="88" ht="12.9" customHeight="1">
      <c r="A88" t="s" s="10">
        <v>6189</v>
      </c>
      <c r="B88" t="s" s="11">
        <v>6190</v>
      </c>
      <c r="C88" s="12">
        <v>44979.060392511572</v>
      </c>
      <c r="D88" t="s" s="13">
        <v>19</v>
      </c>
      <c r="E88" t="s" s="13">
        <v>20</v>
      </c>
      <c r="F88" s="14">
        <v>4</v>
      </c>
      <c r="G88" s="15">
        <v>119.99</v>
      </c>
      <c r="H88" s="15">
        <v>479.96</v>
      </c>
    </row>
    <row r="89" ht="12.9" customHeight="1">
      <c r="A89" t="s" s="10">
        <v>6189</v>
      </c>
      <c r="B89" t="s" s="11">
        <v>6190</v>
      </c>
      <c r="C89" s="12">
        <v>44979.060392511572</v>
      </c>
      <c r="D89" t="s" s="13">
        <v>15</v>
      </c>
      <c r="E89" t="s" s="13">
        <v>4757</v>
      </c>
      <c r="F89" s="14">
        <v>4</v>
      </c>
      <c r="G89" s="15">
        <v>9.99</v>
      </c>
      <c r="H89" s="15">
        <v>39.96</v>
      </c>
    </row>
    <row r="90" ht="12.9" customHeight="1">
      <c r="A90" t="s" s="10">
        <v>6191</v>
      </c>
      <c r="B90" t="s" s="11">
        <v>476</v>
      </c>
      <c r="C90" s="12">
        <v>44979</v>
      </c>
      <c r="D90" t="s" s="13">
        <v>48</v>
      </c>
      <c r="E90" t="s" s="13">
        <v>6192</v>
      </c>
      <c r="F90" s="14">
        <v>4</v>
      </c>
      <c r="G90" s="15">
        <v>974.9924999999999</v>
      </c>
      <c r="H90" s="15">
        <v>3899.97</v>
      </c>
    </row>
    <row r="91" ht="12.9" customHeight="1">
      <c r="A91" t="s" s="10">
        <v>6191</v>
      </c>
      <c r="B91" t="s" s="11">
        <v>476</v>
      </c>
      <c r="C91" s="12">
        <v>44979</v>
      </c>
      <c r="D91" t="s" s="13">
        <v>882</v>
      </c>
      <c r="E91" t="s" s="13">
        <v>6193</v>
      </c>
      <c r="F91" s="14">
        <v>4</v>
      </c>
      <c r="G91" s="15">
        <v>0</v>
      </c>
      <c r="H91" s="15">
        <v>0</v>
      </c>
    </row>
    <row r="92" ht="12.9" customHeight="1">
      <c r="A92" t="s" s="10">
        <v>6191</v>
      </c>
      <c r="B92" t="s" s="11">
        <v>476</v>
      </c>
      <c r="C92" s="12">
        <v>44979</v>
      </c>
      <c r="D92" t="s" s="13">
        <v>5233</v>
      </c>
      <c r="E92" t="s" s="13">
        <v>6194</v>
      </c>
      <c r="F92" s="14">
        <v>2</v>
      </c>
      <c r="G92" s="15">
        <v>0</v>
      </c>
      <c r="H92" s="15">
        <v>0</v>
      </c>
    </row>
    <row r="93" ht="12.9" customHeight="1">
      <c r="A93" t="s" s="10">
        <v>6191</v>
      </c>
      <c r="B93" t="s" s="11">
        <v>476</v>
      </c>
      <c r="C93" s="12">
        <v>44979</v>
      </c>
      <c r="D93" t="s" s="13">
        <v>50</v>
      </c>
      <c r="E93" t="s" s="13">
        <v>6195</v>
      </c>
      <c r="F93" s="14">
        <v>4</v>
      </c>
      <c r="G93" s="15">
        <v>0</v>
      </c>
      <c r="H93" s="15">
        <v>0</v>
      </c>
    </row>
    <row r="94" ht="12.9" customHeight="1">
      <c r="A94" t="s" s="10">
        <v>6191</v>
      </c>
      <c r="B94" t="s" s="11">
        <v>476</v>
      </c>
      <c r="C94" s="12">
        <v>44979</v>
      </c>
      <c r="D94" t="s" s="13">
        <v>47</v>
      </c>
      <c r="E94" s="16"/>
      <c r="F94" s="14">
        <v>1</v>
      </c>
      <c r="G94" s="15">
        <v>60</v>
      </c>
      <c r="H94" s="15">
        <v>60</v>
      </c>
    </row>
    <row r="95" ht="12.9" customHeight="1">
      <c r="A95" t="s" s="10">
        <v>6196</v>
      </c>
      <c r="B95" t="s" s="11">
        <v>69</v>
      </c>
      <c r="C95" s="12">
        <v>44979</v>
      </c>
      <c r="D95" t="s" s="13">
        <v>1030</v>
      </c>
      <c r="E95" t="s" s="13">
        <v>1031</v>
      </c>
      <c r="F95" s="14">
        <v>1</v>
      </c>
      <c r="G95" s="15">
        <v>0</v>
      </c>
      <c r="H95" s="15">
        <v>0</v>
      </c>
    </row>
    <row r="96" ht="12.9" customHeight="1">
      <c r="A96" t="s" s="10">
        <v>6197</v>
      </c>
      <c r="B96" t="s" s="11">
        <v>6198</v>
      </c>
      <c r="C96" s="12">
        <v>44978.997721261578</v>
      </c>
      <c r="D96" t="s" s="13">
        <v>31</v>
      </c>
      <c r="E96" t="s" s="13">
        <v>32</v>
      </c>
      <c r="F96" s="14">
        <v>1</v>
      </c>
      <c r="G96" s="15">
        <v>599.99</v>
      </c>
      <c r="H96" s="15">
        <v>599.99</v>
      </c>
    </row>
    <row r="97" ht="12.9" customHeight="1">
      <c r="A97" t="s" s="10">
        <v>6199</v>
      </c>
      <c r="B97" t="s" s="11">
        <v>1536</v>
      </c>
      <c r="C97" s="12">
        <v>44978.953682048610</v>
      </c>
      <c r="D97" t="s" s="13">
        <v>722</v>
      </c>
      <c r="E97" t="s" s="13">
        <v>82</v>
      </c>
      <c r="F97" s="14">
        <v>2</v>
      </c>
      <c r="G97" s="15">
        <v>869.99</v>
      </c>
      <c r="H97" s="15">
        <v>1739.98</v>
      </c>
    </row>
    <row r="98" ht="12.9" customHeight="1">
      <c r="A98" t="s" s="10">
        <v>6199</v>
      </c>
      <c r="B98" t="s" s="11">
        <v>1536</v>
      </c>
      <c r="C98" s="12">
        <v>44978.953682048610</v>
      </c>
      <c r="D98" t="s" s="13">
        <v>50</v>
      </c>
      <c r="E98" t="s" s="13">
        <v>83</v>
      </c>
      <c r="F98" s="14">
        <v>2</v>
      </c>
      <c r="G98" s="15">
        <v>0</v>
      </c>
      <c r="H98" s="15">
        <v>0</v>
      </c>
    </row>
    <row r="99" ht="12.9" customHeight="1">
      <c r="A99" t="s" s="10">
        <v>6199</v>
      </c>
      <c r="B99" t="s" s="11">
        <v>1536</v>
      </c>
      <c r="C99" s="12">
        <v>44978.953682048610</v>
      </c>
      <c r="D99" t="s" s="13">
        <v>84</v>
      </c>
      <c r="E99" t="s" s="13">
        <v>4225</v>
      </c>
      <c r="F99" s="14">
        <v>2</v>
      </c>
      <c r="G99" s="15">
        <v>0</v>
      </c>
      <c r="H99" s="15">
        <v>0</v>
      </c>
    </row>
    <row r="100" ht="12.9" customHeight="1">
      <c r="A100" t="s" s="10">
        <v>6199</v>
      </c>
      <c r="B100" t="s" s="11">
        <v>1536</v>
      </c>
      <c r="C100" s="12">
        <v>44978.953682048610</v>
      </c>
      <c r="D100" t="s" s="13">
        <v>23</v>
      </c>
      <c r="E100" t="s" s="13">
        <v>828</v>
      </c>
      <c r="F100" s="14">
        <v>2</v>
      </c>
      <c r="G100" s="15">
        <v>0</v>
      </c>
      <c r="H100" s="15">
        <v>0</v>
      </c>
    </row>
    <row r="101" ht="12.9" customHeight="1">
      <c r="A101" t="s" s="10">
        <v>6199</v>
      </c>
      <c r="B101" t="s" s="11">
        <v>1536</v>
      </c>
      <c r="C101" s="12">
        <v>44978.953682048610</v>
      </c>
      <c r="D101" t="s" s="13">
        <v>227</v>
      </c>
      <c r="E101" t="s" s="13">
        <v>228</v>
      </c>
      <c r="F101" s="14">
        <v>4</v>
      </c>
      <c r="G101" s="15">
        <v>29.99</v>
      </c>
      <c r="H101" s="15">
        <v>119.96</v>
      </c>
    </row>
    <row r="102" ht="12.9" customHeight="1">
      <c r="A102" t="s" s="10">
        <v>6199</v>
      </c>
      <c r="B102" t="s" s="11">
        <v>1536</v>
      </c>
      <c r="C102" s="12">
        <v>44978.953682048610</v>
      </c>
      <c r="D102" t="s" s="13">
        <v>48</v>
      </c>
      <c r="E102" t="s" s="13">
        <v>49</v>
      </c>
      <c r="F102" s="14">
        <v>2</v>
      </c>
      <c r="G102" s="15">
        <v>1299.99</v>
      </c>
      <c r="H102" s="15">
        <v>2599.98</v>
      </c>
    </row>
    <row r="103" ht="12.9" customHeight="1">
      <c r="A103" t="s" s="10">
        <v>6199</v>
      </c>
      <c r="B103" t="s" s="11">
        <v>1536</v>
      </c>
      <c r="C103" s="12">
        <v>44978.953682048610</v>
      </c>
      <c r="D103" t="s" s="13">
        <v>50</v>
      </c>
      <c r="E103" t="s" s="13">
        <v>83</v>
      </c>
      <c r="F103" s="14">
        <v>2</v>
      </c>
      <c r="G103" s="15">
        <v>0</v>
      </c>
      <c r="H103" s="15">
        <v>0</v>
      </c>
    </row>
    <row r="104" ht="12.9" customHeight="1">
      <c r="A104" t="s" s="10">
        <v>6199</v>
      </c>
      <c r="B104" t="s" s="11">
        <v>1536</v>
      </c>
      <c r="C104" s="12">
        <v>44978.953682048610</v>
      </c>
      <c r="D104" t="s" s="13">
        <v>52</v>
      </c>
      <c r="E104" t="s" s="13">
        <v>4287</v>
      </c>
      <c r="F104" s="14">
        <v>2</v>
      </c>
      <c r="G104" s="15">
        <v>0</v>
      </c>
      <c r="H104" s="15">
        <v>0</v>
      </c>
    </row>
    <row r="105" ht="12.9" customHeight="1">
      <c r="A105" t="s" s="10">
        <v>6199</v>
      </c>
      <c r="B105" t="s" s="11">
        <v>1536</v>
      </c>
      <c r="C105" s="12">
        <v>44978.953682048610</v>
      </c>
      <c r="D105" t="s" s="13">
        <v>84</v>
      </c>
      <c r="E105" t="s" s="13">
        <v>4225</v>
      </c>
      <c r="F105" s="14">
        <v>2</v>
      </c>
      <c r="G105" s="15">
        <v>0</v>
      </c>
      <c r="H105" s="15">
        <v>0</v>
      </c>
    </row>
    <row r="106" ht="12.9" customHeight="1">
      <c r="A106" t="s" s="10">
        <v>6199</v>
      </c>
      <c r="B106" t="s" s="11">
        <v>1536</v>
      </c>
      <c r="C106" s="12">
        <v>44978.953682048610</v>
      </c>
      <c r="D106" t="s" s="13">
        <v>23</v>
      </c>
      <c r="E106" t="s" s="13">
        <v>828</v>
      </c>
      <c r="F106" s="14">
        <v>2</v>
      </c>
      <c r="G106" s="15">
        <v>0</v>
      </c>
      <c r="H106" s="15">
        <v>0</v>
      </c>
    </row>
    <row r="107" ht="12.9" customHeight="1">
      <c r="A107" t="s" s="10">
        <v>6199</v>
      </c>
      <c r="B107" t="s" s="11">
        <v>1536</v>
      </c>
      <c r="C107" s="12">
        <v>44978.953682048610</v>
      </c>
      <c r="D107" t="s" s="13">
        <v>2332</v>
      </c>
      <c r="E107" t="s" s="13">
        <v>828</v>
      </c>
      <c r="F107" s="14">
        <v>2</v>
      </c>
      <c r="G107" s="15">
        <v>199.99</v>
      </c>
      <c r="H107" s="15">
        <v>399.98</v>
      </c>
    </row>
    <row r="108" ht="12.9" customHeight="1">
      <c r="A108" t="s" s="10">
        <v>6200</v>
      </c>
      <c r="B108" t="s" s="11">
        <v>5227</v>
      </c>
      <c r="C108" s="12">
        <v>44978.913647372683</v>
      </c>
      <c r="D108" t="s" s="13">
        <v>19</v>
      </c>
      <c r="E108" t="s" s="13">
        <v>20</v>
      </c>
      <c r="F108" s="14">
        <v>4</v>
      </c>
      <c r="G108" s="15">
        <v>119.99</v>
      </c>
      <c r="H108" s="15">
        <v>479.96</v>
      </c>
    </row>
    <row r="109" ht="12.9" customHeight="1">
      <c r="A109" t="s" s="10">
        <v>6200</v>
      </c>
      <c r="B109" t="s" s="11">
        <v>5227</v>
      </c>
      <c r="C109" s="12">
        <v>44978.913647372683</v>
      </c>
      <c r="D109" t="s" s="13">
        <v>15</v>
      </c>
      <c r="E109" t="s" s="13">
        <v>4757</v>
      </c>
      <c r="F109" s="14">
        <v>4</v>
      </c>
      <c r="G109" s="15">
        <v>9.99</v>
      </c>
      <c r="H109" s="15">
        <v>39.96</v>
      </c>
    </row>
    <row r="110" ht="12.9" customHeight="1">
      <c r="A110" t="s" s="10">
        <v>6201</v>
      </c>
      <c r="B110" t="s" s="11">
        <v>6202</v>
      </c>
      <c r="C110" s="12">
        <v>44978.790551805556</v>
      </c>
      <c r="D110" t="s" s="13">
        <v>35</v>
      </c>
      <c r="E110" t="s" s="13">
        <v>36</v>
      </c>
      <c r="F110" s="14">
        <v>2</v>
      </c>
      <c r="G110" s="15">
        <v>49.99</v>
      </c>
      <c r="H110" s="15">
        <v>99.98</v>
      </c>
    </row>
    <row r="111" ht="12.9" customHeight="1">
      <c r="A111" t="s" s="10">
        <v>6203</v>
      </c>
      <c r="B111" t="s" s="11">
        <v>3058</v>
      </c>
      <c r="C111" s="12">
        <v>44978.723309317131</v>
      </c>
      <c r="D111" t="s" s="13">
        <v>171</v>
      </c>
      <c r="E111" t="s" s="13">
        <v>172</v>
      </c>
      <c r="F111" s="14">
        <v>1</v>
      </c>
      <c r="G111" s="15">
        <v>549.99</v>
      </c>
      <c r="H111" s="15">
        <v>549.99</v>
      </c>
    </row>
    <row r="112" ht="12.9" customHeight="1">
      <c r="A112" t="s" s="10">
        <v>6204</v>
      </c>
      <c r="B112" t="s" s="11">
        <v>3357</v>
      </c>
      <c r="C112" s="12">
        <v>44978.681895416667</v>
      </c>
      <c r="D112" t="s" s="13">
        <v>1695</v>
      </c>
      <c r="E112" t="s" s="13">
        <v>140</v>
      </c>
      <c r="F112" s="14">
        <v>4</v>
      </c>
      <c r="G112" s="15">
        <v>49.99</v>
      </c>
      <c r="H112" s="15">
        <v>199.96</v>
      </c>
    </row>
    <row r="113" ht="12.9" customHeight="1">
      <c r="A113" t="s" s="10">
        <v>6204</v>
      </c>
      <c r="B113" t="s" s="11">
        <v>3357</v>
      </c>
      <c r="C113" s="12">
        <v>44978.681895416667</v>
      </c>
      <c r="D113" t="s" s="13">
        <v>15</v>
      </c>
      <c r="E113" t="s" s="13">
        <v>4757</v>
      </c>
      <c r="F113" s="14">
        <v>4</v>
      </c>
      <c r="G113" s="15">
        <v>9.99</v>
      </c>
      <c r="H113" s="15">
        <v>39.96</v>
      </c>
    </row>
    <row r="114" ht="12.9" customHeight="1">
      <c r="A114" t="s" s="10">
        <v>6205</v>
      </c>
      <c r="B114" t="s" s="11">
        <v>6206</v>
      </c>
      <c r="C114" s="12">
        <v>44978</v>
      </c>
      <c r="D114" t="s" s="13">
        <v>6207</v>
      </c>
      <c r="E114" t="s" s="13">
        <v>6208</v>
      </c>
      <c r="F114" s="14">
        <v>676</v>
      </c>
      <c r="G114" s="15">
        <v>1.225</v>
      </c>
      <c r="H114" s="15">
        <v>828.1</v>
      </c>
    </row>
    <row r="115" ht="12.9" customHeight="1">
      <c r="A115" t="s" s="10">
        <v>6205</v>
      </c>
      <c r="B115" t="s" s="11">
        <v>6206</v>
      </c>
      <c r="C115" s="12">
        <v>44978</v>
      </c>
      <c r="D115" t="s" s="13">
        <v>6209</v>
      </c>
      <c r="E115" t="s" s="13">
        <v>6210</v>
      </c>
      <c r="F115" s="14">
        <v>729</v>
      </c>
      <c r="G115" s="15">
        <v>0.525</v>
      </c>
      <c r="H115" s="15">
        <v>382.725</v>
      </c>
    </row>
    <row r="116" ht="12.9" customHeight="1">
      <c r="A116" t="s" s="10">
        <v>6211</v>
      </c>
      <c r="B116" t="s" s="11">
        <v>6212</v>
      </c>
      <c r="C116" s="12">
        <v>44977.815385717593</v>
      </c>
      <c r="D116" t="s" s="13">
        <v>11</v>
      </c>
      <c r="E116" t="s" s="13">
        <v>12</v>
      </c>
      <c r="F116" s="14">
        <v>1</v>
      </c>
      <c r="G116" s="15">
        <v>399.99</v>
      </c>
      <c r="H116" s="15">
        <v>399.99</v>
      </c>
    </row>
    <row r="117" ht="12.9" customHeight="1">
      <c r="A117" t="s" s="10">
        <v>6213</v>
      </c>
      <c r="B117" t="s" s="11">
        <v>5125</v>
      </c>
      <c r="C117" s="12">
        <v>44977.768053310188</v>
      </c>
      <c r="D117" t="s" s="13">
        <v>11</v>
      </c>
      <c r="E117" t="s" s="13">
        <v>12</v>
      </c>
      <c r="F117" s="14">
        <v>1</v>
      </c>
      <c r="G117" s="15">
        <v>387.49</v>
      </c>
      <c r="H117" s="15">
        <v>387.49</v>
      </c>
    </row>
    <row r="118" ht="12.9" customHeight="1">
      <c r="A118" t="s" s="10">
        <v>6213</v>
      </c>
      <c r="B118" t="s" s="11">
        <v>5125</v>
      </c>
      <c r="C118" s="12">
        <v>44977.768053310188</v>
      </c>
      <c r="D118" t="s" s="13">
        <v>35</v>
      </c>
      <c r="E118" t="s" s="13">
        <v>36</v>
      </c>
      <c r="F118" s="14">
        <v>1</v>
      </c>
      <c r="G118" s="15">
        <v>37.49</v>
      </c>
      <c r="H118" s="15">
        <v>37.49</v>
      </c>
    </row>
    <row r="119" ht="12.9" customHeight="1">
      <c r="A119" t="s" s="10">
        <v>6214</v>
      </c>
      <c r="B119" t="s" s="11">
        <v>6215</v>
      </c>
      <c r="C119" s="12">
        <v>44977.756574131941</v>
      </c>
      <c r="D119" t="s" s="13">
        <v>59</v>
      </c>
      <c r="E119" t="s" s="13">
        <v>60</v>
      </c>
      <c r="F119" s="14">
        <v>1</v>
      </c>
      <c r="G119" s="15">
        <v>1199.99</v>
      </c>
      <c r="H119" s="15">
        <v>1199.99</v>
      </c>
    </row>
    <row r="120" ht="12.9" customHeight="1">
      <c r="A120" t="s" s="10">
        <v>6216</v>
      </c>
      <c r="B120" t="s" s="11">
        <v>2301</v>
      </c>
      <c r="C120" s="12">
        <v>44977.215566886574</v>
      </c>
      <c r="D120" t="s" s="13">
        <v>81</v>
      </c>
      <c r="E120" t="s" s="13">
        <v>82</v>
      </c>
      <c r="F120" s="14">
        <v>2</v>
      </c>
      <c r="G120" s="15">
        <v>849.99</v>
      </c>
      <c r="H120" s="15">
        <v>1699.98</v>
      </c>
    </row>
    <row r="121" ht="12.9" customHeight="1">
      <c r="A121" t="s" s="10">
        <v>6216</v>
      </c>
      <c r="B121" t="s" s="11">
        <v>2301</v>
      </c>
      <c r="C121" s="12">
        <v>44977.215566886574</v>
      </c>
      <c r="D121" t="s" s="13">
        <v>50</v>
      </c>
      <c r="E121" t="s" s="13">
        <v>83</v>
      </c>
      <c r="F121" s="14">
        <v>2</v>
      </c>
      <c r="G121" s="15">
        <v>0</v>
      </c>
      <c r="H121" s="15">
        <v>0</v>
      </c>
    </row>
    <row r="122" ht="12.9" customHeight="1">
      <c r="A122" t="s" s="10">
        <v>6216</v>
      </c>
      <c r="B122" t="s" s="11">
        <v>2301</v>
      </c>
      <c r="C122" s="12">
        <v>44977.215566886574</v>
      </c>
      <c r="D122" t="s" s="13">
        <v>84</v>
      </c>
      <c r="E122" t="s" s="13">
        <v>4225</v>
      </c>
      <c r="F122" s="14">
        <v>2</v>
      </c>
      <c r="G122" s="15">
        <v>0</v>
      </c>
      <c r="H122" s="15">
        <v>0</v>
      </c>
    </row>
    <row r="123" ht="12.9" customHeight="1">
      <c r="A123" t="s" s="10">
        <v>6216</v>
      </c>
      <c r="B123" t="s" s="11">
        <v>2301</v>
      </c>
      <c r="C123" s="12">
        <v>44977.215566886574</v>
      </c>
      <c r="D123" t="s" s="13">
        <v>23</v>
      </c>
      <c r="E123" t="s" s="13">
        <v>828</v>
      </c>
      <c r="F123" s="14">
        <v>2</v>
      </c>
      <c r="G123" s="15">
        <v>0</v>
      </c>
      <c r="H123" s="15">
        <v>0</v>
      </c>
    </row>
    <row r="124" ht="12.9" customHeight="1">
      <c r="A124" t="s" s="10">
        <v>6217</v>
      </c>
      <c r="B124" t="s" s="11">
        <v>6218</v>
      </c>
      <c r="C124" s="12">
        <v>44977.010007847224</v>
      </c>
      <c r="D124" t="s" s="13">
        <v>95</v>
      </c>
      <c r="E124" t="s" s="13">
        <v>12</v>
      </c>
      <c r="F124" s="14">
        <v>1</v>
      </c>
      <c r="G124" s="15">
        <v>349.99</v>
      </c>
      <c r="H124" s="15">
        <v>349.99</v>
      </c>
    </row>
    <row r="125" ht="12.9" customHeight="1">
      <c r="A125" t="s" s="10">
        <v>6219</v>
      </c>
      <c r="B125" t="s" s="11">
        <v>122</v>
      </c>
      <c r="C125" s="12">
        <v>44977</v>
      </c>
      <c r="D125" t="s" s="13">
        <v>6220</v>
      </c>
      <c r="E125" t="s" s="13">
        <v>5918</v>
      </c>
      <c r="F125" s="14">
        <v>2</v>
      </c>
      <c r="G125" s="15">
        <v>0</v>
      </c>
      <c r="H125" s="15">
        <v>0</v>
      </c>
    </row>
    <row r="126" ht="12.9" customHeight="1">
      <c r="A126" t="s" s="10">
        <v>6219</v>
      </c>
      <c r="B126" t="s" s="11">
        <v>122</v>
      </c>
      <c r="C126" s="12">
        <v>44977</v>
      </c>
      <c r="D126" t="s" s="13">
        <v>3950</v>
      </c>
      <c r="E126" t="s" s="13">
        <v>3951</v>
      </c>
      <c r="F126" s="14">
        <v>2</v>
      </c>
      <c r="G126" s="15">
        <v>0</v>
      </c>
      <c r="H126" s="15">
        <v>0</v>
      </c>
    </row>
    <row r="127" ht="12.9" customHeight="1">
      <c r="A127" t="s" s="10">
        <v>6219</v>
      </c>
      <c r="B127" t="s" s="11">
        <v>122</v>
      </c>
      <c r="C127" s="12">
        <v>44977</v>
      </c>
      <c r="D127" t="s" s="13">
        <v>6221</v>
      </c>
      <c r="E127" t="s" s="13">
        <v>6222</v>
      </c>
      <c r="F127" s="14">
        <v>1</v>
      </c>
      <c r="G127" s="15">
        <v>0</v>
      </c>
      <c r="H127" s="15">
        <v>0</v>
      </c>
    </row>
    <row r="128" ht="12.9" customHeight="1">
      <c r="A128" t="s" s="10">
        <v>6223</v>
      </c>
      <c r="B128" t="s" s="11">
        <v>3689</v>
      </c>
      <c r="C128" s="12">
        <v>44976.960064097220</v>
      </c>
      <c r="D128" t="s" s="13">
        <v>23</v>
      </c>
      <c r="E128" t="s" s="13">
        <v>828</v>
      </c>
      <c r="F128" s="14">
        <v>1</v>
      </c>
      <c r="G128" s="15">
        <v>149.99</v>
      </c>
      <c r="H128" s="15">
        <v>149.99</v>
      </c>
    </row>
    <row r="129" ht="12.9" customHeight="1">
      <c r="A129" t="s" s="10">
        <v>6223</v>
      </c>
      <c r="B129" t="s" s="11">
        <v>3689</v>
      </c>
      <c r="C129" s="12">
        <v>44976.960064097220</v>
      </c>
      <c r="D129" t="s" s="13">
        <v>84</v>
      </c>
      <c r="E129" t="s" s="13">
        <v>4225</v>
      </c>
      <c r="F129" s="14">
        <v>1</v>
      </c>
      <c r="G129" s="15">
        <v>15</v>
      </c>
      <c r="H129" s="15">
        <v>15</v>
      </c>
    </row>
    <row r="130" ht="12.9" customHeight="1">
      <c r="A130" t="s" s="10">
        <v>6224</v>
      </c>
      <c r="B130" t="s" s="11">
        <v>6225</v>
      </c>
      <c r="C130" s="12">
        <v>44976.794548715276</v>
      </c>
      <c r="D130" t="s" s="13">
        <v>73</v>
      </c>
      <c r="E130" t="s" s="13">
        <v>74</v>
      </c>
      <c r="F130" s="14">
        <v>3</v>
      </c>
      <c r="G130" s="15">
        <v>399.99</v>
      </c>
      <c r="H130" s="15">
        <v>1199.97</v>
      </c>
    </row>
    <row r="131" ht="12.9" customHeight="1">
      <c r="A131" t="s" s="10">
        <v>6226</v>
      </c>
      <c r="B131" t="s" s="11">
        <v>6227</v>
      </c>
      <c r="C131" s="12">
        <v>44975.926041689818</v>
      </c>
      <c r="D131" t="s" s="13">
        <v>89</v>
      </c>
      <c r="E131" t="s" s="13">
        <v>90</v>
      </c>
      <c r="F131" s="14">
        <v>1</v>
      </c>
      <c r="G131" s="15">
        <v>59.99</v>
      </c>
      <c r="H131" s="15">
        <v>59.99</v>
      </c>
    </row>
    <row r="132" ht="12.9" customHeight="1">
      <c r="A132" t="s" s="10">
        <v>6228</v>
      </c>
      <c r="B132" t="s" s="11">
        <v>6229</v>
      </c>
      <c r="C132" s="12">
        <v>44975.7791306713</v>
      </c>
      <c r="D132" t="s" s="13">
        <v>35</v>
      </c>
      <c r="E132" t="s" s="13">
        <v>36</v>
      </c>
      <c r="F132" s="14">
        <v>1</v>
      </c>
      <c r="G132" s="15">
        <v>49.99</v>
      </c>
      <c r="H132" s="15">
        <v>49.99</v>
      </c>
    </row>
    <row r="133" ht="12.9" customHeight="1">
      <c r="A133" t="s" s="10">
        <v>6230</v>
      </c>
      <c r="B133" t="s" s="11">
        <v>6231</v>
      </c>
      <c r="C133" s="12">
        <v>44975.111928136575</v>
      </c>
      <c r="D133" t="s" s="13">
        <v>31</v>
      </c>
      <c r="E133" t="s" s="13">
        <v>32</v>
      </c>
      <c r="F133" s="14">
        <v>1</v>
      </c>
      <c r="G133" s="15">
        <v>599.99</v>
      </c>
      <c r="H133" s="15">
        <v>599.99</v>
      </c>
    </row>
    <row r="134" ht="12.9" customHeight="1">
      <c r="A134" t="s" s="10">
        <v>6232</v>
      </c>
      <c r="B134" t="s" s="11">
        <v>6233</v>
      </c>
      <c r="C134" s="12">
        <v>44974.901684259261</v>
      </c>
      <c r="D134" t="s" s="13">
        <v>35</v>
      </c>
      <c r="E134" t="s" s="13">
        <v>36</v>
      </c>
      <c r="F134" s="14">
        <v>1</v>
      </c>
      <c r="G134" s="15">
        <v>49.99</v>
      </c>
      <c r="H134" s="15">
        <v>49.99</v>
      </c>
    </row>
    <row r="135" ht="12.9" customHeight="1">
      <c r="A135" t="s" s="10">
        <v>6234</v>
      </c>
      <c r="B135" t="s" s="11">
        <v>6235</v>
      </c>
      <c r="C135" s="12">
        <v>44974.893686539355</v>
      </c>
      <c r="D135" t="s" s="13">
        <v>1479</v>
      </c>
      <c r="E135" t="s" s="13">
        <v>828</v>
      </c>
      <c r="F135" s="14">
        <v>1</v>
      </c>
      <c r="G135" s="15">
        <v>299.99</v>
      </c>
      <c r="H135" s="15">
        <v>299.99</v>
      </c>
    </row>
    <row r="136" ht="12.9" customHeight="1">
      <c r="A136" t="s" s="10">
        <v>6236</v>
      </c>
      <c r="B136" t="s" s="11">
        <v>6237</v>
      </c>
      <c r="C136" s="12">
        <v>44974.6684893287</v>
      </c>
      <c r="D136" t="s" s="13">
        <v>95</v>
      </c>
      <c r="E136" t="s" s="13">
        <v>12</v>
      </c>
      <c r="F136" s="14">
        <v>1</v>
      </c>
      <c r="G136" s="15">
        <v>349.99</v>
      </c>
      <c r="H136" s="15">
        <v>349.99</v>
      </c>
    </row>
    <row r="137" ht="12.9" customHeight="1">
      <c r="A137" t="s" s="10">
        <v>6238</v>
      </c>
      <c r="B137" t="s" s="11">
        <v>6239</v>
      </c>
      <c r="C137" s="12">
        <v>44974.657756238426</v>
      </c>
      <c r="D137" t="s" s="13">
        <v>1695</v>
      </c>
      <c r="E137" t="s" s="13">
        <v>140</v>
      </c>
      <c r="F137" s="14">
        <v>2</v>
      </c>
      <c r="G137" s="15">
        <v>49.99</v>
      </c>
      <c r="H137" s="15">
        <v>99.98</v>
      </c>
    </row>
    <row r="138" ht="12.9" customHeight="1">
      <c r="A138" t="s" s="10">
        <v>6238</v>
      </c>
      <c r="B138" t="s" s="11">
        <v>6239</v>
      </c>
      <c r="C138" s="12">
        <v>44974.657756238426</v>
      </c>
      <c r="D138" t="s" s="13">
        <v>15</v>
      </c>
      <c r="E138" t="s" s="13">
        <v>4757</v>
      </c>
      <c r="F138" s="14">
        <v>2</v>
      </c>
      <c r="G138" s="15">
        <v>9.99</v>
      </c>
      <c r="H138" s="15">
        <v>19.98</v>
      </c>
    </row>
    <row r="139" ht="12.9" customHeight="1">
      <c r="A139" t="s" s="10">
        <v>6238</v>
      </c>
      <c r="B139" t="s" s="11">
        <v>6239</v>
      </c>
      <c r="C139" s="12">
        <v>44974.657756238426</v>
      </c>
      <c r="D139" t="s" s="13">
        <v>54</v>
      </c>
      <c r="E139" t="s" s="13">
        <v>93</v>
      </c>
      <c r="F139" s="14">
        <v>2</v>
      </c>
      <c r="G139" s="15">
        <v>9.99</v>
      </c>
      <c r="H139" s="15">
        <v>19.98</v>
      </c>
    </row>
    <row r="140" ht="12.9" customHeight="1">
      <c r="A140" t="s" s="10">
        <v>6240</v>
      </c>
      <c r="B140" t="s" s="11">
        <v>6241</v>
      </c>
      <c r="C140" s="12">
        <v>44973.930034861114</v>
      </c>
      <c r="D140" t="s" s="13">
        <v>11</v>
      </c>
      <c r="E140" t="s" s="13">
        <v>12</v>
      </c>
      <c r="F140" s="14">
        <v>1</v>
      </c>
      <c r="G140" s="15">
        <v>399.99</v>
      </c>
      <c r="H140" s="15">
        <v>399.99</v>
      </c>
    </row>
    <row r="141" ht="12.9" customHeight="1">
      <c r="A141" t="s" s="10">
        <v>6242</v>
      </c>
      <c r="B141" t="s" s="11">
        <v>6243</v>
      </c>
      <c r="C141" s="12">
        <v>44973.660387638891</v>
      </c>
      <c r="D141" t="s" s="13">
        <v>1479</v>
      </c>
      <c r="E141" t="s" s="13">
        <v>828</v>
      </c>
      <c r="F141" s="14">
        <v>2</v>
      </c>
      <c r="G141" s="15">
        <v>299.99</v>
      </c>
      <c r="H141" s="15">
        <v>599.98</v>
      </c>
    </row>
    <row r="142" ht="12.9" customHeight="1">
      <c r="A142" t="s" s="10">
        <v>6244</v>
      </c>
      <c r="B142" t="s" s="11">
        <v>5839</v>
      </c>
      <c r="C142" s="12">
        <v>44973.160646817130</v>
      </c>
      <c r="D142" t="s" s="13">
        <v>133</v>
      </c>
      <c r="E142" t="s" s="13">
        <v>4835</v>
      </c>
      <c r="F142" s="14">
        <v>1</v>
      </c>
      <c r="G142" s="15">
        <v>199.99</v>
      </c>
      <c r="H142" s="15">
        <v>199.99</v>
      </c>
    </row>
    <row r="143" ht="12.9" customHeight="1">
      <c r="A143" t="s" s="10">
        <v>6245</v>
      </c>
      <c r="B143" t="s" s="11">
        <v>425</v>
      </c>
      <c r="C143" s="12">
        <v>44972.993617928238</v>
      </c>
      <c r="D143" t="s" s="13">
        <v>81</v>
      </c>
      <c r="E143" t="s" s="13">
        <v>82</v>
      </c>
      <c r="F143" s="14">
        <v>2</v>
      </c>
      <c r="G143" s="15">
        <v>849.99</v>
      </c>
      <c r="H143" s="15">
        <v>1699.98</v>
      </c>
    </row>
    <row r="144" ht="12.9" customHeight="1">
      <c r="A144" t="s" s="10">
        <v>6245</v>
      </c>
      <c r="B144" t="s" s="11">
        <v>425</v>
      </c>
      <c r="C144" s="12">
        <v>44972.993617928238</v>
      </c>
      <c r="D144" t="s" s="13">
        <v>50</v>
      </c>
      <c r="E144" t="s" s="13">
        <v>83</v>
      </c>
      <c r="F144" s="14">
        <v>2</v>
      </c>
      <c r="G144" s="15">
        <v>0</v>
      </c>
      <c r="H144" s="15">
        <v>0</v>
      </c>
    </row>
    <row r="145" ht="12.9" customHeight="1">
      <c r="A145" t="s" s="10">
        <v>6245</v>
      </c>
      <c r="B145" t="s" s="11">
        <v>425</v>
      </c>
      <c r="C145" s="12">
        <v>44972.993617928238</v>
      </c>
      <c r="D145" t="s" s="13">
        <v>23</v>
      </c>
      <c r="E145" t="s" s="13">
        <v>828</v>
      </c>
      <c r="F145" s="14">
        <v>2</v>
      </c>
      <c r="G145" s="15">
        <v>0</v>
      </c>
      <c r="H145" s="15">
        <v>0</v>
      </c>
    </row>
    <row r="146" ht="12.9" customHeight="1">
      <c r="A146" t="s" s="10">
        <v>6245</v>
      </c>
      <c r="B146" t="s" s="11">
        <v>425</v>
      </c>
      <c r="C146" s="12">
        <v>44972.993617928238</v>
      </c>
      <c r="D146" t="s" s="13">
        <v>73</v>
      </c>
      <c r="E146" t="s" s="13">
        <v>74</v>
      </c>
      <c r="F146" s="14">
        <v>1</v>
      </c>
      <c r="G146" s="15">
        <v>399.99</v>
      </c>
      <c r="H146" s="15">
        <v>399.99</v>
      </c>
    </row>
    <row r="147" ht="12.9" customHeight="1">
      <c r="A147" t="s" s="10">
        <v>6245</v>
      </c>
      <c r="B147" t="s" s="11">
        <v>425</v>
      </c>
      <c r="C147" s="12">
        <v>44972.993617928238</v>
      </c>
      <c r="D147" t="s" s="13">
        <v>35</v>
      </c>
      <c r="E147" t="s" s="13">
        <v>36</v>
      </c>
      <c r="F147" s="14">
        <v>1</v>
      </c>
      <c r="G147" s="15">
        <v>49.99</v>
      </c>
      <c r="H147" s="15">
        <v>49.99</v>
      </c>
    </row>
    <row r="148" ht="12.9" customHeight="1">
      <c r="A148" t="s" s="10">
        <v>6246</v>
      </c>
      <c r="B148" t="s" s="11">
        <v>2306</v>
      </c>
      <c r="C148" s="12">
        <v>44972.901325775463</v>
      </c>
      <c r="D148" t="s" s="13">
        <v>133</v>
      </c>
      <c r="E148" t="s" s="13">
        <v>4835</v>
      </c>
      <c r="F148" s="14">
        <v>2</v>
      </c>
      <c r="G148" s="15">
        <v>199.99</v>
      </c>
      <c r="H148" s="15">
        <v>399.98</v>
      </c>
    </row>
    <row r="149" ht="12.9" customHeight="1">
      <c r="A149" t="s" s="10">
        <v>6246</v>
      </c>
      <c r="B149" t="s" s="11">
        <v>2306</v>
      </c>
      <c r="C149" s="12">
        <v>44972.901325775463</v>
      </c>
      <c r="D149" t="s" s="13">
        <v>470</v>
      </c>
      <c r="E149" t="s" s="13">
        <v>828</v>
      </c>
      <c r="F149" s="14">
        <v>2</v>
      </c>
      <c r="G149" s="15">
        <v>249.99</v>
      </c>
      <c r="H149" s="15">
        <v>499.98</v>
      </c>
    </row>
    <row r="150" ht="12.9" customHeight="1">
      <c r="A150" t="s" s="10">
        <v>6247</v>
      </c>
      <c r="B150" t="s" s="11">
        <v>6248</v>
      </c>
      <c r="C150" s="12">
        <v>44972.858322569446</v>
      </c>
      <c r="D150" t="s" s="13">
        <v>2961</v>
      </c>
      <c r="E150" t="s" s="13">
        <v>2962</v>
      </c>
      <c r="F150" s="14">
        <v>2</v>
      </c>
      <c r="G150" s="15">
        <v>22.99</v>
      </c>
      <c r="H150" s="15">
        <v>45.98</v>
      </c>
    </row>
    <row r="151" ht="12.9" customHeight="1">
      <c r="A151" t="s" s="10">
        <v>6247</v>
      </c>
      <c r="B151" t="s" s="11">
        <v>6248</v>
      </c>
      <c r="C151" s="12">
        <v>44972.858322569446</v>
      </c>
      <c r="D151" t="s" s="13">
        <v>77</v>
      </c>
      <c r="E151" t="s" s="13">
        <v>4224</v>
      </c>
      <c r="F151" s="14">
        <v>3</v>
      </c>
      <c r="G151" s="15">
        <v>19.99</v>
      </c>
      <c r="H151" s="15">
        <v>59.97</v>
      </c>
    </row>
    <row r="152" ht="12.9" customHeight="1">
      <c r="A152" t="s" s="10">
        <v>6249</v>
      </c>
      <c r="B152" t="s" s="11">
        <v>6250</v>
      </c>
      <c r="C152" s="12">
        <v>44972.6341274537</v>
      </c>
      <c r="D152" t="s" s="13">
        <v>95</v>
      </c>
      <c r="E152" t="s" s="13">
        <v>12</v>
      </c>
      <c r="F152" s="14">
        <v>1</v>
      </c>
      <c r="G152" s="15">
        <v>349.99</v>
      </c>
      <c r="H152" s="15">
        <v>349.99</v>
      </c>
    </row>
    <row r="153" ht="12.9" customHeight="1">
      <c r="A153" t="s" s="10">
        <v>6249</v>
      </c>
      <c r="B153" t="s" s="11">
        <v>6250</v>
      </c>
      <c r="C153" s="12">
        <v>44972.6341274537</v>
      </c>
      <c r="D153" t="s" s="13">
        <v>35</v>
      </c>
      <c r="E153" t="s" s="13">
        <v>36</v>
      </c>
      <c r="F153" s="14">
        <v>1</v>
      </c>
      <c r="G153" s="15">
        <v>49.99</v>
      </c>
      <c r="H153" s="15">
        <v>49.99</v>
      </c>
    </row>
    <row r="154" ht="12.9" customHeight="1">
      <c r="A154" t="s" s="10">
        <v>6251</v>
      </c>
      <c r="B154" t="s" s="11">
        <v>2924</v>
      </c>
      <c r="C154" s="12">
        <v>44972.6113071875</v>
      </c>
      <c r="D154" t="s" s="13">
        <v>19</v>
      </c>
      <c r="E154" t="s" s="13">
        <v>20</v>
      </c>
      <c r="F154" s="14">
        <v>1</v>
      </c>
      <c r="G154" s="15">
        <v>119.99</v>
      </c>
      <c r="H154" s="15">
        <v>119.99</v>
      </c>
    </row>
    <row r="155" ht="12.9" customHeight="1">
      <c r="A155" t="s" s="10">
        <v>6251</v>
      </c>
      <c r="B155" t="s" s="11">
        <v>2924</v>
      </c>
      <c r="C155" s="12">
        <v>44972.6113071875</v>
      </c>
      <c r="D155" t="s" s="13">
        <v>15</v>
      </c>
      <c r="E155" t="s" s="13">
        <v>4757</v>
      </c>
      <c r="F155" s="14">
        <v>1</v>
      </c>
      <c r="G155" s="15">
        <v>9.99</v>
      </c>
      <c r="H155" s="15">
        <v>9.99</v>
      </c>
    </row>
    <row r="156" ht="12.9" customHeight="1">
      <c r="A156" t="s" s="10">
        <v>6251</v>
      </c>
      <c r="B156" t="s" s="11">
        <v>2924</v>
      </c>
      <c r="C156" s="12">
        <v>44972.6113071875</v>
      </c>
      <c r="D156" t="s" s="13">
        <v>54</v>
      </c>
      <c r="E156" t="s" s="13">
        <v>93</v>
      </c>
      <c r="F156" s="14">
        <v>2</v>
      </c>
      <c r="G156" s="15">
        <v>9.99</v>
      </c>
      <c r="H156" s="15">
        <v>19.98</v>
      </c>
    </row>
    <row r="157" ht="12.9" customHeight="1">
      <c r="A157" t="s" s="10">
        <v>6252</v>
      </c>
      <c r="B157" t="s" s="11">
        <v>5099</v>
      </c>
      <c r="C157" s="12">
        <v>44972.284180717594</v>
      </c>
      <c r="D157" t="s" s="13">
        <v>54</v>
      </c>
      <c r="E157" t="s" s="13">
        <v>93</v>
      </c>
      <c r="F157" s="14">
        <v>1</v>
      </c>
      <c r="G157" s="15">
        <v>9.99</v>
      </c>
      <c r="H157" s="15">
        <v>9.99</v>
      </c>
    </row>
    <row r="158" ht="12.9" customHeight="1">
      <c r="A158" t="s" s="10">
        <v>6252</v>
      </c>
      <c r="B158" t="s" s="11">
        <v>5099</v>
      </c>
      <c r="C158" s="12">
        <v>44972.284180717594</v>
      </c>
      <c r="D158" t="s" s="13">
        <v>19</v>
      </c>
      <c r="E158" t="s" s="13">
        <v>20</v>
      </c>
      <c r="F158" s="14">
        <v>1</v>
      </c>
      <c r="G158" s="15">
        <v>119.99</v>
      </c>
      <c r="H158" s="15">
        <v>119.99</v>
      </c>
    </row>
    <row r="159" ht="12.9" customHeight="1">
      <c r="A159" t="s" s="10">
        <v>6252</v>
      </c>
      <c r="B159" t="s" s="11">
        <v>5099</v>
      </c>
      <c r="C159" s="12">
        <v>44972.284180717594</v>
      </c>
      <c r="D159" t="s" s="13">
        <v>15</v>
      </c>
      <c r="E159" t="s" s="13">
        <v>4757</v>
      </c>
      <c r="F159" s="14">
        <v>1</v>
      </c>
      <c r="G159" s="15">
        <v>9.99</v>
      </c>
      <c r="H159" s="15">
        <v>9.99</v>
      </c>
    </row>
    <row r="160" ht="12.9" customHeight="1">
      <c r="A160" t="s" s="10">
        <v>6253</v>
      </c>
      <c r="B160" t="s" s="11">
        <v>1027</v>
      </c>
      <c r="C160" s="12">
        <v>44972.015815694445</v>
      </c>
      <c r="D160" t="s" s="13">
        <v>143</v>
      </c>
      <c r="E160" t="s" s="13">
        <v>144</v>
      </c>
      <c r="F160" s="14">
        <v>1</v>
      </c>
      <c r="G160" s="15">
        <v>3199.99</v>
      </c>
      <c r="H160" s="15">
        <v>3199.99</v>
      </c>
    </row>
    <row r="161" ht="12.9" customHeight="1">
      <c r="A161" t="s" s="10">
        <v>6254</v>
      </c>
      <c r="B161" t="s" s="11">
        <v>2275</v>
      </c>
      <c r="C161" s="12">
        <v>44972</v>
      </c>
      <c r="D161" t="s" s="13">
        <v>3950</v>
      </c>
      <c r="E161" t="s" s="13">
        <v>3951</v>
      </c>
      <c r="F161" s="14">
        <v>14</v>
      </c>
      <c r="G161" s="15">
        <v>0</v>
      </c>
      <c r="H161" s="15">
        <v>0</v>
      </c>
    </row>
    <row r="162" ht="12.9" customHeight="1">
      <c r="A162" t="s" s="10">
        <v>6254</v>
      </c>
      <c r="B162" t="s" s="11">
        <v>2275</v>
      </c>
      <c r="C162" s="12">
        <v>44972</v>
      </c>
      <c r="D162" t="s" s="13">
        <v>6220</v>
      </c>
      <c r="E162" t="s" s="13">
        <v>5918</v>
      </c>
      <c r="F162" s="14">
        <v>14</v>
      </c>
      <c r="G162" s="15">
        <v>0</v>
      </c>
      <c r="H162" s="15">
        <v>0</v>
      </c>
    </row>
    <row r="163" ht="12.9" customHeight="1">
      <c r="A163" t="s" s="10">
        <v>6255</v>
      </c>
      <c r="B163" t="s" s="11">
        <v>6256</v>
      </c>
      <c r="C163" s="12">
        <v>44971.9608591088</v>
      </c>
      <c r="D163" t="s" s="13">
        <v>179</v>
      </c>
      <c r="E163" t="s" s="13">
        <v>180</v>
      </c>
      <c r="F163" s="14">
        <v>1</v>
      </c>
      <c r="G163" s="15">
        <v>49.99</v>
      </c>
      <c r="H163" s="15">
        <v>49.99</v>
      </c>
    </row>
    <row r="164" ht="12.9" customHeight="1">
      <c r="A164" t="s" s="10">
        <v>6255</v>
      </c>
      <c r="B164" t="s" s="11">
        <v>6256</v>
      </c>
      <c r="C164" s="12">
        <v>44971.9608591088</v>
      </c>
      <c r="D164" t="s" s="13">
        <v>1729</v>
      </c>
      <c r="E164" t="s" s="13">
        <v>4639</v>
      </c>
      <c r="F164" s="14">
        <v>2</v>
      </c>
      <c r="G164" s="15">
        <v>14.99</v>
      </c>
      <c r="H164" s="15">
        <v>29.98</v>
      </c>
    </row>
    <row r="165" ht="12.9" customHeight="1">
      <c r="A165" t="s" s="10">
        <v>6255</v>
      </c>
      <c r="B165" t="s" s="11">
        <v>6256</v>
      </c>
      <c r="C165" s="12">
        <v>44971.9608591088</v>
      </c>
      <c r="D165" t="s" s="13">
        <v>77</v>
      </c>
      <c r="E165" t="s" s="13">
        <v>4224</v>
      </c>
      <c r="F165" s="14">
        <v>2</v>
      </c>
      <c r="G165" s="15">
        <v>19.99</v>
      </c>
      <c r="H165" s="15">
        <v>39.98</v>
      </c>
    </row>
    <row r="166" ht="12.9" customHeight="1">
      <c r="A166" t="s" s="10">
        <v>6255</v>
      </c>
      <c r="B166" t="s" s="11">
        <v>6256</v>
      </c>
      <c r="C166" s="12">
        <v>44971.9608591088</v>
      </c>
      <c r="D166" t="s" s="13">
        <v>1731</v>
      </c>
      <c r="E166" t="s" s="13">
        <v>4657</v>
      </c>
      <c r="F166" s="14">
        <v>2</v>
      </c>
      <c r="G166" s="15">
        <v>24.99</v>
      </c>
      <c r="H166" s="15">
        <v>49.98</v>
      </c>
    </row>
    <row r="167" ht="12.9" customHeight="1">
      <c r="A167" t="s" s="10">
        <v>6255</v>
      </c>
      <c r="B167" t="s" s="11">
        <v>6256</v>
      </c>
      <c r="C167" s="12">
        <v>44971.9608591088</v>
      </c>
      <c r="D167" t="s" s="13">
        <v>52</v>
      </c>
      <c r="E167" t="s" s="13">
        <v>4287</v>
      </c>
      <c r="F167" s="14">
        <v>1</v>
      </c>
      <c r="G167" s="15">
        <v>19.99</v>
      </c>
      <c r="H167" s="15">
        <v>19.99</v>
      </c>
    </row>
    <row r="168" ht="12.9" customHeight="1">
      <c r="A168" t="s" s="10">
        <v>6255</v>
      </c>
      <c r="B168" t="s" s="11">
        <v>6256</v>
      </c>
      <c r="C168" s="12">
        <v>44971.9608591088</v>
      </c>
      <c r="D168" t="s" s="13">
        <v>133</v>
      </c>
      <c r="E168" t="s" s="13">
        <v>4835</v>
      </c>
      <c r="F168" s="14">
        <v>1</v>
      </c>
      <c r="G168" s="15">
        <v>199.99</v>
      </c>
      <c r="H168" s="15">
        <v>199.99</v>
      </c>
    </row>
    <row r="169" ht="12.9" customHeight="1">
      <c r="A169" t="s" s="10">
        <v>6255</v>
      </c>
      <c r="B169" t="s" s="11">
        <v>6256</v>
      </c>
      <c r="C169" s="12">
        <v>44971.9608591088</v>
      </c>
      <c r="D169" t="s" s="13">
        <v>19</v>
      </c>
      <c r="E169" t="s" s="13">
        <v>20</v>
      </c>
      <c r="F169" s="14">
        <v>1</v>
      </c>
      <c r="G169" s="15">
        <v>119.99</v>
      </c>
      <c r="H169" s="15">
        <v>119.99</v>
      </c>
    </row>
    <row r="170" ht="12.9" customHeight="1">
      <c r="A170" t="s" s="10">
        <v>6255</v>
      </c>
      <c r="B170" t="s" s="11">
        <v>6256</v>
      </c>
      <c r="C170" s="12">
        <v>44971.9608591088</v>
      </c>
      <c r="D170" t="s" s="13">
        <v>15</v>
      </c>
      <c r="E170" t="s" s="13">
        <v>4757</v>
      </c>
      <c r="F170" s="14">
        <v>1</v>
      </c>
      <c r="G170" s="15">
        <v>9.99</v>
      </c>
      <c r="H170" s="15">
        <v>9.99</v>
      </c>
    </row>
    <row r="171" ht="12.9" customHeight="1">
      <c r="A171" t="s" s="10">
        <v>6257</v>
      </c>
      <c r="B171" t="s" s="11">
        <v>3783</v>
      </c>
      <c r="C171" s="12">
        <v>44971.864560787035</v>
      </c>
      <c r="D171" t="s" s="13">
        <v>35</v>
      </c>
      <c r="E171" t="s" s="13">
        <v>36</v>
      </c>
      <c r="F171" s="14">
        <v>1</v>
      </c>
      <c r="G171" s="15">
        <v>49.99</v>
      </c>
      <c r="H171" s="15">
        <v>49.99</v>
      </c>
    </row>
    <row r="172" ht="12.9" customHeight="1">
      <c r="A172" t="s" s="10">
        <v>6258</v>
      </c>
      <c r="B172" t="s" s="11">
        <v>1605</v>
      </c>
      <c r="C172" s="12">
        <v>44971</v>
      </c>
      <c r="D172" t="s" s="13">
        <v>35</v>
      </c>
      <c r="E172" t="s" s="13">
        <v>36</v>
      </c>
      <c r="F172" s="14">
        <v>3</v>
      </c>
      <c r="G172" s="15">
        <v>37.4925</v>
      </c>
      <c r="H172" s="15">
        <v>112.4775</v>
      </c>
    </row>
    <row r="173" ht="12.9" customHeight="1">
      <c r="A173" t="s" s="10">
        <v>6258</v>
      </c>
      <c r="B173" t="s" s="11">
        <v>1605</v>
      </c>
      <c r="C173" s="12">
        <v>44971</v>
      </c>
      <c r="D173" t="s" s="13">
        <v>89</v>
      </c>
      <c r="E173" t="s" s="13">
        <v>90</v>
      </c>
      <c r="F173" s="14">
        <v>3</v>
      </c>
      <c r="G173" s="15">
        <v>44.9925</v>
      </c>
      <c r="H173" s="15">
        <v>134.9775</v>
      </c>
    </row>
    <row r="174" ht="12.9" customHeight="1">
      <c r="A174" t="s" s="10">
        <v>6258</v>
      </c>
      <c r="B174" t="s" s="11">
        <v>1605</v>
      </c>
      <c r="C174" s="12">
        <v>44971</v>
      </c>
      <c r="D174" t="s" s="13">
        <v>73</v>
      </c>
      <c r="E174" t="s" s="13">
        <v>74</v>
      </c>
      <c r="F174" s="14">
        <v>3</v>
      </c>
      <c r="G174" s="15">
        <v>299.9925</v>
      </c>
      <c r="H174" s="15">
        <v>899.9775</v>
      </c>
    </row>
    <row r="175" ht="12.9" customHeight="1">
      <c r="A175" t="s" s="10">
        <v>6258</v>
      </c>
      <c r="B175" t="s" s="11">
        <v>1605</v>
      </c>
      <c r="C175" s="12">
        <v>44971</v>
      </c>
      <c r="D175" t="s" s="13">
        <v>11</v>
      </c>
      <c r="E175" t="s" s="13">
        <v>12</v>
      </c>
      <c r="F175" s="14">
        <v>2</v>
      </c>
      <c r="G175" s="15">
        <v>299.9925</v>
      </c>
      <c r="H175" s="15">
        <v>599.985</v>
      </c>
    </row>
    <row r="176" ht="12.9" customHeight="1">
      <c r="A176" t="s" s="10">
        <v>6258</v>
      </c>
      <c r="B176" t="s" s="11">
        <v>1605</v>
      </c>
      <c r="C176" s="12">
        <v>44971</v>
      </c>
      <c r="D176" t="s" s="13">
        <v>81</v>
      </c>
      <c r="E176" t="s" s="13">
        <v>82</v>
      </c>
      <c r="F176" s="14">
        <v>4</v>
      </c>
      <c r="G176" s="15">
        <v>637.4924999999999</v>
      </c>
      <c r="H176" s="15">
        <v>2549.97</v>
      </c>
    </row>
    <row r="177" ht="12.9" customHeight="1">
      <c r="A177" t="s" s="10">
        <v>6258</v>
      </c>
      <c r="B177" t="s" s="11">
        <v>1605</v>
      </c>
      <c r="C177" s="12">
        <v>44971</v>
      </c>
      <c r="D177" t="s" s="13">
        <v>59</v>
      </c>
      <c r="E177" t="s" s="13">
        <v>60</v>
      </c>
      <c r="F177" s="14">
        <v>1</v>
      </c>
      <c r="G177" s="15">
        <v>899.9924999999999</v>
      </c>
      <c r="H177" s="15">
        <v>899.9924999999999</v>
      </c>
    </row>
    <row r="178" ht="12.9" customHeight="1">
      <c r="A178" t="s" s="10">
        <v>6258</v>
      </c>
      <c r="B178" t="s" s="11">
        <v>1605</v>
      </c>
      <c r="C178" s="12">
        <v>44971</v>
      </c>
      <c r="D178" t="s" s="13">
        <v>23</v>
      </c>
      <c r="E178" t="s" s="13">
        <v>6259</v>
      </c>
      <c r="F178" s="14">
        <v>4</v>
      </c>
      <c r="G178" s="15">
        <v>0</v>
      </c>
      <c r="H178" s="15">
        <v>0</v>
      </c>
    </row>
    <row r="179" ht="12.9" customHeight="1">
      <c r="A179" t="s" s="10">
        <v>6258</v>
      </c>
      <c r="B179" t="s" s="11">
        <v>1605</v>
      </c>
      <c r="C179" s="12">
        <v>44971</v>
      </c>
      <c r="D179" t="s" s="13">
        <v>48</v>
      </c>
      <c r="E179" t="s" s="13">
        <v>49</v>
      </c>
      <c r="F179" s="14">
        <v>4</v>
      </c>
      <c r="G179" s="15">
        <v>974.9924999999999</v>
      </c>
      <c r="H179" s="15">
        <v>3899.97</v>
      </c>
    </row>
    <row r="180" ht="12.9" customHeight="1">
      <c r="A180" t="s" s="10">
        <v>6258</v>
      </c>
      <c r="B180" t="s" s="11">
        <v>1605</v>
      </c>
      <c r="C180" s="12">
        <v>44971</v>
      </c>
      <c r="D180" t="s" s="13">
        <v>133</v>
      </c>
      <c r="E180" t="s" s="13">
        <v>6260</v>
      </c>
      <c r="F180" s="14">
        <v>4</v>
      </c>
      <c r="G180" s="15">
        <v>37.5</v>
      </c>
      <c r="H180" s="15">
        <v>150</v>
      </c>
    </row>
    <row r="181" ht="12.9" customHeight="1">
      <c r="A181" t="s" s="10">
        <v>6258</v>
      </c>
      <c r="B181" t="s" s="11">
        <v>1605</v>
      </c>
      <c r="C181" s="12">
        <v>44971</v>
      </c>
      <c r="D181" t="s" s="13">
        <v>1054</v>
      </c>
      <c r="E181" t="s" s="13">
        <v>828</v>
      </c>
      <c r="F181" s="14">
        <v>2</v>
      </c>
      <c r="G181" s="15">
        <v>112.4925</v>
      </c>
      <c r="H181" s="15">
        <v>224.985</v>
      </c>
    </row>
    <row r="182" ht="12.9" customHeight="1">
      <c r="A182" t="s" s="10">
        <v>6258</v>
      </c>
      <c r="B182" t="s" s="11">
        <v>1605</v>
      </c>
      <c r="C182" s="12">
        <v>44971</v>
      </c>
      <c r="D182" t="s" s="13">
        <v>52</v>
      </c>
      <c r="E182" t="s" s="13">
        <v>5474</v>
      </c>
      <c r="F182" s="14">
        <v>4</v>
      </c>
      <c r="G182" s="15">
        <v>0</v>
      </c>
      <c r="H182" s="15">
        <v>0</v>
      </c>
    </row>
    <row r="183" ht="12.9" customHeight="1">
      <c r="A183" t="s" s="10">
        <v>6258</v>
      </c>
      <c r="B183" t="s" s="11">
        <v>1605</v>
      </c>
      <c r="C183" s="12">
        <v>44971</v>
      </c>
      <c r="D183" t="s" s="13">
        <v>50</v>
      </c>
      <c r="E183" t="s" s="13">
        <v>5475</v>
      </c>
      <c r="F183" s="14">
        <v>8</v>
      </c>
      <c r="G183" s="15">
        <v>0</v>
      </c>
      <c r="H183" s="15">
        <v>0</v>
      </c>
    </row>
    <row r="184" ht="12.9" customHeight="1">
      <c r="A184" t="s" s="10">
        <v>6258</v>
      </c>
      <c r="B184" t="s" s="11">
        <v>1605</v>
      </c>
      <c r="C184" s="12">
        <v>44971</v>
      </c>
      <c r="D184" t="s" s="13">
        <v>84</v>
      </c>
      <c r="E184" t="s" s="13">
        <v>6261</v>
      </c>
      <c r="F184" s="14">
        <v>8</v>
      </c>
      <c r="G184" s="15">
        <v>0</v>
      </c>
      <c r="H184" s="15">
        <v>0</v>
      </c>
    </row>
    <row r="185" ht="12.9" customHeight="1">
      <c r="A185" t="s" s="10">
        <v>6258</v>
      </c>
      <c r="B185" t="s" s="11">
        <v>1605</v>
      </c>
      <c r="C185" s="12">
        <v>44971</v>
      </c>
      <c r="D185" t="s" s="13">
        <v>73</v>
      </c>
      <c r="E185" t="s" s="13">
        <v>74</v>
      </c>
      <c r="F185" s="14">
        <v>1</v>
      </c>
      <c r="G185" s="15">
        <v>299.9925</v>
      </c>
      <c r="H185" s="15">
        <v>299.9925</v>
      </c>
    </row>
    <row r="186" ht="12.9" customHeight="1">
      <c r="A186" t="s" s="10">
        <v>6258</v>
      </c>
      <c r="B186" t="s" s="11">
        <v>1605</v>
      </c>
      <c r="C186" s="12">
        <v>44971</v>
      </c>
      <c r="D186" t="s" s="13">
        <v>63</v>
      </c>
      <c r="E186" s="16"/>
      <c r="F186" s="14">
        <v>1</v>
      </c>
      <c r="G186" s="15">
        <v>275</v>
      </c>
      <c r="H186" s="15">
        <v>275</v>
      </c>
    </row>
    <row r="187" ht="12.9" customHeight="1">
      <c r="A187" t="s" s="10">
        <v>6262</v>
      </c>
      <c r="B187" t="s" s="11">
        <v>1789</v>
      </c>
      <c r="C187" s="12">
        <v>44971</v>
      </c>
      <c r="D187" t="s" s="13">
        <v>3133</v>
      </c>
      <c r="E187" t="s" s="13">
        <v>3134</v>
      </c>
      <c r="F187" s="14">
        <v>1</v>
      </c>
      <c r="G187" s="15">
        <v>187.4925</v>
      </c>
      <c r="H187" s="15">
        <v>187.4925</v>
      </c>
    </row>
    <row r="188" ht="12.9" customHeight="1">
      <c r="A188" t="s" s="10">
        <v>6263</v>
      </c>
      <c r="B188" t="s" s="11">
        <v>6264</v>
      </c>
      <c r="C188" s="12">
        <v>44970.979013356482</v>
      </c>
      <c r="D188" t="s" s="13">
        <v>602</v>
      </c>
      <c r="E188" t="s" s="13">
        <v>828</v>
      </c>
      <c r="F188" s="14">
        <v>2</v>
      </c>
      <c r="G188" s="15">
        <v>175</v>
      </c>
      <c r="H188" s="15">
        <v>350</v>
      </c>
    </row>
    <row r="189" ht="12.9" customHeight="1">
      <c r="A189" t="s" s="10">
        <v>6263</v>
      </c>
      <c r="B189" t="s" s="11">
        <v>6264</v>
      </c>
      <c r="C189" s="12">
        <v>44970.979013356482</v>
      </c>
      <c r="D189" t="s" s="13">
        <v>81</v>
      </c>
      <c r="E189" t="s" s="13">
        <v>82</v>
      </c>
      <c r="F189" s="14">
        <v>2</v>
      </c>
      <c r="G189" s="15">
        <v>849.99</v>
      </c>
      <c r="H189" s="15">
        <v>1699.98</v>
      </c>
    </row>
    <row r="190" ht="12.9" customHeight="1">
      <c r="A190" t="s" s="10">
        <v>6265</v>
      </c>
      <c r="B190" t="s" s="11">
        <v>2306</v>
      </c>
      <c r="C190" s="12">
        <v>44970.831114814813</v>
      </c>
      <c r="D190" t="s" s="13">
        <v>77</v>
      </c>
      <c r="E190" t="s" s="13">
        <v>4224</v>
      </c>
      <c r="F190" s="14">
        <v>4</v>
      </c>
      <c r="G190" s="15">
        <v>19.99</v>
      </c>
      <c r="H190" s="15">
        <v>79.95999999999999</v>
      </c>
    </row>
    <row r="191" ht="12.9" customHeight="1">
      <c r="A191" t="s" s="10">
        <v>6265</v>
      </c>
      <c r="B191" t="s" s="11">
        <v>2306</v>
      </c>
      <c r="C191" s="12">
        <v>44970.831114814813</v>
      </c>
      <c r="D191" t="s" s="13">
        <v>19</v>
      </c>
      <c r="E191" t="s" s="13">
        <v>20</v>
      </c>
      <c r="F191" s="14">
        <v>8</v>
      </c>
      <c r="G191" s="15">
        <v>119.99</v>
      </c>
      <c r="H191" s="15">
        <v>959.92</v>
      </c>
    </row>
    <row r="192" ht="12.9" customHeight="1">
      <c r="A192" t="s" s="10">
        <v>6265</v>
      </c>
      <c r="B192" t="s" s="11">
        <v>2306</v>
      </c>
      <c r="C192" s="12">
        <v>44970.831114814813</v>
      </c>
      <c r="D192" t="s" s="13">
        <v>15</v>
      </c>
      <c r="E192" t="s" s="13">
        <v>4757</v>
      </c>
      <c r="F192" s="14">
        <v>8</v>
      </c>
      <c r="G192" s="15">
        <v>8.99</v>
      </c>
      <c r="H192" s="15">
        <v>71.92</v>
      </c>
    </row>
    <row r="193" ht="12.9" customHeight="1">
      <c r="A193" t="s" s="10">
        <v>6265</v>
      </c>
      <c r="B193" t="s" s="11">
        <v>2306</v>
      </c>
      <c r="C193" s="12">
        <v>44970.831114814813</v>
      </c>
      <c r="D193" t="s" s="13">
        <v>48</v>
      </c>
      <c r="E193" t="s" s="13">
        <v>49</v>
      </c>
      <c r="F193" s="14">
        <v>8</v>
      </c>
      <c r="G193" s="15">
        <v>1299.99</v>
      </c>
      <c r="H193" s="15">
        <v>10399.92</v>
      </c>
    </row>
    <row r="194" ht="12.9" customHeight="1">
      <c r="A194" t="s" s="10">
        <v>6265</v>
      </c>
      <c r="B194" t="s" s="11">
        <v>2306</v>
      </c>
      <c r="C194" s="12">
        <v>44970.831114814813</v>
      </c>
      <c r="D194" t="s" s="13">
        <v>50</v>
      </c>
      <c r="E194" t="s" s="13">
        <v>83</v>
      </c>
      <c r="F194" s="14">
        <v>8</v>
      </c>
      <c r="G194" s="15">
        <v>0</v>
      </c>
      <c r="H194" s="15">
        <v>0</v>
      </c>
    </row>
    <row r="195" ht="12.9" customHeight="1">
      <c r="A195" t="s" s="10">
        <v>6265</v>
      </c>
      <c r="B195" t="s" s="11">
        <v>2306</v>
      </c>
      <c r="C195" s="12">
        <v>44970.831114814813</v>
      </c>
      <c r="D195" t="s" s="13">
        <v>23</v>
      </c>
      <c r="E195" t="s" s="13">
        <v>828</v>
      </c>
      <c r="F195" s="14">
        <v>8</v>
      </c>
      <c r="G195" s="15">
        <v>0</v>
      </c>
      <c r="H195" s="15">
        <v>0</v>
      </c>
    </row>
    <row r="196" ht="12.9" customHeight="1">
      <c r="A196" t="s" s="10">
        <v>6265</v>
      </c>
      <c r="B196" t="s" s="11">
        <v>2306</v>
      </c>
      <c r="C196" s="12">
        <v>44970.831114814813</v>
      </c>
      <c r="D196" t="s" s="13">
        <v>59</v>
      </c>
      <c r="E196" t="s" s="13">
        <v>60</v>
      </c>
      <c r="F196" s="14">
        <v>1</v>
      </c>
      <c r="G196" s="15">
        <v>1199.99</v>
      </c>
      <c r="H196" s="15">
        <v>1199.99</v>
      </c>
    </row>
    <row r="197" ht="12.9" customHeight="1">
      <c r="A197" t="s" s="10">
        <v>6266</v>
      </c>
      <c r="B197" t="s" s="11">
        <v>6267</v>
      </c>
      <c r="C197" s="12">
        <v>44970.696026458332</v>
      </c>
      <c r="D197" t="s" s="13">
        <v>2787</v>
      </c>
      <c r="E197" t="s" s="13">
        <v>2962</v>
      </c>
      <c r="F197" s="14">
        <v>1</v>
      </c>
      <c r="G197" s="15">
        <v>22.99</v>
      </c>
      <c r="H197" s="15">
        <v>22.99</v>
      </c>
    </row>
    <row r="198" ht="12.9" customHeight="1">
      <c r="A198" t="s" s="10">
        <v>6268</v>
      </c>
      <c r="B198" t="s" s="11">
        <v>5839</v>
      </c>
      <c r="C198" s="12">
        <v>44970.164469259260</v>
      </c>
      <c r="D198" t="s" s="13">
        <v>35</v>
      </c>
      <c r="E198" t="s" s="13">
        <v>36</v>
      </c>
      <c r="F198" s="14">
        <v>1</v>
      </c>
      <c r="G198" s="15">
        <v>49.99</v>
      </c>
      <c r="H198" s="15">
        <v>49.99</v>
      </c>
    </row>
    <row r="199" ht="12.9" customHeight="1">
      <c r="A199" t="s" s="10">
        <v>6268</v>
      </c>
      <c r="B199" t="s" s="11">
        <v>5839</v>
      </c>
      <c r="C199" s="12">
        <v>44970.164469259260</v>
      </c>
      <c r="D199" t="s" s="13">
        <v>89</v>
      </c>
      <c r="E199" t="s" s="13">
        <v>90</v>
      </c>
      <c r="F199" s="14">
        <v>1</v>
      </c>
      <c r="G199" s="15">
        <v>59.99</v>
      </c>
      <c r="H199" s="15">
        <v>59.99</v>
      </c>
    </row>
    <row r="200" ht="12.9" customHeight="1">
      <c r="A200" t="s" s="10">
        <v>6269</v>
      </c>
      <c r="B200" t="s" s="11">
        <v>6270</v>
      </c>
      <c r="C200" s="12">
        <v>44969.563406504632</v>
      </c>
      <c r="D200" t="s" s="13">
        <v>35</v>
      </c>
      <c r="E200" t="s" s="13">
        <v>36</v>
      </c>
      <c r="F200" s="14">
        <v>4</v>
      </c>
      <c r="G200" s="15">
        <v>49.99</v>
      </c>
      <c r="H200" s="15">
        <v>199.96</v>
      </c>
    </row>
    <row r="201" ht="12.9" customHeight="1">
      <c r="A201" t="s" s="10">
        <v>6269</v>
      </c>
      <c r="B201" t="s" s="11">
        <v>6270</v>
      </c>
      <c r="C201" s="12">
        <v>44969.563406504632</v>
      </c>
      <c r="D201" t="s" s="13">
        <v>54</v>
      </c>
      <c r="E201" t="s" s="13">
        <v>93</v>
      </c>
      <c r="F201" s="14">
        <v>2</v>
      </c>
      <c r="G201" s="15">
        <v>9.99</v>
      </c>
      <c r="H201" s="15">
        <v>19.98</v>
      </c>
    </row>
    <row r="202" ht="12.9" customHeight="1">
      <c r="A202" t="s" s="10">
        <v>6271</v>
      </c>
      <c r="B202" t="s" s="11">
        <v>6272</v>
      </c>
      <c r="C202" s="12">
        <v>44969.010035694446</v>
      </c>
      <c r="D202" t="s" s="13">
        <v>77</v>
      </c>
      <c r="E202" t="s" s="13">
        <v>4224</v>
      </c>
      <c r="F202" s="14">
        <v>1</v>
      </c>
      <c r="G202" s="15">
        <v>19.99</v>
      </c>
      <c r="H202" s="15">
        <v>19.99</v>
      </c>
    </row>
    <row r="203" ht="12.9" customHeight="1">
      <c r="A203" t="s" s="10">
        <v>6273</v>
      </c>
      <c r="B203" t="s" s="11">
        <v>6274</v>
      </c>
      <c r="C203" s="12">
        <v>44967.679057395835</v>
      </c>
      <c r="D203" t="s" s="13">
        <v>31</v>
      </c>
      <c r="E203" t="s" s="13">
        <v>32</v>
      </c>
      <c r="F203" s="14">
        <v>1</v>
      </c>
      <c r="G203" s="15">
        <v>599.99</v>
      </c>
      <c r="H203" s="15">
        <v>599.99</v>
      </c>
    </row>
    <row r="204" ht="12.9" customHeight="1">
      <c r="A204" t="s" s="10">
        <v>6275</v>
      </c>
      <c r="B204" t="s" s="11">
        <v>5099</v>
      </c>
      <c r="C204" s="12">
        <v>44967.228483611114</v>
      </c>
      <c r="D204" t="s" s="13">
        <v>73</v>
      </c>
      <c r="E204" t="s" s="13">
        <v>74</v>
      </c>
      <c r="F204" s="14">
        <v>1</v>
      </c>
      <c r="G204" s="15">
        <v>399.99</v>
      </c>
      <c r="H204" s="15">
        <v>399.99</v>
      </c>
    </row>
    <row r="205" ht="12.9" customHeight="1">
      <c r="A205" t="s" s="10">
        <v>6275</v>
      </c>
      <c r="B205" t="s" s="11">
        <v>5099</v>
      </c>
      <c r="C205" s="12">
        <v>44967.228483611114</v>
      </c>
      <c r="D205" t="s" s="13">
        <v>35</v>
      </c>
      <c r="E205" t="s" s="13">
        <v>36</v>
      </c>
      <c r="F205" s="14">
        <v>2</v>
      </c>
      <c r="G205" s="15">
        <v>49.99</v>
      </c>
      <c r="H205" s="15">
        <v>99.98</v>
      </c>
    </row>
    <row r="206" ht="12.9" customHeight="1">
      <c r="A206" t="s" s="10">
        <v>6275</v>
      </c>
      <c r="B206" t="s" s="11">
        <v>5099</v>
      </c>
      <c r="C206" s="12">
        <v>44967.228483611114</v>
      </c>
      <c r="D206" t="s" s="13">
        <v>89</v>
      </c>
      <c r="E206" t="s" s="13">
        <v>90</v>
      </c>
      <c r="F206" s="14">
        <v>2</v>
      </c>
      <c r="G206" s="15">
        <v>59.99</v>
      </c>
      <c r="H206" s="15">
        <v>119.98</v>
      </c>
    </row>
    <row r="207" ht="12.9" customHeight="1">
      <c r="A207" t="s" s="10">
        <v>6276</v>
      </c>
      <c r="B207" t="s" s="11">
        <v>6277</v>
      </c>
      <c r="C207" s="12">
        <v>44967.122484918982</v>
      </c>
      <c r="D207" t="s" s="13">
        <v>11</v>
      </c>
      <c r="E207" t="s" s="13">
        <v>12</v>
      </c>
      <c r="F207" s="14">
        <v>1</v>
      </c>
      <c r="G207" s="15">
        <v>399.99</v>
      </c>
      <c r="H207" s="15">
        <v>399.99</v>
      </c>
    </row>
    <row r="208" ht="12.9" customHeight="1">
      <c r="A208" t="s" s="10">
        <v>6278</v>
      </c>
      <c r="B208" t="s" s="11">
        <v>1874</v>
      </c>
      <c r="C208" s="12">
        <v>44967</v>
      </c>
      <c r="D208" t="s" s="13">
        <v>6279</v>
      </c>
      <c r="E208" t="s" s="13">
        <v>6280</v>
      </c>
      <c r="F208" s="14">
        <v>8</v>
      </c>
      <c r="G208" s="15">
        <v>1874.9925</v>
      </c>
      <c r="H208" s="15">
        <v>14999.94</v>
      </c>
    </row>
    <row r="209" ht="12.9" customHeight="1">
      <c r="A209" t="s" s="10">
        <v>6278</v>
      </c>
      <c r="B209" t="s" s="11">
        <v>1874</v>
      </c>
      <c r="C209" s="12">
        <v>44967</v>
      </c>
      <c r="D209" t="s" s="13">
        <v>23</v>
      </c>
      <c r="E209" t="s" s="13">
        <v>5530</v>
      </c>
      <c r="F209" s="14">
        <v>16</v>
      </c>
      <c r="G209" s="15">
        <v>0</v>
      </c>
      <c r="H209" s="15">
        <v>0</v>
      </c>
    </row>
    <row r="210" ht="12.9" customHeight="1">
      <c r="A210" t="s" s="10">
        <v>6278</v>
      </c>
      <c r="B210" t="s" s="11">
        <v>1874</v>
      </c>
      <c r="C210" s="12">
        <v>44967</v>
      </c>
      <c r="D210" t="s" s="13">
        <v>133</v>
      </c>
      <c r="E210" t="s" s="13">
        <v>6281</v>
      </c>
      <c r="F210" s="14">
        <v>16</v>
      </c>
      <c r="G210" s="15">
        <v>37.5</v>
      </c>
      <c r="H210" s="15">
        <v>600</v>
      </c>
    </row>
    <row r="211" ht="12.9" customHeight="1">
      <c r="A211" t="s" s="10">
        <v>6278</v>
      </c>
      <c r="B211" t="s" s="11">
        <v>1874</v>
      </c>
      <c r="C211" s="12">
        <v>44967</v>
      </c>
      <c r="D211" t="s" s="13">
        <v>179</v>
      </c>
      <c r="E211" t="s" s="13">
        <v>180</v>
      </c>
      <c r="F211" s="14">
        <v>32</v>
      </c>
      <c r="G211" s="15">
        <v>37.4925</v>
      </c>
      <c r="H211" s="15">
        <v>1199.76</v>
      </c>
    </row>
    <row r="212" ht="12.9" customHeight="1">
      <c r="A212" t="s" s="10">
        <v>6278</v>
      </c>
      <c r="B212" t="s" s="11">
        <v>1874</v>
      </c>
      <c r="C212" s="12">
        <v>44967</v>
      </c>
      <c r="D212" t="s" s="13">
        <v>50</v>
      </c>
      <c r="E212" t="s" s="13">
        <v>83</v>
      </c>
      <c r="F212" s="14">
        <v>8</v>
      </c>
      <c r="G212" s="15">
        <v>0</v>
      </c>
      <c r="H212" s="15">
        <v>0</v>
      </c>
    </row>
    <row r="213" ht="12.9" customHeight="1">
      <c r="A213" t="s" s="10">
        <v>6278</v>
      </c>
      <c r="B213" t="s" s="11">
        <v>1874</v>
      </c>
      <c r="C213" s="12">
        <v>44967</v>
      </c>
      <c r="D213" t="s" s="13">
        <v>47</v>
      </c>
      <c r="E213" s="16"/>
      <c r="F213" s="14">
        <v>1</v>
      </c>
      <c r="G213" s="15">
        <v>400</v>
      </c>
      <c r="H213" s="15">
        <v>400</v>
      </c>
    </row>
    <row r="214" ht="12.9" customHeight="1">
      <c r="A214" t="s" s="10">
        <v>6282</v>
      </c>
      <c r="B214" t="s" s="11">
        <v>122</v>
      </c>
      <c r="C214" s="12">
        <v>44967</v>
      </c>
      <c r="D214" t="s" s="13">
        <v>1845</v>
      </c>
      <c r="E214" s="16"/>
      <c r="F214" s="14">
        <v>1</v>
      </c>
      <c r="G214" s="15">
        <v>0</v>
      </c>
      <c r="H214" s="15">
        <v>0</v>
      </c>
    </row>
    <row r="215" ht="12.9" customHeight="1">
      <c r="A215" t="s" s="10">
        <v>6282</v>
      </c>
      <c r="B215" t="s" s="11">
        <v>122</v>
      </c>
      <c r="C215" s="12">
        <v>44967</v>
      </c>
      <c r="D215" t="s" s="13">
        <v>6283</v>
      </c>
      <c r="E215" t="s" s="13">
        <v>6284</v>
      </c>
      <c r="F215" s="14">
        <v>1</v>
      </c>
      <c r="G215" s="15">
        <v>0</v>
      </c>
      <c r="H215" s="15">
        <v>0</v>
      </c>
    </row>
    <row r="216" ht="12.9" customHeight="1">
      <c r="A216" t="s" s="10">
        <v>6282</v>
      </c>
      <c r="B216" t="s" s="11">
        <v>122</v>
      </c>
      <c r="C216" s="12">
        <v>44967</v>
      </c>
      <c r="D216" t="s" s="13">
        <v>63</v>
      </c>
      <c r="E216" s="16"/>
      <c r="F216" s="14">
        <v>1</v>
      </c>
      <c r="G216" s="15">
        <v>98.91</v>
      </c>
      <c r="H216" s="15">
        <v>98.91</v>
      </c>
    </row>
    <row r="217" ht="12.9" customHeight="1">
      <c r="A217" t="s" s="10">
        <v>6285</v>
      </c>
      <c r="B217" t="s" s="11">
        <v>122</v>
      </c>
      <c r="C217" s="12">
        <v>44967</v>
      </c>
      <c r="D217" t="s" s="13">
        <v>73</v>
      </c>
      <c r="E217" t="s" s="13">
        <v>74</v>
      </c>
      <c r="F217" s="14">
        <v>3</v>
      </c>
      <c r="G217" s="15">
        <v>299.9925</v>
      </c>
      <c r="H217" s="15">
        <v>899.9775</v>
      </c>
    </row>
    <row r="218" ht="12.9" customHeight="1">
      <c r="A218" t="s" s="10">
        <v>6285</v>
      </c>
      <c r="B218" t="s" s="11">
        <v>122</v>
      </c>
      <c r="C218" s="12">
        <v>44967</v>
      </c>
      <c r="D218" t="s" s="13">
        <v>63</v>
      </c>
      <c r="E218" s="16"/>
      <c r="F218" s="14">
        <v>1</v>
      </c>
      <c r="G218" s="15">
        <v>25</v>
      </c>
      <c r="H218" s="15">
        <v>25</v>
      </c>
    </row>
    <row r="219" ht="12.9" customHeight="1">
      <c r="A219" t="s" s="10">
        <v>6286</v>
      </c>
      <c r="B219" t="s" s="11">
        <v>69</v>
      </c>
      <c r="C219" s="12">
        <v>44967</v>
      </c>
      <c r="D219" t="s" s="13">
        <v>59</v>
      </c>
      <c r="E219" t="s" s="13">
        <v>60</v>
      </c>
      <c r="F219" s="14">
        <v>1</v>
      </c>
      <c r="G219" s="15">
        <v>899.9924999999999</v>
      </c>
      <c r="H219" s="15">
        <v>899.9924999999999</v>
      </c>
    </row>
    <row r="220" ht="12.9" customHeight="1">
      <c r="A220" t="s" s="10">
        <v>6287</v>
      </c>
      <c r="B220" t="s" s="11">
        <v>6288</v>
      </c>
      <c r="C220" s="12">
        <v>44966.963052476851</v>
      </c>
      <c r="D220" t="s" s="13">
        <v>171</v>
      </c>
      <c r="E220" t="s" s="13">
        <v>172</v>
      </c>
      <c r="F220" s="14">
        <v>1</v>
      </c>
      <c r="G220" s="15">
        <v>549.99</v>
      </c>
      <c r="H220" s="15">
        <v>549.99</v>
      </c>
    </row>
    <row r="221" ht="12.9" customHeight="1">
      <c r="A221" t="s" s="10">
        <v>6289</v>
      </c>
      <c r="B221" t="s" s="11">
        <v>6290</v>
      </c>
      <c r="C221" s="12">
        <v>44966.898598842592</v>
      </c>
      <c r="D221" t="s" s="13">
        <v>73</v>
      </c>
      <c r="E221" t="s" s="13">
        <v>74</v>
      </c>
      <c r="F221" s="14">
        <v>1</v>
      </c>
      <c r="G221" s="15">
        <v>399.99</v>
      </c>
      <c r="H221" s="15">
        <v>399.99</v>
      </c>
    </row>
    <row r="222" ht="12.9" customHeight="1">
      <c r="A222" t="s" s="10">
        <v>6291</v>
      </c>
      <c r="B222" t="s" s="11">
        <v>3974</v>
      </c>
      <c r="C222" s="12">
        <v>44966.743386319446</v>
      </c>
      <c r="D222" t="s" s="13">
        <v>345</v>
      </c>
      <c r="E222" t="s" s="13">
        <v>346</v>
      </c>
      <c r="F222" s="14">
        <v>1</v>
      </c>
      <c r="G222" s="15">
        <v>219.99</v>
      </c>
      <c r="H222" s="15">
        <v>219.99</v>
      </c>
    </row>
    <row r="223" ht="12.9" customHeight="1">
      <c r="A223" t="s" s="10">
        <v>6292</v>
      </c>
      <c r="B223" t="s" s="11">
        <v>5179</v>
      </c>
      <c r="C223" s="12">
        <v>44966</v>
      </c>
      <c r="D223" t="s" s="13">
        <v>31</v>
      </c>
      <c r="E223" t="s" s="13">
        <v>32</v>
      </c>
      <c r="F223" s="14">
        <v>4</v>
      </c>
      <c r="G223" s="15">
        <v>449.9925</v>
      </c>
      <c r="H223" s="15">
        <v>1799.97</v>
      </c>
    </row>
    <row r="224" ht="12.9" customHeight="1">
      <c r="A224" t="s" s="10">
        <v>6292</v>
      </c>
      <c r="B224" t="s" s="11">
        <v>5179</v>
      </c>
      <c r="C224" s="12">
        <v>44966</v>
      </c>
      <c r="D224" t="s" s="13">
        <v>59</v>
      </c>
      <c r="E224" t="s" s="13">
        <v>60</v>
      </c>
      <c r="F224" s="14">
        <v>2</v>
      </c>
      <c r="G224" s="15">
        <v>899.9924999999999</v>
      </c>
      <c r="H224" s="15">
        <v>1799.985</v>
      </c>
    </row>
    <row r="225" ht="12.9" customHeight="1">
      <c r="A225" t="s" s="10">
        <v>6292</v>
      </c>
      <c r="B225" t="s" s="11">
        <v>5179</v>
      </c>
      <c r="C225" s="12">
        <v>44966</v>
      </c>
      <c r="D225" t="s" s="13">
        <v>143</v>
      </c>
      <c r="E225" t="s" s="13">
        <v>144</v>
      </c>
      <c r="F225" s="14">
        <v>2</v>
      </c>
      <c r="G225" s="15">
        <v>2499.99</v>
      </c>
      <c r="H225" s="15">
        <v>4999.98</v>
      </c>
    </row>
    <row r="226" ht="12.9" customHeight="1">
      <c r="A226" t="s" s="10">
        <v>6292</v>
      </c>
      <c r="B226" t="s" s="11">
        <v>5179</v>
      </c>
      <c r="C226" s="12">
        <v>44966</v>
      </c>
      <c r="D226" t="s" s="13">
        <v>73</v>
      </c>
      <c r="E226" t="s" s="13">
        <v>74</v>
      </c>
      <c r="F226" s="14">
        <v>8</v>
      </c>
      <c r="G226" s="15">
        <v>299.9925</v>
      </c>
      <c r="H226" s="15">
        <v>2399.94</v>
      </c>
    </row>
    <row r="227" ht="12.9" customHeight="1">
      <c r="A227" t="s" s="10">
        <v>6292</v>
      </c>
      <c r="B227" t="s" s="11">
        <v>5179</v>
      </c>
      <c r="C227" s="12">
        <v>44966</v>
      </c>
      <c r="D227" t="s" s="13">
        <v>35</v>
      </c>
      <c r="E227" t="s" s="13">
        <v>36</v>
      </c>
      <c r="F227" s="14">
        <v>6</v>
      </c>
      <c r="G227" s="15">
        <v>37.4925</v>
      </c>
      <c r="H227" s="15">
        <v>224.955</v>
      </c>
    </row>
    <row r="228" ht="12.9" customHeight="1">
      <c r="A228" t="s" s="10">
        <v>6292</v>
      </c>
      <c r="B228" t="s" s="11">
        <v>5179</v>
      </c>
      <c r="C228" s="12">
        <v>44966</v>
      </c>
      <c r="D228" t="s" s="13">
        <v>89</v>
      </c>
      <c r="E228" t="s" s="13">
        <v>90</v>
      </c>
      <c r="F228" s="14">
        <v>6</v>
      </c>
      <c r="G228" s="15">
        <v>44.9925</v>
      </c>
      <c r="H228" s="15">
        <v>269.955</v>
      </c>
    </row>
    <row r="229" ht="12.9" customHeight="1">
      <c r="A229" t="s" s="10">
        <v>6292</v>
      </c>
      <c r="B229" t="s" s="11">
        <v>5179</v>
      </c>
      <c r="C229" s="12">
        <v>44966</v>
      </c>
      <c r="D229" t="s" s="13">
        <v>123</v>
      </c>
      <c r="E229" t="s" s="13">
        <v>124</v>
      </c>
      <c r="F229" s="14">
        <v>4</v>
      </c>
      <c r="G229" s="15">
        <v>134.9925</v>
      </c>
      <c r="H229" s="15">
        <v>539.97</v>
      </c>
    </row>
    <row r="230" ht="12.9" customHeight="1">
      <c r="A230" t="s" s="10">
        <v>6292</v>
      </c>
      <c r="B230" t="s" s="11">
        <v>5179</v>
      </c>
      <c r="C230" s="12">
        <v>44966</v>
      </c>
      <c r="D230" t="s" s="13">
        <v>54</v>
      </c>
      <c r="E230" t="s" s="13">
        <v>93</v>
      </c>
      <c r="F230" s="14">
        <v>10</v>
      </c>
      <c r="G230" s="15">
        <v>7.4925</v>
      </c>
      <c r="H230" s="15">
        <v>74.925</v>
      </c>
    </row>
    <row r="231" ht="12.9" customHeight="1">
      <c r="A231" t="s" s="10">
        <v>6292</v>
      </c>
      <c r="B231" t="s" s="11">
        <v>5179</v>
      </c>
      <c r="C231" s="12">
        <v>44966</v>
      </c>
      <c r="D231" t="s" s="13">
        <v>63</v>
      </c>
      <c r="E231" s="16"/>
      <c r="F231" s="14">
        <v>1</v>
      </c>
      <c r="G231" s="15">
        <v>475</v>
      </c>
      <c r="H231" s="15">
        <v>475</v>
      </c>
    </row>
    <row r="232" ht="12.9" customHeight="1">
      <c r="A232" t="s" s="10">
        <v>6293</v>
      </c>
      <c r="B232" t="s" s="11">
        <v>391</v>
      </c>
      <c r="C232" s="12">
        <v>44966</v>
      </c>
      <c r="D232" t="s" s="13">
        <v>1257</v>
      </c>
      <c r="E232" t="s" s="13">
        <v>6294</v>
      </c>
      <c r="F232" s="14">
        <v>8</v>
      </c>
      <c r="G232" s="15">
        <v>472.5</v>
      </c>
      <c r="H232" s="15">
        <v>3780</v>
      </c>
    </row>
    <row r="233" ht="12.9" customHeight="1">
      <c r="A233" t="s" s="10">
        <v>6293</v>
      </c>
      <c r="B233" t="s" s="11">
        <v>391</v>
      </c>
      <c r="C233" s="12">
        <v>44966</v>
      </c>
      <c r="D233" t="s" s="13">
        <v>63</v>
      </c>
      <c r="E233" s="16"/>
      <c r="F233" s="14">
        <v>1</v>
      </c>
      <c r="G233" s="15">
        <v>202.48</v>
      </c>
      <c r="H233" s="15">
        <v>202.48</v>
      </c>
    </row>
    <row r="234" ht="12.9" customHeight="1">
      <c r="A234" t="s" s="10">
        <v>6295</v>
      </c>
      <c r="B234" t="s" s="11">
        <v>506</v>
      </c>
      <c r="C234" s="12">
        <v>44965.868675243059</v>
      </c>
      <c r="D234" t="s" s="13">
        <v>95</v>
      </c>
      <c r="E234" t="s" s="13">
        <v>12</v>
      </c>
      <c r="F234" s="14">
        <v>1</v>
      </c>
      <c r="G234" s="15">
        <v>349.99</v>
      </c>
      <c r="H234" s="15">
        <v>349.99</v>
      </c>
    </row>
    <row r="235" ht="12.9" customHeight="1">
      <c r="A235" t="s" s="10">
        <v>6295</v>
      </c>
      <c r="B235" t="s" s="11">
        <v>506</v>
      </c>
      <c r="C235" s="12">
        <v>44965.868675243059</v>
      </c>
      <c r="D235" t="s" s="13">
        <v>19</v>
      </c>
      <c r="E235" t="s" s="13">
        <v>20</v>
      </c>
      <c r="F235" s="14">
        <v>2</v>
      </c>
      <c r="G235" s="15">
        <v>119.99</v>
      </c>
      <c r="H235" s="15">
        <v>239.98</v>
      </c>
    </row>
    <row r="236" ht="12.9" customHeight="1">
      <c r="A236" t="s" s="10">
        <v>6295</v>
      </c>
      <c r="B236" t="s" s="11">
        <v>506</v>
      </c>
      <c r="C236" s="12">
        <v>44965.868675243059</v>
      </c>
      <c r="D236" t="s" s="13">
        <v>15</v>
      </c>
      <c r="E236" t="s" s="13">
        <v>4757</v>
      </c>
      <c r="F236" s="14">
        <v>2</v>
      </c>
      <c r="G236" s="15">
        <v>9.99</v>
      </c>
      <c r="H236" s="15">
        <v>19.98</v>
      </c>
    </row>
    <row r="237" ht="12.9" customHeight="1">
      <c r="A237" t="s" s="10">
        <v>6296</v>
      </c>
      <c r="B237" t="s" s="11">
        <v>6297</v>
      </c>
      <c r="C237" s="12">
        <v>44965.765438784721</v>
      </c>
      <c r="D237" t="s" s="13">
        <v>19</v>
      </c>
      <c r="E237" t="s" s="13">
        <v>20</v>
      </c>
      <c r="F237" s="14">
        <v>2</v>
      </c>
      <c r="G237" s="15">
        <v>119.99</v>
      </c>
      <c r="H237" s="15">
        <v>239.98</v>
      </c>
    </row>
    <row r="238" ht="12.9" customHeight="1">
      <c r="A238" t="s" s="10">
        <v>6296</v>
      </c>
      <c r="B238" t="s" s="11">
        <v>6297</v>
      </c>
      <c r="C238" s="12">
        <v>44965.765438784721</v>
      </c>
      <c r="D238" t="s" s="13">
        <v>15</v>
      </c>
      <c r="E238" t="s" s="13">
        <v>4757</v>
      </c>
      <c r="F238" s="14">
        <v>2</v>
      </c>
      <c r="G238" s="15">
        <v>9.99</v>
      </c>
      <c r="H238" s="15">
        <v>19.98</v>
      </c>
    </row>
    <row r="239" ht="12.9" customHeight="1">
      <c r="A239" t="s" s="10">
        <v>6296</v>
      </c>
      <c r="B239" t="s" s="11">
        <v>6297</v>
      </c>
      <c r="C239" s="12">
        <v>44965.765438784721</v>
      </c>
      <c r="D239" t="s" s="13">
        <v>1695</v>
      </c>
      <c r="E239" t="s" s="13">
        <v>140</v>
      </c>
      <c r="F239" s="14">
        <v>1</v>
      </c>
      <c r="G239" s="15">
        <v>49.99</v>
      </c>
      <c r="H239" s="15">
        <v>49.99</v>
      </c>
    </row>
    <row r="240" ht="12.9" customHeight="1">
      <c r="A240" t="s" s="10">
        <v>6296</v>
      </c>
      <c r="B240" t="s" s="11">
        <v>6297</v>
      </c>
      <c r="C240" s="12">
        <v>44965.765438784721</v>
      </c>
      <c r="D240" t="s" s="13">
        <v>15</v>
      </c>
      <c r="E240" t="s" s="13">
        <v>4757</v>
      </c>
      <c r="F240" s="14">
        <v>1</v>
      </c>
      <c r="G240" s="15">
        <v>9.99</v>
      </c>
      <c r="H240" s="15">
        <v>9.99</v>
      </c>
    </row>
    <row r="241" ht="12.9" customHeight="1">
      <c r="A241" t="s" s="10">
        <v>6298</v>
      </c>
      <c r="B241" t="s" s="11">
        <v>6299</v>
      </c>
      <c r="C241" s="12">
        <v>44965.760259085648</v>
      </c>
      <c r="D241" t="s" s="13">
        <v>369</v>
      </c>
      <c r="E241" t="s" s="13">
        <v>5916</v>
      </c>
      <c r="F241" s="14">
        <v>2</v>
      </c>
      <c r="G241" s="15">
        <v>12.99</v>
      </c>
      <c r="H241" s="15">
        <v>25.98</v>
      </c>
    </row>
    <row r="242" ht="12.9" customHeight="1">
      <c r="A242" t="s" s="10">
        <v>6300</v>
      </c>
      <c r="B242" t="s" s="11">
        <v>6301</v>
      </c>
      <c r="C242" s="12">
        <v>44965.751035763889</v>
      </c>
      <c r="D242" t="s" s="13">
        <v>11</v>
      </c>
      <c r="E242" t="s" s="13">
        <v>12</v>
      </c>
      <c r="F242" s="14">
        <v>2</v>
      </c>
      <c r="G242" s="15">
        <v>399.99</v>
      </c>
      <c r="H242" s="15">
        <v>799.98</v>
      </c>
    </row>
    <row r="243" ht="12.9" customHeight="1">
      <c r="A243" t="s" s="10">
        <v>6300</v>
      </c>
      <c r="B243" t="s" s="11">
        <v>6301</v>
      </c>
      <c r="C243" s="12">
        <v>44965.751035763889</v>
      </c>
      <c r="D243" t="s" s="13">
        <v>412</v>
      </c>
      <c r="E243" t="s" s="13">
        <v>413</v>
      </c>
      <c r="F243" s="14">
        <v>4</v>
      </c>
      <c r="G243" s="15">
        <v>1.99</v>
      </c>
      <c r="H243" s="15">
        <v>7.96</v>
      </c>
    </row>
    <row r="244" ht="12.9" customHeight="1">
      <c r="A244" t="s" s="10">
        <v>6300</v>
      </c>
      <c r="B244" t="s" s="11">
        <v>6301</v>
      </c>
      <c r="C244" s="12">
        <v>44965.751035763889</v>
      </c>
      <c r="D244" t="s" s="13">
        <v>1695</v>
      </c>
      <c r="E244" t="s" s="13">
        <v>140</v>
      </c>
      <c r="F244" s="14">
        <v>1</v>
      </c>
      <c r="G244" s="15">
        <v>49.99</v>
      </c>
      <c r="H244" s="15">
        <v>49.99</v>
      </c>
    </row>
    <row r="245" ht="12.9" customHeight="1">
      <c r="A245" t="s" s="10">
        <v>6300</v>
      </c>
      <c r="B245" t="s" s="11">
        <v>6301</v>
      </c>
      <c r="C245" s="12">
        <v>44965.751035763889</v>
      </c>
      <c r="D245" t="s" s="13">
        <v>15</v>
      </c>
      <c r="E245" t="s" s="13">
        <v>4757</v>
      </c>
      <c r="F245" s="14">
        <v>1</v>
      </c>
      <c r="G245" s="15">
        <v>9.99</v>
      </c>
      <c r="H245" s="15">
        <v>9.99</v>
      </c>
    </row>
    <row r="246" ht="12.9" customHeight="1">
      <c r="A246" t="s" s="10">
        <v>6302</v>
      </c>
      <c r="B246" t="s" s="11">
        <v>6303</v>
      </c>
      <c r="C246" s="12">
        <v>44965.742204224538</v>
      </c>
      <c r="D246" t="s" s="13">
        <v>23</v>
      </c>
      <c r="E246" t="s" s="13">
        <v>828</v>
      </c>
      <c r="F246" s="14">
        <v>1</v>
      </c>
      <c r="G246" s="15">
        <v>149.99</v>
      </c>
      <c r="H246" s="15">
        <v>149.99</v>
      </c>
    </row>
    <row r="247" ht="12.9" customHeight="1">
      <c r="A247" t="s" s="10">
        <v>6302</v>
      </c>
      <c r="B247" t="s" s="11">
        <v>6303</v>
      </c>
      <c r="C247" s="12">
        <v>44965.742204224538</v>
      </c>
      <c r="D247" t="s" s="13">
        <v>15</v>
      </c>
      <c r="E247" t="s" s="13">
        <v>4757</v>
      </c>
      <c r="F247" s="14">
        <v>3</v>
      </c>
      <c r="G247" s="15">
        <v>9.99</v>
      </c>
      <c r="H247" s="15">
        <v>29.97</v>
      </c>
    </row>
    <row r="248" ht="12.9" customHeight="1">
      <c r="A248" t="s" s="10">
        <v>6304</v>
      </c>
      <c r="B248" t="s" s="11">
        <v>6305</v>
      </c>
      <c r="C248" s="12">
        <v>44965.628548032408</v>
      </c>
      <c r="D248" t="s" s="13">
        <v>35</v>
      </c>
      <c r="E248" t="s" s="13">
        <v>36</v>
      </c>
      <c r="F248" s="14">
        <v>2</v>
      </c>
      <c r="G248" s="15">
        <v>49.99</v>
      </c>
      <c r="H248" s="15">
        <v>99.98</v>
      </c>
    </row>
    <row r="249" ht="12.9" customHeight="1">
      <c r="A249" t="s" s="10">
        <v>6306</v>
      </c>
      <c r="B249" t="s" s="11">
        <v>6307</v>
      </c>
      <c r="C249" s="12">
        <v>44965.593061666666</v>
      </c>
      <c r="D249" t="s" s="13">
        <v>35</v>
      </c>
      <c r="E249" t="s" s="13">
        <v>36</v>
      </c>
      <c r="F249" s="14">
        <v>2</v>
      </c>
      <c r="G249" s="15">
        <v>49.99</v>
      </c>
      <c r="H249" s="15">
        <v>99.98</v>
      </c>
    </row>
    <row r="250" ht="12.9" customHeight="1">
      <c r="A250" t="s" s="10">
        <v>6306</v>
      </c>
      <c r="B250" t="s" s="11">
        <v>6307</v>
      </c>
      <c r="C250" s="12">
        <v>44965.593061666666</v>
      </c>
      <c r="D250" t="s" s="13">
        <v>15</v>
      </c>
      <c r="E250" t="s" s="13">
        <v>4757</v>
      </c>
      <c r="F250" s="14">
        <v>1</v>
      </c>
      <c r="G250" s="15">
        <v>9.99</v>
      </c>
      <c r="H250" s="15">
        <v>9.99</v>
      </c>
    </row>
    <row r="251" ht="12.9" customHeight="1">
      <c r="A251" t="s" s="10">
        <v>6306</v>
      </c>
      <c r="B251" t="s" s="11">
        <v>6307</v>
      </c>
      <c r="C251" s="12">
        <v>44965.593061666666</v>
      </c>
      <c r="D251" t="s" s="13">
        <v>54</v>
      </c>
      <c r="E251" t="s" s="13">
        <v>93</v>
      </c>
      <c r="F251" s="14">
        <v>1</v>
      </c>
      <c r="G251" s="15">
        <v>9.99</v>
      </c>
      <c r="H251" s="15">
        <v>9.99</v>
      </c>
    </row>
    <row r="252" ht="12.9" customHeight="1">
      <c r="A252" t="s" s="10">
        <v>6306</v>
      </c>
      <c r="B252" t="s" s="11">
        <v>6307</v>
      </c>
      <c r="C252" s="12">
        <v>44965.593061666666</v>
      </c>
      <c r="D252" t="s" s="13">
        <v>50</v>
      </c>
      <c r="E252" t="s" s="13">
        <v>83</v>
      </c>
      <c r="F252" s="14">
        <v>2</v>
      </c>
      <c r="G252" s="15">
        <v>29.99</v>
      </c>
      <c r="H252" s="15">
        <v>59.98</v>
      </c>
    </row>
    <row r="253" ht="12.9" customHeight="1">
      <c r="A253" t="s" s="10">
        <v>6308</v>
      </c>
      <c r="B253" t="s" s="11">
        <v>5999</v>
      </c>
      <c r="C253" s="12">
        <v>44965.264650162040</v>
      </c>
      <c r="D253" t="s" s="13">
        <v>462</v>
      </c>
      <c r="E253" t="s" s="13">
        <v>828</v>
      </c>
      <c r="F253" s="14">
        <v>1</v>
      </c>
      <c r="G253" s="15">
        <v>199.99</v>
      </c>
      <c r="H253" s="15">
        <v>199.99</v>
      </c>
    </row>
    <row r="254" ht="12.9" customHeight="1">
      <c r="A254" t="s" s="10">
        <v>6308</v>
      </c>
      <c r="B254" t="s" s="11">
        <v>5999</v>
      </c>
      <c r="C254" s="12">
        <v>44965.264650162040</v>
      </c>
      <c r="D254" t="s" s="13">
        <v>1479</v>
      </c>
      <c r="E254" t="s" s="13">
        <v>828</v>
      </c>
      <c r="F254" s="14">
        <v>1</v>
      </c>
      <c r="G254" s="15">
        <v>299.99</v>
      </c>
      <c r="H254" s="15">
        <v>299.99</v>
      </c>
    </row>
    <row r="255" ht="12.9" customHeight="1">
      <c r="A255" t="s" s="10">
        <v>6309</v>
      </c>
      <c r="B255" t="s" s="11">
        <v>5999</v>
      </c>
      <c r="C255" s="12">
        <v>44965.264650162040</v>
      </c>
      <c r="D255" t="s" s="13">
        <v>354</v>
      </c>
      <c r="E255" t="s" s="13">
        <v>828</v>
      </c>
      <c r="F255" s="14">
        <v>2</v>
      </c>
      <c r="G255" s="15">
        <v>149.99</v>
      </c>
      <c r="H255" s="15">
        <v>299.98</v>
      </c>
    </row>
    <row r="256" ht="12.9" customHeight="1">
      <c r="A256" t="s" s="10">
        <v>6310</v>
      </c>
      <c r="B256" t="s" s="11">
        <v>881</v>
      </c>
      <c r="C256" s="12">
        <v>44965</v>
      </c>
      <c r="D256" t="s" s="13">
        <v>4955</v>
      </c>
      <c r="E256" t="s" s="13">
        <v>1617</v>
      </c>
      <c r="F256" s="14">
        <v>4</v>
      </c>
      <c r="G256" s="15">
        <v>206.25</v>
      </c>
      <c r="H256" s="15">
        <v>825</v>
      </c>
    </row>
    <row r="257" ht="12.9" customHeight="1">
      <c r="A257" t="s" s="10">
        <v>6310</v>
      </c>
      <c r="B257" t="s" s="11">
        <v>881</v>
      </c>
      <c r="C257" s="12">
        <v>44965</v>
      </c>
      <c r="D257" t="s" s="13">
        <v>133</v>
      </c>
      <c r="E257" t="s" s="13">
        <v>4835</v>
      </c>
      <c r="F257" s="14">
        <v>2</v>
      </c>
      <c r="G257" s="15">
        <v>149.9925</v>
      </c>
      <c r="H257" s="15">
        <v>299.985</v>
      </c>
    </row>
    <row r="258" ht="12.9" customHeight="1">
      <c r="A258" t="s" s="10">
        <v>6310</v>
      </c>
      <c r="B258" t="s" s="11">
        <v>881</v>
      </c>
      <c r="C258" s="12">
        <v>44965</v>
      </c>
      <c r="D258" t="s" s="13">
        <v>470</v>
      </c>
      <c r="E258" t="s" s="13">
        <v>828</v>
      </c>
      <c r="F258" s="14">
        <v>2</v>
      </c>
      <c r="G258" s="15">
        <v>187.4925</v>
      </c>
      <c r="H258" s="15">
        <v>374.985</v>
      </c>
    </row>
    <row r="259" ht="12.9" customHeight="1">
      <c r="A259" t="s" s="10">
        <v>6310</v>
      </c>
      <c r="B259" t="s" s="11">
        <v>881</v>
      </c>
      <c r="C259" s="12">
        <v>44965</v>
      </c>
      <c r="D259" t="s" s="13">
        <v>354</v>
      </c>
      <c r="E259" t="s" s="13">
        <v>828</v>
      </c>
      <c r="F259" s="14">
        <v>4</v>
      </c>
      <c r="G259" s="15">
        <v>112.4925</v>
      </c>
      <c r="H259" s="15">
        <v>449.97</v>
      </c>
    </row>
    <row r="260" ht="12.9" customHeight="1">
      <c r="A260" t="s" s="10">
        <v>6310</v>
      </c>
      <c r="B260" t="s" s="11">
        <v>881</v>
      </c>
      <c r="C260" s="12">
        <v>44965</v>
      </c>
      <c r="D260" t="s" s="13">
        <v>1695</v>
      </c>
      <c r="E260" t="s" s="13">
        <v>140</v>
      </c>
      <c r="F260" s="14">
        <v>1</v>
      </c>
      <c r="G260" s="15">
        <v>37.4925</v>
      </c>
      <c r="H260" s="15">
        <v>37.4925</v>
      </c>
    </row>
    <row r="261" ht="12.9" customHeight="1">
      <c r="A261" t="s" s="10">
        <v>6310</v>
      </c>
      <c r="B261" t="s" s="11">
        <v>881</v>
      </c>
      <c r="C261" s="12">
        <v>44965</v>
      </c>
      <c r="D261" t="s" s="13">
        <v>84</v>
      </c>
      <c r="E261" t="s" s="13">
        <v>4225</v>
      </c>
      <c r="F261" s="14">
        <v>4</v>
      </c>
      <c r="G261" s="15">
        <v>0</v>
      </c>
      <c r="H261" s="15">
        <v>0</v>
      </c>
    </row>
    <row r="262" ht="12.9" customHeight="1">
      <c r="A262" t="s" s="10">
        <v>6310</v>
      </c>
      <c r="B262" t="s" s="11">
        <v>881</v>
      </c>
      <c r="C262" s="12">
        <v>44965</v>
      </c>
      <c r="D262" t="s" s="13">
        <v>63</v>
      </c>
      <c r="E262" s="16"/>
      <c r="F262" s="14">
        <v>1</v>
      </c>
      <c r="G262" s="15">
        <v>60</v>
      </c>
      <c r="H262" s="15">
        <v>60</v>
      </c>
    </row>
    <row r="263" ht="12.9" customHeight="1">
      <c r="A263" t="s" s="10">
        <v>6311</v>
      </c>
      <c r="B263" t="s" s="11">
        <v>6312</v>
      </c>
      <c r="C263" s="12">
        <v>44965</v>
      </c>
      <c r="D263" t="s" s="13">
        <v>2787</v>
      </c>
      <c r="E263" t="s" s="13">
        <v>2962</v>
      </c>
      <c r="F263" s="14">
        <v>1</v>
      </c>
      <c r="G263" s="15">
        <v>22.99</v>
      </c>
      <c r="H263" s="15">
        <v>22.99</v>
      </c>
    </row>
    <row r="264" ht="12.9" customHeight="1">
      <c r="A264" t="s" s="10">
        <v>6311</v>
      </c>
      <c r="B264" t="s" s="11">
        <v>6312</v>
      </c>
      <c r="C264" s="12">
        <v>44965</v>
      </c>
      <c r="D264" t="s" s="13">
        <v>1731</v>
      </c>
      <c r="E264" t="s" s="13">
        <v>4657</v>
      </c>
      <c r="F264" s="14">
        <v>1</v>
      </c>
      <c r="G264" s="15">
        <v>24.99</v>
      </c>
      <c r="H264" s="15">
        <v>24.99</v>
      </c>
    </row>
    <row r="265" ht="12.9" customHeight="1">
      <c r="A265" t="s" s="10">
        <v>6311</v>
      </c>
      <c r="B265" t="s" s="11">
        <v>6312</v>
      </c>
      <c r="C265" s="12">
        <v>44965</v>
      </c>
      <c r="D265" t="s" s="13">
        <v>1046</v>
      </c>
      <c r="E265" t="s" s="13">
        <v>1047</v>
      </c>
      <c r="F265" s="14">
        <v>8</v>
      </c>
      <c r="G265" s="15">
        <v>0</v>
      </c>
      <c r="H265" s="15">
        <v>0</v>
      </c>
    </row>
    <row r="266" ht="12.9" customHeight="1">
      <c r="A266" t="s" s="10">
        <v>6311</v>
      </c>
      <c r="B266" t="s" s="11">
        <v>6312</v>
      </c>
      <c r="C266" s="12">
        <v>44965</v>
      </c>
      <c r="D266" t="s" s="13">
        <v>1044</v>
      </c>
      <c r="E266" t="s" s="13">
        <v>1044</v>
      </c>
      <c r="F266" s="14">
        <v>6</v>
      </c>
      <c r="G266" s="15">
        <v>0</v>
      </c>
      <c r="H266" s="15">
        <v>0</v>
      </c>
    </row>
    <row r="267" ht="12.9" customHeight="1">
      <c r="A267" t="s" s="10">
        <v>6311</v>
      </c>
      <c r="B267" t="s" s="11">
        <v>6312</v>
      </c>
      <c r="C267" s="12">
        <v>44965</v>
      </c>
      <c r="D267" t="s" s="13">
        <v>1917</v>
      </c>
      <c r="E267" t="s" s="13">
        <v>1917</v>
      </c>
      <c r="F267" s="14">
        <v>1</v>
      </c>
      <c r="G267" s="15">
        <v>0</v>
      </c>
      <c r="H267" s="15">
        <v>0</v>
      </c>
    </row>
    <row r="268" ht="12.9" customHeight="1">
      <c r="A268" t="s" s="10">
        <v>6311</v>
      </c>
      <c r="B268" t="s" s="11">
        <v>6312</v>
      </c>
      <c r="C268" s="12">
        <v>44965</v>
      </c>
      <c r="D268" t="s" s="13">
        <v>1892</v>
      </c>
      <c r="E268" t="s" s="13">
        <v>1892</v>
      </c>
      <c r="F268" s="14">
        <v>4</v>
      </c>
      <c r="G268" s="15">
        <v>0</v>
      </c>
      <c r="H268" s="15">
        <v>0</v>
      </c>
    </row>
    <row r="269" ht="12.9" customHeight="1">
      <c r="A269" t="s" s="10">
        <v>6311</v>
      </c>
      <c r="B269" t="s" s="11">
        <v>6312</v>
      </c>
      <c r="C269" s="12">
        <v>44965</v>
      </c>
      <c r="D269" t="s" s="13">
        <v>1048</v>
      </c>
      <c r="E269" t="s" s="13">
        <v>1048</v>
      </c>
      <c r="F269" s="14">
        <v>5</v>
      </c>
      <c r="G269" s="15">
        <v>0</v>
      </c>
      <c r="H269" s="15">
        <v>0</v>
      </c>
    </row>
    <row r="270" ht="12.9" customHeight="1">
      <c r="A270" t="s" s="10">
        <v>6311</v>
      </c>
      <c r="B270" t="s" s="11">
        <v>6312</v>
      </c>
      <c r="C270" s="12">
        <v>44965</v>
      </c>
      <c r="D270" t="s" s="13">
        <v>6283</v>
      </c>
      <c r="E270" t="s" s="13">
        <v>6313</v>
      </c>
      <c r="F270" s="14">
        <v>1</v>
      </c>
      <c r="G270" s="15">
        <v>150</v>
      </c>
      <c r="H270" s="15">
        <v>150</v>
      </c>
    </row>
    <row r="271" ht="12.9" customHeight="1">
      <c r="A271" t="s" s="10">
        <v>6311</v>
      </c>
      <c r="B271" t="s" s="11">
        <v>6312</v>
      </c>
      <c r="C271" s="12">
        <v>44965</v>
      </c>
      <c r="D271" t="s" s="13">
        <v>63</v>
      </c>
      <c r="E271" s="16"/>
      <c r="F271" s="14">
        <v>1</v>
      </c>
      <c r="G271" s="15">
        <v>48</v>
      </c>
      <c r="H271" s="15">
        <v>48</v>
      </c>
    </row>
    <row r="272" ht="12.9" customHeight="1">
      <c r="A272" t="s" s="10">
        <v>6314</v>
      </c>
      <c r="B272" t="s" s="11">
        <v>6315</v>
      </c>
      <c r="C272" s="12">
        <v>44964.905920219906</v>
      </c>
      <c r="D272" t="s" s="13">
        <v>35</v>
      </c>
      <c r="E272" t="s" s="13">
        <v>36</v>
      </c>
      <c r="F272" s="14">
        <v>1</v>
      </c>
      <c r="G272" s="15">
        <v>49.99</v>
      </c>
      <c r="H272" s="15">
        <v>49.99</v>
      </c>
    </row>
    <row r="273" ht="12.9" customHeight="1">
      <c r="A273" t="s" s="10">
        <v>6316</v>
      </c>
      <c r="B273" t="s" s="11">
        <v>6317</v>
      </c>
      <c r="C273" s="12">
        <v>44964.834471655093</v>
      </c>
      <c r="D273" t="s" s="13">
        <v>1695</v>
      </c>
      <c r="E273" t="s" s="13">
        <v>140</v>
      </c>
      <c r="F273" s="14">
        <v>1</v>
      </c>
      <c r="G273" s="15">
        <v>49.99</v>
      </c>
      <c r="H273" s="15">
        <v>49.99</v>
      </c>
    </row>
    <row r="274" ht="12.9" customHeight="1">
      <c r="A274" t="s" s="10">
        <v>6316</v>
      </c>
      <c r="B274" t="s" s="11">
        <v>6317</v>
      </c>
      <c r="C274" s="12">
        <v>44964.834471655093</v>
      </c>
      <c r="D274" t="s" s="13">
        <v>15</v>
      </c>
      <c r="E274" t="s" s="13">
        <v>4757</v>
      </c>
      <c r="F274" s="14">
        <v>1</v>
      </c>
      <c r="G274" s="15">
        <v>9.99</v>
      </c>
      <c r="H274" s="15">
        <v>9.99</v>
      </c>
    </row>
    <row r="275" ht="12.9" customHeight="1">
      <c r="A275" t="s" s="10">
        <v>6316</v>
      </c>
      <c r="B275" t="s" s="11">
        <v>6317</v>
      </c>
      <c r="C275" s="12">
        <v>44964.834471655093</v>
      </c>
      <c r="D275" t="s" s="13">
        <v>15</v>
      </c>
      <c r="E275" t="s" s="13">
        <v>4757</v>
      </c>
      <c r="F275" s="14">
        <v>1</v>
      </c>
      <c r="G275" s="15">
        <v>9.99</v>
      </c>
      <c r="H275" s="15">
        <v>9.99</v>
      </c>
    </row>
    <row r="276" ht="12.9" customHeight="1">
      <c r="A276" t="s" s="10">
        <v>6318</v>
      </c>
      <c r="B276" t="s" s="11">
        <v>4098</v>
      </c>
      <c r="C276" s="12">
        <v>44964.824312847224</v>
      </c>
      <c r="D276" t="s" s="13">
        <v>1729</v>
      </c>
      <c r="E276" t="s" s="13">
        <v>4639</v>
      </c>
      <c r="F276" s="14">
        <v>1</v>
      </c>
      <c r="G276" s="15">
        <v>14.99</v>
      </c>
      <c r="H276" s="15">
        <v>14.99</v>
      </c>
    </row>
    <row r="277" ht="12.9" customHeight="1">
      <c r="A277" t="s" s="10">
        <v>6318</v>
      </c>
      <c r="B277" t="s" s="11">
        <v>4098</v>
      </c>
      <c r="C277" s="12">
        <v>44964.824312847224</v>
      </c>
      <c r="D277" t="s" s="13">
        <v>77</v>
      </c>
      <c r="E277" t="s" s="13">
        <v>4224</v>
      </c>
      <c r="F277" s="14">
        <v>1</v>
      </c>
      <c r="G277" s="15">
        <v>19.99</v>
      </c>
      <c r="H277" s="15">
        <v>19.99</v>
      </c>
    </row>
    <row r="278" ht="12.9" customHeight="1">
      <c r="A278" t="s" s="10">
        <v>6318</v>
      </c>
      <c r="B278" t="s" s="11">
        <v>4098</v>
      </c>
      <c r="C278" s="12">
        <v>44964.824312847224</v>
      </c>
      <c r="D278" t="s" s="13">
        <v>359</v>
      </c>
      <c r="E278" t="s" s="13">
        <v>4199</v>
      </c>
      <c r="F278" s="14">
        <v>1</v>
      </c>
      <c r="G278" s="15">
        <v>29.99</v>
      </c>
      <c r="H278" s="15">
        <v>29.99</v>
      </c>
    </row>
    <row r="279" ht="12.9" customHeight="1">
      <c r="A279" t="s" s="10">
        <v>6319</v>
      </c>
      <c r="B279" t="s" s="11">
        <v>6320</v>
      </c>
      <c r="C279" s="12">
        <v>44964.759786423609</v>
      </c>
      <c r="D279" t="s" s="13">
        <v>73</v>
      </c>
      <c r="E279" t="s" s="13">
        <v>74</v>
      </c>
      <c r="F279" s="14">
        <v>1</v>
      </c>
      <c r="G279" s="15">
        <v>399.99</v>
      </c>
      <c r="H279" s="15">
        <v>399.99</v>
      </c>
    </row>
    <row r="280" ht="12.9" customHeight="1">
      <c r="A280" t="s" s="10">
        <v>6321</v>
      </c>
      <c r="B280" t="s" s="11">
        <v>6322</v>
      </c>
      <c r="C280" s="12">
        <v>44964.717798425925</v>
      </c>
      <c r="D280" t="s" s="13">
        <v>95</v>
      </c>
      <c r="E280" t="s" s="13">
        <v>12</v>
      </c>
      <c r="F280" s="14">
        <v>1</v>
      </c>
      <c r="G280" s="15">
        <v>349.99</v>
      </c>
      <c r="H280" s="15">
        <v>349.99</v>
      </c>
    </row>
    <row r="281" ht="12.9" customHeight="1">
      <c r="A281" t="s" s="10">
        <v>6323</v>
      </c>
      <c r="B281" t="s" s="11">
        <v>6324</v>
      </c>
      <c r="C281" s="12">
        <v>44964.625148888888</v>
      </c>
      <c r="D281" t="s" s="13">
        <v>73</v>
      </c>
      <c r="E281" t="s" s="13">
        <v>74</v>
      </c>
      <c r="F281" s="14">
        <v>1</v>
      </c>
      <c r="G281" s="15">
        <v>399.99</v>
      </c>
      <c r="H281" s="15">
        <v>399.99</v>
      </c>
    </row>
    <row r="282" ht="12.9" customHeight="1">
      <c r="A282" t="s" s="10">
        <v>6323</v>
      </c>
      <c r="B282" t="s" s="11">
        <v>6324</v>
      </c>
      <c r="C282" s="12">
        <v>44964.625148888888</v>
      </c>
      <c r="D282" t="s" s="13">
        <v>81</v>
      </c>
      <c r="E282" t="s" s="13">
        <v>82</v>
      </c>
      <c r="F282" s="14">
        <v>2</v>
      </c>
      <c r="G282" s="15">
        <v>849.99</v>
      </c>
      <c r="H282" s="15">
        <v>1699.98</v>
      </c>
    </row>
    <row r="283" ht="12.9" customHeight="1">
      <c r="A283" t="s" s="10">
        <v>6323</v>
      </c>
      <c r="B283" t="s" s="11">
        <v>6324</v>
      </c>
      <c r="C283" s="12">
        <v>44964.625148888888</v>
      </c>
      <c r="D283" t="s" s="13">
        <v>50</v>
      </c>
      <c r="E283" t="s" s="13">
        <v>83</v>
      </c>
      <c r="F283" s="14">
        <v>2</v>
      </c>
      <c r="G283" s="15">
        <v>0</v>
      </c>
      <c r="H283" s="15">
        <v>0</v>
      </c>
    </row>
    <row r="284" ht="12.9" customHeight="1">
      <c r="A284" t="s" s="10">
        <v>6323</v>
      </c>
      <c r="B284" t="s" s="11">
        <v>6324</v>
      </c>
      <c r="C284" s="12">
        <v>44964.625148888888</v>
      </c>
      <c r="D284" t="s" s="13">
        <v>23</v>
      </c>
      <c r="E284" t="s" s="13">
        <v>828</v>
      </c>
      <c r="F284" s="14">
        <v>2</v>
      </c>
      <c r="G284" s="15">
        <v>0</v>
      </c>
      <c r="H284" s="15">
        <v>0</v>
      </c>
    </row>
    <row r="285" ht="12.9" customHeight="1">
      <c r="A285" t="s" s="10">
        <v>6323</v>
      </c>
      <c r="B285" t="s" s="11">
        <v>6324</v>
      </c>
      <c r="C285" s="12">
        <v>44964.625148888888</v>
      </c>
      <c r="D285" t="s" s="13">
        <v>227</v>
      </c>
      <c r="E285" t="s" s="13">
        <v>228</v>
      </c>
      <c r="F285" s="14">
        <v>4</v>
      </c>
      <c r="G285" s="15">
        <v>29.99</v>
      </c>
      <c r="H285" s="15">
        <v>119.96</v>
      </c>
    </row>
    <row r="286" ht="12.9" customHeight="1">
      <c r="A286" t="s" s="10">
        <v>6325</v>
      </c>
      <c r="B286" t="s" s="11">
        <v>5001</v>
      </c>
      <c r="C286" s="12">
        <v>44964.109980138892</v>
      </c>
      <c r="D286" t="s" s="13">
        <v>77</v>
      </c>
      <c r="E286" t="s" s="13">
        <v>4224</v>
      </c>
      <c r="F286" s="14">
        <v>2</v>
      </c>
      <c r="G286" s="15">
        <v>19.99</v>
      </c>
      <c r="H286" s="15">
        <v>39.98</v>
      </c>
    </row>
    <row r="287" ht="12.9" customHeight="1">
      <c r="A287" t="s" s="10">
        <v>6325</v>
      </c>
      <c r="B287" t="s" s="11">
        <v>5001</v>
      </c>
      <c r="C287" s="12">
        <v>44964.109980138892</v>
      </c>
      <c r="D287" t="s" s="13">
        <v>1731</v>
      </c>
      <c r="E287" t="s" s="13">
        <v>4657</v>
      </c>
      <c r="F287" s="14">
        <v>2</v>
      </c>
      <c r="G287" s="15">
        <v>24.99</v>
      </c>
      <c r="H287" s="15">
        <v>49.98</v>
      </c>
    </row>
    <row r="288" ht="12.9" customHeight="1">
      <c r="A288" t="s" s="10">
        <v>6326</v>
      </c>
      <c r="B288" t="s" s="11">
        <v>6327</v>
      </c>
      <c r="C288" s="12">
        <v>44964.104689814812</v>
      </c>
      <c r="D288" t="s" s="13">
        <v>171</v>
      </c>
      <c r="E288" t="s" s="13">
        <v>172</v>
      </c>
      <c r="F288" s="14">
        <v>1</v>
      </c>
      <c r="G288" s="15">
        <v>549.99</v>
      </c>
      <c r="H288" s="15">
        <v>549.99</v>
      </c>
    </row>
    <row r="289" ht="12.9" customHeight="1">
      <c r="A289" t="s" s="10">
        <v>6328</v>
      </c>
      <c r="B289" t="s" s="11">
        <v>5001</v>
      </c>
      <c r="C289" s="12">
        <v>44964.104024050925</v>
      </c>
      <c r="D289" t="s" s="13">
        <v>602</v>
      </c>
      <c r="E289" t="s" s="13">
        <v>828</v>
      </c>
      <c r="F289" s="14">
        <v>1</v>
      </c>
      <c r="G289" s="15">
        <v>299.99</v>
      </c>
      <c r="H289" s="15">
        <v>299.99</v>
      </c>
    </row>
    <row r="290" ht="12.9" customHeight="1">
      <c r="A290" t="s" s="10">
        <v>6329</v>
      </c>
      <c r="B290" t="s" s="11">
        <v>896</v>
      </c>
      <c r="C290" s="12">
        <v>44964</v>
      </c>
      <c r="D290" t="s" s="13">
        <v>1232</v>
      </c>
      <c r="E290" t="s" s="13">
        <v>5578</v>
      </c>
      <c r="F290" s="14">
        <v>12</v>
      </c>
      <c r="G290" s="15">
        <v>0</v>
      </c>
      <c r="H290" s="15">
        <v>0</v>
      </c>
    </row>
    <row r="291" ht="12.9" customHeight="1">
      <c r="A291" t="s" s="10">
        <v>6329</v>
      </c>
      <c r="B291" t="s" s="11">
        <v>896</v>
      </c>
      <c r="C291" s="12">
        <v>44964</v>
      </c>
      <c r="D291" t="s" s="13">
        <v>1233</v>
      </c>
      <c r="E291" t="s" s="13">
        <v>5578</v>
      </c>
      <c r="F291" s="14">
        <v>12</v>
      </c>
      <c r="G291" s="15">
        <v>0</v>
      </c>
      <c r="H291" s="15">
        <v>0</v>
      </c>
    </row>
    <row r="292" ht="12.9" customHeight="1">
      <c r="A292" t="s" s="10">
        <v>6330</v>
      </c>
      <c r="B292" t="s" s="11">
        <v>2931</v>
      </c>
      <c r="C292" s="12">
        <v>44964</v>
      </c>
      <c r="D292" t="s" s="13">
        <v>1232</v>
      </c>
      <c r="E292" t="s" s="13">
        <v>5578</v>
      </c>
      <c r="F292" s="14">
        <v>12</v>
      </c>
      <c r="G292" s="15">
        <v>0</v>
      </c>
      <c r="H292" s="15">
        <v>0</v>
      </c>
    </row>
    <row r="293" ht="12.9" customHeight="1">
      <c r="A293" t="s" s="10">
        <v>6330</v>
      </c>
      <c r="B293" t="s" s="11">
        <v>2931</v>
      </c>
      <c r="C293" s="12">
        <v>44964</v>
      </c>
      <c r="D293" t="s" s="13">
        <v>1233</v>
      </c>
      <c r="E293" t="s" s="13">
        <v>5578</v>
      </c>
      <c r="F293" s="14">
        <v>12</v>
      </c>
      <c r="G293" s="15">
        <v>0</v>
      </c>
      <c r="H293" s="15">
        <v>0</v>
      </c>
    </row>
    <row r="294" ht="12.9" customHeight="1">
      <c r="A294" t="s" s="10">
        <v>6331</v>
      </c>
      <c r="B294" t="s" s="11">
        <v>42</v>
      </c>
      <c r="C294" s="12">
        <v>44964</v>
      </c>
      <c r="D294" t="s" s="13">
        <v>1232</v>
      </c>
      <c r="E294" t="s" s="13">
        <v>5578</v>
      </c>
      <c r="F294" s="14">
        <v>12</v>
      </c>
      <c r="G294" s="15">
        <v>0</v>
      </c>
      <c r="H294" s="15">
        <v>0</v>
      </c>
    </row>
    <row r="295" ht="12.9" customHeight="1">
      <c r="A295" t="s" s="10">
        <v>6331</v>
      </c>
      <c r="B295" t="s" s="11">
        <v>42</v>
      </c>
      <c r="C295" s="12">
        <v>44964</v>
      </c>
      <c r="D295" t="s" s="13">
        <v>1233</v>
      </c>
      <c r="E295" t="s" s="13">
        <v>5578</v>
      </c>
      <c r="F295" s="14">
        <v>12</v>
      </c>
      <c r="G295" s="15">
        <v>0</v>
      </c>
      <c r="H295" s="15">
        <v>0</v>
      </c>
    </row>
    <row r="296" ht="12.9" customHeight="1">
      <c r="A296" t="s" s="10">
        <v>6332</v>
      </c>
      <c r="B296" t="s" s="11">
        <v>1937</v>
      </c>
      <c r="C296" s="12">
        <v>44964</v>
      </c>
      <c r="D296" t="s" s="13">
        <v>81</v>
      </c>
      <c r="E296" t="s" s="13">
        <v>82</v>
      </c>
      <c r="F296" s="14">
        <v>2</v>
      </c>
      <c r="G296" s="15">
        <v>849.99</v>
      </c>
      <c r="H296" s="15">
        <v>1699.98</v>
      </c>
    </row>
    <row r="297" ht="12.9" customHeight="1">
      <c r="A297" t="s" s="10">
        <v>6332</v>
      </c>
      <c r="B297" t="s" s="11">
        <v>1937</v>
      </c>
      <c r="C297" s="12">
        <v>44964</v>
      </c>
      <c r="D297" t="s" s="13">
        <v>50</v>
      </c>
      <c r="E297" t="s" s="13">
        <v>83</v>
      </c>
      <c r="F297" s="14">
        <v>2</v>
      </c>
      <c r="G297" s="15">
        <v>0</v>
      </c>
      <c r="H297" s="15">
        <v>0</v>
      </c>
    </row>
    <row r="298" ht="12.9" customHeight="1">
      <c r="A298" t="s" s="10">
        <v>6332</v>
      </c>
      <c r="B298" t="s" s="11">
        <v>1937</v>
      </c>
      <c r="C298" s="12">
        <v>44964</v>
      </c>
      <c r="D298" t="s" s="13">
        <v>84</v>
      </c>
      <c r="E298" t="s" s="13">
        <v>4225</v>
      </c>
      <c r="F298" s="14">
        <v>2</v>
      </c>
      <c r="G298" s="15">
        <v>0</v>
      </c>
      <c r="H298" s="15">
        <v>0</v>
      </c>
    </row>
    <row r="299" ht="12.9" customHeight="1">
      <c r="A299" t="s" s="10">
        <v>6332</v>
      </c>
      <c r="B299" t="s" s="11">
        <v>1937</v>
      </c>
      <c r="C299" s="12">
        <v>44964</v>
      </c>
      <c r="D299" t="s" s="13">
        <v>23</v>
      </c>
      <c r="E299" t="s" s="13">
        <v>828</v>
      </c>
      <c r="F299" s="14">
        <v>2</v>
      </c>
      <c r="G299" s="15">
        <v>0</v>
      </c>
      <c r="H299" s="15">
        <v>0</v>
      </c>
    </row>
    <row r="300" ht="12.9" customHeight="1">
      <c r="A300" t="s" s="10">
        <v>6332</v>
      </c>
      <c r="B300" t="s" s="11">
        <v>1937</v>
      </c>
      <c r="C300" s="12">
        <v>44964</v>
      </c>
      <c r="D300" t="s" s="13">
        <v>47</v>
      </c>
      <c r="E300" s="16"/>
      <c r="F300" s="14">
        <v>1</v>
      </c>
      <c r="G300" s="15">
        <v>137</v>
      </c>
      <c r="H300" s="15">
        <v>137</v>
      </c>
    </row>
    <row r="301" ht="12.9" customHeight="1">
      <c r="A301" t="s" s="10">
        <v>6333</v>
      </c>
      <c r="B301" t="s" s="11">
        <v>6334</v>
      </c>
      <c r="C301" s="12">
        <v>44964</v>
      </c>
      <c r="D301" t="s" s="13">
        <v>1232</v>
      </c>
      <c r="E301" t="s" s="13">
        <v>5578</v>
      </c>
      <c r="F301" s="14">
        <v>12</v>
      </c>
      <c r="G301" s="15">
        <v>0</v>
      </c>
      <c r="H301" s="15">
        <v>0</v>
      </c>
    </row>
    <row r="302" ht="12.9" customHeight="1">
      <c r="A302" t="s" s="10">
        <v>6333</v>
      </c>
      <c r="B302" t="s" s="11">
        <v>6334</v>
      </c>
      <c r="C302" s="12">
        <v>44964</v>
      </c>
      <c r="D302" t="s" s="13">
        <v>1233</v>
      </c>
      <c r="E302" t="s" s="13">
        <v>5578</v>
      </c>
      <c r="F302" s="14">
        <v>12</v>
      </c>
      <c r="G302" s="15">
        <v>0</v>
      </c>
      <c r="H302" s="15">
        <v>0</v>
      </c>
    </row>
    <row r="303" ht="12.9" customHeight="1">
      <c r="A303" t="s" s="10">
        <v>6335</v>
      </c>
      <c r="B303" t="s" s="11">
        <v>122</v>
      </c>
      <c r="C303" s="12">
        <v>44964</v>
      </c>
      <c r="D303" t="s" s="13">
        <v>1233</v>
      </c>
      <c r="E303" t="s" s="13">
        <v>5578</v>
      </c>
      <c r="F303" s="14">
        <v>12</v>
      </c>
      <c r="G303" s="15">
        <v>0</v>
      </c>
      <c r="H303" s="15">
        <v>0</v>
      </c>
    </row>
    <row r="304" ht="12.9" customHeight="1">
      <c r="A304" t="s" s="10">
        <v>6336</v>
      </c>
      <c r="B304" t="s" s="11">
        <v>3189</v>
      </c>
      <c r="C304" s="12">
        <v>44963.995869872684</v>
      </c>
      <c r="D304" t="s" s="13">
        <v>123</v>
      </c>
      <c r="E304" t="s" s="13">
        <v>124</v>
      </c>
      <c r="F304" s="14">
        <v>1</v>
      </c>
      <c r="G304" s="15">
        <v>179.99</v>
      </c>
      <c r="H304" s="15">
        <v>179.99</v>
      </c>
    </row>
    <row r="305" ht="12.9" customHeight="1">
      <c r="A305" t="s" s="10">
        <v>6336</v>
      </c>
      <c r="B305" t="s" s="11">
        <v>3189</v>
      </c>
      <c r="C305" s="12">
        <v>44963.995869872684</v>
      </c>
      <c r="D305" t="s" s="13">
        <v>125</v>
      </c>
      <c r="E305" t="s" s="13">
        <v>126</v>
      </c>
      <c r="F305" s="14">
        <v>4</v>
      </c>
      <c r="G305" s="15">
        <v>64.98999999999999</v>
      </c>
      <c r="H305" s="15">
        <v>259.96</v>
      </c>
    </row>
    <row r="306" ht="12.9" customHeight="1">
      <c r="A306" t="s" s="10">
        <v>6337</v>
      </c>
      <c r="B306" t="s" s="11">
        <v>6172</v>
      </c>
      <c r="C306" s="12">
        <v>44963.802628831021</v>
      </c>
      <c r="D306" t="s" s="13">
        <v>11</v>
      </c>
      <c r="E306" t="s" s="13">
        <v>12</v>
      </c>
      <c r="F306" s="14">
        <v>2</v>
      </c>
      <c r="G306" s="15">
        <v>399.99</v>
      </c>
      <c r="H306" s="15">
        <v>799.98</v>
      </c>
    </row>
    <row r="307" ht="12.9" customHeight="1">
      <c r="A307" t="s" s="10">
        <v>6338</v>
      </c>
      <c r="B307" t="s" s="11">
        <v>2924</v>
      </c>
      <c r="C307" s="12">
        <v>44963.681506527777</v>
      </c>
      <c r="D307" t="s" s="13">
        <v>31</v>
      </c>
      <c r="E307" t="s" s="13">
        <v>32</v>
      </c>
      <c r="F307" s="14">
        <v>1</v>
      </c>
      <c r="G307" s="15">
        <v>574.99</v>
      </c>
      <c r="H307" s="15">
        <v>574.99</v>
      </c>
    </row>
    <row r="308" ht="12.9" customHeight="1">
      <c r="A308" t="s" s="10">
        <v>6339</v>
      </c>
      <c r="B308" t="s" s="11">
        <v>6340</v>
      </c>
      <c r="C308" s="12">
        <v>44962.945708067127</v>
      </c>
      <c r="D308" t="s" s="13">
        <v>11</v>
      </c>
      <c r="E308" t="s" s="13">
        <v>12</v>
      </c>
      <c r="F308" s="14">
        <v>1</v>
      </c>
      <c r="G308" s="15">
        <v>399.99</v>
      </c>
      <c r="H308" s="15">
        <v>399.99</v>
      </c>
    </row>
    <row r="309" ht="12.9" customHeight="1">
      <c r="A309" t="s" s="10">
        <v>6341</v>
      </c>
      <c r="B309" t="s" s="11">
        <v>6342</v>
      </c>
      <c r="C309" s="12">
        <v>44962.930508506943</v>
      </c>
      <c r="D309" t="s" s="13">
        <v>133</v>
      </c>
      <c r="E309" t="s" s="13">
        <v>4835</v>
      </c>
      <c r="F309" s="14">
        <v>1</v>
      </c>
      <c r="G309" s="15">
        <v>199.99</v>
      </c>
      <c r="H309" s="15">
        <v>199.99</v>
      </c>
    </row>
    <row r="310" ht="12.9" customHeight="1">
      <c r="A310" t="s" s="10">
        <v>6343</v>
      </c>
      <c r="B310" t="s" s="11">
        <v>6344</v>
      </c>
      <c r="C310" s="12">
        <v>44962.634828877315</v>
      </c>
      <c r="D310" t="s" s="13">
        <v>59</v>
      </c>
      <c r="E310" t="s" s="13">
        <v>60</v>
      </c>
      <c r="F310" s="14">
        <v>1</v>
      </c>
      <c r="G310" s="15">
        <v>1199.99</v>
      </c>
      <c r="H310" s="15">
        <v>1199.99</v>
      </c>
    </row>
    <row r="311" ht="12.9" customHeight="1">
      <c r="A311" t="s" s="10">
        <v>6345</v>
      </c>
      <c r="B311" t="s" s="11">
        <v>6334</v>
      </c>
      <c r="C311" s="12">
        <v>44962</v>
      </c>
      <c r="D311" t="s" s="13">
        <v>59</v>
      </c>
      <c r="E311" t="s" s="13">
        <v>60</v>
      </c>
      <c r="F311" s="14">
        <v>1</v>
      </c>
      <c r="G311" s="15">
        <v>899.9924999999999</v>
      </c>
      <c r="H311" s="15">
        <v>899.9924999999999</v>
      </c>
    </row>
    <row r="312" ht="12.9" customHeight="1">
      <c r="A312" t="s" s="10">
        <v>6345</v>
      </c>
      <c r="B312" t="s" s="11">
        <v>6334</v>
      </c>
      <c r="C312" s="12">
        <v>44962</v>
      </c>
      <c r="D312" t="s" s="13">
        <v>369</v>
      </c>
      <c r="E312" t="s" s="13">
        <v>5916</v>
      </c>
      <c r="F312" s="14">
        <v>2</v>
      </c>
      <c r="G312" s="15">
        <v>9.7425</v>
      </c>
      <c r="H312" s="15">
        <v>19.485</v>
      </c>
    </row>
    <row r="313" ht="12.9" customHeight="1">
      <c r="A313" t="s" s="10">
        <v>6345</v>
      </c>
      <c r="B313" t="s" s="11">
        <v>6334</v>
      </c>
      <c r="C313" s="12">
        <v>44962</v>
      </c>
      <c r="D313" t="s" s="13">
        <v>63</v>
      </c>
      <c r="E313" s="16"/>
      <c r="F313" s="14">
        <v>1</v>
      </c>
      <c r="G313" s="15">
        <v>15</v>
      </c>
      <c r="H313" s="15">
        <v>15</v>
      </c>
    </row>
    <row r="314" ht="12.9" customHeight="1">
      <c r="A314" t="s" s="10">
        <v>6346</v>
      </c>
      <c r="B314" t="s" s="11">
        <v>6347</v>
      </c>
      <c r="C314" s="12">
        <v>44961.857643043979</v>
      </c>
      <c r="D314" t="s" s="13">
        <v>15</v>
      </c>
      <c r="E314" t="s" s="13">
        <v>4757</v>
      </c>
      <c r="F314" s="14">
        <v>1</v>
      </c>
      <c r="G314" s="15">
        <v>9.99</v>
      </c>
      <c r="H314" s="15">
        <v>9.99</v>
      </c>
    </row>
    <row r="315" ht="12.9" customHeight="1">
      <c r="A315" t="s" s="10">
        <v>6346</v>
      </c>
      <c r="B315" t="s" s="11">
        <v>6347</v>
      </c>
      <c r="C315" s="12">
        <v>44961.857643043979</v>
      </c>
      <c r="D315" t="s" s="13">
        <v>54</v>
      </c>
      <c r="E315" t="s" s="13">
        <v>93</v>
      </c>
      <c r="F315" s="14">
        <v>1</v>
      </c>
      <c r="G315" s="15">
        <v>9.99</v>
      </c>
      <c r="H315" s="15">
        <v>9.99</v>
      </c>
    </row>
    <row r="316" ht="12.9" customHeight="1">
      <c r="A316" t="s" s="10">
        <v>6348</v>
      </c>
      <c r="B316" t="s" s="11">
        <v>5135</v>
      </c>
      <c r="C316" s="12">
        <v>44961.840755162040</v>
      </c>
      <c r="D316" t="s" s="13">
        <v>73</v>
      </c>
      <c r="E316" t="s" s="13">
        <v>74</v>
      </c>
      <c r="F316" s="14">
        <v>1</v>
      </c>
      <c r="G316" s="15">
        <v>399.99</v>
      </c>
      <c r="H316" s="15">
        <v>399.99</v>
      </c>
    </row>
    <row r="317" ht="12.9" customHeight="1">
      <c r="A317" t="s" s="10">
        <v>6349</v>
      </c>
      <c r="B317" t="s" s="11">
        <v>6350</v>
      </c>
      <c r="C317" s="12">
        <v>44961.706777337960</v>
      </c>
      <c r="D317" t="s" s="13">
        <v>95</v>
      </c>
      <c r="E317" t="s" s="13">
        <v>12</v>
      </c>
      <c r="F317" s="14">
        <v>1</v>
      </c>
      <c r="G317" s="15">
        <v>324.99</v>
      </c>
      <c r="H317" s="15">
        <v>324.99</v>
      </c>
    </row>
    <row r="318" ht="12.9" customHeight="1">
      <c r="A318" t="s" s="10">
        <v>6351</v>
      </c>
      <c r="B318" t="s" s="11">
        <v>6352</v>
      </c>
      <c r="C318" s="12">
        <v>44961.060515393518</v>
      </c>
      <c r="D318" t="s" s="13">
        <v>1593</v>
      </c>
      <c r="E318" t="s" s="13">
        <v>828</v>
      </c>
      <c r="F318" s="14">
        <v>3</v>
      </c>
      <c r="G318" s="15">
        <v>99.98999999999999</v>
      </c>
      <c r="H318" s="15">
        <v>299.97</v>
      </c>
    </row>
    <row r="319" ht="12.9" customHeight="1">
      <c r="A319" t="s" s="10">
        <v>6353</v>
      </c>
      <c r="B319" t="s" s="11">
        <v>3187</v>
      </c>
      <c r="C319" s="12">
        <v>44960.920628541666</v>
      </c>
      <c r="D319" t="s" s="13">
        <v>31</v>
      </c>
      <c r="E319" t="s" s="13">
        <v>32</v>
      </c>
      <c r="F319" s="14">
        <v>1</v>
      </c>
      <c r="G319" s="15">
        <v>599.99</v>
      </c>
      <c r="H319" s="15">
        <v>599.99</v>
      </c>
    </row>
    <row r="320" ht="12.9" customHeight="1">
      <c r="A320" t="s" s="10">
        <v>6354</v>
      </c>
      <c r="B320" t="s" s="11">
        <v>6355</v>
      </c>
      <c r="C320" s="12">
        <v>44960.906806319443</v>
      </c>
      <c r="D320" t="s" s="13">
        <v>35</v>
      </c>
      <c r="E320" t="s" s="13">
        <v>36</v>
      </c>
      <c r="F320" s="14">
        <v>2</v>
      </c>
      <c r="G320" s="15">
        <v>49.99</v>
      </c>
      <c r="H320" s="15">
        <v>99.98</v>
      </c>
    </row>
    <row r="321" ht="12.9" customHeight="1">
      <c r="A321" t="s" s="10">
        <v>6356</v>
      </c>
      <c r="B321" t="s" s="11">
        <v>6357</v>
      </c>
      <c r="C321" s="12">
        <v>44960.8226255787</v>
      </c>
      <c r="D321" t="s" s="13">
        <v>1695</v>
      </c>
      <c r="E321" t="s" s="13">
        <v>140</v>
      </c>
      <c r="F321" s="14">
        <v>1</v>
      </c>
      <c r="G321" s="15">
        <v>49.99</v>
      </c>
      <c r="H321" s="15">
        <v>49.99</v>
      </c>
    </row>
    <row r="322" ht="12.9" customHeight="1">
      <c r="A322" t="s" s="10">
        <v>6356</v>
      </c>
      <c r="B322" t="s" s="11">
        <v>6357</v>
      </c>
      <c r="C322" s="12">
        <v>44960.8226255787</v>
      </c>
      <c r="D322" t="s" s="13">
        <v>15</v>
      </c>
      <c r="E322" t="s" s="13">
        <v>4757</v>
      </c>
      <c r="F322" s="14">
        <v>1</v>
      </c>
      <c r="G322" s="15">
        <v>9.99</v>
      </c>
      <c r="H322" s="15">
        <v>9.99</v>
      </c>
    </row>
    <row r="323" ht="12.9" customHeight="1">
      <c r="A323" t="s" s="10">
        <v>6358</v>
      </c>
      <c r="B323" t="s" s="11">
        <v>6359</v>
      </c>
      <c r="C323" s="12">
        <v>44960.809485868056</v>
      </c>
      <c r="D323" t="s" s="13">
        <v>48</v>
      </c>
      <c r="E323" t="s" s="13">
        <v>49</v>
      </c>
      <c r="F323" s="14">
        <v>2</v>
      </c>
      <c r="G323" s="15">
        <v>1299.99</v>
      </c>
      <c r="H323" s="15">
        <v>2599.98</v>
      </c>
    </row>
    <row r="324" ht="12.9" customHeight="1">
      <c r="A324" t="s" s="10">
        <v>6358</v>
      </c>
      <c r="B324" t="s" s="11">
        <v>6359</v>
      </c>
      <c r="C324" s="12">
        <v>44960.809485868056</v>
      </c>
      <c r="D324" t="s" s="13">
        <v>50</v>
      </c>
      <c r="E324" t="s" s="13">
        <v>83</v>
      </c>
      <c r="F324" s="14">
        <v>2</v>
      </c>
      <c r="G324" s="15">
        <v>0</v>
      </c>
      <c r="H324" s="15">
        <v>0</v>
      </c>
    </row>
    <row r="325" ht="12.9" customHeight="1">
      <c r="A325" t="s" s="10">
        <v>6358</v>
      </c>
      <c r="B325" t="s" s="11">
        <v>6359</v>
      </c>
      <c r="C325" s="12">
        <v>44960.809485868056</v>
      </c>
      <c r="D325" t="s" s="13">
        <v>52</v>
      </c>
      <c r="E325" t="s" s="13">
        <v>4287</v>
      </c>
      <c r="F325" s="14">
        <v>2</v>
      </c>
      <c r="G325" s="15">
        <v>0</v>
      </c>
      <c r="H325" s="15">
        <v>0</v>
      </c>
    </row>
    <row r="326" ht="12.9" customHeight="1">
      <c r="A326" t="s" s="10">
        <v>6358</v>
      </c>
      <c r="B326" t="s" s="11">
        <v>6359</v>
      </c>
      <c r="C326" s="12">
        <v>44960.809485868056</v>
      </c>
      <c r="D326" t="s" s="13">
        <v>470</v>
      </c>
      <c r="E326" t="s" s="13">
        <v>828</v>
      </c>
      <c r="F326" s="14">
        <v>2</v>
      </c>
      <c r="G326" s="15">
        <v>100</v>
      </c>
      <c r="H326" s="15">
        <v>200</v>
      </c>
    </row>
    <row r="327" ht="12.9" customHeight="1">
      <c r="A327" t="s" s="10">
        <v>6358</v>
      </c>
      <c r="B327" t="s" s="11">
        <v>6359</v>
      </c>
      <c r="C327" s="12">
        <v>44960.809485868056</v>
      </c>
      <c r="D327" t="s" s="13">
        <v>227</v>
      </c>
      <c r="E327" t="s" s="13">
        <v>228</v>
      </c>
      <c r="F327" s="14">
        <v>2</v>
      </c>
      <c r="G327" s="15">
        <v>29.99</v>
      </c>
      <c r="H327" s="15">
        <v>59.98</v>
      </c>
    </row>
    <row r="328" ht="12.9" customHeight="1">
      <c r="A328" t="s" s="10">
        <v>6358</v>
      </c>
      <c r="B328" t="s" s="11">
        <v>6359</v>
      </c>
      <c r="C328" s="12">
        <v>44960.809485868056</v>
      </c>
      <c r="D328" t="s" s="13">
        <v>48</v>
      </c>
      <c r="E328" t="s" s="13">
        <v>49</v>
      </c>
      <c r="F328" s="14">
        <v>4</v>
      </c>
      <c r="G328" s="15">
        <v>1299.99</v>
      </c>
      <c r="H328" s="15">
        <v>5199.96</v>
      </c>
    </row>
    <row r="329" ht="12.9" customHeight="1">
      <c r="A329" t="s" s="10">
        <v>6358</v>
      </c>
      <c r="B329" t="s" s="11">
        <v>6359</v>
      </c>
      <c r="C329" s="12">
        <v>44960.809485868056</v>
      </c>
      <c r="D329" t="s" s="13">
        <v>50</v>
      </c>
      <c r="E329" t="s" s="13">
        <v>83</v>
      </c>
      <c r="F329" s="14">
        <v>4</v>
      </c>
      <c r="G329" s="15">
        <v>0</v>
      </c>
      <c r="H329" s="15">
        <v>0</v>
      </c>
    </row>
    <row r="330" ht="12.9" customHeight="1">
      <c r="A330" t="s" s="10">
        <v>6358</v>
      </c>
      <c r="B330" t="s" s="11">
        <v>6359</v>
      </c>
      <c r="C330" s="12">
        <v>44960.809485868056</v>
      </c>
      <c r="D330" t="s" s="13">
        <v>52</v>
      </c>
      <c r="E330" t="s" s="13">
        <v>4287</v>
      </c>
      <c r="F330" s="14">
        <v>4</v>
      </c>
      <c r="G330" s="15">
        <v>0</v>
      </c>
      <c r="H330" s="15">
        <v>0</v>
      </c>
    </row>
    <row r="331" ht="12.9" customHeight="1">
      <c r="A331" t="s" s="10">
        <v>6358</v>
      </c>
      <c r="B331" t="s" s="11">
        <v>6359</v>
      </c>
      <c r="C331" s="12">
        <v>44960.809485868056</v>
      </c>
      <c r="D331" t="s" s="13">
        <v>133</v>
      </c>
      <c r="E331" t="s" s="13">
        <v>4835</v>
      </c>
      <c r="F331" s="14">
        <v>4</v>
      </c>
      <c r="G331" s="15">
        <v>50</v>
      </c>
      <c r="H331" s="15">
        <v>200</v>
      </c>
    </row>
    <row r="332" ht="12.9" customHeight="1">
      <c r="A332" t="s" s="10">
        <v>6358</v>
      </c>
      <c r="B332" t="s" s="11">
        <v>6359</v>
      </c>
      <c r="C332" s="12">
        <v>44960.809485868056</v>
      </c>
      <c r="D332" t="s" s="13">
        <v>227</v>
      </c>
      <c r="E332" t="s" s="13">
        <v>228</v>
      </c>
      <c r="F332" s="14">
        <v>4</v>
      </c>
      <c r="G332" s="15">
        <v>29.99</v>
      </c>
      <c r="H332" s="15">
        <v>119.96</v>
      </c>
    </row>
    <row r="333" ht="12.9" customHeight="1">
      <c r="A333" t="s" s="10">
        <v>6358</v>
      </c>
      <c r="B333" t="s" s="11">
        <v>6359</v>
      </c>
      <c r="C333" s="12">
        <v>44960.809485868056</v>
      </c>
      <c r="D333" t="s" s="13">
        <v>123</v>
      </c>
      <c r="E333" t="s" s="13">
        <v>124</v>
      </c>
      <c r="F333" s="14">
        <v>1</v>
      </c>
      <c r="G333" s="15">
        <v>179.99</v>
      </c>
      <c r="H333" s="15">
        <v>179.99</v>
      </c>
    </row>
    <row r="334" ht="12.9" customHeight="1">
      <c r="A334" t="s" s="10">
        <v>6358</v>
      </c>
      <c r="B334" t="s" s="11">
        <v>6359</v>
      </c>
      <c r="C334" s="12">
        <v>44960.809485868056</v>
      </c>
      <c r="D334" t="s" s="13">
        <v>299</v>
      </c>
      <c r="E334" t="s" s="13">
        <v>300</v>
      </c>
      <c r="F334" s="14">
        <v>2</v>
      </c>
      <c r="G334" s="15">
        <v>69.98999999999999</v>
      </c>
      <c r="H334" s="15">
        <v>139.98</v>
      </c>
    </row>
    <row r="335" ht="12.9" customHeight="1">
      <c r="A335" t="s" s="10">
        <v>6358</v>
      </c>
      <c r="B335" t="s" s="11">
        <v>6359</v>
      </c>
      <c r="C335" s="12">
        <v>44960.809485868056</v>
      </c>
      <c r="D335" t="s" s="13">
        <v>123</v>
      </c>
      <c r="E335" t="s" s="13">
        <v>124</v>
      </c>
      <c r="F335" s="14">
        <v>3</v>
      </c>
      <c r="G335" s="15">
        <v>179.99</v>
      </c>
      <c r="H335" s="15">
        <v>539.97</v>
      </c>
    </row>
    <row r="336" ht="12.9" customHeight="1">
      <c r="A336" t="s" s="10">
        <v>6358</v>
      </c>
      <c r="B336" t="s" s="11">
        <v>6359</v>
      </c>
      <c r="C336" s="12">
        <v>44960.809485868056</v>
      </c>
      <c r="D336" t="s" s="13">
        <v>125</v>
      </c>
      <c r="E336" t="s" s="13">
        <v>126</v>
      </c>
      <c r="F336" s="14">
        <v>12</v>
      </c>
      <c r="G336" s="15">
        <v>64.98999999999999</v>
      </c>
      <c r="H336" s="15">
        <v>779.88</v>
      </c>
    </row>
    <row r="337" ht="12.9" customHeight="1">
      <c r="A337" t="s" s="10">
        <v>6358</v>
      </c>
      <c r="B337" t="s" s="11">
        <v>6359</v>
      </c>
      <c r="C337" s="12">
        <v>44960.809485868056</v>
      </c>
      <c r="D337" t="s" s="13">
        <v>1896</v>
      </c>
      <c r="E337" t="s" s="13">
        <v>1897</v>
      </c>
      <c r="F337" s="14">
        <v>4</v>
      </c>
      <c r="G337" s="15">
        <v>64.98999999999999</v>
      </c>
      <c r="H337" s="15">
        <v>259.96</v>
      </c>
    </row>
    <row r="338" ht="12.9" customHeight="1">
      <c r="A338" t="s" s="10">
        <v>6358</v>
      </c>
      <c r="B338" t="s" s="11">
        <v>6359</v>
      </c>
      <c r="C338" s="12">
        <v>44960.809485868056</v>
      </c>
      <c r="D338" t="s" s="13">
        <v>948</v>
      </c>
      <c r="E338" t="s" s="13">
        <v>6360</v>
      </c>
      <c r="F338" s="14">
        <v>4</v>
      </c>
      <c r="G338" s="15">
        <v>109.99</v>
      </c>
      <c r="H338" s="15">
        <v>439.96</v>
      </c>
    </row>
    <row r="339" ht="12.9" customHeight="1">
      <c r="A339" t="s" s="10">
        <v>6361</v>
      </c>
      <c r="B339" t="s" s="11">
        <v>6362</v>
      </c>
      <c r="C339" s="12">
        <v>44960.769754988425</v>
      </c>
      <c r="D339" t="s" s="13">
        <v>301</v>
      </c>
      <c r="E339" t="s" s="13">
        <v>302</v>
      </c>
      <c r="F339" s="14">
        <v>2</v>
      </c>
      <c r="G339" s="15">
        <v>20</v>
      </c>
      <c r="H339" s="15">
        <v>40</v>
      </c>
    </row>
    <row r="340" ht="12.9" customHeight="1">
      <c r="A340" t="s" s="10">
        <v>6361</v>
      </c>
      <c r="B340" t="s" s="11">
        <v>6362</v>
      </c>
      <c r="C340" s="12">
        <v>44960.769754988425</v>
      </c>
      <c r="D340" t="s" s="13">
        <v>2961</v>
      </c>
      <c r="E340" t="s" s="13">
        <v>2962</v>
      </c>
      <c r="F340" s="14">
        <v>2</v>
      </c>
      <c r="G340" s="15">
        <v>22.99</v>
      </c>
      <c r="H340" s="15">
        <v>45.98</v>
      </c>
    </row>
    <row r="341" ht="12.9" customHeight="1">
      <c r="A341" t="s" s="10">
        <v>6361</v>
      </c>
      <c r="B341" t="s" s="11">
        <v>6362</v>
      </c>
      <c r="C341" s="12">
        <v>44960.769754988425</v>
      </c>
      <c r="D341" t="s" s="13">
        <v>125</v>
      </c>
      <c r="E341" t="s" s="13">
        <v>126</v>
      </c>
      <c r="F341" s="14">
        <v>2</v>
      </c>
      <c r="G341" s="15">
        <v>64.98999999999999</v>
      </c>
      <c r="H341" s="15">
        <v>129.98</v>
      </c>
    </row>
    <row r="342" ht="12.9" customHeight="1">
      <c r="A342" t="s" s="10">
        <v>6363</v>
      </c>
      <c r="B342" t="s" s="11">
        <v>6362</v>
      </c>
      <c r="C342" s="12">
        <v>44960.733933009258</v>
      </c>
      <c r="D342" t="s" s="13">
        <v>123</v>
      </c>
      <c r="E342" t="s" s="13">
        <v>124</v>
      </c>
      <c r="F342" s="14">
        <v>4</v>
      </c>
      <c r="G342" s="15">
        <v>179.99</v>
      </c>
      <c r="H342" s="15">
        <v>719.96</v>
      </c>
    </row>
    <row r="343" ht="12.9" customHeight="1">
      <c r="A343" t="s" s="10">
        <v>6363</v>
      </c>
      <c r="B343" t="s" s="11">
        <v>6362</v>
      </c>
      <c r="C343" s="12">
        <v>44960.733933009258</v>
      </c>
      <c r="D343" t="s" s="13">
        <v>125</v>
      </c>
      <c r="E343" t="s" s="13">
        <v>126</v>
      </c>
      <c r="F343" s="14">
        <v>4</v>
      </c>
      <c r="G343" s="15">
        <v>64.98999999999999</v>
      </c>
      <c r="H343" s="15">
        <v>259.96</v>
      </c>
    </row>
    <row r="344" ht="12.9" customHeight="1">
      <c r="A344" t="s" s="10">
        <v>6364</v>
      </c>
      <c r="B344" t="s" s="11">
        <v>831</v>
      </c>
      <c r="C344" s="12">
        <v>44960</v>
      </c>
      <c r="D344" t="s" s="13">
        <v>143</v>
      </c>
      <c r="E344" t="s" s="13">
        <v>144</v>
      </c>
      <c r="F344" s="14">
        <v>1</v>
      </c>
      <c r="G344" s="15">
        <v>2399.9925</v>
      </c>
      <c r="H344" s="15">
        <v>2399.9925</v>
      </c>
    </row>
    <row r="345" ht="12.9" customHeight="1">
      <c r="A345" t="s" s="10">
        <v>6364</v>
      </c>
      <c r="B345" t="s" s="11">
        <v>831</v>
      </c>
      <c r="C345" s="12">
        <v>44960</v>
      </c>
      <c r="D345" t="s" s="13">
        <v>63</v>
      </c>
      <c r="E345" s="16"/>
      <c r="F345" s="14">
        <v>1</v>
      </c>
      <c r="G345" s="15">
        <v>15</v>
      </c>
      <c r="H345" s="15">
        <v>15</v>
      </c>
    </row>
    <row r="346" ht="12.9" customHeight="1">
      <c r="A346" t="s" s="10">
        <v>6365</v>
      </c>
      <c r="B346" t="s" s="11">
        <v>69</v>
      </c>
      <c r="C346" s="12">
        <v>44960</v>
      </c>
      <c r="D346" t="s" s="13">
        <v>409</v>
      </c>
      <c r="E346" t="s" s="13">
        <v>409</v>
      </c>
      <c r="F346" s="14">
        <v>1</v>
      </c>
      <c r="G346" s="15">
        <v>0</v>
      </c>
      <c r="H346" s="15">
        <v>0</v>
      </c>
    </row>
    <row r="347" ht="12.9" customHeight="1">
      <c r="A347" t="s" s="10">
        <v>6366</v>
      </c>
      <c r="B347" t="s" s="11">
        <v>6190</v>
      </c>
      <c r="C347" s="12">
        <v>44959.656631944446</v>
      </c>
      <c r="D347" t="s" s="13">
        <v>81</v>
      </c>
      <c r="E347" t="s" s="13">
        <v>82</v>
      </c>
      <c r="F347" s="14">
        <v>2</v>
      </c>
      <c r="G347" s="15">
        <v>849.99</v>
      </c>
      <c r="H347" s="15">
        <v>1699.98</v>
      </c>
    </row>
    <row r="348" ht="12.9" customHeight="1">
      <c r="A348" t="s" s="10">
        <v>6366</v>
      </c>
      <c r="B348" t="s" s="11">
        <v>6190</v>
      </c>
      <c r="C348" s="12">
        <v>44959.656631944446</v>
      </c>
      <c r="D348" t="s" s="13">
        <v>50</v>
      </c>
      <c r="E348" t="s" s="13">
        <v>83</v>
      </c>
      <c r="F348" s="14">
        <v>2</v>
      </c>
      <c r="G348" s="15">
        <v>0</v>
      </c>
      <c r="H348" s="15">
        <v>0</v>
      </c>
    </row>
    <row r="349" ht="12.9" customHeight="1">
      <c r="A349" t="s" s="10">
        <v>6366</v>
      </c>
      <c r="B349" t="s" s="11">
        <v>6190</v>
      </c>
      <c r="C349" s="12">
        <v>44959.656631944446</v>
      </c>
      <c r="D349" t="s" s="13">
        <v>84</v>
      </c>
      <c r="E349" t="s" s="13">
        <v>4225</v>
      </c>
      <c r="F349" s="14">
        <v>2</v>
      </c>
      <c r="G349" s="15">
        <v>0</v>
      </c>
      <c r="H349" s="15">
        <v>0</v>
      </c>
    </row>
    <row r="350" ht="12.9" customHeight="1">
      <c r="A350" t="s" s="10">
        <v>6366</v>
      </c>
      <c r="B350" t="s" s="11">
        <v>6190</v>
      </c>
      <c r="C350" s="12">
        <v>44959.656631944446</v>
      </c>
      <c r="D350" t="s" s="13">
        <v>23</v>
      </c>
      <c r="E350" t="s" s="13">
        <v>828</v>
      </c>
      <c r="F350" s="14">
        <v>2</v>
      </c>
      <c r="G350" s="15">
        <v>0</v>
      </c>
      <c r="H350" s="15">
        <v>0</v>
      </c>
    </row>
    <row r="351" ht="12.9" customHeight="1">
      <c r="A351" t="s" s="10">
        <v>6366</v>
      </c>
      <c r="B351" t="s" s="11">
        <v>6190</v>
      </c>
      <c r="C351" s="12">
        <v>44959.656631944446</v>
      </c>
      <c r="D351" t="s" s="13">
        <v>81</v>
      </c>
      <c r="E351" t="s" s="13">
        <v>82</v>
      </c>
      <c r="F351" s="14">
        <v>2</v>
      </c>
      <c r="G351" s="15">
        <v>849.99</v>
      </c>
      <c r="H351" s="15">
        <v>1699.98</v>
      </c>
    </row>
    <row r="352" ht="12.9" customHeight="1">
      <c r="A352" t="s" s="10">
        <v>6366</v>
      </c>
      <c r="B352" t="s" s="11">
        <v>6190</v>
      </c>
      <c r="C352" s="12">
        <v>44959.656631944446</v>
      </c>
      <c r="D352" t="s" s="13">
        <v>50</v>
      </c>
      <c r="E352" t="s" s="13">
        <v>83</v>
      </c>
      <c r="F352" s="14">
        <v>2</v>
      </c>
      <c r="G352" s="15">
        <v>0</v>
      </c>
      <c r="H352" s="15">
        <v>0</v>
      </c>
    </row>
    <row r="353" ht="12.9" customHeight="1">
      <c r="A353" t="s" s="10">
        <v>6366</v>
      </c>
      <c r="B353" t="s" s="11">
        <v>6190</v>
      </c>
      <c r="C353" s="12">
        <v>44959.656631944446</v>
      </c>
      <c r="D353" t="s" s="13">
        <v>84</v>
      </c>
      <c r="E353" t="s" s="13">
        <v>4225</v>
      </c>
      <c r="F353" s="14">
        <v>2</v>
      </c>
      <c r="G353" s="15">
        <v>0</v>
      </c>
      <c r="H353" s="15">
        <v>0</v>
      </c>
    </row>
    <row r="354" ht="12.9" customHeight="1">
      <c r="A354" t="s" s="10">
        <v>6366</v>
      </c>
      <c r="B354" t="s" s="11">
        <v>6190</v>
      </c>
      <c r="C354" s="12">
        <v>44959.656631944446</v>
      </c>
      <c r="D354" t="s" s="13">
        <v>133</v>
      </c>
      <c r="E354" t="s" s="13">
        <v>4835</v>
      </c>
      <c r="F354" s="14">
        <v>2</v>
      </c>
      <c r="G354" s="15">
        <v>50</v>
      </c>
      <c r="H354" s="15">
        <v>100</v>
      </c>
    </row>
    <row r="355" ht="12.9" customHeight="1">
      <c r="A355" t="s" s="10">
        <v>6367</v>
      </c>
      <c r="B355" t="s" s="11">
        <v>6248</v>
      </c>
      <c r="C355" s="12">
        <v>44959.552905092591</v>
      </c>
      <c r="D355" t="s" s="13">
        <v>602</v>
      </c>
      <c r="E355" t="s" s="13">
        <v>828</v>
      </c>
      <c r="F355" s="14">
        <v>1</v>
      </c>
      <c r="G355" s="15">
        <v>299.99</v>
      </c>
      <c r="H355" s="15">
        <v>299.99</v>
      </c>
    </row>
    <row r="356" ht="12.9" customHeight="1">
      <c r="A356" t="s" s="10">
        <v>6368</v>
      </c>
      <c r="B356" t="s" s="11">
        <v>6369</v>
      </c>
      <c r="C356" s="12">
        <v>44959.425879629627</v>
      </c>
      <c r="D356" t="s" s="13">
        <v>1695</v>
      </c>
      <c r="E356" t="s" s="13">
        <v>140</v>
      </c>
      <c r="F356" s="14">
        <v>1</v>
      </c>
      <c r="G356" s="15">
        <v>49.99</v>
      </c>
      <c r="H356" s="15">
        <v>49.99</v>
      </c>
    </row>
    <row r="357" ht="12.9" customHeight="1">
      <c r="A357" t="s" s="10">
        <v>6368</v>
      </c>
      <c r="B357" t="s" s="11">
        <v>6369</v>
      </c>
      <c r="C357" s="12">
        <v>44959.425879629627</v>
      </c>
      <c r="D357" t="s" s="13">
        <v>15</v>
      </c>
      <c r="E357" t="s" s="13">
        <v>4757</v>
      </c>
      <c r="F357" s="14">
        <v>1</v>
      </c>
      <c r="G357" s="15">
        <v>0</v>
      </c>
      <c r="H357" s="15">
        <v>0</v>
      </c>
    </row>
    <row r="358" ht="12.9" customHeight="1">
      <c r="A358" t="s" s="10">
        <v>6368</v>
      </c>
      <c r="B358" t="s" s="11">
        <v>6369</v>
      </c>
      <c r="C358" s="12">
        <v>44959.425879629627</v>
      </c>
      <c r="D358" t="s" s="13">
        <v>1961</v>
      </c>
      <c r="E358" t="s" s="13">
        <v>1962</v>
      </c>
      <c r="F358" s="14">
        <v>1</v>
      </c>
      <c r="G358" s="15">
        <v>109.99</v>
      </c>
      <c r="H358" s="15">
        <v>109.99</v>
      </c>
    </row>
    <row r="359" ht="12.9" customHeight="1">
      <c r="A359" t="s" s="10">
        <v>6370</v>
      </c>
      <c r="B359" t="s" s="11">
        <v>4251</v>
      </c>
      <c r="C359" s="12">
        <v>44959.419837962960</v>
      </c>
      <c r="D359" t="s" s="13">
        <v>59</v>
      </c>
      <c r="E359" t="s" s="13">
        <v>60</v>
      </c>
      <c r="F359" s="14">
        <v>1</v>
      </c>
      <c r="G359" s="15">
        <v>1199.99</v>
      </c>
      <c r="H359" s="15">
        <v>1199.99</v>
      </c>
    </row>
    <row r="360" ht="12.9" customHeight="1">
      <c r="A360" t="s" s="10">
        <v>6371</v>
      </c>
      <c r="B360" t="s" s="11">
        <v>329</v>
      </c>
      <c r="C360" s="12">
        <v>44959.327210648145</v>
      </c>
      <c r="D360" t="s" s="13">
        <v>59</v>
      </c>
      <c r="E360" t="s" s="13">
        <v>60</v>
      </c>
      <c r="F360" s="14">
        <v>1</v>
      </c>
      <c r="G360" s="15">
        <v>1199.99</v>
      </c>
      <c r="H360" s="15">
        <v>1199.99</v>
      </c>
    </row>
    <row r="361" ht="12.9" customHeight="1">
      <c r="A361" t="s" s="10">
        <v>6372</v>
      </c>
      <c r="B361" t="s" s="11">
        <v>6373</v>
      </c>
      <c r="C361" s="12">
        <v>44959.295381944445</v>
      </c>
      <c r="D361" t="s" s="13">
        <v>2961</v>
      </c>
      <c r="E361" t="s" s="13">
        <v>2962</v>
      </c>
      <c r="F361" s="14">
        <v>3</v>
      </c>
      <c r="G361" s="15">
        <v>22.99</v>
      </c>
      <c r="H361" s="15">
        <v>68.97</v>
      </c>
    </row>
    <row r="362" ht="12.9" customHeight="1">
      <c r="A362" t="s" s="10">
        <v>6374</v>
      </c>
      <c r="B362" t="s" s="11">
        <v>3370</v>
      </c>
      <c r="C362" s="12">
        <v>44959</v>
      </c>
      <c r="D362" t="s" s="13">
        <v>59</v>
      </c>
      <c r="E362" t="s" s="13">
        <v>60</v>
      </c>
      <c r="F362" s="14">
        <v>1</v>
      </c>
      <c r="G362" s="15">
        <v>899.9924999999999</v>
      </c>
      <c r="H362" s="15">
        <v>899.9924999999999</v>
      </c>
    </row>
    <row r="363" ht="12.9" customHeight="1">
      <c r="A363" t="s" s="10">
        <v>6374</v>
      </c>
      <c r="B363" t="s" s="11">
        <v>3370</v>
      </c>
      <c r="C363" s="12">
        <v>44959</v>
      </c>
      <c r="D363" t="s" s="13">
        <v>6375</v>
      </c>
      <c r="E363" t="s" s="13">
        <v>6376</v>
      </c>
      <c r="F363" s="14">
        <v>1</v>
      </c>
      <c r="G363" s="15">
        <v>899.9924999999999</v>
      </c>
      <c r="H363" s="15">
        <v>899.9924999999999</v>
      </c>
    </row>
    <row r="364" ht="12.9" customHeight="1">
      <c r="A364" t="s" s="10">
        <v>6374</v>
      </c>
      <c r="B364" t="s" s="11">
        <v>3370</v>
      </c>
      <c r="C364" s="12">
        <v>44959</v>
      </c>
      <c r="D364" t="s" s="13">
        <v>73</v>
      </c>
      <c r="E364" t="s" s="13">
        <v>74</v>
      </c>
      <c r="F364" s="14">
        <v>1</v>
      </c>
      <c r="G364" s="15">
        <v>299.9925</v>
      </c>
      <c r="H364" s="15">
        <v>299.9925</v>
      </c>
    </row>
    <row r="365" ht="12.9" customHeight="1">
      <c r="A365" t="s" s="10">
        <v>6374</v>
      </c>
      <c r="B365" t="s" s="11">
        <v>3370</v>
      </c>
      <c r="C365" s="12">
        <v>44959</v>
      </c>
      <c r="D365" t="s" s="13">
        <v>497</v>
      </c>
      <c r="E365" t="s" s="13">
        <v>498</v>
      </c>
      <c r="F365" s="14">
        <v>2</v>
      </c>
      <c r="G365" s="15">
        <v>0</v>
      </c>
      <c r="H365" s="15">
        <v>0</v>
      </c>
    </row>
    <row r="366" ht="12.9" customHeight="1">
      <c r="A366" t="s" s="10">
        <v>6374</v>
      </c>
      <c r="B366" t="s" s="11">
        <v>3370</v>
      </c>
      <c r="C366" s="12">
        <v>44959</v>
      </c>
      <c r="D366" t="s" s="13">
        <v>6220</v>
      </c>
      <c r="E366" t="s" s="13">
        <v>6377</v>
      </c>
      <c r="F366" s="14">
        <v>2</v>
      </c>
      <c r="G366" s="15">
        <v>0</v>
      </c>
      <c r="H366" s="15">
        <v>0</v>
      </c>
    </row>
    <row r="367" ht="12.9" customHeight="1">
      <c r="A367" t="s" s="10">
        <v>6374</v>
      </c>
      <c r="B367" t="s" s="11">
        <v>3370</v>
      </c>
      <c r="C367" s="12">
        <v>44959</v>
      </c>
      <c r="D367" t="s" s="13">
        <v>1202</v>
      </c>
      <c r="E367" t="s" s="13">
        <v>1203</v>
      </c>
      <c r="F367" s="14">
        <v>1</v>
      </c>
      <c r="G367" s="15">
        <v>0</v>
      </c>
      <c r="H367" s="15">
        <v>0</v>
      </c>
    </row>
    <row r="368" ht="12.9" customHeight="1">
      <c r="A368" t="s" s="10">
        <v>6374</v>
      </c>
      <c r="B368" t="s" s="11">
        <v>3370</v>
      </c>
      <c r="C368" s="12">
        <v>44959</v>
      </c>
      <c r="D368" t="s" s="13">
        <v>2373</v>
      </c>
      <c r="E368" t="s" s="13">
        <v>2373</v>
      </c>
      <c r="F368" s="14">
        <v>1</v>
      </c>
      <c r="G368" s="15">
        <v>0</v>
      </c>
      <c r="H368" s="15">
        <v>0</v>
      </c>
    </row>
    <row r="369" ht="12.9" customHeight="1">
      <c r="A369" t="s" s="10">
        <v>6374</v>
      </c>
      <c r="B369" t="s" s="11">
        <v>3370</v>
      </c>
      <c r="C369" s="12">
        <v>44959</v>
      </c>
      <c r="D369" t="s" s="13">
        <v>63</v>
      </c>
      <c r="E369" s="16"/>
      <c r="F369" s="14">
        <v>1</v>
      </c>
      <c r="G369" s="15">
        <v>136.42</v>
      </c>
      <c r="H369" s="15">
        <v>136.42</v>
      </c>
    </row>
    <row r="370" ht="12.9" customHeight="1">
      <c r="A370" t="s" s="10">
        <v>6378</v>
      </c>
      <c r="B370" t="s" s="11">
        <v>6379</v>
      </c>
      <c r="C370" s="12">
        <v>44959</v>
      </c>
      <c r="D370" t="s" s="13">
        <v>11</v>
      </c>
      <c r="E370" t="s" s="13">
        <v>6380</v>
      </c>
      <c r="F370" s="14">
        <v>1</v>
      </c>
      <c r="G370" s="15">
        <v>399.99</v>
      </c>
      <c r="H370" s="15">
        <v>399.99</v>
      </c>
    </row>
    <row r="371" ht="12.9" customHeight="1">
      <c r="A371" t="s" s="10">
        <v>6378</v>
      </c>
      <c r="B371" t="s" s="11">
        <v>6379</v>
      </c>
      <c r="C371" s="12">
        <v>44959</v>
      </c>
      <c r="D371" t="s" s="13">
        <v>63</v>
      </c>
      <c r="E371" s="16"/>
      <c r="F371" s="14">
        <v>1</v>
      </c>
      <c r="G371" s="15">
        <v>97.33</v>
      </c>
      <c r="H371" s="15">
        <v>97.33</v>
      </c>
    </row>
    <row r="372" ht="12.9" customHeight="1">
      <c r="A372" t="s" s="10">
        <v>6381</v>
      </c>
      <c r="B372" t="s" s="11">
        <v>2323</v>
      </c>
      <c r="C372" s="12">
        <v>44959</v>
      </c>
      <c r="D372" t="s" s="13">
        <v>77</v>
      </c>
      <c r="E372" t="s" s="13">
        <v>4224</v>
      </c>
      <c r="F372" s="14">
        <v>4</v>
      </c>
      <c r="G372" s="15">
        <v>14.9925</v>
      </c>
      <c r="H372" s="15">
        <v>59.97</v>
      </c>
    </row>
    <row r="373" ht="12.9" customHeight="1">
      <c r="A373" t="s" s="10">
        <v>6381</v>
      </c>
      <c r="B373" t="s" s="11">
        <v>2323</v>
      </c>
      <c r="C373" s="12">
        <v>44959</v>
      </c>
      <c r="D373" t="s" s="13">
        <v>63</v>
      </c>
      <c r="E373" s="16"/>
      <c r="F373" s="14">
        <v>1</v>
      </c>
      <c r="G373" s="15">
        <v>15</v>
      </c>
      <c r="H373" s="15">
        <v>15</v>
      </c>
    </row>
    <row r="374" ht="12.9" customHeight="1">
      <c r="A374" t="s" s="10">
        <v>6382</v>
      </c>
      <c r="B374" t="s" s="11">
        <v>3617</v>
      </c>
      <c r="C374" s="12">
        <v>44958.9655324074</v>
      </c>
      <c r="D374" t="s" s="13">
        <v>59</v>
      </c>
      <c r="E374" t="s" s="13">
        <v>60</v>
      </c>
      <c r="F374" s="14">
        <v>1</v>
      </c>
      <c r="G374" s="15">
        <v>1199.99</v>
      </c>
      <c r="H374" s="15">
        <v>1199.99</v>
      </c>
    </row>
    <row r="375" ht="12.9" customHeight="1">
      <c r="A375" t="s" s="10">
        <v>6382</v>
      </c>
      <c r="B375" t="s" s="11">
        <v>3617</v>
      </c>
      <c r="C375" s="12">
        <v>44958.9655324074</v>
      </c>
      <c r="D375" t="s" s="13">
        <v>73</v>
      </c>
      <c r="E375" t="s" s="13">
        <v>74</v>
      </c>
      <c r="F375" s="14">
        <v>1</v>
      </c>
      <c r="G375" s="15">
        <v>399.99</v>
      </c>
      <c r="H375" s="15">
        <v>399.99</v>
      </c>
    </row>
    <row r="376" ht="12.9" customHeight="1">
      <c r="A376" t="s" s="10">
        <v>6382</v>
      </c>
      <c r="B376" t="s" s="11">
        <v>3617</v>
      </c>
      <c r="C376" s="12">
        <v>44958.9655324074</v>
      </c>
      <c r="D376" t="s" s="13">
        <v>143</v>
      </c>
      <c r="E376" t="s" s="13">
        <v>144</v>
      </c>
      <c r="F376" s="14">
        <v>1</v>
      </c>
      <c r="G376" s="15">
        <v>3199.99</v>
      </c>
      <c r="H376" s="15">
        <v>3199.99</v>
      </c>
    </row>
    <row r="377" ht="12.9" customHeight="1">
      <c r="A377" t="s" s="10">
        <v>6383</v>
      </c>
      <c r="B377" t="s" s="11">
        <v>6384</v>
      </c>
      <c r="C377" s="12">
        <v>44958.914837962962</v>
      </c>
      <c r="D377" t="s" s="13">
        <v>35</v>
      </c>
      <c r="E377" t="s" s="13">
        <v>36</v>
      </c>
      <c r="F377" s="14">
        <v>2</v>
      </c>
      <c r="G377" s="15">
        <v>49.99</v>
      </c>
      <c r="H377" s="15">
        <v>99.98</v>
      </c>
    </row>
    <row r="378" ht="12.9" customHeight="1">
      <c r="A378" t="s" s="10">
        <v>6385</v>
      </c>
      <c r="B378" t="s" s="11">
        <v>6386</v>
      </c>
      <c r="C378" s="12">
        <v>44958.813634259262</v>
      </c>
      <c r="D378" t="s" s="13">
        <v>35</v>
      </c>
      <c r="E378" t="s" s="13">
        <v>36</v>
      </c>
      <c r="F378" s="14">
        <v>2</v>
      </c>
      <c r="G378" s="15">
        <v>49.99</v>
      </c>
      <c r="H378" s="15">
        <v>99.98</v>
      </c>
    </row>
    <row r="379" ht="12.9" customHeight="1">
      <c r="A379" t="s" s="10">
        <v>6385</v>
      </c>
      <c r="B379" t="s" s="11">
        <v>6386</v>
      </c>
      <c r="C379" s="12">
        <v>44958.813634259262</v>
      </c>
      <c r="D379" t="s" s="13">
        <v>54</v>
      </c>
      <c r="E379" t="s" s="13">
        <v>93</v>
      </c>
      <c r="F379" s="14">
        <v>2</v>
      </c>
      <c r="G379" s="15">
        <v>9.99</v>
      </c>
      <c r="H379" s="15">
        <v>19.98</v>
      </c>
    </row>
    <row r="380" ht="12.9" customHeight="1">
      <c r="A380" t="s" s="10">
        <v>6385</v>
      </c>
      <c r="B380" t="s" s="11">
        <v>6386</v>
      </c>
      <c r="C380" s="12">
        <v>44958.813634259262</v>
      </c>
      <c r="D380" t="s" s="13">
        <v>39</v>
      </c>
      <c r="E380" t="s" s="13">
        <v>828</v>
      </c>
      <c r="F380" s="14">
        <v>1</v>
      </c>
      <c r="G380" s="15">
        <v>109.99</v>
      </c>
      <c r="H380" s="15">
        <v>109.99</v>
      </c>
    </row>
    <row r="381" ht="12.9" customHeight="1">
      <c r="A381" t="s" s="10">
        <v>6387</v>
      </c>
      <c r="B381" t="s" s="11">
        <v>6243</v>
      </c>
      <c r="C381" s="12">
        <v>44958.541064814817</v>
      </c>
      <c r="D381" t="s" s="13">
        <v>1961</v>
      </c>
      <c r="E381" t="s" s="13">
        <v>1962</v>
      </c>
      <c r="F381" s="14">
        <v>1</v>
      </c>
      <c r="G381" s="15">
        <v>109.99</v>
      </c>
      <c r="H381" s="15">
        <v>109.99</v>
      </c>
    </row>
    <row r="382" ht="12.9" customHeight="1">
      <c r="A382" t="s" s="10">
        <v>6388</v>
      </c>
      <c r="B382" t="s" s="11">
        <v>6389</v>
      </c>
      <c r="C382" s="12">
        <v>44958.501469907409</v>
      </c>
      <c r="D382" t="s" s="13">
        <v>354</v>
      </c>
      <c r="E382" t="s" s="13">
        <v>828</v>
      </c>
      <c r="F382" s="14">
        <v>2</v>
      </c>
      <c r="G382" s="15">
        <v>149.99</v>
      </c>
      <c r="H382" s="15">
        <v>299.98</v>
      </c>
    </row>
    <row r="383" ht="12.9" customHeight="1">
      <c r="A383" t="s" s="10">
        <v>6390</v>
      </c>
      <c r="B383" t="s" s="11">
        <v>3803</v>
      </c>
      <c r="C383" s="12">
        <v>44958.500925925924</v>
      </c>
      <c r="D383" t="s" s="13">
        <v>59</v>
      </c>
      <c r="E383" t="s" s="13">
        <v>60</v>
      </c>
      <c r="F383" s="14">
        <v>1</v>
      </c>
      <c r="G383" s="15">
        <v>1199.99</v>
      </c>
      <c r="H383" s="15">
        <v>1199.99</v>
      </c>
    </row>
    <row r="384" ht="12.9" customHeight="1">
      <c r="A384" t="s" s="10">
        <v>6391</v>
      </c>
      <c r="B384" t="s" s="11">
        <v>1027</v>
      </c>
      <c r="C384" s="12">
        <v>44958.490254629629</v>
      </c>
      <c r="D384" t="s" s="13">
        <v>59</v>
      </c>
      <c r="E384" t="s" s="13">
        <v>60</v>
      </c>
      <c r="F384" s="14">
        <v>2</v>
      </c>
      <c r="G384" s="15">
        <v>1199.99</v>
      </c>
      <c r="H384" s="15">
        <v>2399.98</v>
      </c>
    </row>
    <row r="385" ht="12.9" customHeight="1">
      <c r="A385" t="s" s="10">
        <v>6392</v>
      </c>
      <c r="B385" t="s" s="11">
        <v>476</v>
      </c>
      <c r="C385" s="12">
        <v>44958</v>
      </c>
      <c r="D385" t="s" s="13">
        <v>468</v>
      </c>
      <c r="E385" t="s" s="13">
        <v>6393</v>
      </c>
      <c r="F385" s="14">
        <v>5</v>
      </c>
      <c r="G385" s="15">
        <v>1625</v>
      </c>
      <c r="H385" s="15">
        <v>8125</v>
      </c>
    </row>
    <row r="386" ht="12.9" customHeight="1">
      <c r="A386" t="s" s="10">
        <v>6392</v>
      </c>
      <c r="B386" t="s" s="11">
        <v>476</v>
      </c>
      <c r="C386" s="12">
        <v>44958</v>
      </c>
      <c r="D386" t="s" s="13">
        <v>50</v>
      </c>
      <c r="E386" t="s" s="13">
        <v>51</v>
      </c>
      <c r="F386" s="14">
        <v>5</v>
      </c>
      <c r="G386" s="15">
        <v>0</v>
      </c>
      <c r="H386" s="15">
        <v>0</v>
      </c>
    </row>
    <row r="387" ht="12.9" customHeight="1">
      <c r="A387" t="s" s="10">
        <v>6392</v>
      </c>
      <c r="B387" t="s" s="11">
        <v>476</v>
      </c>
      <c r="C387" s="12">
        <v>44958</v>
      </c>
      <c r="D387" t="s" s="13">
        <v>4811</v>
      </c>
      <c r="E387" t="s" s="13">
        <v>4811</v>
      </c>
      <c r="F387" s="14">
        <v>20</v>
      </c>
      <c r="G387" s="15">
        <v>0</v>
      </c>
      <c r="H387" s="15">
        <v>0</v>
      </c>
    </row>
    <row r="388" ht="12.9" customHeight="1">
      <c r="A388" t="s" s="10">
        <v>6392</v>
      </c>
      <c r="B388" t="s" s="11">
        <v>476</v>
      </c>
      <c r="C388" s="12">
        <v>44958</v>
      </c>
      <c r="D388" t="s" s="13">
        <v>47</v>
      </c>
      <c r="E388" s="16"/>
      <c r="F388" s="14">
        <v>1</v>
      </c>
      <c r="G388" s="15">
        <v>200</v>
      </c>
      <c r="H388" s="15">
        <v>200</v>
      </c>
    </row>
    <row r="390" ht="15.55" customHeight="1">
      <c r="I390" t="s" s="2">
        <v>6394</v>
      </c>
      <c r="J390" s="2"/>
      <c r="K390" s="2"/>
      <c r="L390" s="2"/>
      <c r="M390" s="2"/>
      <c r="N390" s="2"/>
      <c r="O390" s="2"/>
    </row>
    <row r="392" ht="16.1" customHeight="1">
      <c r="I392" t="s" s="20">
        <v>2</v>
      </c>
      <c r="J392" t="s" s="21">
        <v>1</v>
      </c>
      <c r="K392" t="s" s="21">
        <v>616</v>
      </c>
      <c r="L392" t="s" s="22">
        <v>4</v>
      </c>
      <c r="M392" t="s" s="23">
        <v>617</v>
      </c>
      <c r="N392" t="s" s="3">
        <v>618</v>
      </c>
      <c r="O392" t="s" s="3">
        <v>619</v>
      </c>
    </row>
    <row r="393" ht="16.1" customHeight="1">
      <c r="I393" t="s" s="121">
        <v>6218</v>
      </c>
      <c r="J393" s="122"/>
      <c r="K393" s="122"/>
      <c r="L393" s="123"/>
      <c r="M393" s="124">
        <v>1</v>
      </c>
      <c r="N393" s="141">
        <v>349.99</v>
      </c>
      <c r="O393" s="141">
        <v>349.99</v>
      </c>
    </row>
    <row r="394" ht="16.1" customHeight="1">
      <c r="I394" t="s" s="126">
        <v>5099</v>
      </c>
      <c r="J394" s="127"/>
      <c r="K394" s="127"/>
      <c r="L394" s="128"/>
      <c r="M394" s="129">
        <v>8</v>
      </c>
      <c r="N394" s="142">
        <v>649.9400000000001</v>
      </c>
      <c r="O394" s="142">
        <v>759.92</v>
      </c>
    </row>
    <row r="395" ht="16.1" customHeight="1">
      <c r="I395" t="s" s="126">
        <v>6369</v>
      </c>
      <c r="J395" s="127"/>
      <c r="K395" s="127"/>
      <c r="L395" s="128"/>
      <c r="M395" s="129">
        <v>3</v>
      </c>
      <c r="N395" s="142">
        <v>159.98</v>
      </c>
      <c r="O395" s="142">
        <v>159.98</v>
      </c>
    </row>
    <row r="396" ht="16.1" customHeight="1">
      <c r="I396" t="s" s="126">
        <v>6237</v>
      </c>
      <c r="J396" s="127"/>
      <c r="K396" s="127"/>
      <c r="L396" s="128"/>
      <c r="M396" s="129">
        <v>1</v>
      </c>
      <c r="N396" s="142">
        <v>349.99</v>
      </c>
      <c r="O396" s="142">
        <v>349.99</v>
      </c>
    </row>
    <row r="397" ht="16.1" customHeight="1">
      <c r="I397" t="s" s="126">
        <v>6267</v>
      </c>
      <c r="J397" s="127"/>
      <c r="K397" s="127"/>
      <c r="L397" s="128"/>
      <c r="M397" s="129">
        <v>1</v>
      </c>
      <c r="N397" s="142">
        <v>22.99</v>
      </c>
      <c r="O397" s="142">
        <v>22.99</v>
      </c>
    </row>
    <row r="398" ht="16.1" customHeight="1">
      <c r="I398" t="s" s="126">
        <v>6297</v>
      </c>
      <c r="J398" s="127"/>
      <c r="K398" s="127"/>
      <c r="L398" s="128"/>
      <c r="M398" s="129">
        <v>6</v>
      </c>
      <c r="N398" s="142">
        <v>189.96</v>
      </c>
      <c r="O398" s="142">
        <v>319.94</v>
      </c>
    </row>
    <row r="399" ht="16.1" customHeight="1">
      <c r="I399" t="s" s="126">
        <v>6134</v>
      </c>
      <c r="J399" s="127"/>
      <c r="K399" s="127"/>
      <c r="L399" s="128"/>
      <c r="M399" s="129">
        <v>2</v>
      </c>
      <c r="N399" s="142">
        <v>549.99</v>
      </c>
      <c r="O399" s="142">
        <v>1099.98</v>
      </c>
    </row>
    <row r="400" ht="16.1" customHeight="1">
      <c r="I400" t="s" s="126">
        <v>2924</v>
      </c>
      <c r="J400" s="127"/>
      <c r="K400" s="127"/>
      <c r="L400" s="128"/>
      <c r="M400" s="129">
        <v>5</v>
      </c>
      <c r="N400" s="142">
        <v>714.96</v>
      </c>
      <c r="O400" s="142">
        <v>724.95</v>
      </c>
    </row>
    <row r="401" ht="16.1" customHeight="1">
      <c r="I401" t="s" s="126">
        <v>6080</v>
      </c>
      <c r="J401" s="127"/>
      <c r="K401" s="127"/>
      <c r="L401" s="128"/>
      <c r="M401" s="129">
        <v>20</v>
      </c>
      <c r="N401" s="142">
        <v>403.96</v>
      </c>
      <c r="O401" s="142">
        <v>1581.8</v>
      </c>
    </row>
    <row r="402" ht="16.1" customHeight="1">
      <c r="I402" t="s" s="126">
        <v>1536</v>
      </c>
      <c r="J402" s="127"/>
      <c r="K402" s="127"/>
      <c r="L402" s="128"/>
      <c r="M402" s="129">
        <v>34</v>
      </c>
      <c r="N402" s="142">
        <v>2599.91</v>
      </c>
      <c r="O402" s="142">
        <v>5259.8</v>
      </c>
    </row>
    <row r="403" ht="16.1" customHeight="1">
      <c r="I403" t="s" s="126">
        <v>2275</v>
      </c>
      <c r="J403" s="127"/>
      <c r="K403" s="127"/>
      <c r="L403" s="128"/>
      <c r="M403" s="129">
        <v>28</v>
      </c>
      <c r="N403" s="142">
        <v>0</v>
      </c>
      <c r="O403" s="142">
        <v>0</v>
      </c>
    </row>
    <row r="404" ht="16.1" customHeight="1">
      <c r="I404" t="s" s="126">
        <v>6190</v>
      </c>
      <c r="J404" s="127"/>
      <c r="K404" s="127"/>
      <c r="L404" s="128"/>
      <c r="M404" s="129">
        <v>24</v>
      </c>
      <c r="N404" s="142">
        <v>1879.96</v>
      </c>
      <c r="O404" s="142">
        <v>4019.88</v>
      </c>
    </row>
    <row r="405" ht="16.1" customHeight="1">
      <c r="I405" t="s" s="126">
        <v>6334</v>
      </c>
      <c r="J405" s="127"/>
      <c r="K405" s="127"/>
      <c r="L405" s="128"/>
      <c r="M405" s="129">
        <v>28</v>
      </c>
      <c r="N405" s="142">
        <v>924.735</v>
      </c>
      <c r="O405" s="142">
        <v>934.4775</v>
      </c>
    </row>
    <row r="406" ht="16.1" customHeight="1">
      <c r="I406" t="s" s="126">
        <v>6299</v>
      </c>
      <c r="J406" s="127"/>
      <c r="K406" s="127"/>
      <c r="L406" s="128"/>
      <c r="M406" s="129">
        <v>2</v>
      </c>
      <c r="N406" s="142">
        <v>12.99</v>
      </c>
      <c r="O406" s="142">
        <v>25.98</v>
      </c>
    </row>
    <row r="407" ht="16.1" customHeight="1">
      <c r="I407" t="s" s="126">
        <v>6206</v>
      </c>
      <c r="J407" s="127"/>
      <c r="K407" s="127"/>
      <c r="L407" s="128"/>
      <c r="M407" s="129">
        <v>1405</v>
      </c>
      <c r="N407" s="142">
        <v>1.75</v>
      </c>
      <c r="O407" s="142">
        <v>1210.825</v>
      </c>
    </row>
    <row r="408" ht="16.1" customHeight="1">
      <c r="I408" t="s" s="126">
        <v>3187</v>
      </c>
      <c r="J408" s="127"/>
      <c r="K408" s="127"/>
      <c r="L408" s="128"/>
      <c r="M408" s="129">
        <v>1</v>
      </c>
      <c r="N408" s="142">
        <v>599.99</v>
      </c>
      <c r="O408" s="142">
        <v>599.99</v>
      </c>
    </row>
    <row r="409" ht="16.1" customHeight="1">
      <c r="I409" t="s" s="126">
        <v>6347</v>
      </c>
      <c r="J409" s="127"/>
      <c r="K409" s="127"/>
      <c r="L409" s="128"/>
      <c r="M409" s="129">
        <v>2</v>
      </c>
      <c r="N409" s="142">
        <v>19.98</v>
      </c>
      <c r="O409" s="142">
        <v>19.98</v>
      </c>
    </row>
    <row r="410" ht="16.1" customHeight="1">
      <c r="I410" t="s" s="126">
        <v>6270</v>
      </c>
      <c r="J410" s="127"/>
      <c r="K410" s="127"/>
      <c r="L410" s="128"/>
      <c r="M410" s="129">
        <v>6</v>
      </c>
      <c r="N410" s="142">
        <v>59.98</v>
      </c>
      <c r="O410" s="142">
        <v>219.94</v>
      </c>
    </row>
    <row r="411" ht="16.1" customHeight="1">
      <c r="I411" t="s" s="126">
        <v>2313</v>
      </c>
      <c r="J411" s="127"/>
      <c r="K411" s="127"/>
      <c r="L411" s="128"/>
      <c r="M411" s="129">
        <v>10</v>
      </c>
      <c r="N411" s="142">
        <v>1.99</v>
      </c>
      <c r="O411" s="142">
        <v>19.9</v>
      </c>
    </row>
    <row r="412" ht="16.1" customHeight="1">
      <c r="I412" t="s" s="126">
        <v>831</v>
      </c>
      <c r="J412" s="127"/>
      <c r="K412" s="127"/>
      <c r="L412" s="128"/>
      <c r="M412" s="129">
        <v>2</v>
      </c>
      <c r="N412" s="142">
        <v>2414.9925</v>
      </c>
      <c r="O412" s="142">
        <v>2414.9925</v>
      </c>
    </row>
    <row r="413" ht="16.1" customHeight="1">
      <c r="I413" t="s" s="126">
        <v>6379</v>
      </c>
      <c r="J413" s="127"/>
      <c r="K413" s="127"/>
      <c r="L413" s="128"/>
      <c r="M413" s="129">
        <v>2</v>
      </c>
      <c r="N413" s="142">
        <v>497.32</v>
      </c>
      <c r="O413" s="142">
        <v>497.32</v>
      </c>
    </row>
    <row r="414" ht="16.1" customHeight="1">
      <c r="I414" t="s" s="126">
        <v>4421</v>
      </c>
      <c r="J414" s="127"/>
      <c r="K414" s="127"/>
      <c r="L414" s="128"/>
      <c r="M414" s="129">
        <v>2</v>
      </c>
      <c r="N414" s="142">
        <v>7.49</v>
      </c>
      <c r="O414" s="142">
        <v>14.98</v>
      </c>
    </row>
    <row r="415" ht="16.1" customHeight="1">
      <c r="I415" t="s" s="126">
        <v>6384</v>
      </c>
      <c r="J415" s="127"/>
      <c r="K415" s="127"/>
      <c r="L415" s="128"/>
      <c r="M415" s="129">
        <v>2</v>
      </c>
      <c r="N415" s="142">
        <v>49.99</v>
      </c>
      <c r="O415" s="142">
        <v>99.98</v>
      </c>
    </row>
    <row r="416" ht="16.1" customHeight="1">
      <c r="I416" t="s" s="126">
        <v>391</v>
      </c>
      <c r="J416" s="127"/>
      <c r="K416" s="127"/>
      <c r="L416" s="128"/>
      <c r="M416" s="129">
        <v>29</v>
      </c>
      <c r="N416" s="142">
        <v>674.98</v>
      </c>
      <c r="O416" s="142">
        <v>3982.48</v>
      </c>
    </row>
    <row r="417" ht="16.1" customHeight="1">
      <c r="I417" t="s" s="126">
        <v>6307</v>
      </c>
      <c r="J417" s="127"/>
      <c r="K417" s="127"/>
      <c r="L417" s="128"/>
      <c r="M417" s="129">
        <v>6</v>
      </c>
      <c r="N417" s="142">
        <v>99.95999999999999</v>
      </c>
      <c r="O417" s="142">
        <v>179.94</v>
      </c>
    </row>
    <row r="418" ht="16.1" customHeight="1">
      <c r="I418" t="s" s="126">
        <v>2940</v>
      </c>
      <c r="J418" s="127"/>
      <c r="K418" s="127"/>
      <c r="L418" s="128"/>
      <c r="M418" s="129">
        <v>1</v>
      </c>
      <c r="N418" s="142">
        <v>359.991</v>
      </c>
      <c r="O418" s="142">
        <v>359.991</v>
      </c>
    </row>
    <row r="419" ht="16.1" customHeight="1">
      <c r="I419" t="s" s="126">
        <v>1605</v>
      </c>
      <c r="J419" s="127"/>
      <c r="K419" s="127"/>
      <c r="L419" s="128"/>
      <c r="M419" s="129">
        <v>52</v>
      </c>
      <c r="N419" s="142">
        <v>3919.9325</v>
      </c>
      <c r="O419" s="142">
        <v>10047.3275</v>
      </c>
    </row>
    <row r="420" ht="16.1" customHeight="1">
      <c r="I420" t="s" s="126">
        <v>6163</v>
      </c>
      <c r="J420" s="127"/>
      <c r="K420" s="127"/>
      <c r="L420" s="128"/>
      <c r="M420" s="129">
        <v>3</v>
      </c>
      <c r="N420" s="142">
        <v>459.97</v>
      </c>
      <c r="O420" s="142">
        <v>459.97</v>
      </c>
    </row>
    <row r="421" ht="16.1" customHeight="1">
      <c r="I421" t="s" s="126">
        <v>6177</v>
      </c>
      <c r="J421" s="127"/>
      <c r="K421" s="127"/>
      <c r="L421" s="128"/>
      <c r="M421" s="129">
        <v>23</v>
      </c>
      <c r="N421" s="142">
        <v>201.97</v>
      </c>
      <c r="O421" s="142">
        <v>259.77</v>
      </c>
    </row>
    <row r="422" ht="16.1" customHeight="1">
      <c r="I422" t="s" s="126">
        <v>6350</v>
      </c>
      <c r="J422" s="127"/>
      <c r="K422" s="127"/>
      <c r="L422" s="128"/>
      <c r="M422" s="129">
        <v>1</v>
      </c>
      <c r="N422" s="142">
        <v>324.99</v>
      </c>
      <c r="O422" s="142">
        <v>324.99</v>
      </c>
    </row>
    <row r="423" ht="16.1" customHeight="1">
      <c r="I423" t="s" s="126">
        <v>6312</v>
      </c>
      <c r="J423" s="127"/>
      <c r="K423" s="127"/>
      <c r="L423" s="128"/>
      <c r="M423" s="129">
        <v>28</v>
      </c>
      <c r="N423" s="142">
        <v>245.98</v>
      </c>
      <c r="O423" s="142">
        <v>245.98</v>
      </c>
    </row>
    <row r="424" ht="16.1" customHeight="1">
      <c r="I424" t="s" s="126">
        <v>555</v>
      </c>
      <c r="J424" s="127"/>
      <c r="K424" s="127"/>
      <c r="L424" s="128"/>
      <c r="M424" s="129">
        <v>6</v>
      </c>
      <c r="N424" s="142">
        <v>928.535</v>
      </c>
      <c r="O424" s="142">
        <v>1228.5275</v>
      </c>
    </row>
    <row r="425" ht="16.1" customHeight="1">
      <c r="I425" t="s" s="126">
        <v>69</v>
      </c>
      <c r="J425" s="127"/>
      <c r="K425" s="127"/>
      <c r="L425" s="128"/>
      <c r="M425" s="129">
        <v>3</v>
      </c>
      <c r="N425" s="142">
        <v>899.9924999999999</v>
      </c>
      <c r="O425" s="142">
        <v>899.9924999999999</v>
      </c>
    </row>
    <row r="426" ht="16.1" customHeight="1">
      <c r="I426" t="s" s="126">
        <v>3189</v>
      </c>
      <c r="J426" s="127"/>
      <c r="K426" s="127"/>
      <c r="L426" s="128"/>
      <c r="M426" s="129">
        <v>5</v>
      </c>
      <c r="N426" s="142">
        <v>244.98</v>
      </c>
      <c r="O426" s="142">
        <v>439.95</v>
      </c>
    </row>
    <row r="427" ht="16.1" customHeight="1">
      <c r="I427" t="s" s="126">
        <v>506</v>
      </c>
      <c r="J427" s="127"/>
      <c r="K427" s="127"/>
      <c r="L427" s="128"/>
      <c r="M427" s="129">
        <v>5</v>
      </c>
      <c r="N427" s="142">
        <v>479.97</v>
      </c>
      <c r="O427" s="142">
        <v>609.95</v>
      </c>
    </row>
    <row r="428" ht="16.1" customHeight="1">
      <c r="I428" t="s" s="126">
        <v>6352</v>
      </c>
      <c r="J428" s="127"/>
      <c r="K428" s="127"/>
      <c r="L428" s="128"/>
      <c r="M428" s="129">
        <v>3</v>
      </c>
      <c r="N428" s="142">
        <v>99.98999999999999</v>
      </c>
      <c r="O428" s="142">
        <v>299.97</v>
      </c>
    </row>
    <row r="429" ht="16.1" customHeight="1">
      <c r="I429" t="s" s="126">
        <v>6243</v>
      </c>
      <c r="J429" s="127"/>
      <c r="K429" s="127"/>
      <c r="L429" s="128"/>
      <c r="M429" s="129">
        <v>3</v>
      </c>
      <c r="N429" s="142">
        <v>409.98</v>
      </c>
      <c r="O429" s="142">
        <v>709.97</v>
      </c>
    </row>
    <row r="430" ht="16.1" customHeight="1">
      <c r="I430" t="s" s="126">
        <v>6033</v>
      </c>
      <c r="J430" s="127"/>
      <c r="K430" s="127"/>
      <c r="L430" s="128"/>
      <c r="M430" s="129">
        <v>4</v>
      </c>
      <c r="N430" s="142">
        <v>159.97</v>
      </c>
      <c r="O430" s="142">
        <v>159.97</v>
      </c>
    </row>
    <row r="431" ht="16.1" customHeight="1">
      <c r="I431" t="s" s="126">
        <v>1874</v>
      </c>
      <c r="J431" s="127"/>
      <c r="K431" s="127"/>
      <c r="L431" s="128"/>
      <c r="M431" s="129">
        <v>81</v>
      </c>
      <c r="N431" s="142">
        <v>2349.985</v>
      </c>
      <c r="O431" s="142">
        <v>17199.7</v>
      </c>
    </row>
    <row r="432" ht="16.1" customHeight="1">
      <c r="I432" t="s" s="126">
        <v>6136</v>
      </c>
      <c r="J432" s="127"/>
      <c r="K432" s="127"/>
      <c r="L432" s="128"/>
      <c r="M432" s="129">
        <v>1</v>
      </c>
      <c r="N432" s="142">
        <v>349.99</v>
      </c>
      <c r="O432" s="142">
        <v>349.99</v>
      </c>
    </row>
    <row r="433" ht="16.1" customHeight="1">
      <c r="I433" t="s" s="126">
        <v>5179</v>
      </c>
      <c r="J433" s="127"/>
      <c r="K433" s="127"/>
      <c r="L433" s="128"/>
      <c r="M433" s="129">
        <v>226</v>
      </c>
      <c r="N433" s="142">
        <v>6161.3075</v>
      </c>
      <c r="O433" s="142">
        <v>33740.615</v>
      </c>
    </row>
    <row r="434" ht="16.1" customHeight="1">
      <c r="I434" t="s" s="126">
        <v>6320</v>
      </c>
      <c r="J434" s="127"/>
      <c r="K434" s="127"/>
      <c r="L434" s="128"/>
      <c r="M434" s="129">
        <v>1</v>
      </c>
      <c r="N434" s="142">
        <v>399.99</v>
      </c>
      <c r="O434" s="142">
        <v>399.99</v>
      </c>
    </row>
    <row r="435" ht="16.1" customHeight="1">
      <c r="I435" t="s" s="126">
        <v>6174</v>
      </c>
      <c r="J435" s="127"/>
      <c r="K435" s="127"/>
      <c r="L435" s="128"/>
      <c r="M435" s="129">
        <v>1</v>
      </c>
      <c r="N435" s="142">
        <v>549.99</v>
      </c>
      <c r="O435" s="142">
        <v>549.99</v>
      </c>
    </row>
    <row r="436" ht="16.1" customHeight="1">
      <c r="I436" t="s" s="126">
        <v>6277</v>
      </c>
      <c r="J436" s="127"/>
      <c r="K436" s="127"/>
      <c r="L436" s="128"/>
      <c r="M436" s="129">
        <v>1</v>
      </c>
      <c r="N436" s="142">
        <v>399.99</v>
      </c>
      <c r="O436" s="142">
        <v>399.99</v>
      </c>
    </row>
    <row r="437" ht="16.1" customHeight="1">
      <c r="I437" t="s" s="126">
        <v>4817</v>
      </c>
      <c r="J437" s="127"/>
      <c r="K437" s="127"/>
      <c r="L437" s="128"/>
      <c r="M437" s="129">
        <v>77</v>
      </c>
      <c r="N437" s="142">
        <v>5543.3105</v>
      </c>
      <c r="O437" s="142">
        <v>11163.101</v>
      </c>
    </row>
    <row r="438" ht="16.1" customHeight="1">
      <c r="I438" t="s" s="126">
        <v>476</v>
      </c>
      <c r="J438" s="127"/>
      <c r="K438" s="127"/>
      <c r="L438" s="128"/>
      <c r="M438" s="129">
        <v>48</v>
      </c>
      <c r="N438" s="142">
        <v>3187.485</v>
      </c>
      <c r="O438" s="142">
        <v>12612.4625</v>
      </c>
    </row>
    <row r="439" ht="16.1" customHeight="1">
      <c r="I439" t="s" s="126">
        <v>896</v>
      </c>
      <c r="J439" s="127"/>
      <c r="K439" s="127"/>
      <c r="L439" s="128"/>
      <c r="M439" s="129">
        <v>24</v>
      </c>
      <c r="N439" s="142">
        <v>0</v>
      </c>
      <c r="O439" s="142">
        <v>0</v>
      </c>
    </row>
    <row r="440" ht="16.1" customHeight="1">
      <c r="I440" t="s" s="126">
        <v>2301</v>
      </c>
      <c r="J440" s="127"/>
      <c r="K440" s="127"/>
      <c r="L440" s="128"/>
      <c r="M440" s="129">
        <v>10</v>
      </c>
      <c r="N440" s="142">
        <v>849.99</v>
      </c>
      <c r="O440" s="142">
        <v>1699.98</v>
      </c>
    </row>
    <row r="441" ht="16.1" customHeight="1">
      <c r="I441" t="s" s="126">
        <v>6239</v>
      </c>
      <c r="J441" s="127"/>
      <c r="K441" s="127"/>
      <c r="L441" s="128"/>
      <c r="M441" s="129">
        <v>6</v>
      </c>
      <c r="N441" s="142">
        <v>69.97</v>
      </c>
      <c r="O441" s="142">
        <v>139.94</v>
      </c>
    </row>
    <row r="442" ht="16.1" customHeight="1">
      <c r="I442" t="s" s="126">
        <v>6322</v>
      </c>
      <c r="J442" s="127"/>
      <c r="K442" s="127"/>
      <c r="L442" s="128"/>
      <c r="M442" s="129">
        <v>1</v>
      </c>
      <c r="N442" s="142">
        <v>349.99</v>
      </c>
      <c r="O442" s="142">
        <v>349.99</v>
      </c>
    </row>
    <row r="443" ht="16.1" customHeight="1">
      <c r="I443" t="s" s="126">
        <v>6172</v>
      </c>
      <c r="J443" s="127"/>
      <c r="K443" s="127"/>
      <c r="L443" s="128"/>
      <c r="M443" s="129">
        <v>4</v>
      </c>
      <c r="N443" s="142">
        <v>414.98</v>
      </c>
      <c r="O443" s="142">
        <v>829.96</v>
      </c>
    </row>
    <row r="444" ht="16.1" customHeight="1">
      <c r="I444" t="s" s="126">
        <v>6198</v>
      </c>
      <c r="J444" s="127"/>
      <c r="K444" s="127"/>
      <c r="L444" s="128"/>
      <c r="M444" s="129">
        <v>1</v>
      </c>
      <c r="N444" s="142">
        <v>599.99</v>
      </c>
      <c r="O444" s="142">
        <v>599.99</v>
      </c>
    </row>
    <row r="445" ht="16.1" customHeight="1">
      <c r="I445" t="s" s="126">
        <v>3689</v>
      </c>
      <c r="J445" s="127"/>
      <c r="K445" s="127"/>
      <c r="L445" s="128"/>
      <c r="M445" s="129">
        <v>2</v>
      </c>
      <c r="N445" s="142">
        <v>164.99</v>
      </c>
      <c r="O445" s="142">
        <v>164.99</v>
      </c>
    </row>
    <row r="446" ht="16.1" customHeight="1">
      <c r="I446" t="s" s="126">
        <v>6155</v>
      </c>
      <c r="J446" s="127"/>
      <c r="K446" s="127"/>
      <c r="L446" s="128"/>
      <c r="M446" s="129">
        <v>3</v>
      </c>
      <c r="N446" s="142">
        <v>19.98</v>
      </c>
      <c r="O446" s="142">
        <v>29.97</v>
      </c>
    </row>
    <row r="447" ht="16.1" customHeight="1">
      <c r="I447" t="s" s="126">
        <v>6274</v>
      </c>
      <c r="J447" s="127"/>
      <c r="K447" s="127"/>
      <c r="L447" s="128"/>
      <c r="M447" s="129">
        <v>1</v>
      </c>
      <c r="N447" s="142">
        <v>599.99</v>
      </c>
      <c r="O447" s="142">
        <v>599.99</v>
      </c>
    </row>
    <row r="448" ht="16.1" customHeight="1">
      <c r="I448" t="s" s="126">
        <v>5934</v>
      </c>
      <c r="J448" s="127"/>
      <c r="K448" s="127"/>
      <c r="L448" s="128"/>
      <c r="M448" s="129">
        <v>3</v>
      </c>
      <c r="N448" s="142">
        <v>3249.98</v>
      </c>
      <c r="O448" s="142">
        <v>3299.97</v>
      </c>
    </row>
    <row r="449" ht="16.1" customHeight="1">
      <c r="I449" t="s" s="126">
        <v>6389</v>
      </c>
      <c r="J449" s="127"/>
      <c r="K449" s="127"/>
      <c r="L449" s="128"/>
      <c r="M449" s="129">
        <v>2</v>
      </c>
      <c r="N449" s="142">
        <v>149.99</v>
      </c>
      <c r="O449" s="142">
        <v>299.98</v>
      </c>
    </row>
    <row r="450" ht="16.1" customHeight="1">
      <c r="I450" t="s" s="126">
        <v>5227</v>
      </c>
      <c r="J450" s="127"/>
      <c r="K450" s="127"/>
      <c r="L450" s="128"/>
      <c r="M450" s="129">
        <v>8</v>
      </c>
      <c r="N450" s="142">
        <v>129.98</v>
      </c>
      <c r="O450" s="142">
        <v>519.92</v>
      </c>
    </row>
    <row r="451" ht="16.1" customHeight="1">
      <c r="I451" t="s" s="126">
        <v>6288</v>
      </c>
      <c r="J451" s="127"/>
      <c r="K451" s="127"/>
      <c r="L451" s="128"/>
      <c r="M451" s="129">
        <v>1</v>
      </c>
      <c r="N451" s="142">
        <v>549.99</v>
      </c>
      <c r="O451" s="142">
        <v>549.99</v>
      </c>
    </row>
    <row r="452" ht="16.1" customHeight="1">
      <c r="I452" t="s" s="126">
        <v>6139</v>
      </c>
      <c r="J452" s="127"/>
      <c r="K452" s="127"/>
      <c r="L452" s="128"/>
      <c r="M452" s="129">
        <v>10</v>
      </c>
      <c r="N452" s="142">
        <v>1.99</v>
      </c>
      <c r="O452" s="142">
        <v>19.9</v>
      </c>
    </row>
    <row r="453" ht="16.1" customHeight="1">
      <c r="I453" t="s" s="126">
        <v>3803</v>
      </c>
      <c r="J453" s="127"/>
      <c r="K453" s="127"/>
      <c r="L453" s="128"/>
      <c r="M453" s="129">
        <v>1</v>
      </c>
      <c r="N453" s="142">
        <v>1199.99</v>
      </c>
      <c r="O453" s="142">
        <v>1199.99</v>
      </c>
    </row>
    <row r="454" ht="16.1" customHeight="1">
      <c r="I454" t="s" s="126">
        <v>6212</v>
      </c>
      <c r="J454" s="127"/>
      <c r="K454" s="127"/>
      <c r="L454" s="128"/>
      <c r="M454" s="129">
        <v>1</v>
      </c>
      <c r="N454" s="142">
        <v>399.99</v>
      </c>
      <c r="O454" s="142">
        <v>399.99</v>
      </c>
    </row>
    <row r="455" ht="16.1" customHeight="1">
      <c r="I455" t="s" s="126">
        <v>1789</v>
      </c>
      <c r="J455" s="127"/>
      <c r="K455" s="127"/>
      <c r="L455" s="128"/>
      <c r="M455" s="129">
        <v>1</v>
      </c>
      <c r="N455" s="142">
        <v>187.4925</v>
      </c>
      <c r="O455" s="142">
        <v>187.4925</v>
      </c>
    </row>
    <row r="456" ht="16.1" customHeight="1">
      <c r="I456" t="s" s="126">
        <v>3357</v>
      </c>
      <c r="J456" s="127"/>
      <c r="K456" s="127"/>
      <c r="L456" s="128"/>
      <c r="M456" s="129">
        <v>8</v>
      </c>
      <c r="N456" s="142">
        <v>59.98</v>
      </c>
      <c r="O456" s="142">
        <v>239.92</v>
      </c>
    </row>
    <row r="457" ht="16.1" customHeight="1">
      <c r="I457" t="s" s="126">
        <v>329</v>
      </c>
      <c r="J457" s="127"/>
      <c r="K457" s="127"/>
      <c r="L457" s="128"/>
      <c r="M457" s="129">
        <v>1</v>
      </c>
      <c r="N457" s="142">
        <v>1199.99</v>
      </c>
      <c r="O457" s="142">
        <v>1199.99</v>
      </c>
    </row>
    <row r="458" ht="16.1" customHeight="1">
      <c r="I458" t="s" s="126">
        <v>6215</v>
      </c>
      <c r="J458" s="127"/>
      <c r="K458" s="127"/>
      <c r="L458" s="128"/>
      <c r="M458" s="129">
        <v>1</v>
      </c>
      <c r="N458" s="142">
        <v>1199.99</v>
      </c>
      <c r="O458" s="142">
        <v>1199.99</v>
      </c>
    </row>
    <row r="459" ht="16.1" customHeight="1">
      <c r="I459" t="s" s="126">
        <v>1027</v>
      </c>
      <c r="J459" s="127"/>
      <c r="K459" s="127"/>
      <c r="L459" s="128"/>
      <c r="M459" s="129">
        <v>3</v>
      </c>
      <c r="N459" s="142">
        <v>4399.98</v>
      </c>
      <c r="O459" s="142">
        <v>5599.97</v>
      </c>
    </row>
    <row r="460" ht="16.1" customHeight="1">
      <c r="I460" t="s" s="126">
        <v>425</v>
      </c>
      <c r="J460" s="127"/>
      <c r="K460" s="127"/>
      <c r="L460" s="128"/>
      <c r="M460" s="129">
        <v>8</v>
      </c>
      <c r="N460" s="142">
        <v>1299.97</v>
      </c>
      <c r="O460" s="142">
        <v>2149.96</v>
      </c>
    </row>
    <row r="461" ht="16.1" customHeight="1">
      <c r="I461" t="s" s="126">
        <v>6344</v>
      </c>
      <c r="J461" s="127"/>
      <c r="K461" s="127"/>
      <c r="L461" s="128"/>
      <c r="M461" s="129">
        <v>1</v>
      </c>
      <c r="N461" s="142">
        <v>1199.99</v>
      </c>
      <c r="O461" s="142">
        <v>1199.99</v>
      </c>
    </row>
    <row r="462" ht="16.1" customHeight="1">
      <c r="I462" t="s" s="126">
        <v>6170</v>
      </c>
      <c r="J462" s="127"/>
      <c r="K462" s="127"/>
      <c r="L462" s="128"/>
      <c r="M462" s="129">
        <v>1</v>
      </c>
      <c r="N462" s="142">
        <v>149.99</v>
      </c>
      <c r="O462" s="142">
        <v>149.99</v>
      </c>
    </row>
    <row r="463" ht="16.1" customHeight="1">
      <c r="I463" t="s" s="126">
        <v>6264</v>
      </c>
      <c r="J463" s="127"/>
      <c r="K463" s="127"/>
      <c r="L463" s="128"/>
      <c r="M463" s="129">
        <v>4</v>
      </c>
      <c r="N463" s="142">
        <v>1024.99</v>
      </c>
      <c r="O463" s="142">
        <v>2049.98</v>
      </c>
    </row>
    <row r="464" ht="16.1" customHeight="1">
      <c r="I464" t="s" s="126">
        <v>6327</v>
      </c>
      <c r="J464" s="127"/>
      <c r="K464" s="127"/>
      <c r="L464" s="128"/>
      <c r="M464" s="129">
        <v>1</v>
      </c>
      <c r="N464" s="142">
        <v>549.99</v>
      </c>
      <c r="O464" s="142">
        <v>549.99</v>
      </c>
    </row>
    <row r="465" ht="16.1" customHeight="1">
      <c r="I465" t="s" s="126">
        <v>6241</v>
      </c>
      <c r="J465" s="127"/>
      <c r="K465" s="127"/>
      <c r="L465" s="128"/>
      <c r="M465" s="129">
        <v>1</v>
      </c>
      <c r="N465" s="142">
        <v>399.99</v>
      </c>
      <c r="O465" s="142">
        <v>399.99</v>
      </c>
    </row>
    <row r="466" ht="16.1" customHeight="1">
      <c r="I466" t="s" s="126">
        <v>4251</v>
      </c>
      <c r="J466" s="127"/>
      <c r="K466" s="127"/>
      <c r="L466" s="128"/>
      <c r="M466" s="129">
        <v>1</v>
      </c>
      <c r="N466" s="142">
        <v>1199.99</v>
      </c>
      <c r="O466" s="142">
        <v>1199.99</v>
      </c>
    </row>
    <row r="467" ht="16.1" customHeight="1">
      <c r="I467" t="s" s="126">
        <v>3783</v>
      </c>
      <c r="J467" s="127"/>
      <c r="K467" s="127"/>
      <c r="L467" s="128"/>
      <c r="M467" s="129">
        <v>1</v>
      </c>
      <c r="N467" s="142">
        <v>49.99</v>
      </c>
      <c r="O467" s="142">
        <v>49.99</v>
      </c>
    </row>
    <row r="468" ht="16.1" customHeight="1">
      <c r="I468" t="s" s="126">
        <v>6229</v>
      </c>
      <c r="J468" s="127"/>
      <c r="K468" s="127"/>
      <c r="L468" s="128"/>
      <c r="M468" s="129">
        <v>1</v>
      </c>
      <c r="N468" s="142">
        <v>49.99</v>
      </c>
      <c r="O468" s="142">
        <v>49.99</v>
      </c>
    </row>
    <row r="469" ht="16.1" customHeight="1">
      <c r="I469" t="s" s="126">
        <v>6248</v>
      </c>
      <c r="J469" s="127"/>
      <c r="K469" s="127"/>
      <c r="L469" s="128"/>
      <c r="M469" s="129">
        <v>6</v>
      </c>
      <c r="N469" s="142">
        <v>342.97</v>
      </c>
      <c r="O469" s="142">
        <v>405.94</v>
      </c>
    </row>
    <row r="470" ht="16.1" customHeight="1">
      <c r="I470" t="s" s="126">
        <v>5135</v>
      </c>
      <c r="J470" s="127"/>
      <c r="K470" s="127"/>
      <c r="L470" s="128"/>
      <c r="M470" s="129">
        <v>1</v>
      </c>
      <c r="N470" s="142">
        <v>399.99</v>
      </c>
      <c r="O470" s="142">
        <v>399.99</v>
      </c>
    </row>
    <row r="471" ht="16.1" customHeight="1">
      <c r="I471" t="s" s="126">
        <v>6340</v>
      </c>
      <c r="J471" s="127"/>
      <c r="K471" s="127"/>
      <c r="L471" s="128"/>
      <c r="M471" s="129">
        <v>1</v>
      </c>
      <c r="N471" s="142">
        <v>399.99</v>
      </c>
      <c r="O471" s="142">
        <v>399.99</v>
      </c>
    </row>
    <row r="472" ht="16.1" customHeight="1">
      <c r="I472" t="s" s="126">
        <v>3370</v>
      </c>
      <c r="J472" s="127"/>
      <c r="K472" s="127"/>
      <c r="L472" s="128"/>
      <c r="M472" s="129">
        <v>10</v>
      </c>
      <c r="N472" s="142">
        <v>2236.3975</v>
      </c>
      <c r="O472" s="142">
        <v>2236.3975</v>
      </c>
    </row>
    <row r="473" ht="16.1" customHeight="1">
      <c r="I473" t="s" s="126">
        <v>3974</v>
      </c>
      <c r="J473" s="127"/>
      <c r="K473" s="127"/>
      <c r="L473" s="128"/>
      <c r="M473" s="129">
        <v>1</v>
      </c>
      <c r="N473" s="142">
        <v>219.99</v>
      </c>
      <c r="O473" s="142">
        <v>219.99</v>
      </c>
    </row>
    <row r="474" ht="16.1" customHeight="1">
      <c r="I474" t="s" s="126">
        <v>6225</v>
      </c>
      <c r="J474" s="127"/>
      <c r="K474" s="127"/>
      <c r="L474" s="128"/>
      <c r="M474" s="129">
        <v>3</v>
      </c>
      <c r="N474" s="142">
        <v>399.99</v>
      </c>
      <c r="O474" s="142">
        <v>1199.97</v>
      </c>
    </row>
    <row r="475" ht="16.1" customHeight="1">
      <c r="I475" t="s" s="126">
        <v>5999</v>
      </c>
      <c r="J475" s="127"/>
      <c r="K475" s="127"/>
      <c r="L475" s="128"/>
      <c r="M475" s="129">
        <v>4</v>
      </c>
      <c r="N475" s="142">
        <v>649.97</v>
      </c>
      <c r="O475" s="142">
        <v>799.96</v>
      </c>
    </row>
    <row r="476" ht="16.1" customHeight="1">
      <c r="I476" t="s" s="126">
        <v>6235</v>
      </c>
      <c r="J476" s="127"/>
      <c r="K476" s="127"/>
      <c r="L476" s="128"/>
      <c r="M476" s="129">
        <v>1</v>
      </c>
      <c r="N476" s="142">
        <v>299.99</v>
      </c>
      <c r="O476" s="142">
        <v>299.99</v>
      </c>
    </row>
    <row r="477" ht="16.1" customHeight="1">
      <c r="I477" t="s" s="126">
        <v>2306</v>
      </c>
      <c r="J477" s="127"/>
      <c r="K477" s="127"/>
      <c r="L477" s="128"/>
      <c r="M477" s="129">
        <v>49</v>
      </c>
      <c r="N477" s="142">
        <v>3098.93</v>
      </c>
      <c r="O477" s="142">
        <v>13611.67</v>
      </c>
    </row>
    <row r="478" ht="16.1" customHeight="1">
      <c r="I478" t="s" s="126">
        <v>6159</v>
      </c>
      <c r="J478" s="127"/>
      <c r="K478" s="127"/>
      <c r="L478" s="128"/>
      <c r="M478" s="129">
        <v>2</v>
      </c>
      <c r="N478" s="142">
        <v>399.99</v>
      </c>
      <c r="O478" s="142">
        <v>799.98</v>
      </c>
    </row>
    <row r="479" ht="16.1" customHeight="1">
      <c r="I479" t="s" s="126">
        <v>755</v>
      </c>
      <c r="J479" s="127"/>
      <c r="K479" s="127"/>
      <c r="L479" s="128"/>
      <c r="M479" s="129">
        <v>2</v>
      </c>
      <c r="N479" s="142">
        <v>594.97</v>
      </c>
      <c r="O479" s="142">
        <v>594.97</v>
      </c>
    </row>
    <row r="480" ht="16.1" customHeight="1">
      <c r="I480" t="s" s="126">
        <v>1586</v>
      </c>
      <c r="J480" s="127"/>
      <c r="K480" s="127"/>
      <c r="L480" s="128"/>
      <c r="M480" s="129">
        <v>14</v>
      </c>
      <c r="N480" s="142">
        <v>319.94</v>
      </c>
      <c r="O480" s="142">
        <v>659.86</v>
      </c>
    </row>
    <row r="481" ht="16.1" customHeight="1">
      <c r="I481" t="s" s="126">
        <v>6303</v>
      </c>
      <c r="J481" s="127"/>
      <c r="K481" s="127"/>
      <c r="L481" s="128"/>
      <c r="M481" s="129">
        <v>4</v>
      </c>
      <c r="N481" s="142">
        <v>159.98</v>
      </c>
      <c r="O481" s="142">
        <v>179.96</v>
      </c>
    </row>
    <row r="482" ht="16.1" customHeight="1">
      <c r="I482" t="s" s="126">
        <v>6272</v>
      </c>
      <c r="J482" s="127"/>
      <c r="K482" s="127"/>
      <c r="L482" s="128"/>
      <c r="M482" s="129">
        <v>1</v>
      </c>
      <c r="N482" s="142">
        <v>19.99</v>
      </c>
      <c r="O482" s="142">
        <v>19.99</v>
      </c>
    </row>
    <row r="483" ht="16.1" customHeight="1">
      <c r="I483" t="s" s="126">
        <v>4098</v>
      </c>
      <c r="J483" s="127"/>
      <c r="K483" s="127"/>
      <c r="L483" s="128"/>
      <c r="M483" s="129">
        <v>3</v>
      </c>
      <c r="N483" s="142">
        <v>64.97</v>
      </c>
      <c r="O483" s="142">
        <v>64.97</v>
      </c>
    </row>
    <row r="484" ht="16.1" customHeight="1">
      <c r="I484" t="s" s="126">
        <v>6250</v>
      </c>
      <c r="J484" s="127"/>
      <c r="K484" s="127"/>
      <c r="L484" s="128"/>
      <c r="M484" s="129">
        <v>2</v>
      </c>
      <c r="N484" s="142">
        <v>399.98</v>
      </c>
      <c r="O484" s="142">
        <v>399.98</v>
      </c>
    </row>
    <row r="485" ht="16.1" customHeight="1">
      <c r="I485" t="s" s="126">
        <v>5839</v>
      </c>
      <c r="J485" s="127"/>
      <c r="K485" s="127"/>
      <c r="L485" s="128"/>
      <c r="M485" s="129">
        <v>3</v>
      </c>
      <c r="N485" s="142">
        <v>309.97</v>
      </c>
      <c r="O485" s="142">
        <v>309.97</v>
      </c>
    </row>
    <row r="486" ht="16.1" customHeight="1">
      <c r="I486" t="s" s="126">
        <v>6185</v>
      </c>
      <c r="J486" s="127"/>
      <c r="K486" s="127"/>
      <c r="L486" s="128"/>
      <c r="M486" s="129">
        <v>7</v>
      </c>
      <c r="N486" s="142">
        <v>29.9925</v>
      </c>
      <c r="O486" s="142">
        <v>104.955</v>
      </c>
    </row>
    <row r="487" ht="16.1" customHeight="1">
      <c r="I487" t="s" s="126">
        <v>1500</v>
      </c>
      <c r="J487" s="127"/>
      <c r="K487" s="127"/>
      <c r="L487" s="128"/>
      <c r="M487" s="129">
        <v>67</v>
      </c>
      <c r="N487" s="142">
        <v>7227.768</v>
      </c>
      <c r="O487" s="142">
        <v>11240.2005</v>
      </c>
    </row>
    <row r="488" ht="16.1" customHeight="1">
      <c r="I488" t="s" s="126">
        <v>1937</v>
      </c>
      <c r="J488" s="127"/>
      <c r="K488" s="127"/>
      <c r="L488" s="128"/>
      <c r="M488" s="129">
        <v>9</v>
      </c>
      <c r="N488" s="142">
        <v>986.99</v>
      </c>
      <c r="O488" s="142">
        <v>1836.98</v>
      </c>
    </row>
    <row r="489" ht="16.1" customHeight="1">
      <c r="I489" t="s" s="126">
        <v>42</v>
      </c>
      <c r="J489" s="127"/>
      <c r="K489" s="127"/>
      <c r="L489" s="128"/>
      <c r="M489" s="129">
        <v>24</v>
      </c>
      <c r="N489" s="142">
        <v>0</v>
      </c>
      <c r="O489" s="142">
        <v>0</v>
      </c>
    </row>
    <row r="490" ht="16.1" customHeight="1">
      <c r="I490" t="s" s="126">
        <v>6227</v>
      </c>
      <c r="J490" s="127"/>
      <c r="K490" s="127"/>
      <c r="L490" s="128"/>
      <c r="M490" s="129">
        <v>1</v>
      </c>
      <c r="N490" s="142">
        <v>59.99</v>
      </c>
      <c r="O490" s="142">
        <v>59.99</v>
      </c>
    </row>
    <row r="491" ht="16.1" customHeight="1">
      <c r="I491" t="s" s="126">
        <v>6317</v>
      </c>
      <c r="J491" s="127"/>
      <c r="K491" s="127"/>
      <c r="L491" s="128"/>
      <c r="M491" s="129">
        <v>3</v>
      </c>
      <c r="N491" s="142">
        <v>69.97</v>
      </c>
      <c r="O491" s="142">
        <v>69.97</v>
      </c>
    </row>
    <row r="492" ht="16.1" customHeight="1">
      <c r="I492" t="s" s="126">
        <v>6359</v>
      </c>
      <c r="J492" s="127"/>
      <c r="K492" s="127"/>
      <c r="L492" s="128"/>
      <c r="M492" s="129">
        <v>56</v>
      </c>
      <c r="N492" s="142">
        <v>3479.9</v>
      </c>
      <c r="O492" s="142">
        <v>10719.62</v>
      </c>
    </row>
    <row r="493" ht="16.1" customHeight="1">
      <c r="I493" t="s" s="126">
        <v>6342</v>
      </c>
      <c r="J493" s="127"/>
      <c r="K493" s="127"/>
      <c r="L493" s="128"/>
      <c r="M493" s="129">
        <v>1</v>
      </c>
      <c r="N493" s="142">
        <v>199.99</v>
      </c>
      <c r="O493" s="142">
        <v>199.99</v>
      </c>
    </row>
    <row r="494" ht="16.1" customHeight="1">
      <c r="I494" t="s" s="126">
        <v>5639</v>
      </c>
      <c r="J494" s="127"/>
      <c r="K494" s="127"/>
      <c r="L494" s="128"/>
      <c r="M494" s="129">
        <v>2</v>
      </c>
      <c r="N494" s="142">
        <v>19.99</v>
      </c>
      <c r="O494" s="142">
        <v>39.98</v>
      </c>
    </row>
    <row r="495" ht="16.1" customHeight="1">
      <c r="I495" t="s" s="126">
        <v>6386</v>
      </c>
      <c r="J495" s="127"/>
      <c r="K495" s="127"/>
      <c r="L495" s="128"/>
      <c r="M495" s="129">
        <v>5</v>
      </c>
      <c r="N495" s="142">
        <v>169.97</v>
      </c>
      <c r="O495" s="142">
        <v>229.95</v>
      </c>
    </row>
    <row r="496" ht="16.1" customHeight="1">
      <c r="I496" t="s" s="126">
        <v>6187</v>
      </c>
      <c r="J496" s="127"/>
      <c r="K496" s="127"/>
      <c r="L496" s="128"/>
      <c r="M496" s="129">
        <v>1</v>
      </c>
      <c r="N496" s="142">
        <v>399.99</v>
      </c>
      <c r="O496" s="142">
        <v>399.99</v>
      </c>
    </row>
    <row r="497" ht="16.1" customHeight="1">
      <c r="I497" t="s" s="126">
        <v>6324</v>
      </c>
      <c r="J497" s="127"/>
      <c r="K497" s="127"/>
      <c r="L497" s="128"/>
      <c r="M497" s="129">
        <v>11</v>
      </c>
      <c r="N497" s="142">
        <v>1279.97</v>
      </c>
      <c r="O497" s="142">
        <v>2219.93</v>
      </c>
    </row>
    <row r="498" ht="16.1" customHeight="1">
      <c r="I498" t="s" s="126">
        <v>6231</v>
      </c>
      <c r="J498" s="127"/>
      <c r="K498" s="127"/>
      <c r="L498" s="128"/>
      <c r="M498" s="129">
        <v>1</v>
      </c>
      <c r="N498" s="142">
        <v>599.99</v>
      </c>
      <c r="O498" s="142">
        <v>599.99</v>
      </c>
    </row>
    <row r="499" ht="16.1" customHeight="1">
      <c r="I499" t="s" s="126">
        <v>6305</v>
      </c>
      <c r="J499" s="127"/>
      <c r="K499" s="127"/>
      <c r="L499" s="128"/>
      <c r="M499" s="129">
        <v>2</v>
      </c>
      <c r="N499" s="142">
        <v>49.99</v>
      </c>
      <c r="O499" s="142">
        <v>99.98</v>
      </c>
    </row>
    <row r="500" ht="16.1" customHeight="1">
      <c r="I500" t="s" s="126">
        <v>6290</v>
      </c>
      <c r="J500" s="127"/>
      <c r="K500" s="127"/>
      <c r="L500" s="128"/>
      <c r="M500" s="129">
        <v>1</v>
      </c>
      <c r="N500" s="142">
        <v>399.99</v>
      </c>
      <c r="O500" s="142">
        <v>399.99</v>
      </c>
    </row>
    <row r="501" ht="16.1" customHeight="1">
      <c r="I501" t="s" s="126">
        <v>3058</v>
      </c>
      <c r="J501" s="127"/>
      <c r="K501" s="127"/>
      <c r="L501" s="128"/>
      <c r="M501" s="129">
        <v>1</v>
      </c>
      <c r="N501" s="142">
        <v>549.99</v>
      </c>
      <c r="O501" s="142">
        <v>549.99</v>
      </c>
    </row>
    <row r="502" ht="16.1" customHeight="1">
      <c r="I502" t="s" s="126">
        <v>122</v>
      </c>
      <c r="J502" s="127"/>
      <c r="K502" s="127"/>
      <c r="L502" s="128"/>
      <c r="M502" s="129">
        <v>24</v>
      </c>
      <c r="N502" s="142">
        <v>423.9025</v>
      </c>
      <c r="O502" s="142">
        <v>1023.8875</v>
      </c>
    </row>
    <row r="503" ht="16.1" customHeight="1">
      <c r="I503" t="s" s="126">
        <v>6233</v>
      </c>
      <c r="J503" s="127"/>
      <c r="K503" s="127"/>
      <c r="L503" s="128"/>
      <c r="M503" s="129">
        <v>1</v>
      </c>
      <c r="N503" s="142">
        <v>49.99</v>
      </c>
      <c r="O503" s="142">
        <v>49.99</v>
      </c>
    </row>
    <row r="504" ht="16.1" customHeight="1">
      <c r="I504" t="s" s="126">
        <v>6141</v>
      </c>
      <c r="J504" s="127"/>
      <c r="K504" s="127"/>
      <c r="L504" s="128"/>
      <c r="M504" s="129">
        <v>1</v>
      </c>
      <c r="N504" s="142">
        <v>59.99</v>
      </c>
      <c r="O504" s="142">
        <v>59.99</v>
      </c>
    </row>
    <row r="505" ht="16.1" customHeight="1">
      <c r="I505" t="s" s="126">
        <v>2931</v>
      </c>
      <c r="J505" s="127"/>
      <c r="K505" s="127"/>
      <c r="L505" s="128"/>
      <c r="M505" s="129">
        <v>24</v>
      </c>
      <c r="N505" s="142">
        <v>0</v>
      </c>
      <c r="O505" s="142">
        <v>0</v>
      </c>
    </row>
    <row r="506" ht="16.1" customHeight="1">
      <c r="I506" t="s" s="126">
        <v>6202</v>
      </c>
      <c r="J506" s="127"/>
      <c r="K506" s="127"/>
      <c r="L506" s="128"/>
      <c r="M506" s="129">
        <v>2</v>
      </c>
      <c r="N506" s="142">
        <v>49.99</v>
      </c>
      <c r="O506" s="142">
        <v>99.98</v>
      </c>
    </row>
    <row r="507" ht="16.1" customHeight="1">
      <c r="I507" t="s" s="126">
        <v>2323</v>
      </c>
      <c r="J507" s="127"/>
      <c r="K507" s="127"/>
      <c r="L507" s="128"/>
      <c r="M507" s="129">
        <v>5</v>
      </c>
      <c r="N507" s="142">
        <v>29.9925</v>
      </c>
      <c r="O507" s="142">
        <v>74.97</v>
      </c>
    </row>
    <row r="508" ht="16.1" customHeight="1">
      <c r="I508" t="s" s="126">
        <v>6301</v>
      </c>
      <c r="J508" s="127"/>
      <c r="K508" s="127"/>
      <c r="L508" s="128"/>
      <c r="M508" s="129">
        <v>8</v>
      </c>
      <c r="N508" s="142">
        <v>461.96</v>
      </c>
      <c r="O508" s="142">
        <v>867.92</v>
      </c>
    </row>
    <row r="509" ht="16.1" customHeight="1">
      <c r="I509" t="s" s="126">
        <v>6315</v>
      </c>
      <c r="J509" s="127"/>
      <c r="K509" s="127"/>
      <c r="L509" s="128"/>
      <c r="M509" s="129">
        <v>1</v>
      </c>
      <c r="N509" s="142">
        <v>49.99</v>
      </c>
      <c r="O509" s="142">
        <v>49.99</v>
      </c>
    </row>
    <row r="510" ht="16.1" customHeight="1">
      <c r="I510" t="s" s="126">
        <v>5125</v>
      </c>
      <c r="J510" s="127"/>
      <c r="K510" s="127"/>
      <c r="L510" s="128"/>
      <c r="M510" s="129">
        <v>2</v>
      </c>
      <c r="N510" s="142">
        <v>424.98</v>
      </c>
      <c r="O510" s="142">
        <v>424.98</v>
      </c>
    </row>
    <row r="511" ht="16.1" customHeight="1">
      <c r="I511" t="s" s="126">
        <v>6256</v>
      </c>
      <c r="J511" s="127"/>
      <c r="K511" s="127"/>
      <c r="L511" s="128"/>
      <c r="M511" s="129">
        <v>11</v>
      </c>
      <c r="N511" s="142">
        <v>459.92</v>
      </c>
      <c r="O511" s="142">
        <v>519.89</v>
      </c>
    </row>
    <row r="512" ht="16.1" customHeight="1">
      <c r="I512" t="s" s="126">
        <v>6355</v>
      </c>
      <c r="J512" s="127"/>
      <c r="K512" s="127"/>
      <c r="L512" s="128"/>
      <c r="M512" s="129">
        <v>2</v>
      </c>
      <c r="N512" s="142">
        <v>49.99</v>
      </c>
      <c r="O512" s="142">
        <v>99.98</v>
      </c>
    </row>
    <row r="513" ht="16.1" customHeight="1">
      <c r="I513" t="s" s="126">
        <v>6362</v>
      </c>
      <c r="J513" s="127"/>
      <c r="K513" s="127"/>
      <c r="L513" s="128"/>
      <c r="M513" s="129">
        <v>14</v>
      </c>
      <c r="N513" s="142">
        <v>352.96</v>
      </c>
      <c r="O513" s="142">
        <v>1195.88</v>
      </c>
    </row>
    <row r="514" ht="16.1" customHeight="1">
      <c r="I514" t="s" s="126">
        <v>881</v>
      </c>
      <c r="J514" s="127"/>
      <c r="K514" s="127"/>
      <c r="L514" s="128"/>
      <c r="M514" s="129">
        <v>18</v>
      </c>
      <c r="N514" s="142">
        <v>753.72</v>
      </c>
      <c r="O514" s="142">
        <v>2047.4325</v>
      </c>
    </row>
    <row r="515" ht="16.1" customHeight="1">
      <c r="I515" t="s" s="126">
        <v>3617</v>
      </c>
      <c r="J515" s="127"/>
      <c r="K515" s="127"/>
      <c r="L515" s="128"/>
      <c r="M515" s="129">
        <v>3</v>
      </c>
      <c r="N515" s="142">
        <v>4799.97</v>
      </c>
      <c r="O515" s="142">
        <v>4799.97</v>
      </c>
    </row>
    <row r="516" ht="16.1" customHeight="1">
      <c r="I516" t="s" s="126">
        <v>5001</v>
      </c>
      <c r="J516" s="127"/>
      <c r="K516" s="127"/>
      <c r="L516" s="128"/>
      <c r="M516" s="129">
        <v>5</v>
      </c>
      <c r="N516" s="142">
        <v>344.97</v>
      </c>
      <c r="O516" s="142">
        <v>389.95</v>
      </c>
    </row>
    <row r="517" ht="16.1" customHeight="1">
      <c r="I517" t="s" s="126">
        <v>6357</v>
      </c>
      <c r="J517" s="127"/>
      <c r="K517" s="127"/>
      <c r="L517" s="128"/>
      <c r="M517" s="129">
        <v>2</v>
      </c>
      <c r="N517" s="142">
        <v>59.98</v>
      </c>
      <c r="O517" s="142">
        <v>59.98</v>
      </c>
    </row>
    <row r="518" ht="16.1" customHeight="1">
      <c r="I518" t="s" s="126">
        <v>6373</v>
      </c>
      <c r="J518" s="127"/>
      <c r="K518" s="127"/>
      <c r="L518" s="128"/>
      <c r="M518" s="129">
        <v>3</v>
      </c>
      <c r="N518" s="142">
        <v>22.99</v>
      </c>
      <c r="O518" s="142">
        <v>68.97</v>
      </c>
    </row>
    <row r="519" ht="16.1" customHeight="1">
      <c r="I519" t="s" s="132">
        <v>6181</v>
      </c>
      <c r="J519" s="133"/>
      <c r="K519" s="133"/>
      <c r="L519" s="134"/>
      <c r="M519" s="135">
        <v>1</v>
      </c>
      <c r="N519" s="143">
        <v>49.99</v>
      </c>
      <c r="O519" s="143">
        <v>49.99</v>
      </c>
    </row>
    <row r="520" ht="16.1" customHeight="1">
      <c r="I520" t="s" s="33">
        <v>620</v>
      </c>
      <c r="M520" s="34">
        <v>2740</v>
      </c>
      <c r="N520" s="35">
        <v>96927.962</v>
      </c>
      <c r="O520" s="35">
        <v>207522.8175</v>
      </c>
    </row>
    <row r="522" ht="15.55" customHeight="1">
      <c r="P522" t="s" s="2">
        <v>6395</v>
      </c>
      <c r="Q522" s="2"/>
    </row>
    <row r="523" ht="13.1" customHeight="1">
      <c r="P523" t="s" s="37">
        <v>4</v>
      </c>
      <c r="Q523" t="s" s="145">
        <v>617</v>
      </c>
    </row>
    <row r="524" ht="13.1" customHeight="1">
      <c r="P524" t="s" s="38">
        <v>6209</v>
      </c>
      <c r="Q524" s="34">
        <v>729</v>
      </c>
    </row>
    <row r="525" ht="12.9" customHeight="1">
      <c r="P525" t="s" s="40">
        <v>6207</v>
      </c>
      <c r="Q525" s="146">
        <v>676</v>
      </c>
    </row>
    <row r="526" ht="12.9" customHeight="1">
      <c r="P526" t="s" s="40">
        <v>15</v>
      </c>
      <c r="Q526" s="146">
        <v>126</v>
      </c>
    </row>
    <row r="527" ht="12.9" customHeight="1">
      <c r="P527" t="s" s="40">
        <v>50</v>
      </c>
      <c r="Q527" s="146">
        <v>107</v>
      </c>
    </row>
    <row r="528" ht="12.9" customHeight="1">
      <c r="P528" t="s" s="40">
        <v>23</v>
      </c>
      <c r="Q528" s="146">
        <v>97</v>
      </c>
    </row>
    <row r="529" ht="12.9" customHeight="1">
      <c r="P529" t="s" s="40">
        <v>54</v>
      </c>
      <c r="Q529" s="146">
        <v>81</v>
      </c>
    </row>
    <row r="530" ht="12.9" customHeight="1">
      <c r="P530" t="s" s="40">
        <v>412</v>
      </c>
      <c r="Q530" s="146">
        <v>64</v>
      </c>
    </row>
    <row r="531" ht="12.9" customHeight="1">
      <c r="P531" t="s" s="40">
        <v>1233</v>
      </c>
      <c r="Q531" s="146">
        <v>60</v>
      </c>
    </row>
    <row r="532" ht="12.9" customHeight="1">
      <c r="P532" t="s" s="40">
        <v>1232</v>
      </c>
      <c r="Q532" s="146">
        <v>48</v>
      </c>
    </row>
    <row r="533" ht="12.9" customHeight="1">
      <c r="P533" t="s" s="40">
        <v>81</v>
      </c>
      <c r="Q533" s="146">
        <v>46</v>
      </c>
    </row>
    <row r="534" ht="12.9" customHeight="1">
      <c r="P534" t="s" s="40">
        <v>19</v>
      </c>
      <c r="Q534" s="146">
        <v>43</v>
      </c>
    </row>
    <row r="535" ht="12.9" customHeight="1">
      <c r="P535" t="s" s="40">
        <v>35</v>
      </c>
      <c r="Q535" s="146">
        <v>38</v>
      </c>
    </row>
    <row r="536" ht="12.9" customHeight="1">
      <c r="P536" t="s" s="40">
        <v>179</v>
      </c>
      <c r="Q536" s="146">
        <v>33</v>
      </c>
    </row>
    <row r="537" ht="12.9" customHeight="1">
      <c r="P537" t="s" s="40">
        <v>133</v>
      </c>
      <c r="Q537" s="146">
        <v>33</v>
      </c>
    </row>
    <row r="538" ht="12.9" customHeight="1">
      <c r="P538" t="s" s="40">
        <v>73</v>
      </c>
      <c r="Q538" s="146">
        <v>32</v>
      </c>
    </row>
    <row r="539" ht="12.9" customHeight="1">
      <c r="P539" t="s" s="40">
        <v>52</v>
      </c>
      <c r="Q539" s="146">
        <v>27</v>
      </c>
    </row>
    <row r="540" ht="12.9" customHeight="1">
      <c r="P540" t="s" s="40">
        <v>84</v>
      </c>
      <c r="Q540" s="146">
        <v>26</v>
      </c>
    </row>
    <row r="541" ht="12.9" customHeight="1">
      <c r="P541" t="s" s="40">
        <v>123</v>
      </c>
      <c r="Q541" s="146">
        <v>24</v>
      </c>
    </row>
    <row r="542" ht="12.9" customHeight="1">
      <c r="P542" t="s" s="40">
        <v>1695</v>
      </c>
      <c r="Q542" s="146">
        <v>24</v>
      </c>
    </row>
    <row r="543" ht="12.9" customHeight="1">
      <c r="P543" t="s" s="40">
        <v>48</v>
      </c>
      <c r="Q543" s="146">
        <v>24</v>
      </c>
    </row>
    <row r="544" ht="12.9" customHeight="1">
      <c r="P544" t="s" s="40">
        <v>125</v>
      </c>
      <c r="Q544" s="146">
        <v>22</v>
      </c>
    </row>
    <row r="545" ht="12.9" customHeight="1">
      <c r="P545" t="s" s="40">
        <v>4811</v>
      </c>
      <c r="Q545" s="146">
        <v>20</v>
      </c>
    </row>
    <row r="546" ht="12.9" customHeight="1">
      <c r="P546" t="s" s="40">
        <v>89</v>
      </c>
      <c r="Q546" s="146">
        <v>20</v>
      </c>
    </row>
    <row r="547" ht="12.9" customHeight="1">
      <c r="P547" t="s" s="40">
        <v>6220</v>
      </c>
      <c r="Q547" s="146">
        <v>18</v>
      </c>
    </row>
    <row r="548" ht="12.9" customHeight="1">
      <c r="P548" t="s" s="40">
        <v>299</v>
      </c>
      <c r="Q548" s="146">
        <v>18</v>
      </c>
    </row>
    <row r="549" ht="12.9" customHeight="1">
      <c r="P549" t="s" s="40">
        <v>77</v>
      </c>
      <c r="Q549" s="146">
        <v>18</v>
      </c>
    </row>
    <row r="550" ht="12.9" customHeight="1">
      <c r="P550" t="s" s="40">
        <v>63</v>
      </c>
      <c r="Q550" s="146">
        <v>17</v>
      </c>
    </row>
    <row r="551" ht="12.9" customHeight="1">
      <c r="P551" t="s" s="40">
        <v>3950</v>
      </c>
      <c r="Q551" s="146">
        <v>16</v>
      </c>
    </row>
    <row r="552" ht="12.9" customHeight="1">
      <c r="P552" t="s" s="40">
        <v>59</v>
      </c>
      <c r="Q552" s="146">
        <v>15</v>
      </c>
    </row>
    <row r="553" ht="12.9" customHeight="1">
      <c r="P553" t="s" s="40">
        <v>227</v>
      </c>
      <c r="Q553" s="146">
        <v>14</v>
      </c>
    </row>
    <row r="554" ht="12.9" customHeight="1">
      <c r="P554" t="s" s="40">
        <v>11</v>
      </c>
      <c r="Q554" s="146">
        <v>14</v>
      </c>
    </row>
    <row r="555" ht="12.9" customHeight="1">
      <c r="P555" t="s" s="40">
        <v>31</v>
      </c>
      <c r="Q555" s="146">
        <v>11</v>
      </c>
    </row>
    <row r="556" ht="12.9" customHeight="1">
      <c r="P556" t="s" s="40">
        <v>468</v>
      </c>
      <c r="Q556" s="146">
        <v>11</v>
      </c>
    </row>
    <row r="557" ht="12.9" customHeight="1">
      <c r="P557" t="s" s="40">
        <v>1593</v>
      </c>
      <c r="Q557" s="146">
        <v>9</v>
      </c>
    </row>
    <row r="558" ht="12.9" customHeight="1">
      <c r="P558" t="s" s="40">
        <v>1046</v>
      </c>
      <c r="Q558" s="146">
        <v>8</v>
      </c>
    </row>
    <row r="559" ht="12.9" customHeight="1">
      <c r="P559" t="s" s="40">
        <v>354</v>
      </c>
      <c r="Q559" s="146">
        <v>8</v>
      </c>
    </row>
    <row r="560" ht="12.9" customHeight="1">
      <c r="P560" t="s" s="40">
        <v>470</v>
      </c>
      <c r="Q560" s="146">
        <v>8</v>
      </c>
    </row>
    <row r="561" ht="12.9" customHeight="1">
      <c r="P561" t="s" s="40">
        <v>1257</v>
      </c>
      <c r="Q561" s="146">
        <v>8</v>
      </c>
    </row>
    <row r="562" ht="12.9" customHeight="1">
      <c r="P562" t="s" s="40">
        <v>722</v>
      </c>
      <c r="Q562" s="146">
        <v>8</v>
      </c>
    </row>
    <row r="563" ht="12.9" customHeight="1">
      <c r="P563" t="s" s="40">
        <v>6279</v>
      </c>
      <c r="Q563" s="146">
        <v>8</v>
      </c>
    </row>
    <row r="564" ht="12.9" customHeight="1">
      <c r="P564" t="s" s="40">
        <v>143</v>
      </c>
      <c r="Q564" s="146">
        <v>8</v>
      </c>
    </row>
    <row r="565" ht="12.9" customHeight="1">
      <c r="P565" t="s" s="40">
        <v>2961</v>
      </c>
      <c r="Q565" s="146">
        <v>7</v>
      </c>
    </row>
    <row r="566" ht="12.9" customHeight="1">
      <c r="P566" t="s" s="40">
        <v>1731</v>
      </c>
      <c r="Q566" s="146">
        <v>7</v>
      </c>
    </row>
    <row r="567" ht="12.9" customHeight="1">
      <c r="P567" t="s" s="40">
        <v>95</v>
      </c>
      <c r="Q567" s="146">
        <v>7</v>
      </c>
    </row>
    <row r="568" ht="12.9" customHeight="1">
      <c r="P568" t="s" s="40">
        <v>1729</v>
      </c>
      <c r="Q568" s="146">
        <v>6</v>
      </c>
    </row>
    <row r="569" ht="12.9" customHeight="1">
      <c r="P569" t="s" s="40">
        <v>171</v>
      </c>
      <c r="Q569" s="146">
        <v>6</v>
      </c>
    </row>
    <row r="570" ht="12.9" customHeight="1">
      <c r="P570" t="s" s="40">
        <v>1044</v>
      </c>
      <c r="Q570" s="146">
        <v>6</v>
      </c>
    </row>
    <row r="571" ht="12.9" customHeight="1">
      <c r="P571" t="s" s="40">
        <v>1048</v>
      </c>
      <c r="Q571" s="146">
        <v>5</v>
      </c>
    </row>
    <row r="572" ht="12.9" customHeight="1">
      <c r="P572" t="s" s="40">
        <v>47</v>
      </c>
      <c r="Q572" s="146">
        <v>5</v>
      </c>
    </row>
    <row r="573" ht="12.9" customHeight="1">
      <c r="P573" t="s" s="40">
        <v>1892</v>
      </c>
      <c r="Q573" s="146">
        <v>4</v>
      </c>
    </row>
    <row r="574" ht="12.9" customHeight="1">
      <c r="P574" t="s" s="40">
        <v>369</v>
      </c>
      <c r="Q574" s="146">
        <v>4</v>
      </c>
    </row>
    <row r="575" ht="12.9" customHeight="1">
      <c r="P575" t="s" s="40">
        <v>882</v>
      </c>
      <c r="Q575" s="146">
        <v>4</v>
      </c>
    </row>
    <row r="576" ht="12.9" customHeight="1">
      <c r="P576" t="s" s="40">
        <v>1961</v>
      </c>
      <c r="Q576" s="146">
        <v>4</v>
      </c>
    </row>
    <row r="577" ht="12.9" customHeight="1">
      <c r="P577" t="s" s="40">
        <v>1479</v>
      </c>
      <c r="Q577" s="146">
        <v>4</v>
      </c>
    </row>
    <row r="578" ht="12.9" customHeight="1">
      <c r="P578" t="s" s="40">
        <v>602</v>
      </c>
      <c r="Q578" s="146">
        <v>4</v>
      </c>
    </row>
    <row r="579" ht="12.9" customHeight="1">
      <c r="P579" t="s" s="40">
        <v>948</v>
      </c>
      <c r="Q579" s="146">
        <v>4</v>
      </c>
    </row>
    <row r="580" ht="12.9" customHeight="1">
      <c r="P580" t="s" s="40">
        <v>1896</v>
      </c>
      <c r="Q580" s="146">
        <v>4</v>
      </c>
    </row>
    <row r="581" ht="12.9" customHeight="1">
      <c r="P581" t="s" s="40">
        <v>4955</v>
      </c>
      <c r="Q581" s="146">
        <v>4</v>
      </c>
    </row>
    <row r="582" ht="12.9" customHeight="1">
      <c r="P582" t="s" s="40">
        <v>1030</v>
      </c>
      <c r="Q582" s="146">
        <v>3</v>
      </c>
    </row>
    <row r="583" ht="12.9" customHeight="1">
      <c r="P583" t="s" s="40">
        <v>661</v>
      </c>
      <c r="Q583" s="146">
        <v>2</v>
      </c>
    </row>
    <row r="584" ht="12.9" customHeight="1">
      <c r="P584" t="s" s="40">
        <v>5233</v>
      </c>
      <c r="Q584" s="146">
        <v>2</v>
      </c>
    </row>
    <row r="585" ht="12.9" customHeight="1">
      <c r="P585" t="s" s="40">
        <v>2787</v>
      </c>
      <c r="Q585" s="146">
        <v>2</v>
      </c>
    </row>
    <row r="586" ht="12.9" customHeight="1">
      <c r="P586" t="s" s="40">
        <v>589</v>
      </c>
      <c r="Q586" s="146">
        <v>2</v>
      </c>
    </row>
    <row r="587" ht="12.9" customHeight="1">
      <c r="P587" t="s" s="40">
        <v>39</v>
      </c>
      <c r="Q587" s="146">
        <v>2</v>
      </c>
    </row>
    <row r="588" ht="12.9" customHeight="1">
      <c r="P588" t="s" s="40">
        <v>1054</v>
      </c>
      <c r="Q588" s="146">
        <v>2</v>
      </c>
    </row>
    <row r="589" ht="12.9" customHeight="1">
      <c r="P589" t="s" s="40">
        <v>2332</v>
      </c>
      <c r="Q589" s="146">
        <v>2</v>
      </c>
    </row>
    <row r="590" ht="12.9" customHeight="1">
      <c r="P590" t="s" s="40">
        <v>497</v>
      </c>
      <c r="Q590" s="146">
        <v>2</v>
      </c>
    </row>
    <row r="591" ht="12.9" customHeight="1">
      <c r="P591" t="s" s="40">
        <v>146</v>
      </c>
      <c r="Q591" s="146">
        <v>2</v>
      </c>
    </row>
    <row r="592" ht="12.9" customHeight="1">
      <c r="P592" t="s" s="40">
        <v>301</v>
      </c>
      <c r="Q592" s="146">
        <v>2</v>
      </c>
    </row>
    <row r="593" ht="12.9" customHeight="1">
      <c r="P593" t="s" s="40">
        <v>6283</v>
      </c>
      <c r="Q593" s="146">
        <v>2</v>
      </c>
    </row>
    <row r="594" ht="12.9" customHeight="1">
      <c r="P594" t="s" s="40">
        <v>2373</v>
      </c>
      <c r="Q594" s="146">
        <v>1</v>
      </c>
    </row>
    <row r="595" ht="12.9" customHeight="1">
      <c r="P595" t="s" s="40">
        <v>1917</v>
      </c>
      <c r="Q595" s="146">
        <v>1</v>
      </c>
    </row>
    <row r="596" ht="12.9" customHeight="1">
      <c r="P596" t="s" s="40">
        <v>1202</v>
      </c>
      <c r="Q596" s="146">
        <v>1</v>
      </c>
    </row>
    <row r="597" ht="12.9" customHeight="1">
      <c r="P597" t="s" s="40">
        <v>345</v>
      </c>
      <c r="Q597" s="146">
        <v>1</v>
      </c>
    </row>
    <row r="598" ht="12.9" customHeight="1">
      <c r="P598" t="s" s="40">
        <v>462</v>
      </c>
      <c r="Q598" s="146">
        <v>1</v>
      </c>
    </row>
    <row r="599" ht="12.9" customHeight="1">
      <c r="P599" t="s" s="40">
        <v>3133</v>
      </c>
      <c r="Q599" s="146">
        <v>1</v>
      </c>
    </row>
    <row r="600" ht="12.9" customHeight="1">
      <c r="P600" t="s" s="40">
        <v>359</v>
      </c>
      <c r="Q600" s="146">
        <v>1</v>
      </c>
    </row>
    <row r="601" ht="12.9" customHeight="1">
      <c r="P601" t="s" s="40">
        <v>6375</v>
      </c>
      <c r="Q601" s="146">
        <v>1</v>
      </c>
    </row>
    <row r="602" ht="12.9" customHeight="1">
      <c r="P602" t="s" s="40">
        <v>1845</v>
      </c>
      <c r="Q602" s="146">
        <v>1</v>
      </c>
    </row>
    <row r="603" ht="12.9" customHeight="1">
      <c r="P603" t="s" s="40">
        <v>5274</v>
      </c>
      <c r="Q603" s="146">
        <v>1</v>
      </c>
    </row>
    <row r="604" ht="12.9" customHeight="1">
      <c r="P604" t="s" s="40">
        <v>409</v>
      </c>
      <c r="Q604" s="146">
        <v>1</v>
      </c>
    </row>
    <row r="605" ht="12.9" customHeight="1">
      <c r="P605" t="s" s="40">
        <v>861</v>
      </c>
      <c r="Q605" s="146">
        <v>1</v>
      </c>
    </row>
    <row r="606" ht="13.1" customHeight="1">
      <c r="P606" t="s" s="42">
        <v>6221</v>
      </c>
      <c r="Q606" s="147">
        <v>1</v>
      </c>
    </row>
    <row r="607" ht="13.1" customHeight="1">
      <c r="P607" t="s" s="44">
        <v>620</v>
      </c>
      <c r="Q607" s="34">
        <v>2740</v>
      </c>
    </row>
    <row r="609" ht="15.55" customHeight="1">
      <c r="R609" t="s" s="2">
        <v>6396</v>
      </c>
      <c r="S609" s="2"/>
    </row>
    <row r="610" ht="13.1" customHeight="1">
      <c r="R610" t="s" s="37">
        <v>4</v>
      </c>
      <c r="S610" t="s" s="145">
        <v>619</v>
      </c>
    </row>
    <row r="611" ht="13.1" customHeight="1">
      <c r="R611" t="s" s="38">
        <v>81</v>
      </c>
      <c r="S611" s="50">
        <v>32299.62</v>
      </c>
    </row>
    <row r="612" ht="12.9" customHeight="1">
      <c r="R612" t="s" s="40">
        <v>48</v>
      </c>
      <c r="S612" s="150">
        <v>28599.78</v>
      </c>
    </row>
    <row r="613" ht="12.9" customHeight="1">
      <c r="R613" t="s" s="40">
        <v>143</v>
      </c>
      <c r="S613" s="150">
        <v>21999.9225</v>
      </c>
    </row>
    <row r="614" ht="12.9" customHeight="1">
      <c r="R614" t="s" s="40">
        <v>468</v>
      </c>
      <c r="S614" s="150">
        <v>18999.9565</v>
      </c>
    </row>
    <row r="615" ht="12.9" customHeight="1">
      <c r="R615" t="s" s="40">
        <v>59</v>
      </c>
      <c r="S615" s="150">
        <v>16199.865</v>
      </c>
    </row>
    <row r="616" ht="12.9" customHeight="1">
      <c r="R616" t="s" s="40">
        <v>6279</v>
      </c>
      <c r="S616" s="150">
        <v>14999.94</v>
      </c>
    </row>
    <row r="617" ht="12.9" customHeight="1">
      <c r="R617" t="s" s="40">
        <v>73</v>
      </c>
      <c r="S617" s="150">
        <v>11059.7235</v>
      </c>
    </row>
    <row r="618" ht="12.9" customHeight="1">
      <c r="R618" t="s" s="40">
        <v>31</v>
      </c>
      <c r="S618" s="150">
        <v>5809.8925</v>
      </c>
    </row>
    <row r="619" ht="12.9" customHeight="1">
      <c r="R619" t="s" s="40">
        <v>722</v>
      </c>
      <c r="S619" s="150">
        <v>5654.935</v>
      </c>
    </row>
    <row r="620" ht="12.9" customHeight="1">
      <c r="R620" t="s" s="40">
        <v>11</v>
      </c>
      <c r="S620" s="150">
        <v>5187.37</v>
      </c>
    </row>
    <row r="621" ht="12.9" customHeight="1">
      <c r="R621" t="s" s="40">
        <v>19</v>
      </c>
      <c r="S621" s="150">
        <v>4919.59</v>
      </c>
    </row>
    <row r="622" ht="12.9" customHeight="1">
      <c r="R622" t="s" s="40">
        <v>1257</v>
      </c>
      <c r="S622" s="150">
        <v>3780</v>
      </c>
    </row>
    <row r="623" ht="12.9" customHeight="1">
      <c r="R623" t="s" s="40">
        <v>123</v>
      </c>
      <c r="S623" s="150">
        <v>3689.795</v>
      </c>
    </row>
    <row r="624" ht="12.9" customHeight="1">
      <c r="R624" t="s" s="40">
        <v>171</v>
      </c>
      <c r="S624" s="150">
        <v>3299.94</v>
      </c>
    </row>
    <row r="625" ht="12.9" customHeight="1">
      <c r="R625" t="s" s="40">
        <v>95</v>
      </c>
      <c r="S625" s="150">
        <v>2424.93</v>
      </c>
    </row>
    <row r="626" ht="12.9" customHeight="1">
      <c r="R626" t="s" s="40">
        <v>133</v>
      </c>
      <c r="S626" s="150">
        <v>2349.935</v>
      </c>
    </row>
    <row r="627" ht="12.9" customHeight="1">
      <c r="R627" t="s" s="40">
        <v>63</v>
      </c>
      <c r="S627" s="150">
        <v>2340.59</v>
      </c>
    </row>
    <row r="628" ht="12.9" customHeight="1">
      <c r="R628" t="s" s="40">
        <v>35</v>
      </c>
      <c r="S628" s="150">
        <v>1774.6425</v>
      </c>
    </row>
    <row r="629" ht="12.9" customHeight="1">
      <c r="R629" t="s" s="40">
        <v>470</v>
      </c>
      <c r="S629" s="150">
        <v>1574.945</v>
      </c>
    </row>
    <row r="630" ht="12.9" customHeight="1">
      <c r="R630" t="s" s="40">
        <v>125</v>
      </c>
      <c r="S630" s="150">
        <v>1429.78</v>
      </c>
    </row>
    <row r="631" ht="12.9" customHeight="1">
      <c r="R631" t="s" s="40">
        <v>179</v>
      </c>
      <c r="S631" s="150">
        <v>1249.75</v>
      </c>
    </row>
    <row r="632" ht="12.9" customHeight="1">
      <c r="R632" t="s" s="40">
        <v>1479</v>
      </c>
      <c r="S632" s="150">
        <v>1199.96</v>
      </c>
    </row>
    <row r="633" ht="12.9" customHeight="1">
      <c r="R633" t="s" s="40">
        <v>1695</v>
      </c>
      <c r="S633" s="150">
        <v>1087.2825</v>
      </c>
    </row>
    <row r="634" ht="12.9" customHeight="1">
      <c r="R634" t="s" s="40">
        <v>354</v>
      </c>
      <c r="S634" s="150">
        <v>1049.93</v>
      </c>
    </row>
    <row r="635" ht="12.9" customHeight="1">
      <c r="R635" t="s" s="40">
        <v>299</v>
      </c>
      <c r="S635" s="150">
        <v>979.86</v>
      </c>
    </row>
    <row r="636" ht="12.9" customHeight="1">
      <c r="R636" t="s" s="40">
        <v>89</v>
      </c>
      <c r="S636" s="150">
        <v>974.8375</v>
      </c>
    </row>
    <row r="637" ht="12.9" customHeight="1">
      <c r="R637" t="s" s="40">
        <v>47</v>
      </c>
      <c r="S637" s="150">
        <v>972</v>
      </c>
    </row>
    <row r="638" ht="12.9" customHeight="1">
      <c r="R638" t="s" s="40">
        <v>602</v>
      </c>
      <c r="S638" s="150">
        <v>949.98</v>
      </c>
    </row>
    <row r="639" ht="12.9" customHeight="1">
      <c r="R639" t="s" s="40">
        <v>6375</v>
      </c>
      <c r="S639" s="150">
        <v>899.9924999999999</v>
      </c>
    </row>
    <row r="640" ht="12.9" customHeight="1">
      <c r="R640" t="s" s="40">
        <v>861</v>
      </c>
      <c r="S640" s="150">
        <v>890.3</v>
      </c>
    </row>
    <row r="641" ht="12.9" customHeight="1">
      <c r="R641" t="s" s="40">
        <v>6207</v>
      </c>
      <c r="S641" s="150">
        <v>828.1</v>
      </c>
    </row>
    <row r="642" ht="12.9" customHeight="1">
      <c r="R642" t="s" s="40">
        <v>4955</v>
      </c>
      <c r="S642" s="150">
        <v>825</v>
      </c>
    </row>
    <row r="643" ht="12.9" customHeight="1">
      <c r="R643" t="s" s="40">
        <v>15</v>
      </c>
      <c r="S643" s="150">
        <v>573.41</v>
      </c>
    </row>
    <row r="644" ht="12.9" customHeight="1">
      <c r="R644" t="s" s="40">
        <v>50</v>
      </c>
      <c r="S644" s="150">
        <v>464.845</v>
      </c>
    </row>
    <row r="645" ht="12.9" customHeight="1">
      <c r="R645" t="s" s="40">
        <v>23</v>
      </c>
      <c r="S645" s="150">
        <v>449.97</v>
      </c>
    </row>
    <row r="646" ht="12.9" customHeight="1">
      <c r="R646" t="s" s="40">
        <v>1961</v>
      </c>
      <c r="S646" s="150">
        <v>439.96</v>
      </c>
    </row>
    <row r="647" ht="12.9" customHeight="1">
      <c r="R647" t="s" s="40">
        <v>948</v>
      </c>
      <c r="S647" s="150">
        <v>439.96</v>
      </c>
    </row>
    <row r="648" ht="12.9" customHeight="1">
      <c r="R648" t="s" s="40">
        <v>227</v>
      </c>
      <c r="S648" s="150">
        <v>419.86</v>
      </c>
    </row>
    <row r="649" ht="12.9" customHeight="1">
      <c r="R649" t="s" s="40">
        <v>2332</v>
      </c>
      <c r="S649" s="150">
        <v>399.98</v>
      </c>
    </row>
    <row r="650" ht="12.9" customHeight="1">
      <c r="R650" t="s" s="40">
        <v>6209</v>
      </c>
      <c r="S650" s="150">
        <v>382.725</v>
      </c>
    </row>
    <row r="651" ht="12.9" customHeight="1">
      <c r="R651" t="s" s="40">
        <v>77</v>
      </c>
      <c r="S651" s="150">
        <v>339.83</v>
      </c>
    </row>
    <row r="652" ht="12.9" customHeight="1">
      <c r="R652" t="s" s="40">
        <v>5274</v>
      </c>
      <c r="S652" s="150">
        <v>313.35</v>
      </c>
    </row>
    <row r="653" ht="12.9" customHeight="1">
      <c r="R653" t="s" s="40">
        <v>1593</v>
      </c>
      <c r="S653" s="150">
        <v>299.97</v>
      </c>
    </row>
    <row r="654" ht="12.9" customHeight="1">
      <c r="R654" t="s" s="40">
        <v>52</v>
      </c>
      <c r="S654" s="150">
        <v>269.865</v>
      </c>
    </row>
    <row r="655" ht="12.9" customHeight="1">
      <c r="R655" t="s" s="40">
        <v>1896</v>
      </c>
      <c r="S655" s="150">
        <v>259.96</v>
      </c>
    </row>
    <row r="656" ht="12.9" customHeight="1">
      <c r="R656" t="s" s="40">
        <v>1054</v>
      </c>
      <c r="S656" s="150">
        <v>224.985</v>
      </c>
    </row>
    <row r="657" ht="12.9" customHeight="1">
      <c r="R657" t="s" s="40">
        <v>345</v>
      </c>
      <c r="S657" s="150">
        <v>219.99</v>
      </c>
    </row>
    <row r="658" ht="12.9" customHeight="1">
      <c r="R658" t="s" s="40">
        <v>39</v>
      </c>
      <c r="S658" s="150">
        <v>219.98</v>
      </c>
    </row>
    <row r="659" ht="12.9" customHeight="1">
      <c r="R659" t="s" s="40">
        <v>54</v>
      </c>
      <c r="S659" s="150">
        <v>204.795</v>
      </c>
    </row>
    <row r="660" ht="12.9" customHeight="1">
      <c r="R660" t="s" s="40">
        <v>462</v>
      </c>
      <c r="S660" s="150">
        <v>199.99</v>
      </c>
    </row>
    <row r="661" ht="12.9" customHeight="1">
      <c r="R661" t="s" s="40">
        <v>3133</v>
      </c>
      <c r="S661" s="150">
        <v>187.4925</v>
      </c>
    </row>
    <row r="662" ht="12.9" customHeight="1">
      <c r="R662" t="s" s="40">
        <v>1731</v>
      </c>
      <c r="S662" s="150">
        <v>174.93</v>
      </c>
    </row>
    <row r="663" ht="12.9" customHeight="1">
      <c r="R663" t="s" s="40">
        <v>2961</v>
      </c>
      <c r="S663" s="150">
        <v>160.93</v>
      </c>
    </row>
    <row r="664" ht="12.9" customHeight="1">
      <c r="R664" t="s" s="40">
        <v>6283</v>
      </c>
      <c r="S664" s="150">
        <v>150</v>
      </c>
    </row>
    <row r="665" ht="12.9" customHeight="1">
      <c r="R665" t="s" s="40">
        <v>1729</v>
      </c>
      <c r="S665" s="150">
        <v>89.94</v>
      </c>
    </row>
    <row r="666" ht="12.9" customHeight="1">
      <c r="R666" t="s" s="40">
        <v>412</v>
      </c>
      <c r="S666" s="150">
        <v>87.56</v>
      </c>
    </row>
    <row r="667" ht="12.9" customHeight="1">
      <c r="R667" t="s" s="40">
        <v>2787</v>
      </c>
      <c r="S667" s="150">
        <v>45.98</v>
      </c>
    </row>
    <row r="668" ht="12.9" customHeight="1">
      <c r="R668" t="s" s="40">
        <v>369</v>
      </c>
      <c r="S668" s="150">
        <v>45.465</v>
      </c>
    </row>
    <row r="669" ht="12.9" customHeight="1">
      <c r="R669" t="s" s="40">
        <v>301</v>
      </c>
      <c r="S669" s="150">
        <v>40</v>
      </c>
    </row>
    <row r="670" ht="12.9" customHeight="1">
      <c r="R670" t="s" s="40">
        <v>146</v>
      </c>
      <c r="S670" s="150">
        <v>39.98</v>
      </c>
    </row>
    <row r="671" ht="12.9" customHeight="1">
      <c r="R671" t="s" s="40">
        <v>84</v>
      </c>
      <c r="S671" s="150">
        <v>30</v>
      </c>
    </row>
    <row r="672" ht="12.9" customHeight="1">
      <c r="R672" t="s" s="40">
        <v>359</v>
      </c>
      <c r="S672" s="150">
        <v>29.99</v>
      </c>
    </row>
    <row r="673" ht="12.9" customHeight="1">
      <c r="R673" t="s" s="40">
        <v>589</v>
      </c>
      <c r="S673" s="150">
        <v>14.98</v>
      </c>
    </row>
    <row r="674" ht="12.9" customHeight="1">
      <c r="R674" t="s" s="40">
        <v>1046</v>
      </c>
      <c r="S674" s="149">
        <v>0</v>
      </c>
    </row>
    <row r="675" ht="12.9" customHeight="1">
      <c r="R675" t="s" s="40">
        <v>1232</v>
      </c>
      <c r="S675" s="149">
        <v>0</v>
      </c>
    </row>
    <row r="676" ht="12.9" customHeight="1">
      <c r="R676" t="s" s="40">
        <v>2373</v>
      </c>
      <c r="S676" s="149">
        <v>0</v>
      </c>
    </row>
    <row r="677" ht="12.9" customHeight="1">
      <c r="R677" t="s" s="40">
        <v>661</v>
      </c>
      <c r="S677" s="149">
        <v>0</v>
      </c>
    </row>
    <row r="678" ht="12.9" customHeight="1">
      <c r="R678" t="s" s="40">
        <v>1233</v>
      </c>
      <c r="S678" s="149">
        <v>0</v>
      </c>
    </row>
    <row r="679" ht="12.9" customHeight="1">
      <c r="R679" t="s" s="40">
        <v>1892</v>
      </c>
      <c r="S679" s="149">
        <v>0</v>
      </c>
    </row>
    <row r="680" ht="12.9" customHeight="1">
      <c r="R680" t="s" s="40">
        <v>3950</v>
      </c>
      <c r="S680" s="149">
        <v>0</v>
      </c>
    </row>
    <row r="681" ht="12.9" customHeight="1">
      <c r="R681" t="s" s="40">
        <v>5233</v>
      </c>
      <c r="S681" s="149">
        <v>0</v>
      </c>
    </row>
    <row r="682" ht="12.9" customHeight="1">
      <c r="R682" t="s" s="40">
        <v>6220</v>
      </c>
      <c r="S682" s="149">
        <v>0</v>
      </c>
    </row>
    <row r="683" ht="12.9" customHeight="1">
      <c r="R683" t="s" s="40">
        <v>4811</v>
      </c>
      <c r="S683" s="149">
        <v>0</v>
      </c>
    </row>
    <row r="684" ht="12.9" customHeight="1">
      <c r="R684" t="s" s="40">
        <v>1917</v>
      </c>
      <c r="S684" s="149">
        <v>0</v>
      </c>
    </row>
    <row r="685" ht="12.9" customHeight="1">
      <c r="R685" t="s" s="40">
        <v>1202</v>
      </c>
      <c r="S685" s="149">
        <v>0</v>
      </c>
    </row>
    <row r="686" ht="12.9" customHeight="1">
      <c r="R686" t="s" s="40">
        <v>882</v>
      </c>
      <c r="S686" s="149">
        <v>0</v>
      </c>
    </row>
    <row r="687" ht="12.9" customHeight="1">
      <c r="R687" t="s" s="40">
        <v>497</v>
      </c>
      <c r="S687" s="149">
        <v>0</v>
      </c>
    </row>
    <row r="688" ht="12.9" customHeight="1">
      <c r="R688" t="s" s="40">
        <v>1030</v>
      </c>
      <c r="S688" s="149">
        <v>0</v>
      </c>
    </row>
    <row r="689" ht="12.9" customHeight="1">
      <c r="R689" t="s" s="40">
        <v>1044</v>
      </c>
      <c r="S689" s="149">
        <v>0</v>
      </c>
    </row>
    <row r="690" ht="12.9" customHeight="1">
      <c r="R690" t="s" s="40">
        <v>1845</v>
      </c>
      <c r="S690" s="149">
        <v>0</v>
      </c>
    </row>
    <row r="691" ht="12.9" customHeight="1">
      <c r="R691" t="s" s="40">
        <v>409</v>
      </c>
      <c r="S691" s="149">
        <v>0</v>
      </c>
    </row>
    <row r="692" ht="12.9" customHeight="1">
      <c r="R692" t="s" s="40">
        <v>1048</v>
      </c>
      <c r="S692" s="149">
        <v>0</v>
      </c>
    </row>
    <row r="693" ht="13.1" customHeight="1">
      <c r="R693" t="s" s="42">
        <v>6221</v>
      </c>
      <c r="S693" s="151">
        <v>0</v>
      </c>
    </row>
    <row r="694" ht="13.1" customHeight="1">
      <c r="R694" t="s" s="44">
        <v>620</v>
      </c>
      <c r="S694" s="50">
        <v>207522.8175</v>
      </c>
    </row>
  </sheetData>
  <mergeCells count="4">
    <mergeCell ref="A1:H1"/>
    <mergeCell ref="I390:O390"/>
    <mergeCell ref="P522:Q522"/>
    <mergeCell ref="R609:S609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6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1051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5" width="16.3516" style="386" customWidth="1"/>
    <col min="6" max="6" width="12.4062" style="386" customWidth="1"/>
    <col min="7" max="8" width="16.3516" style="386" customWidth="1"/>
    <col min="9" max="15" width="16.6172" style="387" customWidth="1"/>
    <col min="16" max="16" width="40.9062" style="409" customWidth="1"/>
    <col min="17" max="17" width="7.39844" style="409" customWidth="1"/>
    <col min="18" max="18" width="33.3438" style="410" customWidth="1"/>
    <col min="19" max="19" width="13.3516" style="410" customWidth="1"/>
    <col min="20" max="16384" width="16.3516" style="410" customWidth="1"/>
  </cols>
  <sheetData>
    <row r="1" ht="15.55" customHeight="1">
      <c r="A1" t="s" s="2">
        <v>6397</v>
      </c>
      <c r="B1" s="2"/>
      <c r="C1" s="2"/>
      <c r="D1" s="2"/>
      <c r="E1" s="2"/>
      <c r="F1" s="2"/>
      <c r="G1" s="2"/>
      <c r="H1" s="2"/>
    </row>
    <row r="2" ht="13.1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</row>
    <row r="3" ht="13.1" customHeight="1">
      <c r="A3" t="s" s="4">
        <v>6398</v>
      </c>
      <c r="B3" t="s" s="5">
        <v>6399</v>
      </c>
      <c r="C3" s="6">
        <v>44957.625416666669</v>
      </c>
      <c r="D3" t="s" s="7">
        <v>11</v>
      </c>
      <c r="E3" t="s" s="7">
        <v>12</v>
      </c>
      <c r="F3" s="8">
        <v>1</v>
      </c>
      <c r="G3" s="9">
        <v>374.99</v>
      </c>
      <c r="H3" s="9">
        <v>374.99</v>
      </c>
    </row>
    <row r="4" ht="12.9" customHeight="1">
      <c r="A4" t="s" s="10">
        <v>6400</v>
      </c>
      <c r="B4" t="s" s="11">
        <v>5024</v>
      </c>
      <c r="C4" s="12">
        <v>44957.547870370370</v>
      </c>
      <c r="D4" t="s" s="13">
        <v>369</v>
      </c>
      <c r="E4" t="s" s="13">
        <v>5916</v>
      </c>
      <c r="F4" s="14">
        <v>1</v>
      </c>
      <c r="G4" s="15">
        <v>12.99</v>
      </c>
      <c r="H4" s="15">
        <v>12.99</v>
      </c>
    </row>
    <row r="5" ht="12.9" customHeight="1">
      <c r="A5" t="s" s="10">
        <v>6401</v>
      </c>
      <c r="B5" t="s" s="11">
        <v>6402</v>
      </c>
      <c r="C5" s="12">
        <v>44957.509699074071</v>
      </c>
      <c r="D5" t="s" s="13">
        <v>54</v>
      </c>
      <c r="E5" t="s" s="13">
        <v>93</v>
      </c>
      <c r="F5" s="14">
        <v>1</v>
      </c>
      <c r="G5" s="15">
        <v>9.99</v>
      </c>
      <c r="H5" s="15">
        <v>9.99</v>
      </c>
    </row>
    <row r="6" ht="12.9" customHeight="1">
      <c r="A6" t="s" s="10">
        <v>6403</v>
      </c>
      <c r="B6" t="s" s="11">
        <v>6404</v>
      </c>
      <c r="C6" s="12">
        <v>44957.483043981483</v>
      </c>
      <c r="D6" t="s" s="13">
        <v>412</v>
      </c>
      <c r="E6" t="s" s="13">
        <v>413</v>
      </c>
      <c r="F6" s="14">
        <v>1</v>
      </c>
      <c r="G6" s="15">
        <v>1.99</v>
      </c>
      <c r="H6" s="15">
        <v>1.99</v>
      </c>
    </row>
    <row r="7" ht="12.9" customHeight="1">
      <c r="A7" t="s" s="10">
        <v>6405</v>
      </c>
      <c r="B7" t="s" s="11">
        <v>6406</v>
      </c>
      <c r="C7" s="12">
        <v>44957.420277777775</v>
      </c>
      <c r="D7" t="s" s="13">
        <v>133</v>
      </c>
      <c r="E7" t="s" s="13">
        <v>4835</v>
      </c>
      <c r="F7" s="14">
        <v>1</v>
      </c>
      <c r="G7" s="15">
        <v>199.99</v>
      </c>
      <c r="H7" s="15">
        <v>199.99</v>
      </c>
    </row>
    <row r="8" ht="12.9" customHeight="1">
      <c r="A8" t="s" s="10">
        <v>6405</v>
      </c>
      <c r="B8" t="s" s="11">
        <v>6406</v>
      </c>
      <c r="C8" s="12">
        <v>44957.420277777775</v>
      </c>
      <c r="D8" t="s" s="13">
        <v>19</v>
      </c>
      <c r="E8" t="s" s="13">
        <v>20</v>
      </c>
      <c r="F8" s="14">
        <v>1</v>
      </c>
      <c r="G8" s="15">
        <v>119.99</v>
      </c>
      <c r="H8" s="15">
        <v>119.99</v>
      </c>
    </row>
    <row r="9" ht="12.9" customHeight="1">
      <c r="A9" t="s" s="10">
        <v>6405</v>
      </c>
      <c r="B9" t="s" s="11">
        <v>6406</v>
      </c>
      <c r="C9" s="12">
        <v>44957.420277777775</v>
      </c>
      <c r="D9" t="s" s="13">
        <v>15</v>
      </c>
      <c r="E9" t="s" s="13">
        <v>4757</v>
      </c>
      <c r="F9" s="14">
        <v>1</v>
      </c>
      <c r="G9" s="15">
        <v>0</v>
      </c>
      <c r="H9" s="15">
        <v>0</v>
      </c>
    </row>
    <row r="10" ht="12.9" customHeight="1">
      <c r="A10" t="s" s="10">
        <v>6407</v>
      </c>
      <c r="B10" t="s" s="11">
        <v>2382</v>
      </c>
      <c r="C10" s="12">
        <v>44957</v>
      </c>
      <c r="D10" t="s" s="13">
        <v>143</v>
      </c>
      <c r="E10" t="s" s="13">
        <v>144</v>
      </c>
      <c r="F10" s="14">
        <v>3</v>
      </c>
      <c r="G10" s="15">
        <v>3199.99</v>
      </c>
      <c r="H10" s="15">
        <v>9599.969999999999</v>
      </c>
    </row>
    <row r="11" ht="12.9" customHeight="1">
      <c r="A11" t="s" s="10">
        <v>6407</v>
      </c>
      <c r="B11" t="s" s="11">
        <v>2382</v>
      </c>
      <c r="C11" s="12">
        <v>44957</v>
      </c>
      <c r="D11" t="s" s="13">
        <v>6408</v>
      </c>
      <c r="E11" t="s" s="13">
        <v>6409</v>
      </c>
      <c r="F11" s="14">
        <v>1</v>
      </c>
      <c r="G11" s="15">
        <v>0</v>
      </c>
      <c r="H11" s="15">
        <v>0</v>
      </c>
    </row>
    <row r="12" ht="12.9" customHeight="1">
      <c r="A12" t="s" s="10">
        <v>6407</v>
      </c>
      <c r="B12" t="s" s="11">
        <v>2382</v>
      </c>
      <c r="C12" s="12">
        <v>44957</v>
      </c>
      <c r="D12" t="s" s="13">
        <v>47</v>
      </c>
      <c r="E12" s="16"/>
      <c r="F12" s="14">
        <v>1</v>
      </c>
      <c r="G12" s="15">
        <v>172.88</v>
      </c>
      <c r="H12" s="15">
        <v>172.88</v>
      </c>
    </row>
    <row r="13" ht="12.9" customHeight="1">
      <c r="A13" t="s" s="10">
        <v>6410</v>
      </c>
      <c r="B13" t="s" s="11">
        <v>391</v>
      </c>
      <c r="C13" s="12">
        <v>44957</v>
      </c>
      <c r="D13" t="s" s="13">
        <v>227</v>
      </c>
      <c r="E13" t="s" s="13">
        <v>228</v>
      </c>
      <c r="F13" s="14">
        <v>10</v>
      </c>
      <c r="G13" s="15">
        <v>22.4925</v>
      </c>
      <c r="H13" s="15">
        <v>224.925</v>
      </c>
    </row>
    <row r="14" ht="12.9" customHeight="1">
      <c r="A14" t="s" s="10">
        <v>6410</v>
      </c>
      <c r="B14" t="s" s="11">
        <v>391</v>
      </c>
      <c r="C14" s="12">
        <v>44957</v>
      </c>
      <c r="D14" t="s" s="13">
        <v>63</v>
      </c>
      <c r="E14" s="16"/>
      <c r="F14" s="14">
        <v>1</v>
      </c>
      <c r="G14" s="15">
        <v>15</v>
      </c>
      <c r="H14" s="15">
        <v>15</v>
      </c>
    </row>
    <row r="15" ht="12.9" customHeight="1">
      <c r="A15" t="s" s="10">
        <v>6411</v>
      </c>
      <c r="B15" t="s" s="11">
        <v>6412</v>
      </c>
      <c r="C15" s="12">
        <v>44956.878784722219</v>
      </c>
      <c r="D15" t="s" s="13">
        <v>35</v>
      </c>
      <c r="E15" t="s" s="13">
        <v>36</v>
      </c>
      <c r="F15" s="14">
        <v>1</v>
      </c>
      <c r="G15" s="15">
        <v>49.99</v>
      </c>
      <c r="H15" s="15">
        <v>49.99</v>
      </c>
    </row>
    <row r="16" ht="12.9" customHeight="1">
      <c r="A16" t="s" s="10">
        <v>6413</v>
      </c>
      <c r="B16" t="s" s="11">
        <v>6414</v>
      </c>
      <c r="C16" s="12">
        <v>44956.875567129631</v>
      </c>
      <c r="D16" t="s" s="13">
        <v>89</v>
      </c>
      <c r="E16" t="s" s="13">
        <v>90</v>
      </c>
      <c r="F16" s="14">
        <v>1</v>
      </c>
      <c r="G16" s="15">
        <v>59.99</v>
      </c>
      <c r="H16" s="15">
        <v>59.99</v>
      </c>
    </row>
    <row r="17" ht="12.9" customHeight="1">
      <c r="A17" t="s" s="10">
        <v>6413</v>
      </c>
      <c r="B17" t="s" s="11">
        <v>6414</v>
      </c>
      <c r="C17" s="12">
        <v>44956.875567129631</v>
      </c>
      <c r="D17" t="s" s="13">
        <v>35</v>
      </c>
      <c r="E17" t="s" s="13">
        <v>36</v>
      </c>
      <c r="F17" s="14">
        <v>1</v>
      </c>
      <c r="G17" s="15">
        <v>49.99</v>
      </c>
      <c r="H17" s="15">
        <v>49.99</v>
      </c>
    </row>
    <row r="18" ht="12.9" customHeight="1">
      <c r="A18" t="s" s="10">
        <v>6415</v>
      </c>
      <c r="B18" t="s" s="11">
        <v>3803</v>
      </c>
      <c r="C18" s="12">
        <v>44956.713819444441</v>
      </c>
      <c r="D18" t="s" s="13">
        <v>73</v>
      </c>
      <c r="E18" t="s" s="13">
        <v>74</v>
      </c>
      <c r="F18" s="14">
        <v>1</v>
      </c>
      <c r="G18" s="15">
        <v>399.99</v>
      </c>
      <c r="H18" s="15">
        <v>399.99</v>
      </c>
    </row>
    <row r="19" ht="12.9" customHeight="1">
      <c r="A19" t="s" s="10">
        <v>6416</v>
      </c>
      <c r="B19" t="s" s="11">
        <v>6417</v>
      </c>
      <c r="C19" s="12">
        <v>44956.691597222220</v>
      </c>
      <c r="D19" t="s" s="13">
        <v>19</v>
      </c>
      <c r="E19" t="s" s="13">
        <v>20</v>
      </c>
      <c r="F19" s="14">
        <v>2</v>
      </c>
      <c r="G19" s="15">
        <v>119.99</v>
      </c>
      <c r="H19" s="15">
        <v>239.98</v>
      </c>
    </row>
    <row r="20" ht="12.9" customHeight="1">
      <c r="A20" t="s" s="10">
        <v>6416</v>
      </c>
      <c r="B20" t="s" s="11">
        <v>6417</v>
      </c>
      <c r="C20" s="12">
        <v>44956.691597222220</v>
      </c>
      <c r="D20" t="s" s="13">
        <v>15</v>
      </c>
      <c r="E20" t="s" s="13">
        <v>4757</v>
      </c>
      <c r="F20" s="14">
        <v>2</v>
      </c>
      <c r="G20" s="15">
        <v>0</v>
      </c>
      <c r="H20" s="15">
        <v>0</v>
      </c>
    </row>
    <row r="21" ht="12.9" customHeight="1">
      <c r="A21" t="s" s="10">
        <v>6416</v>
      </c>
      <c r="B21" t="s" s="11">
        <v>6417</v>
      </c>
      <c r="C21" s="12">
        <v>44956.691597222220</v>
      </c>
      <c r="D21" t="s" s="13">
        <v>73</v>
      </c>
      <c r="E21" t="s" s="13">
        <v>74</v>
      </c>
      <c r="F21" s="14">
        <v>1</v>
      </c>
      <c r="G21" s="15">
        <v>399.99</v>
      </c>
      <c r="H21" s="15">
        <v>399.99</v>
      </c>
    </row>
    <row r="22" ht="12.9" customHeight="1">
      <c r="A22" t="s" s="10">
        <v>6416</v>
      </c>
      <c r="B22" t="s" s="11">
        <v>6417</v>
      </c>
      <c r="C22" s="12">
        <v>44956.691597222220</v>
      </c>
      <c r="D22" t="s" s="13">
        <v>1695</v>
      </c>
      <c r="E22" t="s" s="13">
        <v>140</v>
      </c>
      <c r="F22" s="14">
        <v>2</v>
      </c>
      <c r="G22" s="15">
        <v>49.99</v>
      </c>
      <c r="H22" s="15">
        <v>99.98</v>
      </c>
    </row>
    <row r="23" ht="12.9" customHeight="1">
      <c r="A23" t="s" s="10">
        <v>6416</v>
      </c>
      <c r="B23" t="s" s="11">
        <v>6417</v>
      </c>
      <c r="C23" s="12">
        <v>44956.691597222220</v>
      </c>
      <c r="D23" t="s" s="13">
        <v>15</v>
      </c>
      <c r="E23" t="s" s="13">
        <v>4757</v>
      </c>
      <c r="F23" s="14">
        <v>2</v>
      </c>
      <c r="G23" s="15">
        <v>0</v>
      </c>
      <c r="H23" s="15">
        <v>0</v>
      </c>
    </row>
    <row r="24" ht="12.9" customHeight="1">
      <c r="A24" t="s" s="10">
        <v>6416</v>
      </c>
      <c r="B24" t="s" s="11">
        <v>6417</v>
      </c>
      <c r="C24" s="12">
        <v>44956.691597222220</v>
      </c>
      <c r="D24" t="s" s="13">
        <v>1729</v>
      </c>
      <c r="E24" t="s" s="13">
        <v>4639</v>
      </c>
      <c r="F24" s="14">
        <v>2</v>
      </c>
      <c r="G24" s="15">
        <v>14.99</v>
      </c>
      <c r="H24" s="15">
        <v>29.98</v>
      </c>
    </row>
    <row r="25" ht="12.9" customHeight="1">
      <c r="A25" t="s" s="10">
        <v>6416</v>
      </c>
      <c r="B25" t="s" s="11">
        <v>6417</v>
      </c>
      <c r="C25" s="12">
        <v>44956.691597222220</v>
      </c>
      <c r="D25" t="s" s="13">
        <v>39</v>
      </c>
      <c r="E25" t="s" s="13">
        <v>828</v>
      </c>
      <c r="F25" s="14">
        <v>2</v>
      </c>
      <c r="G25" s="15">
        <v>109.99</v>
      </c>
      <c r="H25" s="15">
        <v>219.98</v>
      </c>
    </row>
    <row r="26" ht="12.9" customHeight="1">
      <c r="A26" t="s" s="10">
        <v>6416</v>
      </c>
      <c r="B26" t="s" s="11">
        <v>6417</v>
      </c>
      <c r="C26" s="12">
        <v>44956.691597222220</v>
      </c>
      <c r="D26" t="s" s="13">
        <v>15</v>
      </c>
      <c r="E26" t="s" s="13">
        <v>4757</v>
      </c>
      <c r="F26" s="14">
        <v>1</v>
      </c>
      <c r="G26" s="15">
        <v>9.99</v>
      </c>
      <c r="H26" s="15">
        <v>9.99</v>
      </c>
    </row>
    <row r="27" ht="12.9" customHeight="1">
      <c r="A27" t="s" s="10">
        <v>6418</v>
      </c>
      <c r="B27" t="s" s="11">
        <v>5352</v>
      </c>
      <c r="C27" s="12">
        <v>44956.545173611114</v>
      </c>
      <c r="D27" t="s" s="13">
        <v>23</v>
      </c>
      <c r="E27" t="s" s="13">
        <v>828</v>
      </c>
      <c r="F27" s="14">
        <v>1</v>
      </c>
      <c r="G27" s="15">
        <v>149.99</v>
      </c>
      <c r="H27" s="15">
        <v>149.99</v>
      </c>
    </row>
    <row r="28" ht="12.9" customHeight="1">
      <c r="A28" t="s" s="10">
        <v>6419</v>
      </c>
      <c r="B28" t="s" s="11">
        <v>2323</v>
      </c>
      <c r="C28" s="12">
        <v>44956</v>
      </c>
      <c r="D28" t="s" s="13">
        <v>468</v>
      </c>
      <c r="E28" t="s" s="13">
        <v>6420</v>
      </c>
      <c r="F28" s="14">
        <v>2</v>
      </c>
      <c r="G28" s="15">
        <v>1874.9925</v>
      </c>
      <c r="H28" s="15">
        <v>3749.985</v>
      </c>
    </row>
    <row r="29" ht="12.9" customHeight="1">
      <c r="A29" t="s" s="10">
        <v>6419</v>
      </c>
      <c r="B29" t="s" s="11">
        <v>2323</v>
      </c>
      <c r="C29" s="12">
        <v>44956</v>
      </c>
      <c r="D29" t="s" s="13">
        <v>48</v>
      </c>
      <c r="E29" t="s" s="13">
        <v>6003</v>
      </c>
      <c r="F29" s="14">
        <v>6</v>
      </c>
      <c r="G29" s="15">
        <v>974.9924999999999</v>
      </c>
      <c r="H29" s="15">
        <v>5849.955</v>
      </c>
    </row>
    <row r="30" ht="12.9" customHeight="1">
      <c r="A30" t="s" s="10">
        <v>6419</v>
      </c>
      <c r="B30" t="s" s="11">
        <v>2323</v>
      </c>
      <c r="C30" s="12">
        <v>44956</v>
      </c>
      <c r="D30" t="s" s="13">
        <v>133</v>
      </c>
      <c r="E30" t="s" s="13">
        <v>6421</v>
      </c>
      <c r="F30" s="14">
        <v>14</v>
      </c>
      <c r="G30" s="15">
        <v>37.5</v>
      </c>
      <c r="H30" s="15">
        <v>525</v>
      </c>
    </row>
    <row r="31" ht="12.9" customHeight="1">
      <c r="A31" t="s" s="10">
        <v>6419</v>
      </c>
      <c r="B31" t="s" s="11">
        <v>2323</v>
      </c>
      <c r="C31" s="12">
        <v>44956</v>
      </c>
      <c r="D31" t="s" s="13">
        <v>73</v>
      </c>
      <c r="E31" t="s" s="13">
        <v>74</v>
      </c>
      <c r="F31" s="14">
        <v>2</v>
      </c>
      <c r="G31" s="15">
        <v>299.9925</v>
      </c>
      <c r="H31" s="15">
        <v>599.985</v>
      </c>
    </row>
    <row r="32" ht="12.9" customHeight="1">
      <c r="A32" t="s" s="10">
        <v>6419</v>
      </c>
      <c r="B32" t="s" s="11">
        <v>2323</v>
      </c>
      <c r="C32" s="12">
        <v>44956</v>
      </c>
      <c r="D32" t="s" s="13">
        <v>123</v>
      </c>
      <c r="E32" t="s" s="13">
        <v>124</v>
      </c>
      <c r="F32" s="14">
        <v>2</v>
      </c>
      <c r="G32" s="15">
        <v>134.9925</v>
      </c>
      <c r="H32" s="15">
        <v>269.985</v>
      </c>
    </row>
    <row r="33" ht="12.9" customHeight="1">
      <c r="A33" t="s" s="10">
        <v>6419</v>
      </c>
      <c r="B33" t="s" s="11">
        <v>2323</v>
      </c>
      <c r="C33" s="12">
        <v>44956</v>
      </c>
      <c r="D33" t="s" s="13">
        <v>299</v>
      </c>
      <c r="E33" t="s" s="13">
        <v>300</v>
      </c>
      <c r="F33" s="14">
        <v>8</v>
      </c>
      <c r="G33" s="15">
        <v>52.4925</v>
      </c>
      <c r="H33" s="15">
        <v>419.94</v>
      </c>
    </row>
    <row r="34" ht="12.9" customHeight="1">
      <c r="A34" t="s" s="10">
        <v>6419</v>
      </c>
      <c r="B34" t="s" s="11">
        <v>2323</v>
      </c>
      <c r="C34" s="12">
        <v>44956</v>
      </c>
      <c r="D34" t="s" s="13">
        <v>487</v>
      </c>
      <c r="E34" t="s" s="13">
        <v>828</v>
      </c>
      <c r="F34" s="14">
        <v>5</v>
      </c>
      <c r="G34" s="15">
        <v>82.49250000000001</v>
      </c>
      <c r="H34" s="15">
        <v>412.4625</v>
      </c>
    </row>
    <row r="35" ht="12.9" customHeight="1">
      <c r="A35" t="s" s="10">
        <v>6419</v>
      </c>
      <c r="B35" t="s" s="11">
        <v>2323</v>
      </c>
      <c r="C35" s="12">
        <v>44956</v>
      </c>
      <c r="D35" t="s" s="13">
        <v>1695</v>
      </c>
      <c r="E35" t="s" s="13">
        <v>140</v>
      </c>
      <c r="F35" s="14">
        <v>4</v>
      </c>
      <c r="G35" s="15">
        <v>37.4925</v>
      </c>
      <c r="H35" s="15">
        <v>149.97</v>
      </c>
    </row>
    <row r="36" ht="12.9" customHeight="1">
      <c r="A36" t="s" s="10">
        <v>6419</v>
      </c>
      <c r="B36" t="s" s="11">
        <v>2323</v>
      </c>
      <c r="C36" s="12">
        <v>44956</v>
      </c>
      <c r="D36" t="s" s="13">
        <v>412</v>
      </c>
      <c r="E36" t="s" s="13">
        <v>413</v>
      </c>
      <c r="F36" s="14">
        <v>12</v>
      </c>
      <c r="G36" s="15">
        <v>0</v>
      </c>
      <c r="H36" s="15">
        <v>0</v>
      </c>
    </row>
    <row r="37" ht="12.9" customHeight="1">
      <c r="A37" t="s" s="10">
        <v>6419</v>
      </c>
      <c r="B37" t="s" s="11">
        <v>2323</v>
      </c>
      <c r="C37" s="12">
        <v>44956</v>
      </c>
      <c r="D37" t="s" s="13">
        <v>50</v>
      </c>
      <c r="E37" t="s" s="13">
        <v>51</v>
      </c>
      <c r="F37" s="14">
        <v>6</v>
      </c>
      <c r="G37" s="15">
        <v>0</v>
      </c>
      <c r="H37" s="15">
        <v>0</v>
      </c>
    </row>
    <row r="38" ht="12.9" customHeight="1">
      <c r="A38" t="s" s="10">
        <v>6419</v>
      </c>
      <c r="B38" t="s" s="11">
        <v>2323</v>
      </c>
      <c r="C38" s="12">
        <v>44956</v>
      </c>
      <c r="D38" t="s" s="13">
        <v>559</v>
      </c>
      <c r="E38" t="s" s="13">
        <v>6422</v>
      </c>
      <c r="F38" s="14">
        <v>100</v>
      </c>
      <c r="G38" s="15">
        <v>0</v>
      </c>
      <c r="H38" s="15">
        <v>0</v>
      </c>
    </row>
    <row r="39" ht="12.9" customHeight="1">
      <c r="A39" t="s" s="10">
        <v>6419</v>
      </c>
      <c r="B39" t="s" s="11">
        <v>2323</v>
      </c>
      <c r="C39" s="12">
        <v>44956</v>
      </c>
      <c r="D39" t="s" s="13">
        <v>54</v>
      </c>
      <c r="E39" t="s" s="13">
        <v>55</v>
      </c>
      <c r="F39" s="14">
        <v>14</v>
      </c>
      <c r="G39" s="15">
        <v>0</v>
      </c>
      <c r="H39" s="15">
        <v>0</v>
      </c>
    </row>
    <row r="40" ht="12.9" customHeight="1">
      <c r="A40" t="s" s="10">
        <v>6419</v>
      </c>
      <c r="B40" t="s" s="11">
        <v>2323</v>
      </c>
      <c r="C40" s="12">
        <v>44956</v>
      </c>
      <c r="D40" t="s" s="13">
        <v>227</v>
      </c>
      <c r="E40" t="s" s="13">
        <v>228</v>
      </c>
      <c r="F40" s="14">
        <v>6</v>
      </c>
      <c r="G40" s="15">
        <v>22.4925</v>
      </c>
      <c r="H40" s="15">
        <v>134.955</v>
      </c>
    </row>
    <row r="41" ht="12.9" customHeight="1">
      <c r="A41" t="s" s="10">
        <v>6419</v>
      </c>
      <c r="B41" t="s" s="11">
        <v>2323</v>
      </c>
      <c r="C41" s="12">
        <v>44956</v>
      </c>
      <c r="D41" t="s" s="13">
        <v>52</v>
      </c>
      <c r="E41" t="s" s="13">
        <v>4287</v>
      </c>
      <c r="F41" s="14">
        <v>6</v>
      </c>
      <c r="G41" s="15">
        <v>0</v>
      </c>
      <c r="H41" s="15">
        <v>0</v>
      </c>
    </row>
    <row r="42" ht="12.9" customHeight="1">
      <c r="A42" t="s" s="10">
        <v>6419</v>
      </c>
      <c r="B42" t="s" s="11">
        <v>2323</v>
      </c>
      <c r="C42" s="12">
        <v>44956</v>
      </c>
      <c r="D42" t="s" s="13">
        <v>47</v>
      </c>
      <c r="E42" s="16"/>
      <c r="F42" s="14">
        <v>1</v>
      </c>
      <c r="G42" s="15">
        <v>225</v>
      </c>
      <c r="H42" s="15">
        <v>225</v>
      </c>
    </row>
    <row r="43" ht="12.9" customHeight="1">
      <c r="A43" t="s" s="10">
        <v>6423</v>
      </c>
      <c r="B43" t="s" s="11">
        <v>6424</v>
      </c>
      <c r="C43" s="12">
        <v>44955.532164351855</v>
      </c>
      <c r="D43" t="s" s="13">
        <v>35</v>
      </c>
      <c r="E43" t="s" s="13">
        <v>36</v>
      </c>
      <c r="F43" s="14">
        <v>1</v>
      </c>
      <c r="G43" s="15">
        <v>49.99</v>
      </c>
      <c r="H43" s="15">
        <v>49.99</v>
      </c>
    </row>
    <row r="44" ht="12.9" customHeight="1">
      <c r="A44" t="s" s="10">
        <v>6425</v>
      </c>
      <c r="B44" t="s" s="11">
        <v>6424</v>
      </c>
      <c r="C44" s="12">
        <v>44955.519386574073</v>
      </c>
      <c r="D44" t="s" s="13">
        <v>31</v>
      </c>
      <c r="E44" t="s" s="13">
        <v>32</v>
      </c>
      <c r="F44" s="14">
        <v>1</v>
      </c>
      <c r="G44" s="15">
        <v>599.99</v>
      </c>
      <c r="H44" s="15">
        <v>599.99</v>
      </c>
    </row>
    <row r="45" ht="12.9" customHeight="1">
      <c r="A45" t="s" s="10">
        <v>6426</v>
      </c>
      <c r="B45" t="s" s="11">
        <v>6427</v>
      </c>
      <c r="C45" s="12">
        <v>44954.7834375</v>
      </c>
      <c r="D45" t="s" s="13">
        <v>345</v>
      </c>
      <c r="E45" t="s" s="13">
        <v>346</v>
      </c>
      <c r="F45" s="14">
        <v>2</v>
      </c>
      <c r="G45" s="15">
        <v>219.99</v>
      </c>
      <c r="H45" s="15">
        <v>439.98</v>
      </c>
    </row>
    <row r="46" ht="12.9" customHeight="1">
      <c r="A46" t="s" s="10">
        <v>6426</v>
      </c>
      <c r="B46" t="s" s="11">
        <v>6427</v>
      </c>
      <c r="C46" s="12">
        <v>44954.7834375</v>
      </c>
      <c r="D46" t="s" s="13">
        <v>15</v>
      </c>
      <c r="E46" t="s" s="13">
        <v>4757</v>
      </c>
      <c r="F46" s="14">
        <v>1</v>
      </c>
      <c r="G46" s="15">
        <v>9.99</v>
      </c>
      <c r="H46" s="15">
        <v>9.99</v>
      </c>
    </row>
    <row r="47" ht="12.9" customHeight="1">
      <c r="A47" t="s" s="10">
        <v>6428</v>
      </c>
      <c r="B47" t="s" s="11">
        <v>5614</v>
      </c>
      <c r="C47" s="12">
        <v>44954.484351851854</v>
      </c>
      <c r="D47" t="s" s="13">
        <v>95</v>
      </c>
      <c r="E47" t="s" s="13">
        <v>12</v>
      </c>
      <c r="F47" s="14">
        <v>1</v>
      </c>
      <c r="G47" s="15">
        <v>349.99</v>
      </c>
      <c r="H47" s="15">
        <v>349.99</v>
      </c>
    </row>
    <row r="48" ht="12.9" customHeight="1">
      <c r="A48" t="s" s="10">
        <v>6429</v>
      </c>
      <c r="B48" t="s" s="11">
        <v>6430</v>
      </c>
      <c r="C48" s="12">
        <v>44953.674317129633</v>
      </c>
      <c r="D48" t="s" s="13">
        <v>89</v>
      </c>
      <c r="E48" t="s" s="13">
        <v>90</v>
      </c>
      <c r="F48" s="14">
        <v>1</v>
      </c>
      <c r="G48" s="15">
        <v>59.99</v>
      </c>
      <c r="H48" s="15">
        <v>59.99</v>
      </c>
    </row>
    <row r="49" ht="12.9" customHeight="1">
      <c r="A49" t="s" s="10">
        <v>6431</v>
      </c>
      <c r="B49" t="s" s="11">
        <v>6432</v>
      </c>
      <c r="C49" s="12">
        <v>44953.3596412037</v>
      </c>
      <c r="D49" t="s" s="13">
        <v>35</v>
      </c>
      <c r="E49" t="s" s="13">
        <v>36</v>
      </c>
      <c r="F49" s="14">
        <v>1</v>
      </c>
      <c r="G49" s="15">
        <v>49.99</v>
      </c>
      <c r="H49" s="15">
        <v>49.99</v>
      </c>
    </row>
    <row r="50" ht="12.9" customHeight="1">
      <c r="A50" t="s" s="10">
        <v>6433</v>
      </c>
      <c r="B50" t="s" s="11">
        <v>6243</v>
      </c>
      <c r="C50" s="12">
        <v>44953.344791666670</v>
      </c>
      <c r="D50" t="s" s="13">
        <v>73</v>
      </c>
      <c r="E50" t="s" s="13">
        <v>74</v>
      </c>
      <c r="F50" s="14">
        <v>2</v>
      </c>
      <c r="G50" s="15">
        <v>399.99</v>
      </c>
      <c r="H50" s="15">
        <v>799.98</v>
      </c>
    </row>
    <row r="51" ht="12.9" customHeight="1">
      <c r="A51" t="s" s="10">
        <v>6434</v>
      </c>
      <c r="B51" t="s" s="11">
        <v>2940</v>
      </c>
      <c r="C51" s="12">
        <v>44953</v>
      </c>
      <c r="D51" t="s" s="13">
        <v>11</v>
      </c>
      <c r="E51" t="s" s="13">
        <v>12</v>
      </c>
      <c r="F51" s="14">
        <v>1</v>
      </c>
      <c r="G51" s="15">
        <v>359.991</v>
      </c>
      <c r="H51" s="15">
        <v>359.991</v>
      </c>
    </row>
    <row r="52" ht="12.9" customHeight="1">
      <c r="A52" t="s" s="10">
        <v>6435</v>
      </c>
      <c r="B52" t="s" s="11">
        <v>6436</v>
      </c>
      <c r="C52" s="12">
        <v>44952.706898148150</v>
      </c>
      <c r="D52" t="s" s="13">
        <v>589</v>
      </c>
      <c r="E52" t="s" s="13">
        <v>590</v>
      </c>
      <c r="F52" s="14">
        <v>1</v>
      </c>
      <c r="G52" s="15">
        <v>7.49</v>
      </c>
      <c r="H52" s="15">
        <v>7.49</v>
      </c>
    </row>
    <row r="53" ht="12.9" customHeight="1">
      <c r="A53" t="s" s="10">
        <v>6437</v>
      </c>
      <c r="B53" t="s" s="11">
        <v>69</v>
      </c>
      <c r="C53" s="12">
        <v>44952</v>
      </c>
      <c r="D53" t="s" s="13">
        <v>254</v>
      </c>
      <c r="E53" t="s" s="13">
        <v>6438</v>
      </c>
      <c r="F53" s="14">
        <v>2</v>
      </c>
      <c r="G53" s="15">
        <v>0</v>
      </c>
      <c r="H53" s="15">
        <v>0</v>
      </c>
    </row>
    <row r="54" ht="12.9" customHeight="1">
      <c r="A54" t="s" s="10">
        <v>6439</v>
      </c>
      <c r="B54" t="s" s="11">
        <v>6440</v>
      </c>
      <c r="C54" s="12">
        <v>44951.850034722222</v>
      </c>
      <c r="D54" t="s" s="13">
        <v>470</v>
      </c>
      <c r="E54" t="s" s="13">
        <v>828</v>
      </c>
      <c r="F54" s="14">
        <v>2</v>
      </c>
      <c r="G54" s="15">
        <v>249.99</v>
      </c>
      <c r="H54" s="15">
        <v>499.98</v>
      </c>
    </row>
    <row r="55" ht="12.9" customHeight="1">
      <c r="A55" t="s" s="10">
        <v>6439</v>
      </c>
      <c r="B55" t="s" s="11">
        <v>6440</v>
      </c>
      <c r="C55" s="12">
        <v>44951.850034722222</v>
      </c>
      <c r="D55" t="s" s="13">
        <v>1961</v>
      </c>
      <c r="E55" t="s" s="13">
        <v>1962</v>
      </c>
      <c r="F55" s="14">
        <v>2</v>
      </c>
      <c r="G55" s="15">
        <v>109.99</v>
      </c>
      <c r="H55" s="15">
        <v>219.98</v>
      </c>
    </row>
    <row r="56" ht="12.9" customHeight="1">
      <c r="A56" t="s" s="10">
        <v>6441</v>
      </c>
      <c r="B56" t="s" s="11">
        <v>6442</v>
      </c>
      <c r="C56" s="12">
        <v>44951.566504629627</v>
      </c>
      <c r="D56" t="s" s="13">
        <v>35</v>
      </c>
      <c r="E56" t="s" s="13">
        <v>36</v>
      </c>
      <c r="F56" s="14">
        <v>2</v>
      </c>
      <c r="G56" s="15">
        <v>49.99</v>
      </c>
      <c r="H56" s="15">
        <v>99.98</v>
      </c>
    </row>
    <row r="57" ht="12.9" customHeight="1">
      <c r="A57" t="s" s="10">
        <v>6441</v>
      </c>
      <c r="B57" t="s" s="11">
        <v>6442</v>
      </c>
      <c r="C57" s="12">
        <v>44951.566504629627</v>
      </c>
      <c r="D57" t="s" s="13">
        <v>345</v>
      </c>
      <c r="E57" t="s" s="13">
        <v>346</v>
      </c>
      <c r="F57" s="14">
        <v>1</v>
      </c>
      <c r="G57" s="15">
        <v>219.99</v>
      </c>
      <c r="H57" s="15">
        <v>219.99</v>
      </c>
    </row>
    <row r="58" ht="12.9" customHeight="1">
      <c r="A58" t="s" s="10">
        <v>6441</v>
      </c>
      <c r="B58" t="s" s="11">
        <v>6442</v>
      </c>
      <c r="C58" s="12">
        <v>44951.566504629627</v>
      </c>
      <c r="D58" t="s" s="13">
        <v>15</v>
      </c>
      <c r="E58" t="s" s="13">
        <v>4757</v>
      </c>
      <c r="F58" s="14">
        <v>1</v>
      </c>
      <c r="G58" s="15">
        <v>9.99</v>
      </c>
      <c r="H58" s="15">
        <v>9.99</v>
      </c>
    </row>
    <row r="59" ht="12.9" customHeight="1">
      <c r="A59" t="s" s="10">
        <v>6443</v>
      </c>
      <c r="B59" t="s" s="11">
        <v>6444</v>
      </c>
      <c r="C59" s="12">
        <v>44951.474039351851</v>
      </c>
      <c r="D59" t="s" s="13">
        <v>171</v>
      </c>
      <c r="E59" t="s" s="13">
        <v>172</v>
      </c>
      <c r="F59" s="14">
        <v>1</v>
      </c>
      <c r="G59" s="15">
        <v>549.99</v>
      </c>
      <c r="H59" s="15">
        <v>549.99</v>
      </c>
    </row>
    <row r="60" ht="12.9" customHeight="1">
      <c r="A60" t="s" s="10">
        <v>6445</v>
      </c>
      <c r="B60" t="s" s="11">
        <v>2940</v>
      </c>
      <c r="C60" s="12">
        <v>44951</v>
      </c>
      <c r="D60" t="s" s="13">
        <v>95</v>
      </c>
      <c r="E60" t="s" s="13">
        <v>12</v>
      </c>
      <c r="F60" s="14">
        <v>2</v>
      </c>
      <c r="G60" s="15">
        <v>314.991</v>
      </c>
      <c r="H60" s="15">
        <v>629.982</v>
      </c>
    </row>
    <row r="61" ht="12.9" customHeight="1">
      <c r="A61" t="s" s="10">
        <v>6446</v>
      </c>
      <c r="B61" t="s" s="11">
        <v>6447</v>
      </c>
      <c r="C61" s="12">
        <v>44950.763900462960</v>
      </c>
      <c r="D61" t="s" s="13">
        <v>1729</v>
      </c>
      <c r="E61" t="s" s="13">
        <v>4639</v>
      </c>
      <c r="F61" s="14">
        <v>2</v>
      </c>
      <c r="G61" s="15">
        <v>14.99</v>
      </c>
      <c r="H61" s="15">
        <v>29.98</v>
      </c>
    </row>
    <row r="62" ht="12.9" customHeight="1">
      <c r="A62" t="s" s="10">
        <v>6446</v>
      </c>
      <c r="B62" t="s" s="11">
        <v>6447</v>
      </c>
      <c r="C62" s="12">
        <v>44950.763900462960</v>
      </c>
      <c r="D62" t="s" s="13">
        <v>2787</v>
      </c>
      <c r="E62" t="s" s="13">
        <v>2962</v>
      </c>
      <c r="F62" s="14">
        <v>2</v>
      </c>
      <c r="G62" s="15">
        <v>22.99</v>
      </c>
      <c r="H62" s="15">
        <v>45.98</v>
      </c>
    </row>
    <row r="63" ht="12.9" customHeight="1">
      <c r="A63" t="s" s="10">
        <v>6448</v>
      </c>
      <c r="B63" t="s" s="11">
        <v>6449</v>
      </c>
      <c r="C63" s="12">
        <v>44950.685231481482</v>
      </c>
      <c r="D63" t="s" s="13">
        <v>11</v>
      </c>
      <c r="E63" t="s" s="13">
        <v>12</v>
      </c>
      <c r="F63" s="14">
        <v>2</v>
      </c>
      <c r="G63" s="15">
        <v>399.99</v>
      </c>
      <c r="H63" s="15">
        <v>799.98</v>
      </c>
    </row>
    <row r="64" ht="12.9" customHeight="1">
      <c r="A64" t="s" s="10">
        <v>6450</v>
      </c>
      <c r="B64" t="s" s="11">
        <v>6451</v>
      </c>
      <c r="C64" s="12">
        <v>44949.733043981483</v>
      </c>
      <c r="D64" t="s" s="13">
        <v>73</v>
      </c>
      <c r="E64" t="s" s="13">
        <v>74</v>
      </c>
      <c r="F64" s="14">
        <v>1</v>
      </c>
      <c r="G64" s="15">
        <v>399.99</v>
      </c>
      <c r="H64" s="15">
        <v>399.99</v>
      </c>
    </row>
    <row r="65" ht="12.9" customHeight="1">
      <c r="A65" t="s" s="10">
        <v>6452</v>
      </c>
      <c r="B65" t="s" s="11">
        <v>3189</v>
      </c>
      <c r="C65" s="12">
        <v>44949.676458333335</v>
      </c>
      <c r="D65" t="s" s="13">
        <v>15</v>
      </c>
      <c r="E65" t="s" s="13">
        <v>4757</v>
      </c>
      <c r="F65" s="14">
        <v>1</v>
      </c>
      <c r="G65" s="15">
        <v>9.99</v>
      </c>
      <c r="H65" s="15">
        <v>9.99</v>
      </c>
    </row>
    <row r="66" ht="12.9" customHeight="1">
      <c r="A66" t="s" s="10">
        <v>6453</v>
      </c>
      <c r="B66" t="s" s="11">
        <v>967</v>
      </c>
      <c r="C66" s="12">
        <v>44949.623298611114</v>
      </c>
      <c r="D66" t="s" s="13">
        <v>11</v>
      </c>
      <c r="E66" t="s" s="13">
        <v>12</v>
      </c>
      <c r="F66" s="14">
        <v>1</v>
      </c>
      <c r="G66" s="15">
        <v>399.99</v>
      </c>
      <c r="H66" s="15">
        <v>399.99</v>
      </c>
    </row>
    <row r="67" ht="12.9" customHeight="1">
      <c r="A67" t="s" s="10">
        <v>6454</v>
      </c>
      <c r="B67" t="s" s="11">
        <v>6455</v>
      </c>
      <c r="C67" s="12">
        <v>44949.513541666667</v>
      </c>
      <c r="D67" t="s" s="13">
        <v>95</v>
      </c>
      <c r="E67" t="s" s="13">
        <v>12</v>
      </c>
      <c r="F67" s="14">
        <v>1</v>
      </c>
      <c r="G67" s="15">
        <v>349.99</v>
      </c>
      <c r="H67" s="15">
        <v>349.99</v>
      </c>
    </row>
    <row r="68" ht="12.9" customHeight="1">
      <c r="A68" t="s" s="10">
        <v>6456</v>
      </c>
      <c r="B68" t="s" s="11">
        <v>3946</v>
      </c>
      <c r="C68" s="12">
        <v>44949.501319444447</v>
      </c>
      <c r="D68" t="s" s="13">
        <v>48</v>
      </c>
      <c r="E68" t="s" s="13">
        <v>49</v>
      </c>
      <c r="F68" s="14">
        <v>1</v>
      </c>
      <c r="G68" s="15">
        <v>1299.99</v>
      </c>
      <c r="H68" s="15">
        <v>1299.99</v>
      </c>
    </row>
    <row r="69" ht="12.9" customHeight="1">
      <c r="A69" t="s" s="10">
        <v>6456</v>
      </c>
      <c r="B69" t="s" s="11">
        <v>3946</v>
      </c>
      <c r="C69" s="12">
        <v>44949.501319444447</v>
      </c>
      <c r="D69" t="s" s="13">
        <v>50</v>
      </c>
      <c r="E69" t="s" s="13">
        <v>83</v>
      </c>
      <c r="F69" s="14">
        <v>1</v>
      </c>
      <c r="G69" s="15">
        <v>0</v>
      </c>
      <c r="H69" s="15">
        <v>0</v>
      </c>
    </row>
    <row r="70" ht="12.9" customHeight="1">
      <c r="A70" t="s" s="10">
        <v>6456</v>
      </c>
      <c r="B70" t="s" s="11">
        <v>3946</v>
      </c>
      <c r="C70" s="12">
        <v>44949.501319444447</v>
      </c>
      <c r="D70" t="s" s="13">
        <v>52</v>
      </c>
      <c r="E70" t="s" s="13">
        <v>4287</v>
      </c>
      <c r="F70" s="14">
        <v>1</v>
      </c>
      <c r="G70" s="15">
        <v>0</v>
      </c>
      <c r="H70" s="15">
        <v>0</v>
      </c>
    </row>
    <row r="71" ht="12.9" customHeight="1">
      <c r="A71" t="s" s="10">
        <v>6456</v>
      </c>
      <c r="B71" t="s" s="11">
        <v>3946</v>
      </c>
      <c r="C71" s="12">
        <v>44949.501319444447</v>
      </c>
      <c r="D71" t="s" s="13">
        <v>84</v>
      </c>
      <c r="E71" t="s" s="13">
        <v>4225</v>
      </c>
      <c r="F71" s="14">
        <v>1</v>
      </c>
      <c r="G71" s="15">
        <v>0</v>
      </c>
      <c r="H71" s="15">
        <v>0</v>
      </c>
    </row>
    <row r="72" ht="12.9" customHeight="1">
      <c r="A72" t="s" s="10">
        <v>6456</v>
      </c>
      <c r="B72" t="s" s="11">
        <v>3946</v>
      </c>
      <c r="C72" s="12">
        <v>44949.501319444447</v>
      </c>
      <c r="D72" t="s" s="13">
        <v>133</v>
      </c>
      <c r="E72" t="s" s="13">
        <v>4835</v>
      </c>
      <c r="F72" s="14">
        <v>1</v>
      </c>
      <c r="G72" s="15">
        <v>50</v>
      </c>
      <c r="H72" s="15">
        <v>50</v>
      </c>
    </row>
    <row r="73" ht="12.9" customHeight="1">
      <c r="A73" t="s" s="10">
        <v>6456</v>
      </c>
      <c r="B73" t="s" s="11">
        <v>3946</v>
      </c>
      <c r="C73" s="12">
        <v>44949.501319444447</v>
      </c>
      <c r="D73" t="s" s="13">
        <v>1069</v>
      </c>
      <c r="E73" t="s" s="13">
        <v>828</v>
      </c>
      <c r="F73" s="14">
        <v>1</v>
      </c>
      <c r="G73" s="15">
        <v>99.98999999999999</v>
      </c>
      <c r="H73" s="15">
        <v>99.98999999999999</v>
      </c>
    </row>
    <row r="74" ht="12.9" customHeight="1">
      <c r="A74" t="s" s="10">
        <v>6456</v>
      </c>
      <c r="B74" t="s" s="11">
        <v>3946</v>
      </c>
      <c r="C74" s="12">
        <v>44949.501319444447</v>
      </c>
      <c r="D74" t="s" s="13">
        <v>73</v>
      </c>
      <c r="E74" t="s" s="13">
        <v>74</v>
      </c>
      <c r="F74" s="14">
        <v>1</v>
      </c>
      <c r="G74" s="15">
        <v>399.99</v>
      </c>
      <c r="H74" s="15">
        <v>399.99</v>
      </c>
    </row>
    <row r="75" ht="12.9" customHeight="1">
      <c r="A75" t="s" s="10">
        <v>6457</v>
      </c>
      <c r="B75" t="s" s="11">
        <v>6172</v>
      </c>
      <c r="C75" s="12">
        <v>44949.470729166664</v>
      </c>
      <c r="D75" t="s" s="13">
        <v>73</v>
      </c>
      <c r="E75" t="s" s="13">
        <v>74</v>
      </c>
      <c r="F75" s="14">
        <v>5</v>
      </c>
      <c r="G75" s="15">
        <v>399.99</v>
      </c>
      <c r="H75" s="15">
        <v>1999.95</v>
      </c>
    </row>
    <row r="76" ht="12.9" customHeight="1">
      <c r="A76" t="s" s="10">
        <v>6457</v>
      </c>
      <c r="B76" t="s" s="11">
        <v>6172</v>
      </c>
      <c r="C76" s="12">
        <v>44949.470729166664</v>
      </c>
      <c r="D76" t="s" s="13">
        <v>589</v>
      </c>
      <c r="E76" t="s" s="13">
        <v>590</v>
      </c>
      <c r="F76" s="14">
        <v>1</v>
      </c>
      <c r="G76" s="15">
        <v>7.49</v>
      </c>
      <c r="H76" s="15">
        <v>7.49</v>
      </c>
    </row>
    <row r="77" ht="12.9" customHeight="1">
      <c r="A77" t="s" s="10">
        <v>6457</v>
      </c>
      <c r="B77" t="s" s="11">
        <v>6172</v>
      </c>
      <c r="C77" s="12">
        <v>44949.470729166664</v>
      </c>
      <c r="D77" t="s" s="13">
        <v>15</v>
      </c>
      <c r="E77" t="s" s="13">
        <v>4757</v>
      </c>
      <c r="F77" s="14">
        <v>3</v>
      </c>
      <c r="G77" s="15">
        <v>9.99</v>
      </c>
      <c r="H77" s="15">
        <v>29.97</v>
      </c>
    </row>
    <row r="78" ht="12.9" customHeight="1">
      <c r="A78" t="s" s="10">
        <v>6458</v>
      </c>
      <c r="B78" t="s" s="11">
        <v>6459</v>
      </c>
      <c r="C78" s="12">
        <v>44949.3934837963</v>
      </c>
      <c r="D78" t="s" s="13">
        <v>95</v>
      </c>
      <c r="E78" t="s" s="13">
        <v>12</v>
      </c>
      <c r="F78" s="14">
        <v>1</v>
      </c>
      <c r="G78" s="15">
        <v>349.99</v>
      </c>
      <c r="H78" s="15">
        <v>349.99</v>
      </c>
    </row>
    <row r="79" ht="12.9" customHeight="1">
      <c r="A79" t="s" s="10">
        <v>6460</v>
      </c>
      <c r="B79" t="s" s="11">
        <v>6461</v>
      </c>
      <c r="C79" s="12">
        <v>44949.301423611112</v>
      </c>
      <c r="D79" t="s" s="13">
        <v>89</v>
      </c>
      <c r="E79" t="s" s="13">
        <v>90</v>
      </c>
      <c r="F79" s="14">
        <v>2</v>
      </c>
      <c r="G79" s="15">
        <v>59.99</v>
      </c>
      <c r="H79" s="15">
        <v>119.98</v>
      </c>
    </row>
    <row r="80" ht="12.9" customHeight="1">
      <c r="A80" t="s" s="10">
        <v>6462</v>
      </c>
      <c r="B80" t="s" s="11">
        <v>3801</v>
      </c>
      <c r="C80" s="12">
        <v>44949.262164351851</v>
      </c>
      <c r="D80" t="s" s="13">
        <v>19</v>
      </c>
      <c r="E80" t="s" s="13">
        <v>20</v>
      </c>
      <c r="F80" s="14">
        <v>1</v>
      </c>
      <c r="G80" s="15">
        <v>119.99</v>
      </c>
      <c r="H80" s="15">
        <v>119.99</v>
      </c>
    </row>
    <row r="81" ht="12.9" customHeight="1">
      <c r="A81" t="s" s="10">
        <v>6462</v>
      </c>
      <c r="B81" t="s" s="11">
        <v>3801</v>
      </c>
      <c r="C81" s="12">
        <v>44949.262164351851</v>
      </c>
      <c r="D81" t="s" s="13">
        <v>15</v>
      </c>
      <c r="E81" t="s" s="13">
        <v>4757</v>
      </c>
      <c r="F81" s="14">
        <v>1</v>
      </c>
      <c r="G81" s="15">
        <v>0</v>
      </c>
      <c r="H81" s="15">
        <v>0</v>
      </c>
    </row>
    <row r="82" ht="12.9" customHeight="1">
      <c r="A82" t="s" s="10">
        <v>6463</v>
      </c>
      <c r="B82" t="s" s="11">
        <v>2275</v>
      </c>
      <c r="C82" s="12">
        <v>44949</v>
      </c>
      <c r="D82" t="s" s="13">
        <v>48</v>
      </c>
      <c r="E82" t="s" s="13">
        <v>6464</v>
      </c>
      <c r="F82" s="14">
        <v>6</v>
      </c>
      <c r="G82" s="15">
        <v>900</v>
      </c>
      <c r="H82" s="15">
        <v>5400</v>
      </c>
    </row>
    <row r="83" ht="12.9" customHeight="1">
      <c r="A83" t="s" s="10">
        <v>6463</v>
      </c>
      <c r="B83" t="s" s="11">
        <v>2275</v>
      </c>
      <c r="C83" s="12">
        <v>44949</v>
      </c>
      <c r="D83" t="s" s="13">
        <v>1054</v>
      </c>
      <c r="E83" t="s" s="13">
        <v>6465</v>
      </c>
      <c r="F83" s="14">
        <v>12</v>
      </c>
      <c r="G83" s="15">
        <v>112.4925</v>
      </c>
      <c r="H83" s="15">
        <v>1349.91</v>
      </c>
    </row>
    <row r="84" ht="12.9" customHeight="1">
      <c r="A84" t="s" s="10">
        <v>6463</v>
      </c>
      <c r="B84" t="s" s="11">
        <v>2275</v>
      </c>
      <c r="C84" s="12">
        <v>44949</v>
      </c>
      <c r="D84" t="s" s="13">
        <v>602</v>
      </c>
      <c r="E84" t="s" s="13">
        <v>6466</v>
      </c>
      <c r="F84" s="14">
        <v>8</v>
      </c>
      <c r="G84" s="15">
        <v>224.9925</v>
      </c>
      <c r="H84" s="15">
        <v>1799.94</v>
      </c>
    </row>
    <row r="85" ht="12.9" customHeight="1">
      <c r="A85" t="s" s="10">
        <v>6463</v>
      </c>
      <c r="B85" t="s" s="11">
        <v>2275</v>
      </c>
      <c r="C85" s="12">
        <v>44949</v>
      </c>
      <c r="D85" t="s" s="13">
        <v>54</v>
      </c>
      <c r="E85" t="s" s="13">
        <v>55</v>
      </c>
      <c r="F85" s="14">
        <v>6</v>
      </c>
      <c r="G85" s="15">
        <v>0</v>
      </c>
      <c r="H85" s="15">
        <v>0</v>
      </c>
    </row>
    <row r="86" ht="12.9" customHeight="1">
      <c r="A86" t="s" s="10">
        <v>6463</v>
      </c>
      <c r="B86" t="s" s="11">
        <v>2275</v>
      </c>
      <c r="C86" s="12">
        <v>44949</v>
      </c>
      <c r="D86" t="s" s="13">
        <v>15</v>
      </c>
      <c r="E86" t="s" s="13">
        <v>5690</v>
      </c>
      <c r="F86" s="14">
        <v>6</v>
      </c>
      <c r="G86" s="15">
        <v>8.99</v>
      </c>
      <c r="H86" s="15">
        <v>53.94</v>
      </c>
    </row>
    <row r="87" ht="12.9" customHeight="1">
      <c r="A87" t="s" s="10">
        <v>6463</v>
      </c>
      <c r="B87" t="s" s="11">
        <v>2275</v>
      </c>
      <c r="C87" s="12">
        <v>44949</v>
      </c>
      <c r="D87" t="s" s="13">
        <v>52</v>
      </c>
      <c r="E87" t="s" s="13">
        <v>5474</v>
      </c>
      <c r="F87" s="14">
        <v>6</v>
      </c>
      <c r="G87" s="15">
        <v>0</v>
      </c>
      <c r="H87" s="15">
        <v>0</v>
      </c>
    </row>
    <row r="88" ht="12.9" customHeight="1">
      <c r="A88" t="s" s="10">
        <v>6463</v>
      </c>
      <c r="B88" t="s" s="11">
        <v>2275</v>
      </c>
      <c r="C88" s="12">
        <v>44949</v>
      </c>
      <c r="D88" t="s" s="13">
        <v>47</v>
      </c>
      <c r="E88" s="16"/>
      <c r="F88" s="14">
        <v>1</v>
      </c>
      <c r="G88" s="15">
        <v>175</v>
      </c>
      <c r="H88" s="15">
        <v>175</v>
      </c>
    </row>
    <row r="89" ht="12.9" customHeight="1">
      <c r="A89" t="s" s="10">
        <v>6467</v>
      </c>
      <c r="B89" t="s" s="11">
        <v>2275</v>
      </c>
      <c r="C89" s="12">
        <v>44949</v>
      </c>
      <c r="D89" t="s" s="13">
        <v>48</v>
      </c>
      <c r="E89" t="s" s="13">
        <v>6464</v>
      </c>
      <c r="F89" s="14">
        <v>2</v>
      </c>
      <c r="G89" s="15">
        <v>900</v>
      </c>
      <c r="H89" s="15">
        <v>1800</v>
      </c>
    </row>
    <row r="90" ht="12.9" customHeight="1">
      <c r="A90" t="s" s="10">
        <v>6467</v>
      </c>
      <c r="B90" t="s" s="11">
        <v>2275</v>
      </c>
      <c r="C90" s="12">
        <v>44949</v>
      </c>
      <c r="D90" t="s" s="13">
        <v>54</v>
      </c>
      <c r="E90" t="s" s="13">
        <v>55</v>
      </c>
      <c r="F90" s="14">
        <v>2</v>
      </c>
      <c r="G90" s="15">
        <v>0</v>
      </c>
      <c r="H90" s="15">
        <v>0</v>
      </c>
    </row>
    <row r="91" ht="12.9" customHeight="1">
      <c r="A91" t="s" s="10">
        <v>6467</v>
      </c>
      <c r="B91" t="s" s="11">
        <v>2275</v>
      </c>
      <c r="C91" s="12">
        <v>44949</v>
      </c>
      <c r="D91" t="s" s="13">
        <v>15</v>
      </c>
      <c r="E91" t="s" s="13">
        <v>5690</v>
      </c>
      <c r="F91" s="14">
        <v>2</v>
      </c>
      <c r="G91" s="15">
        <v>0</v>
      </c>
      <c r="H91" s="15">
        <v>0</v>
      </c>
    </row>
    <row r="92" ht="12.9" customHeight="1">
      <c r="A92" t="s" s="10">
        <v>6467</v>
      </c>
      <c r="B92" t="s" s="11">
        <v>2275</v>
      </c>
      <c r="C92" s="12">
        <v>44949</v>
      </c>
      <c r="D92" t="s" s="13">
        <v>52</v>
      </c>
      <c r="E92" t="s" s="13">
        <v>5474</v>
      </c>
      <c r="F92" s="14">
        <v>2</v>
      </c>
      <c r="G92" s="15">
        <v>0</v>
      </c>
      <c r="H92" s="15">
        <v>0</v>
      </c>
    </row>
    <row r="93" ht="12.9" customHeight="1">
      <c r="A93" t="s" s="10">
        <v>6467</v>
      </c>
      <c r="B93" t="s" s="11">
        <v>2275</v>
      </c>
      <c r="C93" s="12">
        <v>44949</v>
      </c>
      <c r="D93" t="s" s="13">
        <v>47</v>
      </c>
      <c r="E93" s="16"/>
      <c r="F93" s="14">
        <v>1</v>
      </c>
      <c r="G93" s="15">
        <v>50</v>
      </c>
      <c r="H93" s="15">
        <v>50</v>
      </c>
    </row>
    <row r="94" ht="12.9" customHeight="1">
      <c r="A94" t="s" s="10">
        <v>6468</v>
      </c>
      <c r="B94" t="s" s="11">
        <v>2940</v>
      </c>
      <c r="C94" s="12">
        <v>44949</v>
      </c>
      <c r="D94" t="s" s="13">
        <v>95</v>
      </c>
      <c r="E94" t="s" s="13">
        <v>12</v>
      </c>
      <c r="F94" s="14">
        <v>1</v>
      </c>
      <c r="G94" s="15">
        <v>314.991</v>
      </c>
      <c r="H94" s="15">
        <v>314.991</v>
      </c>
    </row>
    <row r="95" ht="12.9" customHeight="1">
      <c r="A95" t="s" s="10">
        <v>6469</v>
      </c>
      <c r="B95" t="s" s="11">
        <v>1235</v>
      </c>
      <c r="C95" s="12">
        <v>44947.5975925926</v>
      </c>
      <c r="D95" t="s" s="13">
        <v>48</v>
      </c>
      <c r="E95" t="s" s="13">
        <v>49</v>
      </c>
      <c r="F95" s="14">
        <v>1</v>
      </c>
      <c r="G95" s="15">
        <v>1299.99</v>
      </c>
      <c r="H95" s="15">
        <v>1299.99</v>
      </c>
    </row>
    <row r="96" ht="12.9" customHeight="1">
      <c r="A96" t="s" s="10">
        <v>6469</v>
      </c>
      <c r="B96" t="s" s="11">
        <v>1235</v>
      </c>
      <c r="C96" s="12">
        <v>44947.5975925926</v>
      </c>
      <c r="D96" t="s" s="13">
        <v>50</v>
      </c>
      <c r="E96" t="s" s="13">
        <v>83</v>
      </c>
      <c r="F96" s="14">
        <v>1</v>
      </c>
      <c r="G96" s="15">
        <v>0</v>
      </c>
      <c r="H96" s="15">
        <v>0</v>
      </c>
    </row>
    <row r="97" ht="12.9" customHeight="1">
      <c r="A97" t="s" s="10">
        <v>6469</v>
      </c>
      <c r="B97" t="s" s="11">
        <v>1235</v>
      </c>
      <c r="C97" s="12">
        <v>44947.5975925926</v>
      </c>
      <c r="D97" t="s" s="13">
        <v>52</v>
      </c>
      <c r="E97" t="s" s="13">
        <v>4287</v>
      </c>
      <c r="F97" s="14">
        <v>1</v>
      </c>
      <c r="G97" s="15">
        <v>0</v>
      </c>
      <c r="H97" s="15">
        <v>0</v>
      </c>
    </row>
    <row r="98" ht="12.9" customHeight="1">
      <c r="A98" t="s" s="10">
        <v>6469</v>
      </c>
      <c r="B98" t="s" s="11">
        <v>1235</v>
      </c>
      <c r="C98" s="12">
        <v>44947.5975925926</v>
      </c>
      <c r="D98" t="s" s="13">
        <v>84</v>
      </c>
      <c r="E98" t="s" s="13">
        <v>4225</v>
      </c>
      <c r="F98" s="14">
        <v>1</v>
      </c>
      <c r="G98" s="15">
        <v>0</v>
      </c>
      <c r="H98" s="15">
        <v>0</v>
      </c>
    </row>
    <row r="99" ht="12.9" customHeight="1">
      <c r="A99" t="s" s="10">
        <v>6469</v>
      </c>
      <c r="B99" t="s" s="11">
        <v>1235</v>
      </c>
      <c r="C99" s="12">
        <v>44947.5975925926</v>
      </c>
      <c r="D99" t="s" s="13">
        <v>23</v>
      </c>
      <c r="E99" t="s" s="13">
        <v>828</v>
      </c>
      <c r="F99" s="14">
        <v>1</v>
      </c>
      <c r="G99" s="15">
        <v>0</v>
      </c>
      <c r="H99" s="15">
        <v>0</v>
      </c>
    </row>
    <row r="100" ht="12.9" customHeight="1">
      <c r="A100" t="s" s="10">
        <v>6469</v>
      </c>
      <c r="B100" t="s" s="11">
        <v>1235</v>
      </c>
      <c r="C100" s="12">
        <v>44947.5975925926</v>
      </c>
      <c r="D100" t="s" s="13">
        <v>1069</v>
      </c>
      <c r="E100" t="s" s="13">
        <v>828</v>
      </c>
      <c r="F100" s="14">
        <v>1</v>
      </c>
      <c r="G100" s="15">
        <v>99.98999999999999</v>
      </c>
      <c r="H100" s="15">
        <v>99.98999999999999</v>
      </c>
    </row>
    <row r="101" ht="12.9" customHeight="1">
      <c r="A101" t="s" s="10">
        <v>6470</v>
      </c>
      <c r="B101" t="s" s="11">
        <v>6471</v>
      </c>
      <c r="C101" s="12">
        <v>44946.482673611114</v>
      </c>
      <c r="D101" t="s" s="13">
        <v>602</v>
      </c>
      <c r="E101" t="s" s="13">
        <v>828</v>
      </c>
      <c r="F101" s="14">
        <v>2</v>
      </c>
      <c r="G101" s="15">
        <v>299.99</v>
      </c>
      <c r="H101" s="15">
        <v>599.98</v>
      </c>
    </row>
    <row r="102" ht="12.9" customHeight="1">
      <c r="A102" t="s" s="10">
        <v>6472</v>
      </c>
      <c r="B102" t="s" s="11">
        <v>6473</v>
      </c>
      <c r="C102" s="12">
        <v>44946.412766203706</v>
      </c>
      <c r="D102" t="s" s="13">
        <v>171</v>
      </c>
      <c r="E102" t="s" s="13">
        <v>172</v>
      </c>
      <c r="F102" s="14">
        <v>1</v>
      </c>
      <c r="G102" s="15">
        <v>549.99</v>
      </c>
      <c r="H102" s="15">
        <v>549.99</v>
      </c>
    </row>
    <row r="103" ht="12.9" customHeight="1">
      <c r="A103" t="s" s="10">
        <v>6474</v>
      </c>
      <c r="B103" t="s" s="11">
        <v>6475</v>
      </c>
      <c r="C103" s="12">
        <v>44946.3022337963</v>
      </c>
      <c r="D103" t="s" s="13">
        <v>412</v>
      </c>
      <c r="E103" t="s" s="13">
        <v>413</v>
      </c>
      <c r="F103" s="14">
        <v>10</v>
      </c>
      <c r="G103" s="15">
        <v>1.99</v>
      </c>
      <c r="H103" s="15">
        <v>19.9</v>
      </c>
    </row>
    <row r="104" ht="12.9" customHeight="1">
      <c r="A104" t="s" s="10">
        <v>6476</v>
      </c>
      <c r="B104" t="s" s="11">
        <v>6477</v>
      </c>
      <c r="C104" s="12">
        <v>44946.302152777775</v>
      </c>
      <c r="D104" t="s" s="13">
        <v>35</v>
      </c>
      <c r="E104" t="s" s="13">
        <v>36</v>
      </c>
      <c r="F104" s="14">
        <v>1</v>
      </c>
      <c r="G104" s="15">
        <v>49.99</v>
      </c>
      <c r="H104" s="15">
        <v>49.99</v>
      </c>
    </row>
    <row r="105" ht="12.9" customHeight="1">
      <c r="A105" t="s" s="10">
        <v>6478</v>
      </c>
      <c r="B105" t="s" s="11">
        <v>3024</v>
      </c>
      <c r="C105" s="12">
        <v>44945.614201388889</v>
      </c>
      <c r="D105" t="s" s="13">
        <v>95</v>
      </c>
      <c r="E105" t="s" s="13">
        <v>12</v>
      </c>
      <c r="F105" s="14">
        <v>1</v>
      </c>
      <c r="G105" s="15">
        <v>349.99</v>
      </c>
      <c r="H105" s="15">
        <v>349.99</v>
      </c>
    </row>
    <row r="106" ht="12.9" customHeight="1">
      <c r="A106" t="s" s="10">
        <v>6478</v>
      </c>
      <c r="B106" t="s" s="11">
        <v>3024</v>
      </c>
      <c r="C106" s="12">
        <v>44945.614201388889</v>
      </c>
      <c r="D106" t="s" s="13">
        <v>171</v>
      </c>
      <c r="E106" t="s" s="13">
        <v>172</v>
      </c>
      <c r="F106" s="14">
        <v>1</v>
      </c>
      <c r="G106" s="15">
        <v>549.99</v>
      </c>
      <c r="H106" s="15">
        <v>549.99</v>
      </c>
    </row>
    <row r="107" ht="12.9" customHeight="1">
      <c r="A107" t="s" s="10">
        <v>6478</v>
      </c>
      <c r="B107" t="s" s="11">
        <v>3024</v>
      </c>
      <c r="C107" s="12">
        <v>44945.614201388889</v>
      </c>
      <c r="D107" t="s" s="13">
        <v>35</v>
      </c>
      <c r="E107" t="s" s="13">
        <v>36</v>
      </c>
      <c r="F107" s="14">
        <v>1</v>
      </c>
      <c r="G107" s="15">
        <v>49.99</v>
      </c>
      <c r="H107" s="15">
        <v>49.99</v>
      </c>
    </row>
    <row r="108" ht="12.9" customHeight="1">
      <c r="A108" t="s" s="10">
        <v>6479</v>
      </c>
      <c r="B108" t="s" s="11">
        <v>6480</v>
      </c>
      <c r="C108" s="12">
        <v>44945.604837962965</v>
      </c>
      <c r="D108" t="s" s="13">
        <v>11</v>
      </c>
      <c r="E108" t="s" s="13">
        <v>12</v>
      </c>
      <c r="F108" s="14">
        <v>1</v>
      </c>
      <c r="G108" s="15">
        <v>399.99</v>
      </c>
      <c r="H108" s="15">
        <v>399.99</v>
      </c>
    </row>
    <row r="109" ht="12.9" customHeight="1">
      <c r="A109" t="s" s="10">
        <v>6481</v>
      </c>
      <c r="B109" t="s" s="11">
        <v>6482</v>
      </c>
      <c r="C109" s="12">
        <v>44945.4981712963</v>
      </c>
      <c r="D109" t="s" s="13">
        <v>2787</v>
      </c>
      <c r="E109" t="s" s="13">
        <v>2962</v>
      </c>
      <c r="F109" s="14">
        <v>4</v>
      </c>
      <c r="G109" s="15">
        <v>22.99</v>
      </c>
      <c r="H109" s="15">
        <v>91.95999999999999</v>
      </c>
    </row>
    <row r="110" ht="12.9" customHeight="1">
      <c r="A110" t="s" s="10">
        <v>6483</v>
      </c>
      <c r="B110" t="s" s="11">
        <v>3189</v>
      </c>
      <c r="C110" s="12">
        <v>44945</v>
      </c>
      <c r="D110" t="s" s="13">
        <v>125</v>
      </c>
      <c r="E110" t="s" s="13">
        <v>126</v>
      </c>
      <c r="F110" s="14">
        <v>2</v>
      </c>
      <c r="G110" s="15">
        <v>64.98999999999999</v>
      </c>
      <c r="H110" s="15">
        <v>129.98</v>
      </c>
    </row>
    <row r="111" ht="12.9" customHeight="1">
      <c r="A111" t="s" s="10">
        <v>6483</v>
      </c>
      <c r="B111" t="s" s="11">
        <v>3189</v>
      </c>
      <c r="C111" s="12">
        <v>44945</v>
      </c>
      <c r="D111" t="s" s="13">
        <v>146</v>
      </c>
      <c r="E111" t="s" s="13">
        <v>147</v>
      </c>
      <c r="F111" s="14">
        <v>2</v>
      </c>
      <c r="G111" s="15">
        <v>19.99</v>
      </c>
      <c r="H111" s="15">
        <v>39.98</v>
      </c>
    </row>
    <row r="112" ht="12.9" customHeight="1">
      <c r="A112" t="s" s="10">
        <v>6484</v>
      </c>
      <c r="B112" t="s" s="11">
        <v>6399</v>
      </c>
      <c r="C112" s="12">
        <v>44944.704872685186</v>
      </c>
      <c r="D112" t="s" s="13">
        <v>73</v>
      </c>
      <c r="E112" t="s" s="13">
        <v>74</v>
      </c>
      <c r="F112" s="14">
        <v>1</v>
      </c>
      <c r="G112" s="15">
        <v>399.99</v>
      </c>
      <c r="H112" s="15">
        <v>399.99</v>
      </c>
    </row>
    <row r="113" ht="12.9" customHeight="1">
      <c r="A113" t="s" s="10">
        <v>6485</v>
      </c>
      <c r="B113" t="s" s="11">
        <v>6486</v>
      </c>
      <c r="C113" s="12">
        <v>44944.539467592593</v>
      </c>
      <c r="D113" t="s" s="13">
        <v>23</v>
      </c>
      <c r="E113" t="s" s="13">
        <v>828</v>
      </c>
      <c r="F113" s="14">
        <v>1</v>
      </c>
      <c r="G113" s="15">
        <v>149.99</v>
      </c>
      <c r="H113" s="15">
        <v>149.99</v>
      </c>
    </row>
    <row r="114" ht="12.9" customHeight="1">
      <c r="A114" t="s" s="10">
        <v>6485</v>
      </c>
      <c r="B114" t="s" s="11">
        <v>6486</v>
      </c>
      <c r="C114" s="12">
        <v>44944.539467592593</v>
      </c>
      <c r="D114" t="s" s="13">
        <v>84</v>
      </c>
      <c r="E114" t="s" s="13">
        <v>4225</v>
      </c>
      <c r="F114" s="14">
        <v>1</v>
      </c>
      <c r="G114" s="15">
        <v>15</v>
      </c>
      <c r="H114" s="15">
        <v>15</v>
      </c>
    </row>
    <row r="115" ht="12.9" customHeight="1">
      <c r="A115" t="s" s="10">
        <v>6485</v>
      </c>
      <c r="B115" t="s" s="11">
        <v>6486</v>
      </c>
      <c r="C115" s="12">
        <v>44944.539467592593</v>
      </c>
      <c r="D115" t="s" s="13">
        <v>412</v>
      </c>
      <c r="E115" t="s" s="13">
        <v>413</v>
      </c>
      <c r="F115" s="14">
        <v>10</v>
      </c>
      <c r="G115" s="15">
        <v>1.99</v>
      </c>
      <c r="H115" s="15">
        <v>19.9</v>
      </c>
    </row>
    <row r="116" ht="12.9" customHeight="1">
      <c r="A116" t="s" s="10">
        <v>6485</v>
      </c>
      <c r="B116" t="s" s="11">
        <v>6486</v>
      </c>
      <c r="C116" s="12">
        <v>44944.539467592593</v>
      </c>
      <c r="D116" t="s" s="13">
        <v>54</v>
      </c>
      <c r="E116" t="s" s="13">
        <v>93</v>
      </c>
      <c r="F116" s="14">
        <v>4</v>
      </c>
      <c r="G116" s="15">
        <v>9.99</v>
      </c>
      <c r="H116" s="15">
        <v>39.96</v>
      </c>
    </row>
    <row r="117" ht="12.9" customHeight="1">
      <c r="A117" t="s" s="10">
        <v>6487</v>
      </c>
      <c r="B117" t="s" s="11">
        <v>6488</v>
      </c>
      <c r="C117" s="12">
        <v>44944.511261574073</v>
      </c>
      <c r="D117" t="s" s="13">
        <v>31</v>
      </c>
      <c r="E117" t="s" s="13">
        <v>32</v>
      </c>
      <c r="F117" s="14">
        <v>1</v>
      </c>
      <c r="G117" s="15">
        <v>599.99</v>
      </c>
      <c r="H117" s="15">
        <v>599.99</v>
      </c>
    </row>
    <row r="118" ht="12.9" customHeight="1">
      <c r="A118" t="s" s="10">
        <v>6489</v>
      </c>
      <c r="B118" t="s" s="11">
        <v>6490</v>
      </c>
      <c r="C118" s="12">
        <v>44944.416643518518</v>
      </c>
      <c r="D118" t="s" s="13">
        <v>35</v>
      </c>
      <c r="E118" t="s" s="13">
        <v>36</v>
      </c>
      <c r="F118" s="14">
        <v>1</v>
      </c>
      <c r="G118" s="15">
        <v>49.99</v>
      </c>
      <c r="H118" s="15">
        <v>49.99</v>
      </c>
    </row>
    <row r="119" ht="12.9" customHeight="1">
      <c r="A119" t="s" s="10">
        <v>6489</v>
      </c>
      <c r="B119" t="s" s="11">
        <v>6490</v>
      </c>
      <c r="C119" s="12">
        <v>44944.416643518518</v>
      </c>
      <c r="D119" t="s" s="13">
        <v>77</v>
      </c>
      <c r="E119" t="s" s="13">
        <v>4224</v>
      </c>
      <c r="F119" s="14">
        <v>1</v>
      </c>
      <c r="G119" s="15">
        <v>19.99</v>
      </c>
      <c r="H119" s="15">
        <v>19.99</v>
      </c>
    </row>
    <row r="120" ht="12.9" customHeight="1">
      <c r="A120" t="s" s="10">
        <v>6491</v>
      </c>
      <c r="B120" t="s" s="11">
        <v>2940</v>
      </c>
      <c r="C120" s="12">
        <v>44944</v>
      </c>
      <c r="D120" t="s" s="13">
        <v>11</v>
      </c>
      <c r="E120" t="s" s="13">
        <v>12</v>
      </c>
      <c r="F120" s="14">
        <v>1</v>
      </c>
      <c r="G120" s="15">
        <v>359.991</v>
      </c>
      <c r="H120" s="15">
        <v>359.991</v>
      </c>
    </row>
    <row r="121" ht="12.9" customHeight="1">
      <c r="A121" t="s" s="10">
        <v>6492</v>
      </c>
      <c r="B121" t="s" s="11">
        <v>721</v>
      </c>
      <c r="C121" s="12">
        <v>44944</v>
      </c>
      <c r="D121" t="s" s="13">
        <v>59</v>
      </c>
      <c r="E121" t="s" s="13">
        <v>6493</v>
      </c>
      <c r="F121" s="14">
        <v>1</v>
      </c>
      <c r="G121" s="15">
        <v>899.9924999999999</v>
      </c>
      <c r="H121" s="15">
        <v>899.9924999999999</v>
      </c>
    </row>
    <row r="122" ht="12.9" customHeight="1">
      <c r="A122" t="s" s="10">
        <v>6492</v>
      </c>
      <c r="B122" t="s" s="11">
        <v>721</v>
      </c>
      <c r="C122" s="12">
        <v>44944</v>
      </c>
      <c r="D122" t="s" s="13">
        <v>468</v>
      </c>
      <c r="E122" t="s" s="13">
        <v>6494</v>
      </c>
      <c r="F122" s="14">
        <v>1</v>
      </c>
      <c r="G122" s="15">
        <v>1499.994</v>
      </c>
      <c r="H122" s="15">
        <v>1499.994</v>
      </c>
    </row>
    <row r="123" ht="12.9" customHeight="1">
      <c r="A123" t="s" s="10">
        <v>6492</v>
      </c>
      <c r="B123" t="s" s="11">
        <v>721</v>
      </c>
      <c r="C123" s="12">
        <v>44944</v>
      </c>
      <c r="D123" t="s" s="13">
        <v>63</v>
      </c>
      <c r="E123" s="16"/>
      <c r="F123" s="14">
        <v>1</v>
      </c>
      <c r="G123" s="15">
        <v>150</v>
      </c>
      <c r="H123" s="15">
        <v>150</v>
      </c>
    </row>
    <row r="124" ht="12.9" customHeight="1">
      <c r="A124" t="s" s="10">
        <v>6495</v>
      </c>
      <c r="B124" t="s" s="11">
        <v>6496</v>
      </c>
      <c r="C124" s="12">
        <v>44943.709814814814</v>
      </c>
      <c r="D124" t="s" s="13">
        <v>171</v>
      </c>
      <c r="E124" t="s" s="13">
        <v>172</v>
      </c>
      <c r="F124" s="14">
        <v>1</v>
      </c>
      <c r="G124" s="15">
        <v>549.99</v>
      </c>
      <c r="H124" s="15">
        <v>549.99</v>
      </c>
    </row>
    <row r="125" ht="12.9" customHeight="1">
      <c r="A125" t="s" s="10">
        <v>6497</v>
      </c>
      <c r="B125" t="s" s="11">
        <v>506</v>
      </c>
      <c r="C125" s="12">
        <v>44943.531365740739</v>
      </c>
      <c r="D125" t="s" s="13">
        <v>1593</v>
      </c>
      <c r="E125" t="s" s="13">
        <v>828</v>
      </c>
      <c r="F125" s="14">
        <v>1</v>
      </c>
      <c r="G125" s="15">
        <v>99.98999999999999</v>
      </c>
      <c r="H125" s="15">
        <v>99.98999999999999</v>
      </c>
    </row>
    <row r="126" ht="12.9" customHeight="1">
      <c r="A126" t="s" s="10">
        <v>6498</v>
      </c>
      <c r="B126" t="s" s="11">
        <v>6499</v>
      </c>
      <c r="C126" s="12">
        <v>44943.499236111114</v>
      </c>
      <c r="D126" t="s" s="13">
        <v>54</v>
      </c>
      <c r="E126" t="s" s="13">
        <v>93</v>
      </c>
      <c r="F126" s="14">
        <v>2</v>
      </c>
      <c r="G126" s="15">
        <v>9.99</v>
      </c>
      <c r="H126" s="15">
        <v>19.98</v>
      </c>
    </row>
    <row r="127" ht="12.9" customHeight="1">
      <c r="A127" t="s" s="10">
        <v>6500</v>
      </c>
      <c r="B127" t="s" s="11">
        <v>2703</v>
      </c>
      <c r="C127" s="12">
        <v>44943.489710648151</v>
      </c>
      <c r="D127" t="s" s="13">
        <v>48</v>
      </c>
      <c r="E127" t="s" s="13">
        <v>49</v>
      </c>
      <c r="F127" s="14">
        <v>2</v>
      </c>
      <c r="G127" s="15">
        <v>1299.99</v>
      </c>
      <c r="H127" s="15">
        <v>2599.98</v>
      </c>
    </row>
    <row r="128" ht="12.9" customHeight="1">
      <c r="A128" t="s" s="10">
        <v>6500</v>
      </c>
      <c r="B128" t="s" s="11">
        <v>2703</v>
      </c>
      <c r="C128" s="12">
        <v>44943.489710648151</v>
      </c>
      <c r="D128" t="s" s="13">
        <v>23</v>
      </c>
      <c r="E128" t="s" s="13">
        <v>828</v>
      </c>
      <c r="F128" s="14">
        <v>2</v>
      </c>
      <c r="G128" s="15">
        <v>0</v>
      </c>
      <c r="H128" s="15">
        <v>0</v>
      </c>
    </row>
    <row r="129" ht="12.9" customHeight="1">
      <c r="A129" t="s" s="10">
        <v>6500</v>
      </c>
      <c r="B129" t="s" s="11">
        <v>2703</v>
      </c>
      <c r="C129" s="12">
        <v>44943.489710648151</v>
      </c>
      <c r="D129" t="s" s="13">
        <v>487</v>
      </c>
      <c r="E129" t="s" s="13">
        <v>828</v>
      </c>
      <c r="F129" s="14">
        <v>2</v>
      </c>
      <c r="G129" s="15">
        <v>54.995</v>
      </c>
      <c r="H129" s="15">
        <v>109.99</v>
      </c>
    </row>
    <row r="130" ht="12.9" customHeight="1">
      <c r="A130" t="s" s="10">
        <v>6500</v>
      </c>
      <c r="B130" t="s" s="11">
        <v>2703</v>
      </c>
      <c r="C130" s="12">
        <v>44943.489710648151</v>
      </c>
      <c r="D130" t="s" s="13">
        <v>84</v>
      </c>
      <c r="E130" t="s" s="13">
        <v>4225</v>
      </c>
      <c r="F130" s="14">
        <v>2</v>
      </c>
      <c r="G130" s="15">
        <v>0</v>
      </c>
      <c r="H130" s="15">
        <v>0</v>
      </c>
    </row>
    <row r="131" ht="12.9" customHeight="1">
      <c r="A131" t="s" s="10">
        <v>6500</v>
      </c>
      <c r="B131" t="s" s="11">
        <v>2703</v>
      </c>
      <c r="C131" s="12">
        <v>44943.489710648151</v>
      </c>
      <c r="D131" t="s" s="13">
        <v>50</v>
      </c>
      <c r="E131" t="s" s="13">
        <v>83</v>
      </c>
      <c r="F131" s="14">
        <v>2</v>
      </c>
      <c r="G131" s="15">
        <v>0</v>
      </c>
      <c r="H131" s="15">
        <v>0</v>
      </c>
    </row>
    <row r="132" ht="12.9" customHeight="1">
      <c r="A132" t="s" s="10">
        <v>6501</v>
      </c>
      <c r="B132" t="s" s="11">
        <v>6502</v>
      </c>
      <c r="C132" s="12">
        <v>44943.344340277778</v>
      </c>
      <c r="D132" t="s" s="13">
        <v>89</v>
      </c>
      <c r="E132" t="s" s="13">
        <v>90</v>
      </c>
      <c r="F132" s="14">
        <v>2</v>
      </c>
      <c r="G132" s="15">
        <v>59.99</v>
      </c>
      <c r="H132" s="15">
        <v>119.98</v>
      </c>
    </row>
    <row r="133" ht="12.9" customHeight="1">
      <c r="A133" t="s" s="10">
        <v>6503</v>
      </c>
      <c r="B133" t="s" s="11">
        <v>3189</v>
      </c>
      <c r="C133" s="12">
        <v>44943.275972222225</v>
      </c>
      <c r="D133" t="s" s="13">
        <v>123</v>
      </c>
      <c r="E133" t="s" s="13">
        <v>124</v>
      </c>
      <c r="F133" s="14">
        <v>1</v>
      </c>
      <c r="G133" s="15">
        <v>179.99</v>
      </c>
      <c r="H133" s="15">
        <v>179.99</v>
      </c>
    </row>
    <row r="134" ht="12.9" customHeight="1">
      <c r="A134" t="s" s="10">
        <v>6503</v>
      </c>
      <c r="B134" t="s" s="11">
        <v>3189</v>
      </c>
      <c r="C134" s="12">
        <v>44943.275972222225</v>
      </c>
      <c r="D134" t="s" s="13">
        <v>125</v>
      </c>
      <c r="E134" t="s" s="13">
        <v>126</v>
      </c>
      <c r="F134" s="14">
        <v>2</v>
      </c>
      <c r="G134" s="15">
        <v>64.98999999999999</v>
      </c>
      <c r="H134" s="15">
        <v>129.98</v>
      </c>
    </row>
    <row r="135" ht="12.9" customHeight="1">
      <c r="A135" t="s" s="10">
        <v>6503</v>
      </c>
      <c r="B135" t="s" s="11">
        <v>3189</v>
      </c>
      <c r="C135" s="12">
        <v>44943.275972222225</v>
      </c>
      <c r="D135" t="s" s="13">
        <v>146</v>
      </c>
      <c r="E135" t="s" s="13">
        <v>147</v>
      </c>
      <c r="F135" s="14">
        <v>2</v>
      </c>
      <c r="G135" s="15">
        <v>19.99</v>
      </c>
      <c r="H135" s="15">
        <v>39.98</v>
      </c>
    </row>
    <row r="136" ht="12.9" customHeight="1">
      <c r="A136" t="s" s="10">
        <v>6504</v>
      </c>
      <c r="B136" t="s" s="11">
        <v>6505</v>
      </c>
      <c r="C136" s="12">
        <v>44943</v>
      </c>
      <c r="D136" t="s" s="13">
        <v>143</v>
      </c>
      <c r="E136" t="s" s="13">
        <v>144</v>
      </c>
      <c r="F136" s="14">
        <v>1</v>
      </c>
      <c r="G136" s="15">
        <v>3199.99</v>
      </c>
      <c r="H136" s="15">
        <v>3199.99</v>
      </c>
    </row>
    <row r="137" ht="12.9" customHeight="1">
      <c r="A137" t="s" s="10">
        <v>6504</v>
      </c>
      <c r="B137" t="s" s="11">
        <v>6505</v>
      </c>
      <c r="C137" s="12">
        <v>44943</v>
      </c>
      <c r="D137" t="s" s="13">
        <v>412</v>
      </c>
      <c r="E137" t="s" s="13">
        <v>6506</v>
      </c>
      <c r="F137" s="14">
        <v>200</v>
      </c>
      <c r="G137" s="15">
        <v>1.4925</v>
      </c>
      <c r="H137" s="15">
        <v>298.5</v>
      </c>
    </row>
    <row r="138" ht="12.9" customHeight="1">
      <c r="A138" t="s" s="10">
        <v>6504</v>
      </c>
      <c r="B138" t="s" s="11">
        <v>6505</v>
      </c>
      <c r="C138" s="12">
        <v>44943</v>
      </c>
      <c r="D138" t="s" s="13">
        <v>54</v>
      </c>
      <c r="E138" t="s" s="13">
        <v>93</v>
      </c>
      <c r="F138" s="14">
        <v>24</v>
      </c>
      <c r="G138" s="15">
        <v>7.4925</v>
      </c>
      <c r="H138" s="15">
        <v>179.82</v>
      </c>
    </row>
    <row r="139" ht="12.9" customHeight="1">
      <c r="A139" t="s" s="10">
        <v>6504</v>
      </c>
      <c r="B139" t="s" s="11">
        <v>6505</v>
      </c>
      <c r="C139" s="12">
        <v>44943</v>
      </c>
      <c r="D139" t="s" s="13">
        <v>47</v>
      </c>
      <c r="E139" s="16"/>
      <c r="F139" s="14">
        <v>1</v>
      </c>
      <c r="G139" s="15">
        <v>148.6</v>
      </c>
      <c r="H139" s="15">
        <v>148.6</v>
      </c>
    </row>
    <row r="140" ht="12.9" customHeight="1">
      <c r="A140" t="s" s="10">
        <v>6507</v>
      </c>
      <c r="B140" t="s" s="11">
        <v>2931</v>
      </c>
      <c r="C140" s="12">
        <v>44943</v>
      </c>
      <c r="D140" t="s" s="13">
        <v>59</v>
      </c>
      <c r="E140" t="s" s="13">
        <v>6493</v>
      </c>
      <c r="F140" s="14">
        <v>1</v>
      </c>
      <c r="G140" s="15">
        <v>899.9924999999999</v>
      </c>
      <c r="H140" s="15">
        <v>899.9924999999999</v>
      </c>
    </row>
    <row r="141" ht="12.9" customHeight="1">
      <c r="A141" t="s" s="10">
        <v>6507</v>
      </c>
      <c r="B141" t="s" s="11">
        <v>2931</v>
      </c>
      <c r="C141" s="12">
        <v>44943</v>
      </c>
      <c r="D141" t="s" s="13">
        <v>123</v>
      </c>
      <c r="E141" t="s" s="13">
        <v>124</v>
      </c>
      <c r="F141" s="14">
        <v>8</v>
      </c>
      <c r="G141" s="15">
        <v>134.9925</v>
      </c>
      <c r="H141" s="15">
        <v>1079.94</v>
      </c>
    </row>
    <row r="142" ht="12.9" customHeight="1">
      <c r="A142" t="s" s="10">
        <v>6507</v>
      </c>
      <c r="B142" t="s" s="11">
        <v>2931</v>
      </c>
      <c r="C142" s="12">
        <v>44943</v>
      </c>
      <c r="D142" t="s" s="13">
        <v>63</v>
      </c>
      <c r="E142" s="16"/>
      <c r="F142" s="14">
        <v>1</v>
      </c>
      <c r="G142" s="15">
        <v>38.5</v>
      </c>
      <c r="H142" s="15">
        <v>38.5</v>
      </c>
    </row>
    <row r="143" ht="12.9" customHeight="1">
      <c r="A143" t="s" s="10">
        <v>6508</v>
      </c>
      <c r="B143" t="s" s="11">
        <v>555</v>
      </c>
      <c r="C143" s="12">
        <v>44943</v>
      </c>
      <c r="D143" t="s" s="13">
        <v>59</v>
      </c>
      <c r="E143" t="s" s="13">
        <v>6493</v>
      </c>
      <c r="F143" s="14">
        <v>1</v>
      </c>
      <c r="G143" s="15">
        <v>899.9924999999999</v>
      </c>
      <c r="H143" s="15">
        <v>899.9924999999999</v>
      </c>
    </row>
    <row r="144" ht="12.9" customHeight="1">
      <c r="A144" t="s" s="10">
        <v>6509</v>
      </c>
      <c r="B144" t="s" s="11">
        <v>831</v>
      </c>
      <c r="C144" s="12">
        <v>44943</v>
      </c>
      <c r="D144" t="s" s="13">
        <v>59</v>
      </c>
      <c r="E144" t="s" s="13">
        <v>6493</v>
      </c>
      <c r="F144" s="14">
        <v>1</v>
      </c>
      <c r="G144" s="15">
        <v>899.9924999999999</v>
      </c>
      <c r="H144" s="15">
        <v>899.9924999999999</v>
      </c>
    </row>
    <row r="145" ht="12.9" customHeight="1">
      <c r="A145" t="s" s="10">
        <v>6510</v>
      </c>
      <c r="B145" t="s" s="11">
        <v>5999</v>
      </c>
      <c r="C145" s="12">
        <v>44942.867245370369</v>
      </c>
      <c r="D145" t="s" s="13">
        <v>81</v>
      </c>
      <c r="E145" t="s" s="13">
        <v>82</v>
      </c>
      <c r="F145" s="14">
        <v>2</v>
      </c>
      <c r="G145" s="15">
        <v>849.99</v>
      </c>
      <c r="H145" s="15">
        <v>1699.98</v>
      </c>
    </row>
    <row r="146" ht="12.9" customHeight="1">
      <c r="A146" t="s" s="10">
        <v>6510</v>
      </c>
      <c r="B146" t="s" s="11">
        <v>5999</v>
      </c>
      <c r="C146" s="12">
        <v>44942.867245370369</v>
      </c>
      <c r="D146" t="s" s="13">
        <v>50</v>
      </c>
      <c r="E146" t="s" s="13">
        <v>83</v>
      </c>
      <c r="F146" s="14">
        <v>2</v>
      </c>
      <c r="G146" s="15">
        <v>0</v>
      </c>
      <c r="H146" s="15">
        <v>0</v>
      </c>
    </row>
    <row r="147" ht="12.9" customHeight="1">
      <c r="A147" t="s" s="10">
        <v>6510</v>
      </c>
      <c r="B147" t="s" s="11">
        <v>5999</v>
      </c>
      <c r="C147" s="12">
        <v>44942.867245370369</v>
      </c>
      <c r="D147" t="s" s="13">
        <v>84</v>
      </c>
      <c r="E147" t="s" s="13">
        <v>4225</v>
      </c>
      <c r="F147" s="14">
        <v>2</v>
      </c>
      <c r="G147" s="15">
        <v>0</v>
      </c>
      <c r="H147" s="15">
        <v>0</v>
      </c>
    </row>
    <row r="148" ht="12.9" customHeight="1">
      <c r="A148" t="s" s="10">
        <v>6510</v>
      </c>
      <c r="B148" t="s" s="11">
        <v>5999</v>
      </c>
      <c r="C148" s="12">
        <v>44942.867245370369</v>
      </c>
      <c r="D148" t="s" s="13">
        <v>23</v>
      </c>
      <c r="E148" t="s" s="13">
        <v>828</v>
      </c>
      <c r="F148" s="14">
        <v>2</v>
      </c>
      <c r="G148" s="15">
        <v>0</v>
      </c>
      <c r="H148" s="15">
        <v>0</v>
      </c>
    </row>
    <row r="149" ht="12.9" customHeight="1">
      <c r="A149" t="s" s="10">
        <v>6511</v>
      </c>
      <c r="B149" t="s" s="11">
        <v>6512</v>
      </c>
      <c r="C149" s="12">
        <v>44942.764884259261</v>
      </c>
      <c r="D149" t="s" s="13">
        <v>31</v>
      </c>
      <c r="E149" t="s" s="13">
        <v>32</v>
      </c>
      <c r="F149" s="14">
        <v>1</v>
      </c>
      <c r="G149" s="15">
        <v>599.99</v>
      </c>
      <c r="H149" s="15">
        <v>599.99</v>
      </c>
    </row>
    <row r="150" ht="12.9" customHeight="1">
      <c r="A150" t="s" s="10">
        <v>6513</v>
      </c>
      <c r="B150" t="s" s="11">
        <v>1451</v>
      </c>
      <c r="C150" s="12">
        <v>44942.406932870370</v>
      </c>
      <c r="D150" t="s" s="13">
        <v>95</v>
      </c>
      <c r="E150" t="s" s="13">
        <v>12</v>
      </c>
      <c r="F150" s="14">
        <v>1</v>
      </c>
      <c r="G150" s="15">
        <v>349.99</v>
      </c>
      <c r="H150" s="15">
        <v>349.99</v>
      </c>
    </row>
    <row r="151" ht="12.9" customHeight="1">
      <c r="A151" t="s" s="10">
        <v>6514</v>
      </c>
      <c r="B151" t="s" s="11">
        <v>6475</v>
      </c>
      <c r="C151" s="12">
        <v>44942.370659722219</v>
      </c>
      <c r="D151" t="s" s="13">
        <v>1729</v>
      </c>
      <c r="E151" t="s" s="13">
        <v>4639</v>
      </c>
      <c r="F151" s="14">
        <v>1</v>
      </c>
      <c r="G151" s="15">
        <v>14.99</v>
      </c>
      <c r="H151" s="15">
        <v>14.99</v>
      </c>
    </row>
    <row r="152" ht="12.9" customHeight="1">
      <c r="A152" t="s" s="10">
        <v>6515</v>
      </c>
      <c r="B152" t="s" s="11">
        <v>2940</v>
      </c>
      <c r="C152" s="12">
        <v>44942</v>
      </c>
      <c r="D152" t="s" s="13">
        <v>11</v>
      </c>
      <c r="E152" t="s" s="13">
        <v>12</v>
      </c>
      <c r="F152" s="14">
        <v>1</v>
      </c>
      <c r="G152" s="15">
        <v>359.991</v>
      </c>
      <c r="H152" s="15">
        <v>359.991</v>
      </c>
    </row>
    <row r="153" ht="12.9" customHeight="1">
      <c r="A153" t="s" s="10">
        <v>6516</v>
      </c>
      <c r="B153" t="s" s="11">
        <v>6517</v>
      </c>
      <c r="C153" s="12">
        <v>44941.807951388888</v>
      </c>
      <c r="D153" t="s" s="13">
        <v>95</v>
      </c>
      <c r="E153" t="s" s="13">
        <v>12</v>
      </c>
      <c r="F153" s="14">
        <v>1</v>
      </c>
      <c r="G153" s="15">
        <v>349.99</v>
      </c>
      <c r="H153" s="15">
        <v>349.99</v>
      </c>
    </row>
    <row r="154" ht="12.9" customHeight="1">
      <c r="A154" t="s" s="10">
        <v>6518</v>
      </c>
      <c r="B154" t="s" s="11">
        <v>4477</v>
      </c>
      <c r="C154" s="12">
        <v>44941.359918981485</v>
      </c>
      <c r="D154" t="s" s="13">
        <v>73</v>
      </c>
      <c r="E154" t="s" s="13">
        <v>74</v>
      </c>
      <c r="F154" s="14">
        <v>1</v>
      </c>
      <c r="G154" s="15">
        <v>399.99</v>
      </c>
      <c r="H154" s="15">
        <v>399.99</v>
      </c>
    </row>
    <row r="155" ht="12.9" customHeight="1">
      <c r="A155" t="s" s="10">
        <v>6519</v>
      </c>
      <c r="B155" t="s" s="11">
        <v>2916</v>
      </c>
      <c r="C155" s="12">
        <v>44940.862476851849</v>
      </c>
      <c r="D155" t="s" s="13">
        <v>81</v>
      </c>
      <c r="E155" t="s" s="13">
        <v>82</v>
      </c>
      <c r="F155" s="14">
        <v>6</v>
      </c>
      <c r="G155" s="15">
        <v>849.99</v>
      </c>
      <c r="H155" s="15">
        <v>5099.94</v>
      </c>
    </row>
    <row r="156" ht="12.9" customHeight="1">
      <c r="A156" t="s" s="10">
        <v>6519</v>
      </c>
      <c r="B156" t="s" s="11">
        <v>2916</v>
      </c>
      <c r="C156" s="12">
        <v>44940.862476851849</v>
      </c>
      <c r="D156" t="s" s="13">
        <v>50</v>
      </c>
      <c r="E156" t="s" s="13">
        <v>83</v>
      </c>
      <c r="F156" s="14">
        <v>6</v>
      </c>
      <c r="G156" s="15">
        <v>0</v>
      </c>
      <c r="H156" s="15">
        <v>0</v>
      </c>
    </row>
    <row r="157" ht="12.9" customHeight="1">
      <c r="A157" t="s" s="10">
        <v>6519</v>
      </c>
      <c r="B157" t="s" s="11">
        <v>2916</v>
      </c>
      <c r="C157" s="12">
        <v>44940.862476851849</v>
      </c>
      <c r="D157" t="s" s="13">
        <v>84</v>
      </c>
      <c r="E157" t="s" s="13">
        <v>4225</v>
      </c>
      <c r="F157" s="14">
        <v>6</v>
      </c>
      <c r="G157" s="15">
        <v>0</v>
      </c>
      <c r="H157" s="15">
        <v>0</v>
      </c>
    </row>
    <row r="158" ht="12.9" customHeight="1">
      <c r="A158" t="s" s="10">
        <v>6519</v>
      </c>
      <c r="B158" t="s" s="11">
        <v>2916</v>
      </c>
      <c r="C158" s="12">
        <v>44940.862476851849</v>
      </c>
      <c r="D158" t="s" s="13">
        <v>602</v>
      </c>
      <c r="E158" t="s" s="13">
        <v>828</v>
      </c>
      <c r="F158" s="14">
        <v>6</v>
      </c>
      <c r="G158" s="15">
        <v>175</v>
      </c>
      <c r="H158" s="15">
        <v>1050</v>
      </c>
    </row>
    <row r="159" ht="12.9" customHeight="1">
      <c r="A159" t="s" s="10">
        <v>6519</v>
      </c>
      <c r="B159" t="s" s="11">
        <v>2916</v>
      </c>
      <c r="C159" s="12">
        <v>44940.862476851849</v>
      </c>
      <c r="D159" t="s" s="13">
        <v>227</v>
      </c>
      <c r="E159" t="s" s="13">
        <v>228</v>
      </c>
      <c r="F159" s="14">
        <v>12</v>
      </c>
      <c r="G159" s="15">
        <v>29.99</v>
      </c>
      <c r="H159" s="15">
        <v>359.88</v>
      </c>
    </row>
    <row r="160" ht="12.9" customHeight="1">
      <c r="A160" t="s" s="10">
        <v>6520</v>
      </c>
      <c r="B160" t="s" s="11">
        <v>6521</v>
      </c>
      <c r="C160" s="12">
        <v>44940.511111111111</v>
      </c>
      <c r="D160" t="s" s="13">
        <v>31</v>
      </c>
      <c r="E160" t="s" s="13">
        <v>32</v>
      </c>
      <c r="F160" s="14">
        <v>1</v>
      </c>
      <c r="G160" s="15">
        <v>599.99</v>
      </c>
      <c r="H160" s="15">
        <v>599.99</v>
      </c>
    </row>
    <row r="161" ht="12.9" customHeight="1">
      <c r="A161" t="s" s="10">
        <v>6522</v>
      </c>
      <c r="B161" t="s" s="11">
        <v>6523</v>
      </c>
      <c r="C161" s="12">
        <v>44940.090231481481</v>
      </c>
      <c r="D161" t="s" s="13">
        <v>81</v>
      </c>
      <c r="E161" t="s" s="13">
        <v>82</v>
      </c>
      <c r="F161" s="14">
        <v>2</v>
      </c>
      <c r="G161" s="15">
        <v>849.99</v>
      </c>
      <c r="H161" s="15">
        <v>1699.98</v>
      </c>
    </row>
    <row r="162" ht="12.9" customHeight="1">
      <c r="A162" t="s" s="10">
        <v>6522</v>
      </c>
      <c r="B162" t="s" s="11">
        <v>6523</v>
      </c>
      <c r="C162" s="12">
        <v>44940.090231481481</v>
      </c>
      <c r="D162" t="s" s="13">
        <v>50</v>
      </c>
      <c r="E162" t="s" s="13">
        <v>83</v>
      </c>
      <c r="F162" s="14">
        <v>2</v>
      </c>
      <c r="G162" s="15">
        <v>0</v>
      </c>
      <c r="H162" s="15">
        <v>0</v>
      </c>
    </row>
    <row r="163" ht="12.9" customHeight="1">
      <c r="A163" t="s" s="10">
        <v>6522</v>
      </c>
      <c r="B163" t="s" s="11">
        <v>6523</v>
      </c>
      <c r="C163" s="12">
        <v>44940.090231481481</v>
      </c>
      <c r="D163" t="s" s="13">
        <v>84</v>
      </c>
      <c r="E163" t="s" s="13">
        <v>4225</v>
      </c>
      <c r="F163" s="14">
        <v>2</v>
      </c>
      <c r="G163" s="15">
        <v>0</v>
      </c>
      <c r="H163" s="15">
        <v>0</v>
      </c>
    </row>
    <row r="164" ht="12.9" customHeight="1">
      <c r="A164" t="s" s="10">
        <v>6522</v>
      </c>
      <c r="B164" t="s" s="11">
        <v>6523</v>
      </c>
      <c r="C164" s="12">
        <v>44940.090231481481</v>
      </c>
      <c r="D164" t="s" s="13">
        <v>23</v>
      </c>
      <c r="E164" t="s" s="13">
        <v>828</v>
      </c>
      <c r="F164" s="14">
        <v>2</v>
      </c>
      <c r="G164" s="15">
        <v>0</v>
      </c>
      <c r="H164" s="15">
        <v>0</v>
      </c>
    </row>
    <row r="165" ht="12.9" customHeight="1">
      <c r="A165" t="s" s="10">
        <v>6522</v>
      </c>
      <c r="B165" t="s" s="11">
        <v>6523</v>
      </c>
      <c r="C165" s="12">
        <v>44940.090231481481</v>
      </c>
      <c r="D165" t="s" s="13">
        <v>227</v>
      </c>
      <c r="E165" t="s" s="13">
        <v>228</v>
      </c>
      <c r="F165" s="14">
        <v>4</v>
      </c>
      <c r="G165" s="15">
        <v>29.99</v>
      </c>
      <c r="H165" s="15">
        <v>119.96</v>
      </c>
    </row>
    <row r="166" ht="12.9" customHeight="1">
      <c r="A166" t="s" s="10">
        <v>6524</v>
      </c>
      <c r="B166" t="s" s="11">
        <v>1913</v>
      </c>
      <c r="C166" s="12">
        <v>44940</v>
      </c>
      <c r="D166" t="s" s="13">
        <v>1914</v>
      </c>
      <c r="E166" t="s" s="13">
        <v>1915</v>
      </c>
      <c r="F166" s="14">
        <v>1</v>
      </c>
      <c r="G166" s="15">
        <v>0</v>
      </c>
      <c r="H166" s="15">
        <v>0</v>
      </c>
    </row>
    <row r="167" ht="12.9" customHeight="1">
      <c r="A167" t="s" s="10">
        <v>6524</v>
      </c>
      <c r="B167" t="s" s="11">
        <v>1913</v>
      </c>
      <c r="C167" s="12">
        <v>44940</v>
      </c>
      <c r="D167" t="s" s="13">
        <v>356</v>
      </c>
      <c r="E167" t="s" s="13">
        <v>356</v>
      </c>
      <c r="F167" s="14">
        <v>1</v>
      </c>
      <c r="G167" s="15">
        <v>0</v>
      </c>
      <c r="H167" s="15">
        <v>0</v>
      </c>
    </row>
    <row r="168" ht="12.9" customHeight="1">
      <c r="A168" t="s" s="10">
        <v>6524</v>
      </c>
      <c r="B168" t="s" s="11">
        <v>1913</v>
      </c>
      <c r="C168" s="12">
        <v>44940</v>
      </c>
      <c r="D168" t="s" s="13">
        <v>266</v>
      </c>
      <c r="E168" t="s" s="13">
        <v>267</v>
      </c>
      <c r="F168" s="14">
        <v>8</v>
      </c>
      <c r="G168" s="15">
        <v>0</v>
      </c>
      <c r="H168" s="15">
        <v>0</v>
      </c>
    </row>
    <row r="169" ht="12.9" customHeight="1">
      <c r="A169" t="s" s="10">
        <v>6524</v>
      </c>
      <c r="B169" t="s" s="11">
        <v>1913</v>
      </c>
      <c r="C169" s="12">
        <v>44940</v>
      </c>
      <c r="D169" t="s" s="13">
        <v>6283</v>
      </c>
      <c r="E169" t="s" s="13">
        <v>6525</v>
      </c>
      <c r="F169" s="14">
        <v>1</v>
      </c>
      <c r="G169" s="15">
        <v>0</v>
      </c>
      <c r="H169" s="15">
        <v>0</v>
      </c>
    </row>
    <row r="170" ht="12.9" customHeight="1">
      <c r="A170" t="s" s="10">
        <v>6526</v>
      </c>
      <c r="B170" t="s" s="11">
        <v>42</v>
      </c>
      <c r="C170" s="12">
        <v>44940</v>
      </c>
      <c r="D170" t="s" s="13">
        <v>3610</v>
      </c>
      <c r="E170" t="s" s="13">
        <v>6527</v>
      </c>
      <c r="F170" s="14">
        <v>18</v>
      </c>
      <c r="G170" s="15">
        <v>0</v>
      </c>
      <c r="H170" s="15">
        <v>0</v>
      </c>
    </row>
    <row r="171" ht="12.9" customHeight="1">
      <c r="A171" t="s" s="10">
        <v>6528</v>
      </c>
      <c r="B171" t="s" s="11">
        <v>6399</v>
      </c>
      <c r="C171" s="12">
        <v>44939.805069444446</v>
      </c>
      <c r="D171" t="s" s="13">
        <v>81</v>
      </c>
      <c r="E171" t="s" s="13">
        <v>82</v>
      </c>
      <c r="F171" s="14">
        <v>2</v>
      </c>
      <c r="G171" s="15">
        <v>837.49</v>
      </c>
      <c r="H171" s="15">
        <v>1674.98</v>
      </c>
    </row>
    <row r="172" ht="12.9" customHeight="1">
      <c r="A172" t="s" s="10">
        <v>6528</v>
      </c>
      <c r="B172" t="s" s="11">
        <v>6399</v>
      </c>
      <c r="C172" s="12">
        <v>44939.805069444446</v>
      </c>
      <c r="D172" t="s" s="13">
        <v>50</v>
      </c>
      <c r="E172" t="s" s="13">
        <v>83</v>
      </c>
      <c r="F172" s="14">
        <v>2</v>
      </c>
      <c r="G172" s="15">
        <v>0</v>
      </c>
      <c r="H172" s="15">
        <v>0</v>
      </c>
    </row>
    <row r="173" ht="12.9" customHeight="1">
      <c r="A173" t="s" s="10">
        <v>6528</v>
      </c>
      <c r="B173" t="s" s="11">
        <v>6399</v>
      </c>
      <c r="C173" s="12">
        <v>44939.805069444446</v>
      </c>
      <c r="D173" t="s" s="13">
        <v>84</v>
      </c>
      <c r="E173" t="s" s="13">
        <v>4225</v>
      </c>
      <c r="F173" s="14">
        <v>2</v>
      </c>
      <c r="G173" s="15">
        <v>0</v>
      </c>
      <c r="H173" s="15">
        <v>0</v>
      </c>
    </row>
    <row r="174" ht="12.9" customHeight="1">
      <c r="A174" t="s" s="10">
        <v>6528</v>
      </c>
      <c r="B174" t="s" s="11">
        <v>6399</v>
      </c>
      <c r="C174" s="12">
        <v>44939.805069444446</v>
      </c>
      <c r="D174" t="s" s="13">
        <v>23</v>
      </c>
      <c r="E174" t="s" s="13">
        <v>828</v>
      </c>
      <c r="F174" s="14">
        <v>2</v>
      </c>
      <c r="G174" s="15">
        <v>0</v>
      </c>
      <c r="H174" s="15">
        <v>0</v>
      </c>
    </row>
    <row r="175" ht="12.9" customHeight="1">
      <c r="A175" t="s" s="10">
        <v>6529</v>
      </c>
      <c r="B175" t="s" s="11">
        <v>6477</v>
      </c>
      <c r="C175" s="12">
        <v>44939.706643518519</v>
      </c>
      <c r="D175" t="s" s="13">
        <v>89</v>
      </c>
      <c r="E175" t="s" s="13">
        <v>90</v>
      </c>
      <c r="F175" s="14">
        <v>2</v>
      </c>
      <c r="G175" s="15">
        <v>59.99</v>
      </c>
      <c r="H175" s="15">
        <v>119.98</v>
      </c>
    </row>
    <row r="176" ht="12.9" customHeight="1">
      <c r="A176" t="s" s="10">
        <v>6530</v>
      </c>
      <c r="B176" t="s" s="11">
        <v>6531</v>
      </c>
      <c r="C176" s="12">
        <v>44939</v>
      </c>
      <c r="D176" t="s" s="13">
        <v>722</v>
      </c>
      <c r="E176" t="s" s="13">
        <v>82</v>
      </c>
      <c r="F176" s="14">
        <v>4</v>
      </c>
      <c r="G176" s="15">
        <v>869.99</v>
      </c>
      <c r="H176" s="15">
        <v>3479.96</v>
      </c>
    </row>
    <row r="177" ht="12.9" customHeight="1">
      <c r="A177" t="s" s="10">
        <v>6530</v>
      </c>
      <c r="B177" t="s" s="11">
        <v>6531</v>
      </c>
      <c r="C177" s="12">
        <v>44939</v>
      </c>
      <c r="D177" t="s" s="13">
        <v>602</v>
      </c>
      <c r="E177" t="s" s="13">
        <v>6532</v>
      </c>
      <c r="F177" s="14">
        <v>4</v>
      </c>
      <c r="G177" s="15">
        <v>175</v>
      </c>
      <c r="H177" s="15">
        <v>700</v>
      </c>
    </row>
    <row r="178" ht="12.9" customHeight="1">
      <c r="A178" t="s" s="10">
        <v>6530</v>
      </c>
      <c r="B178" t="s" s="11">
        <v>6531</v>
      </c>
      <c r="C178" s="12">
        <v>44939</v>
      </c>
      <c r="D178" t="s" s="13">
        <v>54</v>
      </c>
      <c r="E178" t="s" s="13">
        <v>55</v>
      </c>
      <c r="F178" s="14">
        <v>4</v>
      </c>
      <c r="G178" s="15">
        <v>0</v>
      </c>
      <c r="H178" s="15">
        <v>0</v>
      </c>
    </row>
    <row r="179" ht="12.9" customHeight="1">
      <c r="A179" t="s" s="10">
        <v>6530</v>
      </c>
      <c r="B179" t="s" s="11">
        <v>6531</v>
      </c>
      <c r="C179" s="12">
        <v>44939</v>
      </c>
      <c r="D179" t="s" s="13">
        <v>15</v>
      </c>
      <c r="E179" t="s" s="13">
        <v>6533</v>
      </c>
      <c r="F179" s="14">
        <v>4</v>
      </c>
      <c r="G179" s="15">
        <v>0</v>
      </c>
      <c r="H179" s="15">
        <v>0</v>
      </c>
    </row>
    <row r="180" ht="12.9" customHeight="1">
      <c r="A180" t="s" s="10">
        <v>6530</v>
      </c>
      <c r="B180" t="s" s="11">
        <v>6531</v>
      </c>
      <c r="C180" s="12">
        <v>44939</v>
      </c>
      <c r="D180" t="s" s="13">
        <v>19</v>
      </c>
      <c r="E180" t="s" s="13">
        <v>20</v>
      </c>
      <c r="F180" s="14">
        <v>10</v>
      </c>
      <c r="G180" s="15">
        <v>119.99</v>
      </c>
      <c r="H180" s="15">
        <v>1199.9</v>
      </c>
    </row>
    <row r="181" ht="12.9" customHeight="1">
      <c r="A181" t="s" s="10">
        <v>6530</v>
      </c>
      <c r="B181" t="s" s="11">
        <v>6531</v>
      </c>
      <c r="C181" s="12">
        <v>44939</v>
      </c>
      <c r="D181" t="s" s="13">
        <v>50</v>
      </c>
      <c r="E181" t="s" s="13">
        <v>51</v>
      </c>
      <c r="F181" s="14">
        <v>4</v>
      </c>
      <c r="G181" s="15">
        <v>0</v>
      </c>
      <c r="H181" s="15">
        <v>0</v>
      </c>
    </row>
    <row r="182" ht="12.9" customHeight="1">
      <c r="A182" t="s" s="10">
        <v>6530</v>
      </c>
      <c r="B182" t="s" s="11">
        <v>6531</v>
      </c>
      <c r="C182" s="12">
        <v>44939</v>
      </c>
      <c r="D182" t="s" s="13">
        <v>602</v>
      </c>
      <c r="E182" t="s" s="13">
        <v>6534</v>
      </c>
      <c r="F182" s="14">
        <v>6</v>
      </c>
      <c r="G182" s="15">
        <v>299.99</v>
      </c>
      <c r="H182" s="15">
        <v>1799.94</v>
      </c>
    </row>
    <row r="183" ht="12.9" customHeight="1">
      <c r="A183" t="s" s="10">
        <v>6535</v>
      </c>
      <c r="B183" t="s" s="11">
        <v>896</v>
      </c>
      <c r="C183" s="12">
        <v>44939</v>
      </c>
      <c r="D183" t="s" s="13">
        <v>468</v>
      </c>
      <c r="E183" t="s" s="13">
        <v>6536</v>
      </c>
      <c r="F183" s="14">
        <v>8</v>
      </c>
      <c r="G183" s="15">
        <v>1624.9935</v>
      </c>
      <c r="H183" s="15">
        <v>12999.948</v>
      </c>
    </row>
    <row r="184" ht="12.9" customHeight="1">
      <c r="A184" t="s" s="10">
        <v>6535</v>
      </c>
      <c r="B184" t="s" s="11">
        <v>896</v>
      </c>
      <c r="C184" s="12">
        <v>44939</v>
      </c>
      <c r="D184" t="s" s="13">
        <v>50</v>
      </c>
      <c r="E184" t="s" s="13">
        <v>5475</v>
      </c>
      <c r="F184" s="14">
        <v>8</v>
      </c>
      <c r="G184" s="15">
        <v>0</v>
      </c>
      <c r="H184" s="15">
        <v>0</v>
      </c>
    </row>
    <row r="185" ht="12.9" customHeight="1">
      <c r="A185" t="s" s="10">
        <v>6535</v>
      </c>
      <c r="B185" t="s" s="11">
        <v>896</v>
      </c>
      <c r="C185" s="12">
        <v>44939</v>
      </c>
      <c r="D185" t="s" s="13">
        <v>47</v>
      </c>
      <c r="E185" s="16"/>
      <c r="F185" s="14">
        <v>1</v>
      </c>
      <c r="G185" s="15">
        <v>320</v>
      </c>
      <c r="H185" s="15">
        <v>320</v>
      </c>
    </row>
    <row r="186" ht="12.9" customHeight="1">
      <c r="A186" t="s" s="10">
        <v>6537</v>
      </c>
      <c r="B186" t="s" s="11">
        <v>5932</v>
      </c>
      <c r="C186" s="12">
        <v>44938.869699074072</v>
      </c>
      <c r="D186" t="s" s="13">
        <v>15</v>
      </c>
      <c r="E186" t="s" s="13">
        <v>4757</v>
      </c>
      <c r="F186" s="14">
        <v>1</v>
      </c>
      <c r="G186" s="15">
        <v>9.99</v>
      </c>
      <c r="H186" s="15">
        <v>9.99</v>
      </c>
    </row>
    <row r="187" ht="12.9" customHeight="1">
      <c r="A187" t="s" s="10">
        <v>6538</v>
      </c>
      <c r="B187" t="s" s="11">
        <v>5932</v>
      </c>
      <c r="C187" s="12">
        <v>44938.866527777776</v>
      </c>
      <c r="D187" t="s" s="13">
        <v>133</v>
      </c>
      <c r="E187" t="s" s="13">
        <v>4835</v>
      </c>
      <c r="F187" s="14">
        <v>1</v>
      </c>
      <c r="G187" s="15">
        <v>199.99</v>
      </c>
      <c r="H187" s="15">
        <v>199.99</v>
      </c>
    </row>
    <row r="188" ht="12.9" customHeight="1">
      <c r="A188" t="s" s="10">
        <v>6538</v>
      </c>
      <c r="B188" t="s" s="11">
        <v>5932</v>
      </c>
      <c r="C188" s="12">
        <v>44938.866527777776</v>
      </c>
      <c r="D188" t="s" s="13">
        <v>84</v>
      </c>
      <c r="E188" t="s" s="13">
        <v>4225</v>
      </c>
      <c r="F188" s="14">
        <v>1</v>
      </c>
      <c r="G188" s="15">
        <v>15</v>
      </c>
      <c r="H188" s="15">
        <v>15</v>
      </c>
    </row>
    <row r="189" ht="12.9" customHeight="1">
      <c r="A189" t="s" s="10">
        <v>6539</v>
      </c>
      <c r="B189" t="s" s="11">
        <v>6540</v>
      </c>
      <c r="C189" s="12">
        <v>44938.636284722219</v>
      </c>
      <c r="D189" t="s" s="13">
        <v>95</v>
      </c>
      <c r="E189" t="s" s="13">
        <v>12</v>
      </c>
      <c r="F189" s="14">
        <v>1</v>
      </c>
      <c r="G189" s="15">
        <v>349.99</v>
      </c>
      <c r="H189" s="15">
        <v>349.99</v>
      </c>
    </row>
    <row r="190" ht="12.9" customHeight="1">
      <c r="A190" t="s" s="10">
        <v>6541</v>
      </c>
      <c r="B190" t="s" s="11">
        <v>6542</v>
      </c>
      <c r="C190" s="12">
        <v>44938.366793981484</v>
      </c>
      <c r="D190" t="s" s="13">
        <v>31</v>
      </c>
      <c r="E190" t="s" s="13">
        <v>32</v>
      </c>
      <c r="F190" s="14">
        <v>1</v>
      </c>
      <c r="G190" s="15">
        <v>574.99</v>
      </c>
      <c r="H190" s="15">
        <v>574.99</v>
      </c>
    </row>
    <row r="191" ht="12.9" customHeight="1">
      <c r="A191" t="s" s="10">
        <v>6543</v>
      </c>
      <c r="B191" t="s" s="11">
        <v>6544</v>
      </c>
      <c r="C191" s="12">
        <v>44938.341064814813</v>
      </c>
      <c r="D191" t="s" s="13">
        <v>1695</v>
      </c>
      <c r="E191" t="s" s="13">
        <v>140</v>
      </c>
      <c r="F191" s="14">
        <v>1</v>
      </c>
      <c r="G191" s="15">
        <v>49.99</v>
      </c>
      <c r="H191" s="15">
        <v>49.99</v>
      </c>
    </row>
    <row r="192" ht="12.9" customHeight="1">
      <c r="A192" t="s" s="10">
        <v>6543</v>
      </c>
      <c r="B192" t="s" s="11">
        <v>6544</v>
      </c>
      <c r="C192" s="12">
        <v>44938.341064814813</v>
      </c>
      <c r="D192" t="s" s="13">
        <v>15</v>
      </c>
      <c r="E192" t="s" s="13">
        <v>4757</v>
      </c>
      <c r="F192" s="14">
        <v>1</v>
      </c>
      <c r="G192" s="15">
        <v>0</v>
      </c>
      <c r="H192" s="15">
        <v>0</v>
      </c>
    </row>
    <row r="193" ht="12.9" customHeight="1">
      <c r="A193" t="s" s="10">
        <v>6543</v>
      </c>
      <c r="B193" t="s" s="11">
        <v>6544</v>
      </c>
      <c r="C193" s="12">
        <v>44938.341064814813</v>
      </c>
      <c r="D193" t="s" s="13">
        <v>15</v>
      </c>
      <c r="E193" t="s" s="13">
        <v>4757</v>
      </c>
      <c r="F193" s="14">
        <v>1</v>
      </c>
      <c r="G193" s="15">
        <v>9.99</v>
      </c>
      <c r="H193" s="15">
        <v>9.99</v>
      </c>
    </row>
    <row r="194" ht="12.9" customHeight="1">
      <c r="A194" t="s" s="10">
        <v>6545</v>
      </c>
      <c r="B194" t="s" s="11">
        <v>911</v>
      </c>
      <c r="C194" s="12">
        <v>44938</v>
      </c>
      <c r="D194" t="s" s="13">
        <v>3480</v>
      </c>
      <c r="E194" t="s" s="13">
        <v>3480</v>
      </c>
      <c r="F194" s="14">
        <v>3</v>
      </c>
      <c r="G194" s="15">
        <v>225</v>
      </c>
      <c r="H194" s="15">
        <v>675</v>
      </c>
    </row>
    <row r="195" ht="12.9" customHeight="1">
      <c r="A195" t="s" s="10">
        <v>6545</v>
      </c>
      <c r="B195" t="s" s="11">
        <v>911</v>
      </c>
      <c r="C195" s="12">
        <v>44938</v>
      </c>
      <c r="D195" t="s" s="13">
        <v>1187</v>
      </c>
      <c r="E195" t="s" s="13">
        <v>1187</v>
      </c>
      <c r="F195" s="14">
        <v>3</v>
      </c>
      <c r="G195" s="15">
        <v>0.75</v>
      </c>
      <c r="H195" s="15">
        <v>2.25</v>
      </c>
    </row>
    <row r="196" ht="12.9" customHeight="1">
      <c r="A196" t="s" s="10">
        <v>6545</v>
      </c>
      <c r="B196" t="s" s="11">
        <v>911</v>
      </c>
      <c r="C196" s="12">
        <v>44938</v>
      </c>
      <c r="D196" t="s" s="13">
        <v>1186</v>
      </c>
      <c r="E196" t="s" s="13">
        <v>1186</v>
      </c>
      <c r="F196" s="14">
        <v>3</v>
      </c>
      <c r="G196" s="15">
        <v>2</v>
      </c>
      <c r="H196" s="15">
        <v>6</v>
      </c>
    </row>
    <row r="197" ht="12.9" customHeight="1">
      <c r="A197" t="s" s="10">
        <v>6545</v>
      </c>
      <c r="B197" t="s" s="11">
        <v>911</v>
      </c>
      <c r="C197" s="12">
        <v>44938</v>
      </c>
      <c r="D197" t="s" s="13">
        <v>266</v>
      </c>
      <c r="E197" t="s" s="13">
        <v>267</v>
      </c>
      <c r="F197" s="14">
        <v>10</v>
      </c>
      <c r="G197" s="15">
        <v>0.25</v>
      </c>
      <c r="H197" s="15">
        <v>2.5</v>
      </c>
    </row>
    <row r="198" ht="12.9" customHeight="1">
      <c r="A198" t="s" s="10">
        <v>6545</v>
      </c>
      <c r="B198" t="s" s="11">
        <v>911</v>
      </c>
      <c r="C198" s="12">
        <v>44938</v>
      </c>
      <c r="D198" t="s" s="13">
        <v>1892</v>
      </c>
      <c r="E198" t="s" s="13">
        <v>1892</v>
      </c>
      <c r="F198" s="14">
        <v>6</v>
      </c>
      <c r="G198" s="15">
        <v>0.7</v>
      </c>
      <c r="H198" s="15">
        <v>4.2</v>
      </c>
    </row>
    <row r="199" ht="12.9" customHeight="1">
      <c r="A199" t="s" s="10">
        <v>6545</v>
      </c>
      <c r="B199" t="s" s="11">
        <v>911</v>
      </c>
      <c r="C199" s="12">
        <v>44938</v>
      </c>
      <c r="D199" t="s" s="13">
        <v>1046</v>
      </c>
      <c r="E199" t="s" s="13">
        <v>1047</v>
      </c>
      <c r="F199" s="14">
        <v>6</v>
      </c>
      <c r="G199" s="15">
        <v>0.25</v>
      </c>
      <c r="H199" s="15">
        <v>1.5</v>
      </c>
    </row>
    <row r="200" ht="12.9" customHeight="1">
      <c r="A200" t="s" s="10">
        <v>6545</v>
      </c>
      <c r="B200" t="s" s="11">
        <v>911</v>
      </c>
      <c r="C200" s="12">
        <v>44938</v>
      </c>
      <c r="D200" t="s" s="13">
        <v>1891</v>
      </c>
      <c r="E200" t="s" s="13">
        <v>1891</v>
      </c>
      <c r="F200" s="14">
        <v>6</v>
      </c>
      <c r="G200" s="15">
        <v>0.25</v>
      </c>
      <c r="H200" s="15">
        <v>1.5</v>
      </c>
    </row>
    <row r="201" ht="12.9" customHeight="1">
      <c r="A201" t="s" s="10">
        <v>6545</v>
      </c>
      <c r="B201" t="s" s="11">
        <v>911</v>
      </c>
      <c r="C201" s="12">
        <v>44938</v>
      </c>
      <c r="D201" t="s" s="13">
        <v>2512</v>
      </c>
      <c r="E201" t="s" s="13">
        <v>2512</v>
      </c>
      <c r="F201" s="14">
        <v>6</v>
      </c>
      <c r="G201" s="15">
        <v>0.2</v>
      </c>
      <c r="H201" s="15">
        <v>1.2</v>
      </c>
    </row>
    <row r="202" ht="12.9" customHeight="1">
      <c r="A202" t="s" s="10">
        <v>6545</v>
      </c>
      <c r="B202" t="s" s="11">
        <v>911</v>
      </c>
      <c r="C202" s="12">
        <v>44938</v>
      </c>
      <c r="D202" t="s" s="13">
        <v>109</v>
      </c>
      <c r="E202" t="s" s="13">
        <v>109</v>
      </c>
      <c r="F202" s="14">
        <v>1</v>
      </c>
      <c r="G202" s="15">
        <v>150</v>
      </c>
      <c r="H202" s="15">
        <v>150</v>
      </c>
    </row>
    <row r="203" ht="12.9" customHeight="1">
      <c r="A203" t="s" s="10">
        <v>6546</v>
      </c>
      <c r="B203" t="s" s="11">
        <v>6547</v>
      </c>
      <c r="C203" s="12">
        <v>44937.755370370367</v>
      </c>
      <c r="D203" t="s" s="13">
        <v>35</v>
      </c>
      <c r="E203" t="s" s="13">
        <v>36</v>
      </c>
      <c r="F203" s="14">
        <v>2</v>
      </c>
      <c r="G203" s="15">
        <v>49.99</v>
      </c>
      <c r="H203" s="15">
        <v>99.98</v>
      </c>
    </row>
    <row r="204" ht="12.9" customHeight="1">
      <c r="A204" t="s" s="10">
        <v>6548</v>
      </c>
      <c r="B204" t="s" s="11">
        <v>6243</v>
      </c>
      <c r="C204" s="12">
        <v>44937.725104166668</v>
      </c>
      <c r="D204" t="s" s="13">
        <v>1054</v>
      </c>
      <c r="E204" t="s" s="13">
        <v>828</v>
      </c>
      <c r="F204" s="14">
        <v>1</v>
      </c>
      <c r="G204" s="15">
        <v>149.99</v>
      </c>
      <c r="H204" s="15">
        <v>149.99</v>
      </c>
    </row>
    <row r="205" ht="12.9" customHeight="1">
      <c r="A205" t="s" s="10">
        <v>6549</v>
      </c>
      <c r="B205" t="s" s="11">
        <v>42</v>
      </c>
      <c r="C205" s="12">
        <v>44937</v>
      </c>
      <c r="D205" t="s" s="13">
        <v>775</v>
      </c>
      <c r="E205" t="s" s="13">
        <v>775</v>
      </c>
      <c r="F205" s="14">
        <v>1</v>
      </c>
      <c r="G205" s="15">
        <v>0</v>
      </c>
      <c r="H205" s="15">
        <v>0</v>
      </c>
    </row>
    <row r="206" ht="12.9" customHeight="1">
      <c r="A206" t="s" s="10">
        <v>6549</v>
      </c>
      <c r="B206" t="s" s="11">
        <v>42</v>
      </c>
      <c r="C206" s="12">
        <v>44937</v>
      </c>
      <c r="D206" t="s" s="13">
        <v>4888</v>
      </c>
      <c r="E206" t="s" s="13">
        <v>4889</v>
      </c>
      <c r="F206" s="14">
        <v>1</v>
      </c>
      <c r="G206" s="15">
        <v>0</v>
      </c>
      <c r="H206" s="15">
        <v>0</v>
      </c>
    </row>
    <row r="207" ht="12.9" customHeight="1">
      <c r="A207" t="s" s="10">
        <v>6550</v>
      </c>
      <c r="B207" t="s" s="11">
        <v>391</v>
      </c>
      <c r="C207" s="12">
        <v>44937</v>
      </c>
      <c r="D207" t="s" s="13">
        <v>48</v>
      </c>
      <c r="E207" t="s" s="13">
        <v>6551</v>
      </c>
      <c r="F207" s="14">
        <v>10</v>
      </c>
      <c r="G207" s="15">
        <v>900</v>
      </c>
      <c r="H207" s="15">
        <v>9000</v>
      </c>
    </row>
    <row r="208" ht="12.9" customHeight="1">
      <c r="A208" t="s" s="10">
        <v>6550</v>
      </c>
      <c r="B208" t="s" s="11">
        <v>391</v>
      </c>
      <c r="C208" s="12">
        <v>44937</v>
      </c>
      <c r="D208" t="s" s="13">
        <v>4800</v>
      </c>
      <c r="E208" t="s" s="13">
        <v>4801</v>
      </c>
      <c r="F208" s="14">
        <v>10</v>
      </c>
      <c r="G208" s="15">
        <v>350</v>
      </c>
      <c r="H208" s="15">
        <v>3500</v>
      </c>
    </row>
    <row r="209" ht="12.9" customHeight="1">
      <c r="A209" t="s" s="10">
        <v>6550</v>
      </c>
      <c r="B209" t="s" s="11">
        <v>391</v>
      </c>
      <c r="C209" s="12">
        <v>44937</v>
      </c>
      <c r="D209" t="s" s="13">
        <v>50</v>
      </c>
      <c r="E209" t="s" s="13">
        <v>51</v>
      </c>
      <c r="F209" s="14">
        <v>20</v>
      </c>
      <c r="G209" s="15">
        <v>0</v>
      </c>
      <c r="H209" s="15">
        <v>0</v>
      </c>
    </row>
    <row r="210" ht="12.9" customHeight="1">
      <c r="A210" t="s" s="10">
        <v>6550</v>
      </c>
      <c r="B210" t="s" s="11">
        <v>391</v>
      </c>
      <c r="C210" s="12">
        <v>44937</v>
      </c>
      <c r="D210" t="s" s="13">
        <v>47</v>
      </c>
      <c r="E210" s="16"/>
      <c r="F210" s="14">
        <v>1</v>
      </c>
      <c r="G210" s="15">
        <v>300</v>
      </c>
      <c r="H210" s="15">
        <v>300</v>
      </c>
    </row>
    <row r="211" ht="12.9" customHeight="1">
      <c r="A211" t="s" s="10">
        <v>6552</v>
      </c>
      <c r="B211" t="s" s="11">
        <v>42</v>
      </c>
      <c r="C211" s="12">
        <v>44937</v>
      </c>
      <c r="D211" t="s" s="13">
        <v>775</v>
      </c>
      <c r="E211" t="s" s="13">
        <v>775</v>
      </c>
      <c r="F211" s="14">
        <v>2</v>
      </c>
      <c r="G211" s="15">
        <v>0</v>
      </c>
      <c r="H211" s="15">
        <v>0</v>
      </c>
    </row>
    <row r="212" ht="12.9" customHeight="1">
      <c r="A212" t="s" s="10">
        <v>6552</v>
      </c>
      <c r="B212" t="s" s="11">
        <v>42</v>
      </c>
      <c r="C212" s="12">
        <v>44937</v>
      </c>
      <c r="D212" t="s" s="13">
        <v>4888</v>
      </c>
      <c r="E212" t="s" s="13">
        <v>4889</v>
      </c>
      <c r="F212" s="14">
        <v>2</v>
      </c>
      <c r="G212" s="15">
        <v>0</v>
      </c>
      <c r="H212" s="15">
        <v>0</v>
      </c>
    </row>
    <row r="213" ht="12.9" customHeight="1">
      <c r="A213" t="s" s="10">
        <v>6553</v>
      </c>
      <c r="B213" t="s" s="11">
        <v>3437</v>
      </c>
      <c r="C213" s="12">
        <v>44937</v>
      </c>
      <c r="D213" t="s" s="13">
        <v>359</v>
      </c>
      <c r="E213" t="s" s="13">
        <v>4199</v>
      </c>
      <c r="F213" s="14">
        <v>8</v>
      </c>
      <c r="G213" s="15">
        <v>22.4925</v>
      </c>
      <c r="H213" s="15">
        <v>179.94</v>
      </c>
    </row>
    <row r="214" ht="12.9" customHeight="1">
      <c r="A214" t="s" s="10">
        <v>6554</v>
      </c>
      <c r="B214" t="s" s="11">
        <v>6555</v>
      </c>
      <c r="C214" s="12">
        <v>44936.930358796293</v>
      </c>
      <c r="D214" t="s" s="13">
        <v>31</v>
      </c>
      <c r="E214" t="s" s="13">
        <v>32</v>
      </c>
      <c r="F214" s="14">
        <v>1</v>
      </c>
      <c r="G214" s="15">
        <v>574.99</v>
      </c>
      <c r="H214" s="15">
        <v>574.99</v>
      </c>
    </row>
    <row r="215" ht="12.9" customHeight="1">
      <c r="A215" t="s" s="10">
        <v>6556</v>
      </c>
      <c r="B215" t="s" s="11">
        <v>6557</v>
      </c>
      <c r="C215" s="12">
        <v>44936.4203125</v>
      </c>
      <c r="D215" t="s" s="13">
        <v>1695</v>
      </c>
      <c r="E215" t="s" s="13">
        <v>140</v>
      </c>
      <c r="F215" s="14">
        <v>1</v>
      </c>
      <c r="G215" s="15">
        <v>49.99</v>
      </c>
      <c r="H215" s="15">
        <v>49.99</v>
      </c>
    </row>
    <row r="216" ht="12.9" customHeight="1">
      <c r="A216" t="s" s="10">
        <v>6556</v>
      </c>
      <c r="B216" t="s" s="11">
        <v>6557</v>
      </c>
      <c r="C216" s="12">
        <v>44936.4203125</v>
      </c>
      <c r="D216" t="s" s="13">
        <v>15</v>
      </c>
      <c r="E216" t="s" s="13">
        <v>4757</v>
      </c>
      <c r="F216" s="14">
        <v>1</v>
      </c>
      <c r="G216" s="15">
        <v>0</v>
      </c>
      <c r="H216" s="15">
        <v>0</v>
      </c>
    </row>
    <row r="217" ht="12.9" customHeight="1">
      <c r="A217" t="s" s="10">
        <v>6558</v>
      </c>
      <c r="B217" t="s" s="11">
        <v>465</v>
      </c>
      <c r="C217" s="12">
        <v>44936</v>
      </c>
      <c r="D217" t="s" s="13">
        <v>143</v>
      </c>
      <c r="E217" t="s" s="13">
        <v>144</v>
      </c>
      <c r="F217" s="14">
        <v>1</v>
      </c>
      <c r="G217" s="15">
        <v>2499.99</v>
      </c>
      <c r="H217" s="15">
        <v>2499.99</v>
      </c>
    </row>
    <row r="218" ht="12.9" customHeight="1">
      <c r="A218" t="s" s="10">
        <v>6558</v>
      </c>
      <c r="B218" t="s" s="11">
        <v>465</v>
      </c>
      <c r="C218" s="12">
        <v>44936</v>
      </c>
      <c r="D218" t="s" s="13">
        <v>123</v>
      </c>
      <c r="E218" t="s" s="13">
        <v>124</v>
      </c>
      <c r="F218" s="14">
        <v>2</v>
      </c>
      <c r="G218" s="15">
        <v>134.9925</v>
      </c>
      <c r="H218" s="15">
        <v>269.985</v>
      </c>
    </row>
    <row r="219" ht="12.9" customHeight="1">
      <c r="A219" t="s" s="10">
        <v>6558</v>
      </c>
      <c r="B219" t="s" s="11">
        <v>465</v>
      </c>
      <c r="C219" s="12">
        <v>44936</v>
      </c>
      <c r="D219" t="s" s="13">
        <v>89</v>
      </c>
      <c r="E219" t="s" s="13">
        <v>90</v>
      </c>
      <c r="F219" s="14">
        <v>16</v>
      </c>
      <c r="G219" s="15">
        <v>44.9925</v>
      </c>
      <c r="H219" s="15">
        <v>719.88</v>
      </c>
    </row>
    <row r="220" ht="12.9" customHeight="1">
      <c r="A220" t="s" s="10">
        <v>6558</v>
      </c>
      <c r="B220" t="s" s="11">
        <v>465</v>
      </c>
      <c r="C220" s="12">
        <v>44936</v>
      </c>
      <c r="D220" t="s" s="13">
        <v>77</v>
      </c>
      <c r="E220" t="s" s="13">
        <v>4224</v>
      </c>
      <c r="F220" s="14">
        <v>6</v>
      </c>
      <c r="G220" s="15">
        <v>14.9925</v>
      </c>
      <c r="H220" s="15">
        <v>89.955</v>
      </c>
    </row>
    <row r="221" ht="12.9" customHeight="1">
      <c r="A221" t="s" s="10">
        <v>6558</v>
      </c>
      <c r="B221" t="s" s="11">
        <v>465</v>
      </c>
      <c r="C221" s="12">
        <v>44936</v>
      </c>
      <c r="D221" t="s" s="13">
        <v>359</v>
      </c>
      <c r="E221" t="s" s="13">
        <v>4199</v>
      </c>
      <c r="F221" s="14">
        <v>4</v>
      </c>
      <c r="G221" s="15">
        <v>22.4925</v>
      </c>
      <c r="H221" s="15">
        <v>89.97</v>
      </c>
    </row>
    <row r="222" ht="12.9" customHeight="1">
      <c r="A222" t="s" s="10">
        <v>6558</v>
      </c>
      <c r="B222" t="s" s="11">
        <v>465</v>
      </c>
      <c r="C222" s="12">
        <v>44936</v>
      </c>
      <c r="D222" t="s" s="13">
        <v>47</v>
      </c>
      <c r="E222" s="16"/>
      <c r="F222" s="14">
        <v>1</v>
      </c>
      <c r="G222" s="15">
        <v>100</v>
      </c>
      <c r="H222" s="15">
        <v>100</v>
      </c>
    </row>
    <row r="223" ht="12.9" customHeight="1">
      <c r="A223" t="s" s="10">
        <v>6559</v>
      </c>
      <c r="B223" t="s" s="11">
        <v>6560</v>
      </c>
      <c r="C223" s="12">
        <v>44935.688587962963</v>
      </c>
      <c r="D223" t="s" s="13">
        <v>31</v>
      </c>
      <c r="E223" t="s" s="13">
        <v>32</v>
      </c>
      <c r="F223" s="14">
        <v>1</v>
      </c>
      <c r="G223" s="15">
        <v>599.99</v>
      </c>
      <c r="H223" s="15">
        <v>599.99</v>
      </c>
    </row>
    <row r="224" ht="12.9" customHeight="1">
      <c r="A224" t="s" s="10">
        <v>6561</v>
      </c>
      <c r="B224" t="s" s="11">
        <v>1359</v>
      </c>
      <c r="C224" s="12">
        <v>44935.6003587963</v>
      </c>
      <c r="D224" t="s" s="13">
        <v>95</v>
      </c>
      <c r="E224" t="s" s="13">
        <v>12</v>
      </c>
      <c r="F224" s="14">
        <v>1</v>
      </c>
      <c r="G224" s="15">
        <v>349.99</v>
      </c>
      <c r="H224" s="15">
        <v>349.99</v>
      </c>
    </row>
    <row r="225" ht="12.9" customHeight="1">
      <c r="A225" t="s" s="10">
        <v>6562</v>
      </c>
      <c r="B225" t="s" s="11">
        <v>3437</v>
      </c>
      <c r="C225" s="12">
        <v>44935</v>
      </c>
      <c r="D225" t="s" s="13">
        <v>48</v>
      </c>
      <c r="E225" t="s" s="13">
        <v>6563</v>
      </c>
      <c r="F225" s="14">
        <v>13</v>
      </c>
      <c r="G225" s="15">
        <v>974.9924999999999</v>
      </c>
      <c r="H225" s="15">
        <v>12674.9025</v>
      </c>
    </row>
    <row r="226" ht="12.9" customHeight="1">
      <c r="A226" t="s" s="10">
        <v>6562</v>
      </c>
      <c r="B226" t="s" s="11">
        <v>3437</v>
      </c>
      <c r="C226" s="12">
        <v>44935</v>
      </c>
      <c r="D226" t="s" s="13">
        <v>52</v>
      </c>
      <c r="E226" t="s" s="13">
        <v>5474</v>
      </c>
      <c r="F226" s="14">
        <v>13</v>
      </c>
      <c r="G226" s="15">
        <v>0</v>
      </c>
      <c r="H226" s="15">
        <v>0</v>
      </c>
    </row>
    <row r="227" ht="12.9" customHeight="1">
      <c r="A227" t="s" s="10">
        <v>6562</v>
      </c>
      <c r="B227" t="s" s="11">
        <v>3437</v>
      </c>
      <c r="C227" s="12">
        <v>44935</v>
      </c>
      <c r="D227" t="s" s="13">
        <v>50</v>
      </c>
      <c r="E227" t="s" s="13">
        <v>51</v>
      </c>
      <c r="F227" s="14">
        <v>13</v>
      </c>
      <c r="G227" s="15">
        <v>0</v>
      </c>
      <c r="H227" s="15">
        <v>0</v>
      </c>
    </row>
    <row r="228" ht="12.9" customHeight="1">
      <c r="A228" t="s" s="10">
        <v>6562</v>
      </c>
      <c r="B228" t="s" s="11">
        <v>3437</v>
      </c>
      <c r="C228" s="12">
        <v>44935</v>
      </c>
      <c r="D228" t="s" s="13">
        <v>23</v>
      </c>
      <c r="E228" t="s" s="13">
        <v>6564</v>
      </c>
      <c r="F228" s="14">
        <v>13</v>
      </c>
      <c r="G228" s="15">
        <v>0</v>
      </c>
      <c r="H228" s="15">
        <v>0</v>
      </c>
    </row>
    <row r="229" ht="12.9" customHeight="1">
      <c r="A229" t="s" s="10">
        <v>6562</v>
      </c>
      <c r="B229" t="s" s="11">
        <v>3437</v>
      </c>
      <c r="C229" s="12">
        <v>44935</v>
      </c>
      <c r="D229" t="s" s="13">
        <v>54</v>
      </c>
      <c r="E229" t="s" s="13">
        <v>55</v>
      </c>
      <c r="F229" s="14">
        <v>13</v>
      </c>
      <c r="G229" s="15">
        <v>0</v>
      </c>
      <c r="H229" s="15">
        <v>0</v>
      </c>
    </row>
    <row r="230" ht="12.9" customHeight="1">
      <c r="A230" t="s" s="10">
        <v>6562</v>
      </c>
      <c r="B230" t="s" s="11">
        <v>3437</v>
      </c>
      <c r="C230" s="12">
        <v>44935</v>
      </c>
      <c r="D230" t="s" s="13">
        <v>19</v>
      </c>
      <c r="E230" t="s" s="13">
        <v>20</v>
      </c>
      <c r="F230" s="14">
        <v>8</v>
      </c>
      <c r="G230" s="15">
        <v>89.99250000000001</v>
      </c>
      <c r="H230" s="15">
        <v>719.9400000000001</v>
      </c>
    </row>
    <row r="231" ht="12.9" customHeight="1">
      <c r="A231" t="s" s="10">
        <v>6562</v>
      </c>
      <c r="B231" t="s" s="11">
        <v>3437</v>
      </c>
      <c r="C231" s="12">
        <v>44935</v>
      </c>
      <c r="D231" t="s" s="13">
        <v>559</v>
      </c>
      <c r="E231" t="s" s="13">
        <v>6565</v>
      </c>
      <c r="F231" s="14">
        <v>200</v>
      </c>
      <c r="G231" s="15">
        <v>0</v>
      </c>
      <c r="H231" s="15">
        <v>0</v>
      </c>
    </row>
    <row r="232" ht="12.9" customHeight="1">
      <c r="A232" t="s" s="10">
        <v>6562</v>
      </c>
      <c r="B232" t="s" s="11">
        <v>3437</v>
      </c>
      <c r="C232" s="12">
        <v>44935</v>
      </c>
      <c r="D232" t="s" s="13">
        <v>47</v>
      </c>
      <c r="E232" s="16"/>
      <c r="F232" s="14">
        <v>1</v>
      </c>
      <c r="G232" s="15">
        <v>277.53</v>
      </c>
      <c r="H232" s="15">
        <v>277.53</v>
      </c>
    </row>
    <row r="233" ht="12.9" customHeight="1">
      <c r="A233" t="s" s="10">
        <v>6566</v>
      </c>
      <c r="B233" t="s" s="11">
        <v>6567</v>
      </c>
      <c r="C233" s="12">
        <v>44934.761053240742</v>
      </c>
      <c r="D233" t="s" s="13">
        <v>95</v>
      </c>
      <c r="E233" t="s" s="13">
        <v>12</v>
      </c>
      <c r="F233" s="14">
        <v>1</v>
      </c>
      <c r="G233" s="15">
        <v>349.99</v>
      </c>
      <c r="H233" s="15">
        <v>349.99</v>
      </c>
    </row>
    <row r="234" ht="12.9" customHeight="1">
      <c r="A234" t="s" s="10">
        <v>6568</v>
      </c>
      <c r="B234" t="s" s="11">
        <v>5135</v>
      </c>
      <c r="C234" s="12">
        <v>44934.398981481485</v>
      </c>
      <c r="D234" t="s" s="13">
        <v>171</v>
      </c>
      <c r="E234" t="s" s="13">
        <v>172</v>
      </c>
      <c r="F234" s="14">
        <v>2</v>
      </c>
      <c r="G234" s="15">
        <v>549.99</v>
      </c>
      <c r="H234" s="15">
        <v>1099.98</v>
      </c>
    </row>
    <row r="235" ht="12.9" customHeight="1">
      <c r="A235" t="s" s="10">
        <v>6568</v>
      </c>
      <c r="B235" t="s" s="11">
        <v>5135</v>
      </c>
      <c r="C235" s="12">
        <v>44934.398981481485</v>
      </c>
      <c r="D235" t="s" s="13">
        <v>35</v>
      </c>
      <c r="E235" t="s" s="13">
        <v>36</v>
      </c>
      <c r="F235" s="14">
        <v>2</v>
      </c>
      <c r="G235" s="15">
        <v>49.99</v>
      </c>
      <c r="H235" s="15">
        <v>99.98</v>
      </c>
    </row>
    <row r="236" ht="12.9" customHeight="1">
      <c r="A236" t="s" s="10">
        <v>6569</v>
      </c>
      <c r="B236" t="s" s="11">
        <v>6502</v>
      </c>
      <c r="C236" s="12">
        <v>44933.485787037040</v>
      </c>
      <c r="D236" t="s" s="13">
        <v>31</v>
      </c>
      <c r="E236" t="s" s="13">
        <v>32</v>
      </c>
      <c r="F236" s="14">
        <v>1</v>
      </c>
      <c r="G236" s="15">
        <v>574.99</v>
      </c>
      <c r="H236" s="15">
        <v>574.99</v>
      </c>
    </row>
    <row r="237" ht="12.9" customHeight="1">
      <c r="A237" t="s" s="10">
        <v>6570</v>
      </c>
      <c r="B237" t="s" s="11">
        <v>6571</v>
      </c>
      <c r="C237" s="12">
        <v>44933.245960648150</v>
      </c>
      <c r="D237" t="s" s="13">
        <v>35</v>
      </c>
      <c r="E237" t="s" s="13">
        <v>36</v>
      </c>
      <c r="F237" s="14">
        <v>2</v>
      </c>
      <c r="G237" s="15">
        <v>49.99</v>
      </c>
      <c r="H237" s="15">
        <v>99.98</v>
      </c>
    </row>
    <row r="238" ht="12.9" customHeight="1">
      <c r="A238" t="s" s="10">
        <v>6572</v>
      </c>
      <c r="B238" t="s" s="11">
        <v>2778</v>
      </c>
      <c r="C238" s="12">
        <v>44932</v>
      </c>
      <c r="D238" t="s" s="13">
        <v>468</v>
      </c>
      <c r="E238" t="s" s="13">
        <v>6573</v>
      </c>
      <c r="F238" s="14">
        <v>2</v>
      </c>
      <c r="G238" s="15">
        <v>2499.99</v>
      </c>
      <c r="H238" s="15">
        <v>4999.98</v>
      </c>
    </row>
    <row r="239" ht="12.9" customHeight="1">
      <c r="A239" t="s" s="10">
        <v>6572</v>
      </c>
      <c r="B239" t="s" s="11">
        <v>2778</v>
      </c>
      <c r="C239" s="12">
        <v>44932</v>
      </c>
      <c r="D239" t="s" s="13">
        <v>1695</v>
      </c>
      <c r="E239" t="s" s="13">
        <v>140</v>
      </c>
      <c r="F239" s="14">
        <v>4</v>
      </c>
      <c r="G239" s="15">
        <v>49.99</v>
      </c>
      <c r="H239" s="15">
        <v>199.96</v>
      </c>
    </row>
    <row r="240" ht="12.9" customHeight="1">
      <c r="A240" t="s" s="10">
        <v>6572</v>
      </c>
      <c r="B240" t="s" s="11">
        <v>2778</v>
      </c>
      <c r="C240" s="12">
        <v>44932</v>
      </c>
      <c r="D240" t="s" s="13">
        <v>54</v>
      </c>
      <c r="E240" t="s" s="13">
        <v>55</v>
      </c>
      <c r="F240" s="14">
        <v>8</v>
      </c>
      <c r="G240" s="15">
        <v>0</v>
      </c>
      <c r="H240" s="15">
        <v>0</v>
      </c>
    </row>
    <row r="241" ht="12.9" customHeight="1">
      <c r="A241" t="s" s="10">
        <v>6572</v>
      </c>
      <c r="B241" t="s" s="11">
        <v>2778</v>
      </c>
      <c r="C241" s="12">
        <v>44932</v>
      </c>
      <c r="D241" t="s" s="13">
        <v>15</v>
      </c>
      <c r="E241" t="s" s="13">
        <v>6574</v>
      </c>
      <c r="F241" s="14">
        <v>10</v>
      </c>
      <c r="G241" s="15">
        <v>0</v>
      </c>
      <c r="H241" s="15">
        <v>0</v>
      </c>
    </row>
    <row r="242" ht="12.9" customHeight="1">
      <c r="A242" t="s" s="10">
        <v>6572</v>
      </c>
      <c r="B242" t="s" s="11">
        <v>2778</v>
      </c>
      <c r="C242" s="12">
        <v>44932</v>
      </c>
      <c r="D242" t="s" s="13">
        <v>133</v>
      </c>
      <c r="E242" t="s" s="13">
        <v>5494</v>
      </c>
      <c r="F242" s="14">
        <v>8</v>
      </c>
      <c r="G242" s="15">
        <v>50</v>
      </c>
      <c r="H242" s="15">
        <v>400</v>
      </c>
    </row>
    <row r="243" ht="12.9" customHeight="1">
      <c r="A243" t="s" s="10">
        <v>6572</v>
      </c>
      <c r="B243" t="s" s="11">
        <v>2778</v>
      </c>
      <c r="C243" s="12">
        <v>44932</v>
      </c>
      <c r="D243" t="s" s="13">
        <v>50</v>
      </c>
      <c r="E243" t="s" s="13">
        <v>83</v>
      </c>
      <c r="F243" s="14">
        <v>2</v>
      </c>
      <c r="G243" s="15">
        <v>0</v>
      </c>
      <c r="H243" s="15">
        <v>0</v>
      </c>
    </row>
    <row r="244" ht="12.9" customHeight="1">
      <c r="A244" t="s" s="10">
        <v>6575</v>
      </c>
      <c r="B244" t="s" s="11">
        <v>6576</v>
      </c>
      <c r="C244" s="12">
        <v>44931.772905092592</v>
      </c>
      <c r="D244" t="s" s="13">
        <v>95</v>
      </c>
      <c r="E244" t="s" s="13">
        <v>12</v>
      </c>
      <c r="F244" s="14">
        <v>1</v>
      </c>
      <c r="G244" s="15">
        <v>324.99</v>
      </c>
      <c r="H244" s="15">
        <v>324.99</v>
      </c>
    </row>
    <row r="245" ht="12.9" customHeight="1">
      <c r="A245" t="s" s="10">
        <v>6577</v>
      </c>
      <c r="B245" t="s" s="11">
        <v>6578</v>
      </c>
      <c r="C245" s="12">
        <v>44931.755775462960</v>
      </c>
      <c r="D245" t="s" s="13">
        <v>31</v>
      </c>
      <c r="E245" t="s" s="13">
        <v>32</v>
      </c>
      <c r="F245" s="14">
        <v>1</v>
      </c>
      <c r="G245" s="15">
        <v>587.49</v>
      </c>
      <c r="H245" s="15">
        <v>587.49</v>
      </c>
    </row>
    <row r="246" ht="12.9" customHeight="1">
      <c r="A246" t="s" s="10">
        <v>6577</v>
      </c>
      <c r="B246" t="s" s="11">
        <v>6578</v>
      </c>
      <c r="C246" s="12">
        <v>44931.755775462960</v>
      </c>
      <c r="D246" t="s" s="13">
        <v>35</v>
      </c>
      <c r="E246" t="s" s="13">
        <v>36</v>
      </c>
      <c r="F246" s="14">
        <v>1</v>
      </c>
      <c r="G246" s="15">
        <v>37.49</v>
      </c>
      <c r="H246" s="15">
        <v>37.49</v>
      </c>
    </row>
    <row r="247" ht="12.9" customHeight="1">
      <c r="A247" t="s" s="10">
        <v>6579</v>
      </c>
      <c r="B247" t="s" s="11">
        <v>6580</v>
      </c>
      <c r="C247" s="12">
        <v>44931.705127314817</v>
      </c>
      <c r="D247" t="s" s="13">
        <v>35</v>
      </c>
      <c r="E247" t="s" s="13">
        <v>36</v>
      </c>
      <c r="F247" s="14">
        <v>2</v>
      </c>
      <c r="G247" s="15">
        <v>49.99</v>
      </c>
      <c r="H247" s="15">
        <v>99.98</v>
      </c>
    </row>
    <row r="248" ht="12.9" customHeight="1">
      <c r="A248" t="s" s="10">
        <v>6581</v>
      </c>
      <c r="B248" t="s" s="11">
        <v>6402</v>
      </c>
      <c r="C248" s="12">
        <v>44931.595925925925</v>
      </c>
      <c r="D248" t="s" s="13">
        <v>345</v>
      </c>
      <c r="E248" t="s" s="13">
        <v>346</v>
      </c>
      <c r="F248" s="14">
        <v>1</v>
      </c>
      <c r="G248" s="15">
        <v>211.65</v>
      </c>
      <c r="H248" s="15">
        <v>211.65</v>
      </c>
    </row>
    <row r="249" ht="12.9" customHeight="1">
      <c r="A249" t="s" s="10">
        <v>6581</v>
      </c>
      <c r="B249" t="s" s="11">
        <v>6402</v>
      </c>
      <c r="C249" s="12">
        <v>44931.595925925925</v>
      </c>
      <c r="D249" t="s" s="13">
        <v>54</v>
      </c>
      <c r="E249" t="s" s="13">
        <v>93</v>
      </c>
      <c r="F249" s="14">
        <v>1</v>
      </c>
      <c r="G249" s="15">
        <v>1.66</v>
      </c>
      <c r="H249" s="15">
        <v>1.66</v>
      </c>
    </row>
    <row r="250" ht="12.9" customHeight="1">
      <c r="A250" t="s" s="10">
        <v>6581</v>
      </c>
      <c r="B250" t="s" s="11">
        <v>6402</v>
      </c>
      <c r="C250" s="12">
        <v>44931.595925925925</v>
      </c>
      <c r="D250" t="s" s="13">
        <v>15</v>
      </c>
      <c r="E250" t="s" s="13">
        <v>4757</v>
      </c>
      <c r="F250" s="14">
        <v>1</v>
      </c>
      <c r="G250" s="15">
        <v>1.66</v>
      </c>
      <c r="H250" s="15">
        <v>1.66</v>
      </c>
    </row>
    <row r="251" ht="12.9" customHeight="1">
      <c r="A251" t="s" s="10">
        <v>6582</v>
      </c>
      <c r="B251" t="s" s="11">
        <v>6583</v>
      </c>
      <c r="C251" s="12">
        <v>44931.563877314817</v>
      </c>
      <c r="D251" t="s" s="13">
        <v>171</v>
      </c>
      <c r="E251" t="s" s="13">
        <v>172</v>
      </c>
      <c r="F251" s="14">
        <v>1</v>
      </c>
      <c r="G251" s="15">
        <v>549.99</v>
      </c>
      <c r="H251" s="15">
        <v>549.99</v>
      </c>
    </row>
    <row r="252" ht="12.9" customHeight="1">
      <c r="A252" t="s" s="10">
        <v>6584</v>
      </c>
      <c r="B252" t="s" s="11">
        <v>4251</v>
      </c>
      <c r="C252" s="12">
        <v>44931.494884259257</v>
      </c>
      <c r="D252" t="s" s="13">
        <v>73</v>
      </c>
      <c r="E252" t="s" s="13">
        <v>74</v>
      </c>
      <c r="F252" s="14">
        <v>1</v>
      </c>
      <c r="G252" s="15">
        <v>399.99</v>
      </c>
      <c r="H252" s="15">
        <v>399.99</v>
      </c>
    </row>
    <row r="253" ht="12.9" customHeight="1">
      <c r="A253" t="s" s="10">
        <v>6585</v>
      </c>
      <c r="B253" t="s" s="11">
        <v>2087</v>
      </c>
      <c r="C253" s="12">
        <v>44931.4247800926</v>
      </c>
      <c r="D253" t="s" s="13">
        <v>81</v>
      </c>
      <c r="E253" t="s" s="13">
        <v>82</v>
      </c>
      <c r="F253" s="14">
        <v>2</v>
      </c>
      <c r="G253" s="15">
        <v>849.99</v>
      </c>
      <c r="H253" s="15">
        <v>1699.98</v>
      </c>
    </row>
    <row r="254" ht="12.9" customHeight="1">
      <c r="A254" t="s" s="10">
        <v>6585</v>
      </c>
      <c r="B254" t="s" s="11">
        <v>2087</v>
      </c>
      <c r="C254" s="12">
        <v>44931.4247800926</v>
      </c>
      <c r="D254" t="s" s="13">
        <v>50</v>
      </c>
      <c r="E254" t="s" s="13">
        <v>83</v>
      </c>
      <c r="F254" s="14">
        <v>2</v>
      </c>
      <c r="G254" s="15">
        <v>0</v>
      </c>
      <c r="H254" s="15">
        <v>0</v>
      </c>
    </row>
    <row r="255" ht="12.9" customHeight="1">
      <c r="A255" t="s" s="10">
        <v>6585</v>
      </c>
      <c r="B255" t="s" s="11">
        <v>2087</v>
      </c>
      <c r="C255" s="12">
        <v>44931.4247800926</v>
      </c>
      <c r="D255" t="s" s="13">
        <v>84</v>
      </c>
      <c r="E255" t="s" s="13">
        <v>4225</v>
      </c>
      <c r="F255" s="14">
        <v>2</v>
      </c>
      <c r="G255" s="15">
        <v>0</v>
      </c>
      <c r="H255" s="15">
        <v>0</v>
      </c>
    </row>
    <row r="256" ht="12.9" customHeight="1">
      <c r="A256" t="s" s="10">
        <v>6585</v>
      </c>
      <c r="B256" t="s" s="11">
        <v>2087</v>
      </c>
      <c r="C256" s="12">
        <v>44931.4247800926</v>
      </c>
      <c r="D256" t="s" s="13">
        <v>133</v>
      </c>
      <c r="E256" t="s" s="13">
        <v>4835</v>
      </c>
      <c r="F256" s="14">
        <v>2</v>
      </c>
      <c r="G256" s="15">
        <v>50</v>
      </c>
      <c r="H256" s="15">
        <v>100</v>
      </c>
    </row>
    <row r="257" ht="12.9" customHeight="1">
      <c r="A257" t="s" s="10">
        <v>6585</v>
      </c>
      <c r="B257" t="s" s="11">
        <v>2087</v>
      </c>
      <c r="C257" s="12">
        <v>44931.4247800926</v>
      </c>
      <c r="D257" t="s" s="13">
        <v>73</v>
      </c>
      <c r="E257" t="s" s="13">
        <v>74</v>
      </c>
      <c r="F257" s="14">
        <v>1</v>
      </c>
      <c r="G257" s="15">
        <v>399.99</v>
      </c>
      <c r="H257" s="15">
        <v>399.99</v>
      </c>
    </row>
    <row r="258" ht="12.9" customHeight="1">
      <c r="A258" t="s" s="10">
        <v>6585</v>
      </c>
      <c r="B258" t="s" s="11">
        <v>2087</v>
      </c>
      <c r="C258" s="12">
        <v>44931.4247800926</v>
      </c>
      <c r="D258" t="s" s="13">
        <v>89</v>
      </c>
      <c r="E258" t="s" s="13">
        <v>90</v>
      </c>
      <c r="F258" s="14">
        <v>2</v>
      </c>
      <c r="G258" s="15">
        <v>59.99</v>
      </c>
      <c r="H258" s="15">
        <v>119.98</v>
      </c>
    </row>
    <row r="259" ht="12.9" customHeight="1">
      <c r="A259" t="s" s="10">
        <v>6586</v>
      </c>
      <c r="B259" t="s" s="11">
        <v>391</v>
      </c>
      <c r="C259" s="12">
        <v>44931</v>
      </c>
      <c r="D259" t="s" s="13">
        <v>6587</v>
      </c>
      <c r="E259" s="16"/>
      <c r="F259" s="14">
        <v>4</v>
      </c>
      <c r="G259" s="15">
        <v>22.5</v>
      </c>
      <c r="H259" s="15">
        <v>90</v>
      </c>
    </row>
    <row r="260" ht="12.9" customHeight="1">
      <c r="A260" t="s" s="10">
        <v>6586</v>
      </c>
      <c r="B260" t="s" s="11">
        <v>391</v>
      </c>
      <c r="C260" s="12">
        <v>44931</v>
      </c>
      <c r="D260" t="s" s="13">
        <v>63</v>
      </c>
      <c r="E260" s="16"/>
      <c r="F260" s="14">
        <v>1</v>
      </c>
      <c r="G260" s="15">
        <v>15</v>
      </c>
      <c r="H260" s="15">
        <v>15</v>
      </c>
    </row>
    <row r="261" ht="12.9" customHeight="1">
      <c r="A261" t="s" s="10">
        <v>6588</v>
      </c>
      <c r="B261" t="s" s="11">
        <v>6589</v>
      </c>
      <c r="C261" s="12">
        <v>44930.695509259262</v>
      </c>
      <c r="D261" t="s" s="13">
        <v>95</v>
      </c>
      <c r="E261" t="s" s="13">
        <v>12</v>
      </c>
      <c r="F261" s="14">
        <v>1</v>
      </c>
      <c r="G261" s="15">
        <v>349.99</v>
      </c>
      <c r="H261" s="15">
        <v>349.99</v>
      </c>
    </row>
    <row r="262" ht="12.9" customHeight="1">
      <c r="A262" t="s" s="10">
        <v>6590</v>
      </c>
      <c r="B262" t="s" s="11">
        <v>6591</v>
      </c>
      <c r="C262" s="12">
        <v>44930.544699074075</v>
      </c>
      <c r="D262" t="s" s="13">
        <v>77</v>
      </c>
      <c r="E262" t="s" s="13">
        <v>4224</v>
      </c>
      <c r="F262" s="14">
        <v>4</v>
      </c>
      <c r="G262" s="15">
        <v>19.99</v>
      </c>
      <c r="H262" s="15">
        <v>79.95999999999999</v>
      </c>
    </row>
    <row r="263" ht="12.9" customHeight="1">
      <c r="A263" t="s" s="10">
        <v>6592</v>
      </c>
      <c r="B263" t="s" s="11">
        <v>182</v>
      </c>
      <c r="C263" s="12">
        <v>44930.482928240737</v>
      </c>
      <c r="D263" t="s" s="13">
        <v>73</v>
      </c>
      <c r="E263" t="s" s="13">
        <v>74</v>
      </c>
      <c r="F263" s="14">
        <v>1</v>
      </c>
      <c r="G263" s="15">
        <v>399.99</v>
      </c>
      <c r="H263" s="15">
        <v>399.99</v>
      </c>
    </row>
    <row r="264" ht="12.9" customHeight="1">
      <c r="A264" t="s" s="10">
        <v>6593</v>
      </c>
      <c r="B264" t="s" s="11">
        <v>6594</v>
      </c>
      <c r="C264" s="12">
        <v>44930.466828703706</v>
      </c>
      <c r="D264" t="s" s="13">
        <v>95</v>
      </c>
      <c r="E264" t="s" s="13">
        <v>12</v>
      </c>
      <c r="F264" s="14">
        <v>1</v>
      </c>
      <c r="G264" s="15">
        <v>349.99</v>
      </c>
      <c r="H264" s="15">
        <v>349.99</v>
      </c>
    </row>
    <row r="265" ht="12.9" customHeight="1">
      <c r="A265" t="s" s="10">
        <v>6595</v>
      </c>
      <c r="B265" t="s" s="11">
        <v>3455</v>
      </c>
      <c r="C265" s="12">
        <v>44930</v>
      </c>
      <c r="D265" t="s" s="13">
        <v>6596</v>
      </c>
      <c r="E265" s="16"/>
      <c r="F265" s="14">
        <v>4</v>
      </c>
      <c r="G265" s="15">
        <v>18.5</v>
      </c>
      <c r="H265" s="15">
        <v>74</v>
      </c>
    </row>
    <row r="266" ht="12.9" customHeight="1">
      <c r="A266" t="s" s="10">
        <v>6595</v>
      </c>
      <c r="B266" t="s" s="11">
        <v>3455</v>
      </c>
      <c r="C266" s="12">
        <v>44930</v>
      </c>
      <c r="D266" t="s" s="13">
        <v>63</v>
      </c>
      <c r="E266" s="16"/>
      <c r="F266" s="14">
        <v>1</v>
      </c>
      <c r="G266" s="15">
        <v>15</v>
      </c>
      <c r="H266" s="15">
        <v>15</v>
      </c>
    </row>
    <row r="267" ht="12.9" customHeight="1">
      <c r="A267" t="s" s="10">
        <v>6597</v>
      </c>
      <c r="B267" t="s" s="11">
        <v>721</v>
      </c>
      <c r="C267" s="12">
        <v>44930</v>
      </c>
      <c r="D267" t="s" s="13">
        <v>762</v>
      </c>
      <c r="E267" t="s" s="13">
        <v>763</v>
      </c>
      <c r="F267" s="14">
        <v>1</v>
      </c>
      <c r="G267" s="15">
        <v>0</v>
      </c>
      <c r="H267" s="15">
        <v>0</v>
      </c>
    </row>
    <row r="268" ht="12.9" customHeight="1">
      <c r="A268" t="s" s="10">
        <v>6598</v>
      </c>
      <c r="B268" t="s" s="11">
        <v>555</v>
      </c>
      <c r="C268" s="12">
        <v>44930</v>
      </c>
      <c r="D268" t="s" s="13">
        <v>59</v>
      </c>
      <c r="E268" t="s" s="13">
        <v>60</v>
      </c>
      <c r="F268" s="14">
        <v>10</v>
      </c>
      <c r="G268" s="15">
        <v>899.9924999999999</v>
      </c>
      <c r="H268" s="15">
        <v>8999.924999999999</v>
      </c>
    </row>
    <row r="269" ht="12.9" customHeight="1">
      <c r="A269" t="s" s="10">
        <v>6598</v>
      </c>
      <c r="B269" t="s" s="11">
        <v>555</v>
      </c>
      <c r="C269" s="12">
        <v>44930</v>
      </c>
      <c r="D269" t="s" s="13">
        <v>63</v>
      </c>
      <c r="E269" s="16"/>
      <c r="F269" s="14">
        <v>1</v>
      </c>
      <c r="G269" s="15">
        <v>300.45</v>
      </c>
      <c r="H269" s="15">
        <v>300.45</v>
      </c>
    </row>
    <row r="270" ht="12.9" customHeight="1">
      <c r="A270" t="s" s="10">
        <v>6599</v>
      </c>
      <c r="B270" t="s" s="11">
        <v>6600</v>
      </c>
      <c r="C270" s="12">
        <v>44928.547511574077</v>
      </c>
      <c r="D270" t="s" s="13">
        <v>23</v>
      </c>
      <c r="E270" t="s" s="13">
        <v>828</v>
      </c>
      <c r="F270" s="14">
        <v>1</v>
      </c>
      <c r="G270" s="15">
        <v>149.99</v>
      </c>
      <c r="H270" s="15">
        <v>149.99</v>
      </c>
    </row>
    <row r="271" ht="12.9" customHeight="1">
      <c r="A271" t="s" s="10">
        <v>6601</v>
      </c>
      <c r="B271" t="s" s="11">
        <v>6602</v>
      </c>
      <c r="C271" s="12">
        <v>44928</v>
      </c>
      <c r="D271" t="s" s="13">
        <v>48</v>
      </c>
      <c r="E271" t="s" s="13">
        <v>49</v>
      </c>
      <c r="F271" s="14">
        <v>8</v>
      </c>
      <c r="G271" s="15">
        <v>1169.991</v>
      </c>
      <c r="H271" s="15">
        <v>9359.928</v>
      </c>
    </row>
    <row r="272" ht="12.9" customHeight="1">
      <c r="A272" t="s" s="10">
        <v>6601</v>
      </c>
      <c r="B272" t="s" s="11">
        <v>6602</v>
      </c>
      <c r="C272" s="12">
        <v>44928</v>
      </c>
      <c r="D272" t="s" s="13">
        <v>50</v>
      </c>
      <c r="E272" t="s" s="13">
        <v>83</v>
      </c>
      <c r="F272" s="14">
        <v>8</v>
      </c>
      <c r="G272" s="15">
        <v>0</v>
      </c>
      <c r="H272" s="15">
        <v>0</v>
      </c>
    </row>
    <row r="273" ht="12.9" customHeight="1">
      <c r="A273" t="s" s="10">
        <v>6601</v>
      </c>
      <c r="B273" t="s" s="11">
        <v>6602</v>
      </c>
      <c r="C273" s="12">
        <v>44928</v>
      </c>
      <c r="D273" t="s" s="13">
        <v>52</v>
      </c>
      <c r="E273" t="s" s="13">
        <v>4404</v>
      </c>
      <c r="F273" s="14">
        <v>8</v>
      </c>
      <c r="G273" s="15">
        <v>0</v>
      </c>
      <c r="H273" s="15">
        <v>0</v>
      </c>
    </row>
    <row r="274" ht="12.9" customHeight="1">
      <c r="A274" t="s" s="10">
        <v>6601</v>
      </c>
      <c r="B274" t="s" s="11">
        <v>6602</v>
      </c>
      <c r="C274" s="12">
        <v>44928</v>
      </c>
      <c r="D274" t="s" s="13">
        <v>73</v>
      </c>
      <c r="E274" t="s" s="13">
        <v>74</v>
      </c>
      <c r="F274" s="14">
        <v>1</v>
      </c>
      <c r="G274" s="15">
        <v>0</v>
      </c>
      <c r="H274" s="15">
        <v>0</v>
      </c>
    </row>
    <row r="275" ht="12.9" customHeight="1">
      <c r="A275" t="s" s="10">
        <v>6601</v>
      </c>
      <c r="B275" t="s" s="11">
        <v>6602</v>
      </c>
      <c r="C275" s="12">
        <v>44928</v>
      </c>
      <c r="D275" t="s" s="13">
        <v>133</v>
      </c>
      <c r="E275" t="s" s="13">
        <v>4835</v>
      </c>
      <c r="F275" s="14">
        <v>4</v>
      </c>
      <c r="G275" s="15">
        <v>37.5</v>
      </c>
      <c r="H275" s="15">
        <v>150</v>
      </c>
    </row>
    <row r="276" ht="12.9" customHeight="1">
      <c r="A276" t="s" s="10">
        <v>6601</v>
      </c>
      <c r="B276" t="s" s="11">
        <v>6602</v>
      </c>
      <c r="C276" s="12">
        <v>44928</v>
      </c>
      <c r="D276" t="s" s="13">
        <v>602</v>
      </c>
      <c r="E276" t="s" s="13">
        <v>6603</v>
      </c>
      <c r="F276" s="14">
        <v>4</v>
      </c>
      <c r="G276" s="15">
        <v>131.25</v>
      </c>
      <c r="H276" s="15">
        <v>525</v>
      </c>
    </row>
    <row r="277" ht="12.9" customHeight="1">
      <c r="A277" t="s" s="10">
        <v>6601</v>
      </c>
      <c r="B277" t="s" s="11">
        <v>6602</v>
      </c>
      <c r="C277" s="12">
        <v>44928</v>
      </c>
      <c r="D277" t="s" s="13">
        <v>19</v>
      </c>
      <c r="E277" t="s" s="13">
        <v>20</v>
      </c>
      <c r="F277" s="14">
        <v>8</v>
      </c>
      <c r="G277" s="15">
        <v>107.991</v>
      </c>
      <c r="H277" s="15">
        <v>863.928</v>
      </c>
    </row>
    <row r="278" ht="12.9" customHeight="1">
      <c r="A278" t="s" s="10">
        <v>6601</v>
      </c>
      <c r="B278" t="s" s="11">
        <v>6602</v>
      </c>
      <c r="C278" s="12">
        <v>44928</v>
      </c>
      <c r="D278" t="s" s="13">
        <v>54</v>
      </c>
      <c r="E278" t="s" s="13">
        <v>93</v>
      </c>
      <c r="F278" s="14">
        <v>8</v>
      </c>
      <c r="G278" s="15">
        <v>0</v>
      </c>
      <c r="H278" s="15">
        <v>0</v>
      </c>
    </row>
    <row r="279" ht="12.9" customHeight="1">
      <c r="A279" t="s" s="10">
        <v>6601</v>
      </c>
      <c r="B279" t="s" s="11">
        <v>6602</v>
      </c>
      <c r="C279" s="12">
        <v>44928</v>
      </c>
      <c r="D279" t="s" s="13">
        <v>559</v>
      </c>
      <c r="E279" t="s" s="13">
        <v>560</v>
      </c>
      <c r="F279" s="14">
        <v>100</v>
      </c>
      <c r="G279" s="15">
        <v>0</v>
      </c>
      <c r="H279" s="15">
        <v>0</v>
      </c>
    </row>
    <row r="280" ht="12.9" customHeight="1">
      <c r="A280" t="s" s="10">
        <v>6604</v>
      </c>
      <c r="B280" t="s" s="11">
        <v>6605</v>
      </c>
      <c r="C280" s="12">
        <v>44927.423472222225</v>
      </c>
      <c r="D280" t="s" s="13">
        <v>31</v>
      </c>
      <c r="E280" t="s" s="13">
        <v>32</v>
      </c>
      <c r="F280" s="14">
        <v>1</v>
      </c>
      <c r="G280" s="15">
        <v>599.99</v>
      </c>
      <c r="H280" s="15">
        <v>599.99</v>
      </c>
    </row>
    <row r="281" ht="12.9" customHeight="1">
      <c r="A281" t="s" s="10">
        <v>6604</v>
      </c>
      <c r="B281" t="s" s="11">
        <v>6605</v>
      </c>
      <c r="C281" s="12">
        <v>44927.423472222225</v>
      </c>
      <c r="D281" t="s" s="13">
        <v>23</v>
      </c>
      <c r="E281" t="s" s="13">
        <v>828</v>
      </c>
      <c r="F281" s="14">
        <v>1</v>
      </c>
      <c r="G281" s="15">
        <v>149.99</v>
      </c>
      <c r="H281" s="15">
        <v>149.99</v>
      </c>
    </row>
    <row r="282" ht="12.9" customHeight="1">
      <c r="A282" t="s" s="10">
        <v>6604</v>
      </c>
      <c r="B282" t="s" s="11">
        <v>6605</v>
      </c>
      <c r="C282" s="12">
        <v>44927.423472222225</v>
      </c>
      <c r="D282" t="s" s="13">
        <v>84</v>
      </c>
      <c r="E282" t="s" s="13">
        <v>4225</v>
      </c>
      <c r="F282" s="14">
        <v>1</v>
      </c>
      <c r="G282" s="15">
        <v>15</v>
      </c>
      <c r="H282" s="15">
        <v>15</v>
      </c>
    </row>
    <row r="284" ht="15.55" customHeight="1">
      <c r="I284" t="s" s="2">
        <v>6606</v>
      </c>
      <c r="J284" s="2"/>
      <c r="K284" s="2"/>
      <c r="L284" s="2"/>
      <c r="M284" s="2"/>
      <c r="N284" s="2"/>
      <c r="O284" s="2"/>
    </row>
    <row r="286" ht="16.1" customHeight="1">
      <c r="I286" t="s" s="20">
        <v>2</v>
      </c>
      <c r="J286" t="s" s="21">
        <v>1</v>
      </c>
      <c r="K286" t="s" s="21">
        <v>616</v>
      </c>
      <c r="L286" t="s" s="22">
        <v>4</v>
      </c>
      <c r="M286" t="s" s="23">
        <v>617</v>
      </c>
      <c r="N286" t="s" s="3">
        <v>618</v>
      </c>
      <c r="O286" t="s" s="3">
        <v>619</v>
      </c>
    </row>
    <row r="287" ht="13.1" customHeight="1">
      <c r="I287" t="s" s="388">
        <v>2087</v>
      </c>
      <c r="J287" t="s" s="389">
        <v>6585</v>
      </c>
      <c r="K287" s="390">
        <v>44931</v>
      </c>
      <c r="L287" t="s" s="391">
        <v>84</v>
      </c>
      <c r="M287" s="34">
        <v>2</v>
      </c>
      <c r="N287" s="35">
        <v>0</v>
      </c>
      <c r="O287" s="35">
        <v>0</v>
      </c>
    </row>
    <row r="288" ht="12.9" customHeight="1">
      <c r="I288" s="392"/>
      <c r="J288" s="393"/>
      <c r="K288" s="393"/>
      <c r="L288" t="s" s="394">
        <v>133</v>
      </c>
      <c r="M288" s="146">
        <v>2</v>
      </c>
      <c r="N288" s="395">
        <v>50</v>
      </c>
      <c r="O288" s="395">
        <v>100</v>
      </c>
    </row>
    <row r="289" ht="12.9" customHeight="1">
      <c r="I289" s="392"/>
      <c r="J289" s="393"/>
      <c r="K289" s="393"/>
      <c r="L289" t="s" s="394">
        <v>89</v>
      </c>
      <c r="M289" s="146">
        <v>2</v>
      </c>
      <c r="N289" s="395">
        <v>59.99</v>
      </c>
      <c r="O289" s="395">
        <v>119.98</v>
      </c>
    </row>
    <row r="290" ht="12.9" customHeight="1">
      <c r="I290" s="392"/>
      <c r="J290" s="393"/>
      <c r="K290" s="393"/>
      <c r="L290" t="s" s="394">
        <v>81</v>
      </c>
      <c r="M290" s="146">
        <v>2</v>
      </c>
      <c r="N290" s="395">
        <v>849.99</v>
      </c>
      <c r="O290" s="395">
        <v>1699.98</v>
      </c>
    </row>
    <row r="291" ht="12.9" customHeight="1">
      <c r="I291" s="392"/>
      <c r="J291" s="393"/>
      <c r="K291" s="393"/>
      <c r="L291" t="s" s="394">
        <v>50</v>
      </c>
      <c r="M291" s="146">
        <v>2</v>
      </c>
      <c r="N291" s="395">
        <v>0</v>
      </c>
      <c r="O291" s="395">
        <v>0</v>
      </c>
    </row>
    <row r="292" ht="12.9" customHeight="1">
      <c r="I292" s="392"/>
      <c r="J292" s="393"/>
      <c r="K292" s="393"/>
      <c r="L292" t="s" s="394">
        <v>73</v>
      </c>
      <c r="M292" s="146">
        <v>1</v>
      </c>
      <c r="N292" s="395">
        <v>399.99</v>
      </c>
      <c r="O292" s="395">
        <v>399.99</v>
      </c>
    </row>
    <row r="293" ht="15.2" customHeight="1">
      <c r="I293" s="392"/>
      <c r="J293" s="393"/>
      <c r="K293" s="396">
        <v>44931</v>
      </c>
      <c r="L293" s="397"/>
      <c r="M293" s="398">
        <v>11</v>
      </c>
      <c r="N293" s="399">
        <v>1359.97</v>
      </c>
      <c r="O293" s="399">
        <v>2319.95</v>
      </c>
    </row>
    <row r="294" ht="15.55" customHeight="1">
      <c r="I294" s="392"/>
      <c r="J294" t="s" s="400">
        <v>6585</v>
      </c>
      <c r="K294" s="127"/>
      <c r="L294" s="128"/>
      <c r="M294" s="129">
        <v>11</v>
      </c>
      <c r="N294" s="142">
        <v>1359.97</v>
      </c>
      <c r="O294" s="142">
        <v>2319.95</v>
      </c>
    </row>
    <row r="295" ht="16.1" customHeight="1">
      <c r="I295" t="s" s="401">
        <v>2087</v>
      </c>
      <c r="J295" s="127"/>
      <c r="K295" s="127"/>
      <c r="L295" s="128"/>
      <c r="M295" s="129">
        <v>11</v>
      </c>
      <c r="N295" s="142">
        <v>1359.97</v>
      </c>
      <c r="O295" s="142">
        <v>2319.95</v>
      </c>
    </row>
    <row r="296" ht="13.2" customHeight="1">
      <c r="I296" t="s" s="402">
        <v>6444</v>
      </c>
      <c r="J296" t="s" s="403">
        <v>6443</v>
      </c>
      <c r="K296" s="404">
        <v>44951</v>
      </c>
      <c r="L296" t="s" s="405">
        <v>171</v>
      </c>
      <c r="M296" s="406">
        <v>1</v>
      </c>
      <c r="N296" s="407">
        <v>549.99</v>
      </c>
      <c r="O296" s="407">
        <v>549.99</v>
      </c>
    </row>
    <row r="297" ht="15.2" customHeight="1">
      <c r="I297" s="392"/>
      <c r="J297" s="393"/>
      <c r="K297" s="396">
        <v>44951</v>
      </c>
      <c r="L297" s="397"/>
      <c r="M297" s="398">
        <v>1</v>
      </c>
      <c r="N297" s="399">
        <v>549.99</v>
      </c>
      <c r="O297" s="399">
        <v>549.99</v>
      </c>
    </row>
    <row r="298" ht="15.55" customHeight="1">
      <c r="I298" s="392"/>
      <c r="J298" t="s" s="400">
        <v>6443</v>
      </c>
      <c r="K298" s="127"/>
      <c r="L298" s="128"/>
      <c r="M298" s="129">
        <v>1</v>
      </c>
      <c r="N298" s="142">
        <v>549.99</v>
      </c>
      <c r="O298" s="142">
        <v>549.99</v>
      </c>
    </row>
    <row r="299" ht="16.1" customHeight="1">
      <c r="I299" t="s" s="401">
        <v>6444</v>
      </c>
      <c r="J299" s="127"/>
      <c r="K299" s="127"/>
      <c r="L299" s="128"/>
      <c r="M299" s="129">
        <v>1</v>
      </c>
      <c r="N299" s="142">
        <v>549.99</v>
      </c>
      <c r="O299" s="142">
        <v>549.99</v>
      </c>
    </row>
    <row r="300" ht="13.2" customHeight="1">
      <c r="I300" t="s" s="402">
        <v>6555</v>
      </c>
      <c r="J300" t="s" s="403">
        <v>6554</v>
      </c>
      <c r="K300" s="404">
        <v>44936</v>
      </c>
      <c r="L300" t="s" s="405">
        <v>31</v>
      </c>
      <c r="M300" s="406">
        <v>1</v>
      </c>
      <c r="N300" s="407">
        <v>574.99</v>
      </c>
      <c r="O300" s="407">
        <v>574.99</v>
      </c>
    </row>
    <row r="301" ht="15.2" customHeight="1">
      <c r="I301" s="392"/>
      <c r="J301" s="393"/>
      <c r="K301" s="396">
        <v>44936</v>
      </c>
      <c r="L301" s="397"/>
      <c r="M301" s="398">
        <v>1</v>
      </c>
      <c r="N301" s="399">
        <v>574.99</v>
      </c>
      <c r="O301" s="399">
        <v>574.99</v>
      </c>
    </row>
    <row r="302" ht="15.55" customHeight="1">
      <c r="I302" s="392"/>
      <c r="J302" t="s" s="400">
        <v>6554</v>
      </c>
      <c r="K302" s="127"/>
      <c r="L302" s="128"/>
      <c r="M302" s="129">
        <v>1</v>
      </c>
      <c r="N302" s="142">
        <v>574.99</v>
      </c>
      <c r="O302" s="142">
        <v>574.99</v>
      </c>
    </row>
    <row r="303" ht="16.1" customHeight="1">
      <c r="I303" t="s" s="401">
        <v>6555</v>
      </c>
      <c r="J303" s="127"/>
      <c r="K303" s="127"/>
      <c r="L303" s="128"/>
      <c r="M303" s="129">
        <v>1</v>
      </c>
      <c r="N303" s="142">
        <v>574.99</v>
      </c>
      <c r="O303" s="142">
        <v>574.99</v>
      </c>
    </row>
    <row r="304" ht="13.2" customHeight="1">
      <c r="I304" t="s" s="402">
        <v>6560</v>
      </c>
      <c r="J304" t="s" s="403">
        <v>6559</v>
      </c>
      <c r="K304" s="404">
        <v>44935</v>
      </c>
      <c r="L304" t="s" s="405">
        <v>31</v>
      </c>
      <c r="M304" s="406">
        <v>1</v>
      </c>
      <c r="N304" s="407">
        <v>599.99</v>
      </c>
      <c r="O304" s="407">
        <v>599.99</v>
      </c>
    </row>
    <row r="305" ht="15.2" customHeight="1">
      <c r="I305" s="392"/>
      <c r="J305" s="393"/>
      <c r="K305" s="396">
        <v>44935</v>
      </c>
      <c r="L305" s="397"/>
      <c r="M305" s="398">
        <v>1</v>
      </c>
      <c r="N305" s="399">
        <v>599.99</v>
      </c>
      <c r="O305" s="399">
        <v>599.99</v>
      </c>
    </row>
    <row r="306" ht="15.55" customHeight="1">
      <c r="I306" s="392"/>
      <c r="J306" t="s" s="400">
        <v>6559</v>
      </c>
      <c r="K306" s="127"/>
      <c r="L306" s="128"/>
      <c r="M306" s="129">
        <v>1</v>
      </c>
      <c r="N306" s="142">
        <v>599.99</v>
      </c>
      <c r="O306" s="142">
        <v>599.99</v>
      </c>
    </row>
    <row r="307" ht="16.1" customHeight="1">
      <c r="I307" t="s" s="401">
        <v>6560</v>
      </c>
      <c r="J307" s="127"/>
      <c r="K307" s="127"/>
      <c r="L307" s="128"/>
      <c r="M307" s="129">
        <v>1</v>
      </c>
      <c r="N307" s="142">
        <v>599.99</v>
      </c>
      <c r="O307" s="142">
        <v>599.99</v>
      </c>
    </row>
    <row r="308" ht="13.2" customHeight="1">
      <c r="I308" t="s" s="402">
        <v>5352</v>
      </c>
      <c r="J308" t="s" s="403">
        <v>6418</v>
      </c>
      <c r="K308" s="404">
        <v>44956</v>
      </c>
      <c r="L308" t="s" s="405">
        <v>23</v>
      </c>
      <c r="M308" s="406">
        <v>1</v>
      </c>
      <c r="N308" s="407">
        <v>149.99</v>
      </c>
      <c r="O308" s="407">
        <v>149.99</v>
      </c>
    </row>
    <row r="309" ht="15.2" customHeight="1">
      <c r="I309" s="392"/>
      <c r="J309" s="393"/>
      <c r="K309" s="396">
        <v>44956</v>
      </c>
      <c r="L309" s="397"/>
      <c r="M309" s="398">
        <v>1</v>
      </c>
      <c r="N309" s="399">
        <v>149.99</v>
      </c>
      <c r="O309" s="399">
        <v>149.99</v>
      </c>
    </row>
    <row r="310" ht="15.55" customHeight="1">
      <c r="I310" s="392"/>
      <c r="J310" t="s" s="400">
        <v>6418</v>
      </c>
      <c r="K310" s="127"/>
      <c r="L310" s="128"/>
      <c r="M310" s="129">
        <v>1</v>
      </c>
      <c r="N310" s="142">
        <v>149.99</v>
      </c>
      <c r="O310" s="142">
        <v>149.99</v>
      </c>
    </row>
    <row r="311" ht="16.1" customHeight="1">
      <c r="I311" t="s" s="401">
        <v>5352</v>
      </c>
      <c r="J311" s="127"/>
      <c r="K311" s="127"/>
      <c r="L311" s="128"/>
      <c r="M311" s="129">
        <v>1</v>
      </c>
      <c r="N311" s="142">
        <v>149.99</v>
      </c>
      <c r="O311" s="142">
        <v>149.99</v>
      </c>
    </row>
    <row r="312" ht="13.2" customHeight="1">
      <c r="I312" t="s" s="402">
        <v>2778</v>
      </c>
      <c r="J312" t="s" s="403">
        <v>6572</v>
      </c>
      <c r="K312" s="404">
        <v>44932</v>
      </c>
      <c r="L312" t="s" s="405">
        <v>54</v>
      </c>
      <c r="M312" s="406">
        <v>8</v>
      </c>
      <c r="N312" s="407">
        <v>0</v>
      </c>
      <c r="O312" s="407">
        <v>0</v>
      </c>
    </row>
    <row r="313" ht="12.9" customHeight="1">
      <c r="I313" s="392"/>
      <c r="J313" s="393"/>
      <c r="K313" s="393"/>
      <c r="L313" t="s" s="394">
        <v>1695</v>
      </c>
      <c r="M313" s="146">
        <v>4</v>
      </c>
      <c r="N313" s="395">
        <v>49.99</v>
      </c>
      <c r="O313" s="395">
        <v>199.96</v>
      </c>
    </row>
    <row r="314" ht="12.9" customHeight="1">
      <c r="I314" s="392"/>
      <c r="J314" s="393"/>
      <c r="K314" s="393"/>
      <c r="L314" t="s" s="394">
        <v>133</v>
      </c>
      <c r="M314" s="146">
        <v>8</v>
      </c>
      <c r="N314" s="395">
        <v>50</v>
      </c>
      <c r="O314" s="395">
        <v>400</v>
      </c>
    </row>
    <row r="315" ht="12.9" customHeight="1">
      <c r="I315" s="392"/>
      <c r="J315" s="393"/>
      <c r="K315" s="393"/>
      <c r="L315" t="s" s="394">
        <v>50</v>
      </c>
      <c r="M315" s="146">
        <v>2</v>
      </c>
      <c r="N315" s="395">
        <v>0</v>
      </c>
      <c r="O315" s="395">
        <v>0</v>
      </c>
    </row>
    <row r="316" ht="12.9" customHeight="1">
      <c r="I316" s="392"/>
      <c r="J316" s="393"/>
      <c r="K316" s="393"/>
      <c r="L316" t="s" s="394">
        <v>468</v>
      </c>
      <c r="M316" s="146">
        <v>2</v>
      </c>
      <c r="N316" s="395">
        <v>2499.99</v>
      </c>
      <c r="O316" s="395">
        <v>4999.98</v>
      </c>
    </row>
    <row r="317" ht="12.9" customHeight="1">
      <c r="I317" s="392"/>
      <c r="J317" s="393"/>
      <c r="K317" s="393"/>
      <c r="L317" t="s" s="394">
        <v>15</v>
      </c>
      <c r="M317" s="146">
        <v>10</v>
      </c>
      <c r="N317" s="395">
        <v>0</v>
      </c>
      <c r="O317" s="395">
        <v>0</v>
      </c>
    </row>
    <row r="318" ht="15.2" customHeight="1">
      <c r="I318" s="392"/>
      <c r="J318" s="393"/>
      <c r="K318" s="396">
        <v>44932</v>
      </c>
      <c r="L318" s="397"/>
      <c r="M318" s="398">
        <v>34</v>
      </c>
      <c r="N318" s="399">
        <v>2599.98</v>
      </c>
      <c r="O318" s="399">
        <v>5599.94</v>
      </c>
    </row>
    <row r="319" ht="15.55" customHeight="1">
      <c r="I319" s="392"/>
      <c r="J319" t="s" s="400">
        <v>6572</v>
      </c>
      <c r="K319" s="127"/>
      <c r="L319" s="128"/>
      <c r="M319" s="129">
        <v>34</v>
      </c>
      <c r="N319" s="142">
        <v>2599.98</v>
      </c>
      <c r="O319" s="142">
        <v>5599.94</v>
      </c>
    </row>
    <row r="320" ht="16.1" customHeight="1">
      <c r="I320" t="s" s="401">
        <v>2778</v>
      </c>
      <c r="J320" s="127"/>
      <c r="K320" s="127"/>
      <c r="L320" s="128"/>
      <c r="M320" s="129">
        <v>34</v>
      </c>
      <c r="N320" s="142">
        <v>2599.98</v>
      </c>
      <c r="O320" s="142">
        <v>5599.94</v>
      </c>
    </row>
    <row r="321" ht="13.2" customHeight="1">
      <c r="I321" t="s" s="402">
        <v>4477</v>
      </c>
      <c r="J321" t="s" s="403">
        <v>6518</v>
      </c>
      <c r="K321" s="404">
        <v>44941</v>
      </c>
      <c r="L321" t="s" s="405">
        <v>73</v>
      </c>
      <c r="M321" s="406">
        <v>1</v>
      </c>
      <c r="N321" s="407">
        <v>399.99</v>
      </c>
      <c r="O321" s="407">
        <v>399.99</v>
      </c>
    </row>
    <row r="322" ht="15.2" customHeight="1">
      <c r="I322" s="392"/>
      <c r="J322" s="393"/>
      <c r="K322" s="396">
        <v>44941</v>
      </c>
      <c r="L322" s="397"/>
      <c r="M322" s="398">
        <v>1</v>
      </c>
      <c r="N322" s="399">
        <v>399.99</v>
      </c>
      <c r="O322" s="399">
        <v>399.99</v>
      </c>
    </row>
    <row r="323" ht="15.55" customHeight="1">
      <c r="I323" s="392"/>
      <c r="J323" t="s" s="400">
        <v>6518</v>
      </c>
      <c r="K323" s="127"/>
      <c r="L323" s="128"/>
      <c r="M323" s="129">
        <v>1</v>
      </c>
      <c r="N323" s="142">
        <v>399.99</v>
      </c>
      <c r="O323" s="142">
        <v>399.99</v>
      </c>
    </row>
    <row r="324" ht="16.1" customHeight="1">
      <c r="I324" t="s" s="401">
        <v>4477</v>
      </c>
      <c r="J324" s="127"/>
      <c r="K324" s="127"/>
      <c r="L324" s="128"/>
      <c r="M324" s="129">
        <v>1</v>
      </c>
      <c r="N324" s="142">
        <v>399.99</v>
      </c>
      <c r="O324" s="142">
        <v>399.99</v>
      </c>
    </row>
    <row r="325" ht="13.2" customHeight="1">
      <c r="I325" t="s" s="402">
        <v>2275</v>
      </c>
      <c r="J325" t="s" s="403">
        <v>6463</v>
      </c>
      <c r="K325" s="404">
        <v>44949</v>
      </c>
      <c r="L325" t="s" s="405">
        <v>54</v>
      </c>
      <c r="M325" s="406">
        <v>6</v>
      </c>
      <c r="N325" s="407">
        <v>0</v>
      </c>
      <c r="O325" s="407">
        <v>0</v>
      </c>
    </row>
    <row r="326" ht="12.9" customHeight="1">
      <c r="I326" s="392"/>
      <c r="J326" s="393"/>
      <c r="K326" s="393"/>
      <c r="L326" t="s" s="394">
        <v>1054</v>
      </c>
      <c r="M326" s="146">
        <v>12</v>
      </c>
      <c r="N326" s="395">
        <v>112.4925</v>
      </c>
      <c r="O326" s="395">
        <v>1349.91</v>
      </c>
    </row>
    <row r="327" ht="12.9" customHeight="1">
      <c r="I327" s="392"/>
      <c r="J327" s="393"/>
      <c r="K327" s="393"/>
      <c r="L327" t="s" s="394">
        <v>602</v>
      </c>
      <c r="M327" s="146">
        <v>8</v>
      </c>
      <c r="N327" s="395">
        <v>224.9925</v>
      </c>
      <c r="O327" s="395">
        <v>1799.94</v>
      </c>
    </row>
    <row r="328" ht="12.9" customHeight="1">
      <c r="I328" s="392"/>
      <c r="J328" s="393"/>
      <c r="K328" s="393"/>
      <c r="L328" t="s" s="394">
        <v>52</v>
      </c>
      <c r="M328" s="146">
        <v>6</v>
      </c>
      <c r="N328" s="395">
        <v>0</v>
      </c>
      <c r="O328" s="395">
        <v>0</v>
      </c>
    </row>
    <row r="329" ht="12.9" customHeight="1">
      <c r="I329" s="392"/>
      <c r="J329" s="393"/>
      <c r="K329" s="393"/>
      <c r="L329" t="s" s="394">
        <v>48</v>
      </c>
      <c r="M329" s="146">
        <v>6</v>
      </c>
      <c r="N329" s="395">
        <v>900</v>
      </c>
      <c r="O329" s="395">
        <v>5400</v>
      </c>
    </row>
    <row r="330" ht="12.9" customHeight="1">
      <c r="I330" s="392"/>
      <c r="J330" s="393"/>
      <c r="K330" s="393"/>
      <c r="L330" t="s" s="394">
        <v>15</v>
      </c>
      <c r="M330" s="146">
        <v>6</v>
      </c>
      <c r="N330" s="395">
        <v>8.99</v>
      </c>
      <c r="O330" s="395">
        <v>53.94</v>
      </c>
    </row>
    <row r="331" ht="12.9" customHeight="1">
      <c r="I331" s="392"/>
      <c r="J331" s="393"/>
      <c r="K331" s="393"/>
      <c r="L331" t="s" s="394">
        <v>47</v>
      </c>
      <c r="M331" s="146">
        <v>1</v>
      </c>
      <c r="N331" s="395">
        <v>175</v>
      </c>
      <c r="O331" s="395">
        <v>175</v>
      </c>
    </row>
    <row r="332" ht="15.2" customHeight="1">
      <c r="I332" s="392"/>
      <c r="J332" s="393"/>
      <c r="K332" s="396">
        <v>44949</v>
      </c>
      <c r="L332" s="397"/>
      <c r="M332" s="398">
        <v>45</v>
      </c>
      <c r="N332" s="399">
        <v>1421.475</v>
      </c>
      <c r="O332" s="399">
        <v>8778.790000000001</v>
      </c>
    </row>
    <row r="333" ht="15.55" customHeight="1">
      <c r="I333" s="392"/>
      <c r="J333" t="s" s="400">
        <v>6463</v>
      </c>
      <c r="K333" s="127"/>
      <c r="L333" s="128"/>
      <c r="M333" s="129">
        <v>45</v>
      </c>
      <c r="N333" s="142">
        <v>1421.475</v>
      </c>
      <c r="O333" s="142">
        <v>8778.790000000001</v>
      </c>
    </row>
    <row r="334" ht="13.2" customHeight="1">
      <c r="I334" s="392"/>
      <c r="J334" t="s" s="403">
        <v>6467</v>
      </c>
      <c r="K334" s="404">
        <v>44949</v>
      </c>
      <c r="L334" t="s" s="405">
        <v>54</v>
      </c>
      <c r="M334" s="406">
        <v>2</v>
      </c>
      <c r="N334" s="407">
        <v>0</v>
      </c>
      <c r="O334" s="407">
        <v>0</v>
      </c>
    </row>
    <row r="335" ht="12.9" customHeight="1">
      <c r="I335" s="392"/>
      <c r="J335" s="393"/>
      <c r="K335" s="393"/>
      <c r="L335" t="s" s="394">
        <v>52</v>
      </c>
      <c r="M335" s="146">
        <v>2</v>
      </c>
      <c r="N335" s="395">
        <v>0</v>
      </c>
      <c r="O335" s="395">
        <v>0</v>
      </c>
    </row>
    <row r="336" ht="12.9" customHeight="1">
      <c r="I336" s="392"/>
      <c r="J336" s="393"/>
      <c r="K336" s="393"/>
      <c r="L336" t="s" s="394">
        <v>48</v>
      </c>
      <c r="M336" s="146">
        <v>2</v>
      </c>
      <c r="N336" s="395">
        <v>900</v>
      </c>
      <c r="O336" s="395">
        <v>1800</v>
      </c>
    </row>
    <row r="337" ht="12.9" customHeight="1">
      <c r="I337" s="392"/>
      <c r="J337" s="393"/>
      <c r="K337" s="393"/>
      <c r="L337" t="s" s="394">
        <v>15</v>
      </c>
      <c r="M337" s="146">
        <v>2</v>
      </c>
      <c r="N337" s="395">
        <v>0</v>
      </c>
      <c r="O337" s="395">
        <v>0</v>
      </c>
    </row>
    <row r="338" ht="12.9" customHeight="1">
      <c r="I338" s="392"/>
      <c r="J338" s="393"/>
      <c r="K338" s="393"/>
      <c r="L338" t="s" s="394">
        <v>47</v>
      </c>
      <c r="M338" s="146">
        <v>1</v>
      </c>
      <c r="N338" s="395">
        <v>50</v>
      </c>
      <c r="O338" s="395">
        <v>50</v>
      </c>
    </row>
    <row r="339" ht="15.2" customHeight="1">
      <c r="I339" s="392"/>
      <c r="J339" s="393"/>
      <c r="K339" s="396">
        <v>44949</v>
      </c>
      <c r="L339" s="397"/>
      <c r="M339" s="398">
        <v>9</v>
      </c>
      <c r="N339" s="399">
        <v>950</v>
      </c>
      <c r="O339" s="399">
        <v>1850</v>
      </c>
    </row>
    <row r="340" ht="15.55" customHeight="1">
      <c r="I340" s="392"/>
      <c r="J340" t="s" s="400">
        <v>6467</v>
      </c>
      <c r="K340" s="127"/>
      <c r="L340" s="128"/>
      <c r="M340" s="129">
        <v>9</v>
      </c>
      <c r="N340" s="142">
        <v>950</v>
      </c>
      <c r="O340" s="142">
        <v>1850</v>
      </c>
    </row>
    <row r="341" ht="16.1" customHeight="1">
      <c r="I341" t="s" s="401">
        <v>2275</v>
      </c>
      <c r="J341" s="127"/>
      <c r="K341" s="127"/>
      <c r="L341" s="128"/>
      <c r="M341" s="129">
        <v>54</v>
      </c>
      <c r="N341" s="142">
        <v>2371.475</v>
      </c>
      <c r="O341" s="142">
        <v>10628.79</v>
      </c>
    </row>
    <row r="342" ht="13.2" customHeight="1">
      <c r="I342" t="s" s="402">
        <v>6502</v>
      </c>
      <c r="J342" t="s" s="403">
        <v>6569</v>
      </c>
      <c r="K342" s="404">
        <v>44933</v>
      </c>
      <c r="L342" t="s" s="405">
        <v>31</v>
      </c>
      <c r="M342" s="406">
        <v>1</v>
      </c>
      <c r="N342" s="407">
        <v>574.99</v>
      </c>
      <c r="O342" s="407">
        <v>574.99</v>
      </c>
    </row>
    <row r="343" ht="15.2" customHeight="1">
      <c r="I343" s="392"/>
      <c r="J343" s="393"/>
      <c r="K343" s="396">
        <v>44933</v>
      </c>
      <c r="L343" s="397"/>
      <c r="M343" s="398">
        <v>1</v>
      </c>
      <c r="N343" s="399">
        <v>574.99</v>
      </c>
      <c r="O343" s="399">
        <v>574.99</v>
      </c>
    </row>
    <row r="344" ht="15.55" customHeight="1">
      <c r="I344" s="392"/>
      <c r="J344" t="s" s="400">
        <v>6569</v>
      </c>
      <c r="K344" s="127"/>
      <c r="L344" s="128"/>
      <c r="M344" s="129">
        <v>1</v>
      </c>
      <c r="N344" s="142">
        <v>574.99</v>
      </c>
      <c r="O344" s="142">
        <v>574.99</v>
      </c>
    </row>
    <row r="345" ht="13.2" customHeight="1">
      <c r="I345" s="392"/>
      <c r="J345" t="s" s="403">
        <v>6501</v>
      </c>
      <c r="K345" s="404">
        <v>44943</v>
      </c>
      <c r="L345" t="s" s="405">
        <v>89</v>
      </c>
      <c r="M345" s="406">
        <v>2</v>
      </c>
      <c r="N345" s="407">
        <v>59.99</v>
      </c>
      <c r="O345" s="407">
        <v>119.98</v>
      </c>
    </row>
    <row r="346" ht="15.2" customHeight="1">
      <c r="I346" s="392"/>
      <c r="J346" s="393"/>
      <c r="K346" s="396">
        <v>44943</v>
      </c>
      <c r="L346" s="397"/>
      <c r="M346" s="398">
        <v>2</v>
      </c>
      <c r="N346" s="399">
        <v>59.99</v>
      </c>
      <c r="O346" s="399">
        <v>119.98</v>
      </c>
    </row>
    <row r="347" ht="15.55" customHeight="1">
      <c r="I347" s="392"/>
      <c r="J347" t="s" s="400">
        <v>6501</v>
      </c>
      <c r="K347" s="127"/>
      <c r="L347" s="128"/>
      <c r="M347" s="129">
        <v>2</v>
      </c>
      <c r="N347" s="142">
        <v>59.99</v>
      </c>
      <c r="O347" s="142">
        <v>119.98</v>
      </c>
    </row>
    <row r="348" ht="16.1" customHeight="1">
      <c r="I348" t="s" s="401">
        <v>6502</v>
      </c>
      <c r="J348" s="127"/>
      <c r="K348" s="127"/>
      <c r="L348" s="128"/>
      <c r="M348" s="129">
        <v>3</v>
      </c>
      <c r="N348" s="142">
        <v>634.98</v>
      </c>
      <c r="O348" s="142">
        <v>694.97</v>
      </c>
    </row>
    <row r="349" ht="13.2" customHeight="1">
      <c r="I349" t="s" s="402">
        <v>6424</v>
      </c>
      <c r="J349" t="s" s="403">
        <v>6425</v>
      </c>
      <c r="K349" s="404">
        <v>44955</v>
      </c>
      <c r="L349" t="s" s="405">
        <v>31</v>
      </c>
      <c r="M349" s="406">
        <v>1</v>
      </c>
      <c r="N349" s="407">
        <v>599.99</v>
      </c>
      <c r="O349" s="407">
        <v>599.99</v>
      </c>
    </row>
    <row r="350" ht="15.2" customHeight="1">
      <c r="I350" s="392"/>
      <c r="J350" s="393"/>
      <c r="K350" s="396">
        <v>44955</v>
      </c>
      <c r="L350" s="397"/>
      <c r="M350" s="398">
        <v>1</v>
      </c>
      <c r="N350" s="399">
        <v>599.99</v>
      </c>
      <c r="O350" s="399">
        <v>599.99</v>
      </c>
    </row>
    <row r="351" ht="15.55" customHeight="1">
      <c r="I351" s="392"/>
      <c r="J351" t="s" s="400">
        <v>6425</v>
      </c>
      <c r="K351" s="127"/>
      <c r="L351" s="128"/>
      <c r="M351" s="129">
        <v>1</v>
      </c>
      <c r="N351" s="142">
        <v>599.99</v>
      </c>
      <c r="O351" s="142">
        <v>599.99</v>
      </c>
    </row>
    <row r="352" ht="13.2" customHeight="1">
      <c r="I352" s="392"/>
      <c r="J352" t="s" s="403">
        <v>6423</v>
      </c>
      <c r="K352" s="404">
        <v>44955</v>
      </c>
      <c r="L352" t="s" s="405">
        <v>35</v>
      </c>
      <c r="M352" s="406">
        <v>1</v>
      </c>
      <c r="N352" s="407">
        <v>49.99</v>
      </c>
      <c r="O352" s="407">
        <v>49.99</v>
      </c>
    </row>
    <row r="353" ht="15.2" customHeight="1">
      <c r="I353" s="392"/>
      <c r="J353" s="393"/>
      <c r="K353" s="396">
        <v>44955</v>
      </c>
      <c r="L353" s="397"/>
      <c r="M353" s="398">
        <v>1</v>
      </c>
      <c r="N353" s="399">
        <v>49.99</v>
      </c>
      <c r="O353" s="399">
        <v>49.99</v>
      </c>
    </row>
    <row r="354" ht="15.55" customHeight="1">
      <c r="I354" s="392"/>
      <c r="J354" t="s" s="400">
        <v>6423</v>
      </c>
      <c r="K354" s="127"/>
      <c r="L354" s="128"/>
      <c r="M354" s="129">
        <v>1</v>
      </c>
      <c r="N354" s="142">
        <v>49.99</v>
      </c>
      <c r="O354" s="142">
        <v>49.99</v>
      </c>
    </row>
    <row r="355" ht="16.1" customHeight="1">
      <c r="I355" t="s" s="401">
        <v>6424</v>
      </c>
      <c r="J355" s="127"/>
      <c r="K355" s="127"/>
      <c r="L355" s="128"/>
      <c r="M355" s="129">
        <v>2</v>
      </c>
      <c r="N355" s="142">
        <v>649.98</v>
      </c>
      <c r="O355" s="142">
        <v>649.98</v>
      </c>
    </row>
    <row r="356" ht="13.2" customHeight="1">
      <c r="I356" t="s" s="402">
        <v>1235</v>
      </c>
      <c r="J356" t="s" s="403">
        <v>6469</v>
      </c>
      <c r="K356" s="404">
        <v>44947</v>
      </c>
      <c r="L356" t="s" s="405">
        <v>84</v>
      </c>
      <c r="M356" s="406">
        <v>1</v>
      </c>
      <c r="N356" s="407">
        <v>0</v>
      </c>
      <c r="O356" s="407">
        <v>0</v>
      </c>
    </row>
    <row r="357" ht="12.9" customHeight="1">
      <c r="I357" s="392"/>
      <c r="J357" s="393"/>
      <c r="K357" s="393"/>
      <c r="L357" t="s" s="394">
        <v>1069</v>
      </c>
      <c r="M357" s="146">
        <v>1</v>
      </c>
      <c r="N357" s="395">
        <v>99.98999999999999</v>
      </c>
      <c r="O357" s="395">
        <v>99.98999999999999</v>
      </c>
    </row>
    <row r="358" ht="12.9" customHeight="1">
      <c r="I358" s="392"/>
      <c r="J358" s="393"/>
      <c r="K358" s="393"/>
      <c r="L358" t="s" s="394">
        <v>23</v>
      </c>
      <c r="M358" s="146">
        <v>1</v>
      </c>
      <c r="N358" s="395">
        <v>0</v>
      </c>
      <c r="O358" s="395">
        <v>0</v>
      </c>
    </row>
    <row r="359" ht="12.9" customHeight="1">
      <c r="I359" s="392"/>
      <c r="J359" s="393"/>
      <c r="K359" s="393"/>
      <c r="L359" t="s" s="394">
        <v>52</v>
      </c>
      <c r="M359" s="146">
        <v>1</v>
      </c>
      <c r="N359" s="395">
        <v>0</v>
      </c>
      <c r="O359" s="395">
        <v>0</v>
      </c>
    </row>
    <row r="360" ht="12.9" customHeight="1">
      <c r="I360" s="392"/>
      <c r="J360" s="393"/>
      <c r="K360" s="393"/>
      <c r="L360" t="s" s="394">
        <v>50</v>
      </c>
      <c r="M360" s="146">
        <v>1</v>
      </c>
      <c r="N360" s="395">
        <v>0</v>
      </c>
      <c r="O360" s="395">
        <v>0</v>
      </c>
    </row>
    <row r="361" ht="12.9" customHeight="1">
      <c r="I361" s="392"/>
      <c r="J361" s="393"/>
      <c r="K361" s="393"/>
      <c r="L361" t="s" s="394">
        <v>48</v>
      </c>
      <c r="M361" s="146">
        <v>1</v>
      </c>
      <c r="N361" s="395">
        <v>1299.99</v>
      </c>
      <c r="O361" s="395">
        <v>1299.99</v>
      </c>
    </row>
    <row r="362" ht="15.2" customHeight="1">
      <c r="I362" s="392"/>
      <c r="J362" s="393"/>
      <c r="K362" s="396">
        <v>44947</v>
      </c>
      <c r="L362" s="397"/>
      <c r="M362" s="398">
        <v>6</v>
      </c>
      <c r="N362" s="399">
        <v>1399.98</v>
      </c>
      <c r="O362" s="399">
        <v>1399.98</v>
      </c>
    </row>
    <row r="363" ht="15.55" customHeight="1">
      <c r="I363" s="392"/>
      <c r="J363" t="s" s="400">
        <v>6469</v>
      </c>
      <c r="K363" s="127"/>
      <c r="L363" s="128"/>
      <c r="M363" s="129">
        <v>6</v>
      </c>
      <c r="N363" s="142">
        <v>1399.98</v>
      </c>
      <c r="O363" s="142">
        <v>1399.98</v>
      </c>
    </row>
    <row r="364" ht="16.1" customHeight="1">
      <c r="I364" t="s" s="401">
        <v>1235</v>
      </c>
      <c r="J364" s="127"/>
      <c r="K364" s="127"/>
      <c r="L364" s="128"/>
      <c r="M364" s="129">
        <v>6</v>
      </c>
      <c r="N364" s="142">
        <v>1399.98</v>
      </c>
      <c r="O364" s="142">
        <v>1399.98</v>
      </c>
    </row>
    <row r="365" ht="13.2" customHeight="1">
      <c r="I365" t="s" s="402">
        <v>967</v>
      </c>
      <c r="J365" t="s" s="403">
        <v>6453</v>
      </c>
      <c r="K365" s="404">
        <v>44949</v>
      </c>
      <c r="L365" t="s" s="405">
        <v>11</v>
      </c>
      <c r="M365" s="406">
        <v>1</v>
      </c>
      <c r="N365" s="407">
        <v>399.99</v>
      </c>
      <c r="O365" s="407">
        <v>399.99</v>
      </c>
    </row>
    <row r="366" ht="15.2" customHeight="1">
      <c r="I366" s="392"/>
      <c r="J366" s="393"/>
      <c r="K366" s="396">
        <v>44949</v>
      </c>
      <c r="L366" s="397"/>
      <c r="M366" s="398">
        <v>1</v>
      </c>
      <c r="N366" s="399">
        <v>399.99</v>
      </c>
      <c r="O366" s="399">
        <v>399.99</v>
      </c>
    </row>
    <row r="367" ht="15.55" customHeight="1">
      <c r="I367" s="392"/>
      <c r="J367" t="s" s="400">
        <v>6453</v>
      </c>
      <c r="K367" s="127"/>
      <c r="L367" s="128"/>
      <c r="M367" s="129">
        <v>1</v>
      </c>
      <c r="N367" s="142">
        <v>399.99</v>
      </c>
      <c r="O367" s="142">
        <v>399.99</v>
      </c>
    </row>
    <row r="368" ht="16.1" customHeight="1">
      <c r="I368" t="s" s="401">
        <v>967</v>
      </c>
      <c r="J368" s="127"/>
      <c r="K368" s="127"/>
      <c r="L368" s="128"/>
      <c r="M368" s="129">
        <v>1</v>
      </c>
      <c r="N368" s="142">
        <v>399.99</v>
      </c>
      <c r="O368" s="142">
        <v>399.99</v>
      </c>
    </row>
    <row r="369" ht="13.2" customHeight="1">
      <c r="I369" t="s" s="402">
        <v>6432</v>
      </c>
      <c r="J369" t="s" s="403">
        <v>6431</v>
      </c>
      <c r="K369" s="404">
        <v>44953</v>
      </c>
      <c r="L369" t="s" s="405">
        <v>35</v>
      </c>
      <c r="M369" s="406">
        <v>1</v>
      </c>
      <c r="N369" s="407">
        <v>49.99</v>
      </c>
      <c r="O369" s="407">
        <v>49.99</v>
      </c>
    </row>
    <row r="370" ht="15.2" customHeight="1">
      <c r="I370" s="392"/>
      <c r="J370" s="393"/>
      <c r="K370" s="396">
        <v>44953</v>
      </c>
      <c r="L370" s="397"/>
      <c r="M370" s="398">
        <v>1</v>
      </c>
      <c r="N370" s="399">
        <v>49.99</v>
      </c>
      <c r="O370" s="399">
        <v>49.99</v>
      </c>
    </row>
    <row r="371" ht="15.55" customHeight="1">
      <c r="I371" s="392"/>
      <c r="J371" t="s" s="400">
        <v>6431</v>
      </c>
      <c r="K371" s="127"/>
      <c r="L371" s="128"/>
      <c r="M371" s="129">
        <v>1</v>
      </c>
      <c r="N371" s="142">
        <v>49.99</v>
      </c>
      <c r="O371" s="142">
        <v>49.99</v>
      </c>
    </row>
    <row r="372" ht="16.1" customHeight="1">
      <c r="I372" t="s" s="401">
        <v>6432</v>
      </c>
      <c r="J372" s="127"/>
      <c r="K372" s="127"/>
      <c r="L372" s="128"/>
      <c r="M372" s="129">
        <v>1</v>
      </c>
      <c r="N372" s="142">
        <v>49.99</v>
      </c>
      <c r="O372" s="142">
        <v>49.99</v>
      </c>
    </row>
    <row r="373" ht="13.2" customHeight="1">
      <c r="I373" t="s" s="402">
        <v>6486</v>
      </c>
      <c r="J373" t="s" s="403">
        <v>6485</v>
      </c>
      <c r="K373" s="404">
        <v>44944</v>
      </c>
      <c r="L373" t="s" s="405">
        <v>54</v>
      </c>
      <c r="M373" s="406">
        <v>4</v>
      </c>
      <c r="N373" s="407">
        <v>9.99</v>
      </c>
      <c r="O373" s="407">
        <v>39.96</v>
      </c>
    </row>
    <row r="374" ht="12.9" customHeight="1">
      <c r="I374" s="392"/>
      <c r="J374" s="393"/>
      <c r="K374" s="393"/>
      <c r="L374" t="s" s="394">
        <v>84</v>
      </c>
      <c r="M374" s="146">
        <v>1</v>
      </c>
      <c r="N374" s="395">
        <v>15</v>
      </c>
      <c r="O374" s="395">
        <v>15</v>
      </c>
    </row>
    <row r="375" ht="12.9" customHeight="1">
      <c r="I375" s="392"/>
      <c r="J375" s="393"/>
      <c r="K375" s="393"/>
      <c r="L375" t="s" s="394">
        <v>412</v>
      </c>
      <c r="M375" s="146">
        <v>10</v>
      </c>
      <c r="N375" s="395">
        <v>1.99</v>
      </c>
      <c r="O375" s="395">
        <v>19.9</v>
      </c>
    </row>
    <row r="376" ht="12.9" customHeight="1">
      <c r="I376" s="392"/>
      <c r="J376" s="393"/>
      <c r="K376" s="393"/>
      <c r="L376" t="s" s="394">
        <v>23</v>
      </c>
      <c r="M376" s="146">
        <v>1</v>
      </c>
      <c r="N376" s="395">
        <v>149.99</v>
      </c>
      <c r="O376" s="395">
        <v>149.99</v>
      </c>
    </row>
    <row r="377" ht="15.2" customHeight="1">
      <c r="I377" s="392"/>
      <c r="J377" s="393"/>
      <c r="K377" s="396">
        <v>44944</v>
      </c>
      <c r="L377" s="397"/>
      <c r="M377" s="398">
        <v>16</v>
      </c>
      <c r="N377" s="399">
        <v>176.97</v>
      </c>
      <c r="O377" s="399">
        <v>224.85</v>
      </c>
    </row>
    <row r="378" ht="15.55" customHeight="1">
      <c r="I378" s="392"/>
      <c r="J378" t="s" s="400">
        <v>6485</v>
      </c>
      <c r="K378" s="127"/>
      <c r="L378" s="128"/>
      <c r="M378" s="129">
        <v>16</v>
      </c>
      <c r="N378" s="142">
        <v>176.97</v>
      </c>
      <c r="O378" s="142">
        <v>224.85</v>
      </c>
    </row>
    <row r="379" ht="16.1" customHeight="1">
      <c r="I379" t="s" s="401">
        <v>6486</v>
      </c>
      <c r="J379" s="127"/>
      <c r="K379" s="127"/>
      <c r="L379" s="128"/>
      <c r="M379" s="129">
        <v>16</v>
      </c>
      <c r="N379" s="142">
        <v>176.97</v>
      </c>
      <c r="O379" s="142">
        <v>224.85</v>
      </c>
    </row>
    <row r="380" ht="13.2" customHeight="1">
      <c r="I380" t="s" s="402">
        <v>6417</v>
      </c>
      <c r="J380" t="s" s="403">
        <v>6416</v>
      </c>
      <c r="K380" s="404">
        <v>44956</v>
      </c>
      <c r="L380" t="s" s="405">
        <v>19</v>
      </c>
      <c r="M380" s="406">
        <v>2</v>
      </c>
      <c r="N380" s="407">
        <v>119.99</v>
      </c>
      <c r="O380" s="407">
        <v>239.98</v>
      </c>
    </row>
    <row r="381" ht="12.9" customHeight="1">
      <c r="I381" s="392"/>
      <c r="J381" s="393"/>
      <c r="K381" s="393"/>
      <c r="L381" t="s" s="394">
        <v>1695</v>
      </c>
      <c r="M381" s="146">
        <v>2</v>
      </c>
      <c r="N381" s="395">
        <v>49.99</v>
      </c>
      <c r="O381" s="395">
        <v>99.98</v>
      </c>
    </row>
    <row r="382" ht="12.9" customHeight="1">
      <c r="I382" s="392"/>
      <c r="J382" s="393"/>
      <c r="K382" s="393"/>
      <c r="L382" t="s" s="394">
        <v>39</v>
      </c>
      <c r="M382" s="146">
        <v>2</v>
      </c>
      <c r="N382" s="395">
        <v>109.99</v>
      </c>
      <c r="O382" s="395">
        <v>219.98</v>
      </c>
    </row>
    <row r="383" ht="12.9" customHeight="1">
      <c r="I383" s="392"/>
      <c r="J383" s="393"/>
      <c r="K383" s="393"/>
      <c r="L383" t="s" s="394">
        <v>1729</v>
      </c>
      <c r="M383" s="146">
        <v>2</v>
      </c>
      <c r="N383" s="395">
        <v>14.99</v>
      </c>
      <c r="O383" s="395">
        <v>29.98</v>
      </c>
    </row>
    <row r="384" ht="12.9" customHeight="1">
      <c r="I384" s="392"/>
      <c r="J384" s="393"/>
      <c r="K384" s="393"/>
      <c r="L384" t="s" s="394">
        <v>73</v>
      </c>
      <c r="M384" s="146">
        <v>1</v>
      </c>
      <c r="N384" s="395">
        <v>399.99</v>
      </c>
      <c r="O384" s="395">
        <v>399.99</v>
      </c>
    </row>
    <row r="385" ht="12.9" customHeight="1">
      <c r="I385" s="392"/>
      <c r="J385" s="393"/>
      <c r="K385" s="393"/>
      <c r="L385" t="s" s="394">
        <v>15</v>
      </c>
      <c r="M385" s="146">
        <v>5</v>
      </c>
      <c r="N385" s="395">
        <v>9.99</v>
      </c>
      <c r="O385" s="395">
        <v>9.99</v>
      </c>
    </row>
    <row r="386" ht="15.2" customHeight="1">
      <c r="I386" s="392"/>
      <c r="J386" s="393"/>
      <c r="K386" s="396">
        <v>44956</v>
      </c>
      <c r="L386" s="397"/>
      <c r="M386" s="398">
        <v>14</v>
      </c>
      <c r="N386" s="399">
        <v>704.9400000000001</v>
      </c>
      <c r="O386" s="399">
        <v>999.9</v>
      </c>
    </row>
    <row r="387" ht="15.55" customHeight="1">
      <c r="I387" s="392"/>
      <c r="J387" t="s" s="400">
        <v>6416</v>
      </c>
      <c r="K387" s="127"/>
      <c r="L387" s="128"/>
      <c r="M387" s="129">
        <v>14</v>
      </c>
      <c r="N387" s="142">
        <v>704.9400000000001</v>
      </c>
      <c r="O387" s="142">
        <v>999.9</v>
      </c>
    </row>
    <row r="388" ht="16.1" customHeight="1">
      <c r="I388" t="s" s="401">
        <v>6417</v>
      </c>
      <c r="J388" s="127"/>
      <c r="K388" s="127"/>
      <c r="L388" s="128"/>
      <c r="M388" s="129">
        <v>14</v>
      </c>
      <c r="N388" s="142">
        <v>704.9400000000001</v>
      </c>
      <c r="O388" s="142">
        <v>999.9</v>
      </c>
    </row>
    <row r="389" ht="13.2" customHeight="1">
      <c r="I389" t="s" s="402">
        <v>6521</v>
      </c>
      <c r="J389" t="s" s="403">
        <v>6520</v>
      </c>
      <c r="K389" s="404">
        <v>44940</v>
      </c>
      <c r="L389" t="s" s="405">
        <v>31</v>
      </c>
      <c r="M389" s="406">
        <v>1</v>
      </c>
      <c r="N389" s="407">
        <v>599.99</v>
      </c>
      <c r="O389" s="407">
        <v>599.99</v>
      </c>
    </row>
    <row r="390" ht="15.2" customHeight="1">
      <c r="I390" s="392"/>
      <c r="J390" s="393"/>
      <c r="K390" s="396">
        <v>44940</v>
      </c>
      <c r="L390" s="397"/>
      <c r="M390" s="398">
        <v>1</v>
      </c>
      <c r="N390" s="399">
        <v>599.99</v>
      </c>
      <c r="O390" s="399">
        <v>599.99</v>
      </c>
    </row>
    <row r="391" ht="15.55" customHeight="1">
      <c r="I391" s="392"/>
      <c r="J391" t="s" s="400">
        <v>6520</v>
      </c>
      <c r="K391" s="127"/>
      <c r="L391" s="128"/>
      <c r="M391" s="129">
        <v>1</v>
      </c>
      <c r="N391" s="142">
        <v>599.99</v>
      </c>
      <c r="O391" s="142">
        <v>599.99</v>
      </c>
    </row>
    <row r="392" ht="16.1" customHeight="1">
      <c r="I392" t="s" s="401">
        <v>6521</v>
      </c>
      <c r="J392" s="127"/>
      <c r="K392" s="127"/>
      <c r="L392" s="128"/>
      <c r="M392" s="129">
        <v>1</v>
      </c>
      <c r="N392" s="142">
        <v>599.99</v>
      </c>
      <c r="O392" s="142">
        <v>599.99</v>
      </c>
    </row>
    <row r="393" ht="13.2" customHeight="1">
      <c r="I393" t="s" s="402">
        <v>831</v>
      </c>
      <c r="J393" t="s" s="403">
        <v>6509</v>
      </c>
      <c r="K393" s="404">
        <v>44943</v>
      </c>
      <c r="L393" t="s" s="405">
        <v>59</v>
      </c>
      <c r="M393" s="406">
        <v>1</v>
      </c>
      <c r="N393" s="407">
        <v>899.9924999999999</v>
      </c>
      <c r="O393" s="407">
        <v>899.9924999999999</v>
      </c>
    </row>
    <row r="394" ht="15.2" customHeight="1">
      <c r="I394" s="392"/>
      <c r="J394" s="393"/>
      <c r="K394" s="396">
        <v>44943</v>
      </c>
      <c r="L394" s="397"/>
      <c r="M394" s="398">
        <v>1</v>
      </c>
      <c r="N394" s="399">
        <v>899.9924999999999</v>
      </c>
      <c r="O394" s="399">
        <v>899.9924999999999</v>
      </c>
    </row>
    <row r="395" ht="15.55" customHeight="1">
      <c r="I395" s="392"/>
      <c r="J395" t="s" s="400">
        <v>6509</v>
      </c>
      <c r="K395" s="127"/>
      <c r="L395" s="128"/>
      <c r="M395" s="129">
        <v>1</v>
      </c>
      <c r="N395" s="142">
        <v>899.9924999999999</v>
      </c>
      <c r="O395" s="142">
        <v>899.9924999999999</v>
      </c>
    </row>
    <row r="396" ht="16.1" customHeight="1">
      <c r="I396" t="s" s="401">
        <v>831</v>
      </c>
      <c r="J396" s="127"/>
      <c r="K396" s="127"/>
      <c r="L396" s="128"/>
      <c r="M396" s="129">
        <v>1</v>
      </c>
      <c r="N396" s="142">
        <v>899.9924999999999</v>
      </c>
      <c r="O396" s="142">
        <v>899.9924999999999</v>
      </c>
    </row>
    <row r="397" ht="13.2" customHeight="1">
      <c r="I397" t="s" s="402">
        <v>3946</v>
      </c>
      <c r="J397" t="s" s="403">
        <v>6456</v>
      </c>
      <c r="K397" s="404">
        <v>44949</v>
      </c>
      <c r="L397" t="s" s="405">
        <v>84</v>
      </c>
      <c r="M397" s="406">
        <v>1</v>
      </c>
      <c r="N397" s="407">
        <v>0</v>
      </c>
      <c r="O397" s="407">
        <v>0</v>
      </c>
    </row>
    <row r="398" ht="12.9" customHeight="1">
      <c r="I398" s="392"/>
      <c r="J398" s="393"/>
      <c r="K398" s="393"/>
      <c r="L398" t="s" s="394">
        <v>1069</v>
      </c>
      <c r="M398" s="146">
        <v>1</v>
      </c>
      <c r="N398" s="395">
        <v>99.98999999999999</v>
      </c>
      <c r="O398" s="395">
        <v>99.98999999999999</v>
      </c>
    </row>
    <row r="399" ht="12.9" customHeight="1">
      <c r="I399" s="392"/>
      <c r="J399" s="393"/>
      <c r="K399" s="393"/>
      <c r="L399" t="s" s="394">
        <v>133</v>
      </c>
      <c r="M399" s="146">
        <v>1</v>
      </c>
      <c r="N399" s="395">
        <v>50</v>
      </c>
      <c r="O399" s="395">
        <v>50</v>
      </c>
    </row>
    <row r="400" ht="12.9" customHeight="1">
      <c r="I400" s="392"/>
      <c r="J400" s="393"/>
      <c r="K400" s="393"/>
      <c r="L400" t="s" s="394">
        <v>52</v>
      </c>
      <c r="M400" s="146">
        <v>1</v>
      </c>
      <c r="N400" s="395">
        <v>0</v>
      </c>
      <c r="O400" s="395">
        <v>0</v>
      </c>
    </row>
    <row r="401" ht="12.9" customHeight="1">
      <c r="I401" s="392"/>
      <c r="J401" s="393"/>
      <c r="K401" s="393"/>
      <c r="L401" t="s" s="394">
        <v>50</v>
      </c>
      <c r="M401" s="146">
        <v>1</v>
      </c>
      <c r="N401" s="395">
        <v>0</v>
      </c>
      <c r="O401" s="395">
        <v>0</v>
      </c>
    </row>
    <row r="402" ht="12.9" customHeight="1">
      <c r="I402" s="392"/>
      <c r="J402" s="393"/>
      <c r="K402" s="393"/>
      <c r="L402" t="s" s="394">
        <v>48</v>
      </c>
      <c r="M402" s="146">
        <v>1</v>
      </c>
      <c r="N402" s="395">
        <v>1299.99</v>
      </c>
      <c r="O402" s="395">
        <v>1299.99</v>
      </c>
    </row>
    <row r="403" ht="12.9" customHeight="1">
      <c r="I403" s="392"/>
      <c r="J403" s="393"/>
      <c r="K403" s="393"/>
      <c r="L403" t="s" s="394">
        <v>73</v>
      </c>
      <c r="M403" s="146">
        <v>1</v>
      </c>
      <c r="N403" s="395">
        <v>399.99</v>
      </c>
      <c r="O403" s="395">
        <v>399.99</v>
      </c>
    </row>
    <row r="404" ht="15.2" customHeight="1">
      <c r="I404" s="392"/>
      <c r="J404" s="393"/>
      <c r="K404" s="396">
        <v>44949</v>
      </c>
      <c r="L404" s="397"/>
      <c r="M404" s="398">
        <v>7</v>
      </c>
      <c r="N404" s="399">
        <v>1849.97</v>
      </c>
      <c r="O404" s="399">
        <v>1849.97</v>
      </c>
    </row>
    <row r="405" ht="15.55" customHeight="1">
      <c r="I405" s="392"/>
      <c r="J405" t="s" s="400">
        <v>6456</v>
      </c>
      <c r="K405" s="127"/>
      <c r="L405" s="128"/>
      <c r="M405" s="129">
        <v>7</v>
      </c>
      <c r="N405" s="142">
        <v>1849.97</v>
      </c>
      <c r="O405" s="142">
        <v>1849.97</v>
      </c>
    </row>
    <row r="406" ht="16.1" customHeight="1">
      <c r="I406" t="s" s="401">
        <v>3946</v>
      </c>
      <c r="J406" s="127"/>
      <c r="K406" s="127"/>
      <c r="L406" s="128"/>
      <c r="M406" s="129">
        <v>7</v>
      </c>
      <c r="N406" s="142">
        <v>1849.97</v>
      </c>
      <c r="O406" s="142">
        <v>1849.97</v>
      </c>
    </row>
    <row r="407" ht="13.2" customHeight="1">
      <c r="I407" t="s" s="402">
        <v>6406</v>
      </c>
      <c r="J407" t="s" s="403">
        <v>6405</v>
      </c>
      <c r="K407" s="404">
        <v>44957</v>
      </c>
      <c r="L407" t="s" s="405">
        <v>19</v>
      </c>
      <c r="M407" s="406">
        <v>1</v>
      </c>
      <c r="N407" s="407">
        <v>119.99</v>
      </c>
      <c r="O407" s="407">
        <v>119.99</v>
      </c>
    </row>
    <row r="408" ht="12.9" customHeight="1">
      <c r="I408" s="392"/>
      <c r="J408" s="393"/>
      <c r="K408" s="393"/>
      <c r="L408" t="s" s="394">
        <v>133</v>
      </c>
      <c r="M408" s="146">
        <v>1</v>
      </c>
      <c r="N408" s="395">
        <v>199.99</v>
      </c>
      <c r="O408" s="395">
        <v>199.99</v>
      </c>
    </row>
    <row r="409" ht="12.9" customHeight="1">
      <c r="I409" s="392"/>
      <c r="J409" s="393"/>
      <c r="K409" s="393"/>
      <c r="L409" t="s" s="394">
        <v>15</v>
      </c>
      <c r="M409" s="146">
        <v>1</v>
      </c>
      <c r="N409" s="395">
        <v>0</v>
      </c>
      <c r="O409" s="395">
        <v>0</v>
      </c>
    </row>
    <row r="410" ht="15.2" customHeight="1">
      <c r="I410" s="392"/>
      <c r="J410" s="393"/>
      <c r="K410" s="396">
        <v>44957</v>
      </c>
      <c r="L410" s="397"/>
      <c r="M410" s="398">
        <v>3</v>
      </c>
      <c r="N410" s="399">
        <v>319.98</v>
      </c>
      <c r="O410" s="399">
        <v>319.98</v>
      </c>
    </row>
    <row r="411" ht="15.55" customHeight="1">
      <c r="I411" s="392"/>
      <c r="J411" t="s" s="400">
        <v>6405</v>
      </c>
      <c r="K411" s="127"/>
      <c r="L411" s="128"/>
      <c r="M411" s="129">
        <v>3</v>
      </c>
      <c r="N411" s="142">
        <v>319.98</v>
      </c>
      <c r="O411" s="142">
        <v>319.98</v>
      </c>
    </row>
    <row r="412" ht="16.1" customHeight="1">
      <c r="I412" t="s" s="401">
        <v>6406</v>
      </c>
      <c r="J412" s="127"/>
      <c r="K412" s="127"/>
      <c r="L412" s="128"/>
      <c r="M412" s="129">
        <v>3</v>
      </c>
      <c r="N412" s="142">
        <v>319.98</v>
      </c>
      <c r="O412" s="142">
        <v>319.98</v>
      </c>
    </row>
    <row r="413" ht="13.2" customHeight="1">
      <c r="I413" t="s" s="402">
        <v>391</v>
      </c>
      <c r="J413" t="s" s="403">
        <v>6586</v>
      </c>
      <c r="K413" s="404">
        <v>44931</v>
      </c>
      <c r="L413" t="s" s="405">
        <v>6587</v>
      </c>
      <c r="M413" s="406">
        <v>4</v>
      </c>
      <c r="N413" s="407">
        <v>22.5</v>
      </c>
      <c r="O413" s="407">
        <v>90</v>
      </c>
    </row>
    <row r="414" ht="12.9" customHeight="1">
      <c r="I414" s="392"/>
      <c r="J414" s="393"/>
      <c r="K414" s="393"/>
      <c r="L414" t="s" s="394">
        <v>63</v>
      </c>
      <c r="M414" s="146">
        <v>1</v>
      </c>
      <c r="N414" s="395">
        <v>15</v>
      </c>
      <c r="O414" s="395">
        <v>15</v>
      </c>
    </row>
    <row r="415" ht="15.2" customHeight="1">
      <c r="I415" s="392"/>
      <c r="J415" s="393"/>
      <c r="K415" s="396">
        <v>44931</v>
      </c>
      <c r="L415" s="397"/>
      <c r="M415" s="398">
        <v>5</v>
      </c>
      <c r="N415" s="399">
        <v>37.5</v>
      </c>
      <c r="O415" s="399">
        <v>105</v>
      </c>
    </row>
    <row r="416" ht="15.55" customHeight="1">
      <c r="I416" s="392"/>
      <c r="J416" t="s" s="400">
        <v>6586</v>
      </c>
      <c r="K416" s="127"/>
      <c r="L416" s="128"/>
      <c r="M416" s="129">
        <v>5</v>
      </c>
      <c r="N416" s="142">
        <v>37.5</v>
      </c>
      <c r="O416" s="142">
        <v>105</v>
      </c>
    </row>
    <row r="417" ht="13.2" customHeight="1">
      <c r="I417" s="392"/>
      <c r="J417" t="s" s="403">
        <v>6550</v>
      </c>
      <c r="K417" s="404">
        <v>44937</v>
      </c>
      <c r="L417" t="s" s="405">
        <v>4800</v>
      </c>
      <c r="M417" s="406">
        <v>10</v>
      </c>
      <c r="N417" s="407">
        <v>350</v>
      </c>
      <c r="O417" s="407">
        <v>3500</v>
      </c>
    </row>
    <row r="418" ht="12.9" customHeight="1">
      <c r="I418" s="392"/>
      <c r="J418" s="393"/>
      <c r="K418" s="393"/>
      <c r="L418" t="s" s="394">
        <v>50</v>
      </c>
      <c r="M418" s="146">
        <v>20</v>
      </c>
      <c r="N418" s="395">
        <v>0</v>
      </c>
      <c r="O418" s="395">
        <v>0</v>
      </c>
    </row>
    <row r="419" ht="12.9" customHeight="1">
      <c r="I419" s="392"/>
      <c r="J419" s="393"/>
      <c r="K419" s="393"/>
      <c r="L419" t="s" s="394">
        <v>48</v>
      </c>
      <c r="M419" s="146">
        <v>10</v>
      </c>
      <c r="N419" s="395">
        <v>900</v>
      </c>
      <c r="O419" s="395">
        <v>9000</v>
      </c>
    </row>
    <row r="420" ht="12.9" customHeight="1">
      <c r="I420" s="392"/>
      <c r="J420" s="393"/>
      <c r="K420" s="393"/>
      <c r="L420" t="s" s="394">
        <v>47</v>
      </c>
      <c r="M420" s="146">
        <v>1</v>
      </c>
      <c r="N420" s="395">
        <v>300</v>
      </c>
      <c r="O420" s="395">
        <v>300</v>
      </c>
    </row>
    <row r="421" ht="15.2" customHeight="1">
      <c r="I421" s="392"/>
      <c r="J421" s="393"/>
      <c r="K421" s="396">
        <v>44937</v>
      </c>
      <c r="L421" s="397"/>
      <c r="M421" s="398">
        <v>41</v>
      </c>
      <c r="N421" s="399">
        <v>1550</v>
      </c>
      <c r="O421" s="399">
        <v>12800</v>
      </c>
    </row>
    <row r="422" ht="15.55" customHeight="1">
      <c r="I422" s="392"/>
      <c r="J422" t="s" s="400">
        <v>6550</v>
      </c>
      <c r="K422" s="127"/>
      <c r="L422" s="128"/>
      <c r="M422" s="129">
        <v>41</v>
      </c>
      <c r="N422" s="142">
        <v>1550</v>
      </c>
      <c r="O422" s="142">
        <v>12800</v>
      </c>
    </row>
    <row r="423" ht="13.2" customHeight="1">
      <c r="I423" s="392"/>
      <c r="J423" t="s" s="403">
        <v>6410</v>
      </c>
      <c r="K423" s="404">
        <v>44957</v>
      </c>
      <c r="L423" t="s" s="405">
        <v>227</v>
      </c>
      <c r="M423" s="406">
        <v>10</v>
      </c>
      <c r="N423" s="407">
        <v>22.4925</v>
      </c>
      <c r="O423" s="407">
        <v>224.925</v>
      </c>
    </row>
    <row r="424" ht="12.9" customHeight="1">
      <c r="I424" s="392"/>
      <c r="J424" s="393"/>
      <c r="K424" s="393"/>
      <c r="L424" t="s" s="394">
        <v>63</v>
      </c>
      <c r="M424" s="146">
        <v>1</v>
      </c>
      <c r="N424" s="395">
        <v>15</v>
      </c>
      <c r="O424" s="395">
        <v>15</v>
      </c>
    </row>
    <row r="425" ht="15.2" customHeight="1">
      <c r="I425" s="392"/>
      <c r="J425" s="393"/>
      <c r="K425" s="396">
        <v>44957</v>
      </c>
      <c r="L425" s="397"/>
      <c r="M425" s="398">
        <v>11</v>
      </c>
      <c r="N425" s="399">
        <v>37.4925</v>
      </c>
      <c r="O425" s="399">
        <v>239.925</v>
      </c>
    </row>
    <row r="426" ht="15.55" customHeight="1">
      <c r="I426" s="392"/>
      <c r="J426" t="s" s="400">
        <v>6410</v>
      </c>
      <c r="K426" s="127"/>
      <c r="L426" s="128"/>
      <c r="M426" s="129">
        <v>11</v>
      </c>
      <c r="N426" s="142">
        <v>37.4925</v>
      </c>
      <c r="O426" s="142">
        <v>239.925</v>
      </c>
    </row>
    <row r="427" ht="16.1" customHeight="1">
      <c r="I427" t="s" s="401">
        <v>391</v>
      </c>
      <c r="J427" s="127"/>
      <c r="K427" s="127"/>
      <c r="L427" s="128"/>
      <c r="M427" s="129">
        <v>57</v>
      </c>
      <c r="N427" s="142">
        <v>1624.9925</v>
      </c>
      <c r="O427" s="142">
        <v>13144.925</v>
      </c>
    </row>
    <row r="428" ht="13.2" customHeight="1">
      <c r="I428" t="s" s="402">
        <v>911</v>
      </c>
      <c r="J428" t="s" s="403">
        <v>6545</v>
      </c>
      <c r="K428" s="404">
        <v>44938</v>
      </c>
      <c r="L428" t="s" s="405">
        <v>1046</v>
      </c>
      <c r="M428" s="406">
        <v>6</v>
      </c>
      <c r="N428" s="407">
        <v>0.25</v>
      </c>
      <c r="O428" s="407">
        <v>1.5</v>
      </c>
    </row>
    <row r="429" ht="12.9" customHeight="1">
      <c r="I429" s="392"/>
      <c r="J429" s="393"/>
      <c r="K429" s="393"/>
      <c r="L429" t="s" s="394">
        <v>1186</v>
      </c>
      <c r="M429" s="146">
        <v>3</v>
      </c>
      <c r="N429" s="395">
        <v>2</v>
      </c>
      <c r="O429" s="395">
        <v>6</v>
      </c>
    </row>
    <row r="430" ht="12.9" customHeight="1">
      <c r="I430" s="392"/>
      <c r="J430" s="393"/>
      <c r="K430" s="393"/>
      <c r="L430" t="s" s="394">
        <v>1891</v>
      </c>
      <c r="M430" s="146">
        <v>6</v>
      </c>
      <c r="N430" s="395">
        <v>0.25</v>
      </c>
      <c r="O430" s="395">
        <v>1.5</v>
      </c>
    </row>
    <row r="431" ht="12.9" customHeight="1">
      <c r="I431" s="392"/>
      <c r="J431" s="393"/>
      <c r="K431" s="393"/>
      <c r="L431" t="s" s="394">
        <v>1187</v>
      </c>
      <c r="M431" s="146">
        <v>3</v>
      </c>
      <c r="N431" s="395">
        <v>0.75</v>
      </c>
      <c r="O431" s="395">
        <v>2.25</v>
      </c>
    </row>
    <row r="432" ht="12.9" customHeight="1">
      <c r="I432" s="392"/>
      <c r="J432" s="393"/>
      <c r="K432" s="393"/>
      <c r="L432" t="s" s="394">
        <v>109</v>
      </c>
      <c r="M432" s="146">
        <v>1</v>
      </c>
      <c r="N432" s="395">
        <v>150</v>
      </c>
      <c r="O432" s="395">
        <v>150</v>
      </c>
    </row>
    <row r="433" ht="12.9" customHeight="1">
      <c r="I433" s="392"/>
      <c r="J433" s="393"/>
      <c r="K433" s="393"/>
      <c r="L433" t="s" s="394">
        <v>1892</v>
      </c>
      <c r="M433" s="146">
        <v>6</v>
      </c>
      <c r="N433" s="395">
        <v>0.7</v>
      </c>
      <c r="O433" s="395">
        <v>4.2</v>
      </c>
    </row>
    <row r="434" ht="12.9" customHeight="1">
      <c r="I434" s="392"/>
      <c r="J434" s="393"/>
      <c r="K434" s="393"/>
      <c r="L434" t="s" s="394">
        <v>266</v>
      </c>
      <c r="M434" s="146">
        <v>10</v>
      </c>
      <c r="N434" s="395">
        <v>0.25</v>
      </c>
      <c r="O434" s="395">
        <v>2.5</v>
      </c>
    </row>
    <row r="435" ht="12.9" customHeight="1">
      <c r="I435" s="392"/>
      <c r="J435" s="393"/>
      <c r="K435" s="393"/>
      <c r="L435" t="s" s="394">
        <v>3480</v>
      </c>
      <c r="M435" s="146">
        <v>3</v>
      </c>
      <c r="N435" s="395">
        <v>225</v>
      </c>
      <c r="O435" s="395">
        <v>675</v>
      </c>
    </row>
    <row r="436" ht="12.9" customHeight="1">
      <c r="I436" s="392"/>
      <c r="J436" s="393"/>
      <c r="K436" s="393"/>
      <c r="L436" t="s" s="394">
        <v>2512</v>
      </c>
      <c r="M436" s="146">
        <v>6</v>
      </c>
      <c r="N436" s="395">
        <v>0.2</v>
      </c>
      <c r="O436" s="395">
        <v>1.2</v>
      </c>
    </row>
    <row r="437" ht="15.2" customHeight="1">
      <c r="I437" s="392"/>
      <c r="J437" s="393"/>
      <c r="K437" s="396">
        <v>44938</v>
      </c>
      <c r="L437" s="397"/>
      <c r="M437" s="398">
        <v>44</v>
      </c>
      <c r="N437" s="399">
        <v>379.4</v>
      </c>
      <c r="O437" s="399">
        <v>844.15</v>
      </c>
    </row>
    <row r="438" ht="15.55" customHeight="1">
      <c r="I438" s="392"/>
      <c r="J438" t="s" s="400">
        <v>6545</v>
      </c>
      <c r="K438" s="127"/>
      <c r="L438" s="128"/>
      <c r="M438" s="129">
        <v>44</v>
      </c>
      <c r="N438" s="142">
        <v>379.4</v>
      </c>
      <c r="O438" s="142">
        <v>844.15</v>
      </c>
    </row>
    <row r="439" ht="16.1" customHeight="1">
      <c r="I439" t="s" s="401">
        <v>911</v>
      </c>
      <c r="J439" s="127"/>
      <c r="K439" s="127"/>
      <c r="L439" s="128"/>
      <c r="M439" s="129">
        <v>44</v>
      </c>
      <c r="N439" s="142">
        <v>379.4</v>
      </c>
      <c r="O439" s="142">
        <v>844.15</v>
      </c>
    </row>
    <row r="440" ht="13.2" customHeight="1">
      <c r="I440" t="s" s="402">
        <v>2940</v>
      </c>
      <c r="J440" t="s" s="403">
        <v>6515</v>
      </c>
      <c r="K440" s="404">
        <v>44942</v>
      </c>
      <c r="L440" t="s" s="405">
        <v>11</v>
      </c>
      <c r="M440" s="406">
        <v>1</v>
      </c>
      <c r="N440" s="407">
        <v>359.991</v>
      </c>
      <c r="O440" s="407">
        <v>359.991</v>
      </c>
    </row>
    <row r="441" ht="15.2" customHeight="1">
      <c r="I441" s="392"/>
      <c r="J441" s="393"/>
      <c r="K441" s="396">
        <v>44942</v>
      </c>
      <c r="L441" s="397"/>
      <c r="M441" s="398">
        <v>1</v>
      </c>
      <c r="N441" s="399">
        <v>359.991</v>
      </c>
      <c r="O441" s="399">
        <v>359.991</v>
      </c>
    </row>
    <row r="442" ht="15.55" customHeight="1">
      <c r="I442" s="392"/>
      <c r="J442" t="s" s="400">
        <v>6515</v>
      </c>
      <c r="K442" s="127"/>
      <c r="L442" s="128"/>
      <c r="M442" s="129">
        <v>1</v>
      </c>
      <c r="N442" s="142">
        <v>359.991</v>
      </c>
      <c r="O442" s="142">
        <v>359.991</v>
      </c>
    </row>
    <row r="443" ht="13.2" customHeight="1">
      <c r="I443" s="392"/>
      <c r="J443" t="s" s="403">
        <v>6491</v>
      </c>
      <c r="K443" s="404">
        <v>44944</v>
      </c>
      <c r="L443" t="s" s="405">
        <v>11</v>
      </c>
      <c r="M443" s="406">
        <v>1</v>
      </c>
      <c r="N443" s="407">
        <v>359.991</v>
      </c>
      <c r="O443" s="407">
        <v>359.991</v>
      </c>
    </row>
    <row r="444" ht="15.2" customHeight="1">
      <c r="I444" s="392"/>
      <c r="J444" s="393"/>
      <c r="K444" s="396">
        <v>44944</v>
      </c>
      <c r="L444" s="397"/>
      <c r="M444" s="398">
        <v>1</v>
      </c>
      <c r="N444" s="399">
        <v>359.991</v>
      </c>
      <c r="O444" s="399">
        <v>359.991</v>
      </c>
    </row>
    <row r="445" ht="15.55" customHeight="1">
      <c r="I445" s="392"/>
      <c r="J445" t="s" s="400">
        <v>6491</v>
      </c>
      <c r="K445" s="127"/>
      <c r="L445" s="128"/>
      <c r="M445" s="129">
        <v>1</v>
      </c>
      <c r="N445" s="142">
        <v>359.991</v>
      </c>
      <c r="O445" s="142">
        <v>359.991</v>
      </c>
    </row>
    <row r="446" ht="13.2" customHeight="1">
      <c r="I446" s="392"/>
      <c r="J446" t="s" s="403">
        <v>6468</v>
      </c>
      <c r="K446" s="404">
        <v>44949</v>
      </c>
      <c r="L446" t="s" s="405">
        <v>95</v>
      </c>
      <c r="M446" s="406">
        <v>1</v>
      </c>
      <c r="N446" s="407">
        <v>314.991</v>
      </c>
      <c r="O446" s="407">
        <v>314.991</v>
      </c>
    </row>
    <row r="447" ht="15.2" customHeight="1">
      <c r="I447" s="392"/>
      <c r="J447" s="393"/>
      <c r="K447" s="396">
        <v>44949</v>
      </c>
      <c r="L447" s="397"/>
      <c r="M447" s="398">
        <v>1</v>
      </c>
      <c r="N447" s="399">
        <v>314.991</v>
      </c>
      <c r="O447" s="399">
        <v>314.991</v>
      </c>
    </row>
    <row r="448" ht="15.55" customHeight="1">
      <c r="I448" s="392"/>
      <c r="J448" t="s" s="400">
        <v>6468</v>
      </c>
      <c r="K448" s="127"/>
      <c r="L448" s="128"/>
      <c r="M448" s="129">
        <v>1</v>
      </c>
      <c r="N448" s="142">
        <v>314.991</v>
      </c>
      <c r="O448" s="142">
        <v>314.991</v>
      </c>
    </row>
    <row r="449" ht="13.2" customHeight="1">
      <c r="I449" s="392"/>
      <c r="J449" t="s" s="403">
        <v>6445</v>
      </c>
      <c r="K449" s="404">
        <v>44951</v>
      </c>
      <c r="L449" t="s" s="405">
        <v>95</v>
      </c>
      <c r="M449" s="406">
        <v>2</v>
      </c>
      <c r="N449" s="407">
        <v>314.991</v>
      </c>
      <c r="O449" s="407">
        <v>629.982</v>
      </c>
    </row>
    <row r="450" ht="15.2" customHeight="1">
      <c r="I450" s="392"/>
      <c r="J450" s="393"/>
      <c r="K450" s="396">
        <v>44951</v>
      </c>
      <c r="L450" s="397"/>
      <c r="M450" s="398">
        <v>2</v>
      </c>
      <c r="N450" s="399">
        <v>314.991</v>
      </c>
      <c r="O450" s="399">
        <v>629.982</v>
      </c>
    </row>
    <row r="451" ht="15.55" customHeight="1">
      <c r="I451" s="392"/>
      <c r="J451" t="s" s="400">
        <v>6445</v>
      </c>
      <c r="K451" s="127"/>
      <c r="L451" s="128"/>
      <c r="M451" s="129">
        <v>2</v>
      </c>
      <c r="N451" s="142">
        <v>314.991</v>
      </c>
      <c r="O451" s="142">
        <v>629.982</v>
      </c>
    </row>
    <row r="452" ht="13.2" customHeight="1">
      <c r="I452" s="392"/>
      <c r="J452" t="s" s="403">
        <v>6434</v>
      </c>
      <c r="K452" s="404">
        <v>44953</v>
      </c>
      <c r="L452" t="s" s="405">
        <v>11</v>
      </c>
      <c r="M452" s="406">
        <v>1</v>
      </c>
      <c r="N452" s="407">
        <v>359.991</v>
      </c>
      <c r="O452" s="407">
        <v>359.991</v>
      </c>
    </row>
    <row r="453" ht="15.2" customHeight="1">
      <c r="I453" s="392"/>
      <c r="J453" s="393"/>
      <c r="K453" s="396">
        <v>44953</v>
      </c>
      <c r="L453" s="397"/>
      <c r="M453" s="398">
        <v>1</v>
      </c>
      <c r="N453" s="399">
        <v>359.991</v>
      </c>
      <c r="O453" s="399">
        <v>359.991</v>
      </c>
    </row>
    <row r="454" ht="15.55" customHeight="1">
      <c r="I454" s="392"/>
      <c r="J454" t="s" s="400">
        <v>6434</v>
      </c>
      <c r="K454" s="127"/>
      <c r="L454" s="128"/>
      <c r="M454" s="129">
        <v>1</v>
      </c>
      <c r="N454" s="142">
        <v>359.991</v>
      </c>
      <c r="O454" s="142">
        <v>359.991</v>
      </c>
    </row>
    <row r="455" ht="16.1" customHeight="1">
      <c r="I455" t="s" s="401">
        <v>2940</v>
      </c>
      <c r="J455" s="127"/>
      <c r="K455" s="127"/>
      <c r="L455" s="128"/>
      <c r="M455" s="129">
        <v>6</v>
      </c>
      <c r="N455" s="142">
        <v>1709.955</v>
      </c>
      <c r="O455" s="142">
        <v>2024.946</v>
      </c>
    </row>
    <row r="456" ht="13.2" customHeight="1">
      <c r="I456" t="s" s="402">
        <v>6576</v>
      </c>
      <c r="J456" t="s" s="403">
        <v>6575</v>
      </c>
      <c r="K456" s="404">
        <v>44931</v>
      </c>
      <c r="L456" t="s" s="405">
        <v>95</v>
      </c>
      <c r="M456" s="406">
        <v>1</v>
      </c>
      <c r="N456" s="407">
        <v>324.99</v>
      </c>
      <c r="O456" s="407">
        <v>324.99</v>
      </c>
    </row>
    <row r="457" ht="15.2" customHeight="1">
      <c r="I457" s="392"/>
      <c r="J457" s="393"/>
      <c r="K457" s="396">
        <v>44931</v>
      </c>
      <c r="L457" s="397"/>
      <c r="M457" s="398">
        <v>1</v>
      </c>
      <c r="N457" s="399">
        <v>324.99</v>
      </c>
      <c r="O457" s="399">
        <v>324.99</v>
      </c>
    </row>
    <row r="458" ht="15.55" customHeight="1">
      <c r="I458" s="392"/>
      <c r="J458" t="s" s="400">
        <v>6575</v>
      </c>
      <c r="K458" s="127"/>
      <c r="L458" s="128"/>
      <c r="M458" s="129">
        <v>1</v>
      </c>
      <c r="N458" s="142">
        <v>324.99</v>
      </c>
      <c r="O458" s="142">
        <v>324.99</v>
      </c>
    </row>
    <row r="459" ht="16.1" customHeight="1">
      <c r="I459" t="s" s="401">
        <v>6576</v>
      </c>
      <c r="J459" s="127"/>
      <c r="K459" s="127"/>
      <c r="L459" s="128"/>
      <c r="M459" s="129">
        <v>1</v>
      </c>
      <c r="N459" s="142">
        <v>324.99</v>
      </c>
      <c r="O459" s="142">
        <v>324.99</v>
      </c>
    </row>
    <row r="460" ht="13.2" customHeight="1">
      <c r="I460" t="s" s="402">
        <v>6430</v>
      </c>
      <c r="J460" t="s" s="403">
        <v>6429</v>
      </c>
      <c r="K460" s="404">
        <v>44953</v>
      </c>
      <c r="L460" t="s" s="405">
        <v>89</v>
      </c>
      <c r="M460" s="406">
        <v>1</v>
      </c>
      <c r="N460" s="407">
        <v>59.99</v>
      </c>
      <c r="O460" s="407">
        <v>59.99</v>
      </c>
    </row>
    <row r="461" ht="15.2" customHeight="1">
      <c r="I461" s="392"/>
      <c r="J461" s="393"/>
      <c r="K461" s="396">
        <v>44953</v>
      </c>
      <c r="L461" s="397"/>
      <c r="M461" s="398">
        <v>1</v>
      </c>
      <c r="N461" s="399">
        <v>59.99</v>
      </c>
      <c r="O461" s="399">
        <v>59.99</v>
      </c>
    </row>
    <row r="462" ht="15.55" customHeight="1">
      <c r="I462" s="392"/>
      <c r="J462" t="s" s="400">
        <v>6429</v>
      </c>
      <c r="K462" s="127"/>
      <c r="L462" s="128"/>
      <c r="M462" s="129">
        <v>1</v>
      </c>
      <c r="N462" s="142">
        <v>59.99</v>
      </c>
      <c r="O462" s="142">
        <v>59.99</v>
      </c>
    </row>
    <row r="463" ht="16.1" customHeight="1">
      <c r="I463" t="s" s="401">
        <v>6430</v>
      </c>
      <c r="J463" s="127"/>
      <c r="K463" s="127"/>
      <c r="L463" s="128"/>
      <c r="M463" s="129">
        <v>1</v>
      </c>
      <c r="N463" s="142">
        <v>59.99</v>
      </c>
      <c r="O463" s="142">
        <v>59.99</v>
      </c>
    </row>
    <row r="464" ht="13.2" customHeight="1">
      <c r="I464" t="s" s="402">
        <v>555</v>
      </c>
      <c r="J464" t="s" s="403">
        <v>6598</v>
      </c>
      <c r="K464" s="404">
        <v>44930</v>
      </c>
      <c r="L464" t="s" s="405">
        <v>59</v>
      </c>
      <c r="M464" s="406">
        <v>10</v>
      </c>
      <c r="N464" s="407">
        <v>899.9924999999999</v>
      </c>
      <c r="O464" s="407">
        <v>8999.924999999999</v>
      </c>
    </row>
    <row r="465" ht="12.9" customHeight="1">
      <c r="I465" s="392"/>
      <c r="J465" s="393"/>
      <c r="K465" s="393"/>
      <c r="L465" t="s" s="394">
        <v>63</v>
      </c>
      <c r="M465" s="146">
        <v>1</v>
      </c>
      <c r="N465" s="395">
        <v>300.45</v>
      </c>
      <c r="O465" s="395">
        <v>300.45</v>
      </c>
    </row>
    <row r="466" ht="15.2" customHeight="1">
      <c r="I466" s="392"/>
      <c r="J466" s="393"/>
      <c r="K466" s="396">
        <v>44930</v>
      </c>
      <c r="L466" s="397"/>
      <c r="M466" s="398">
        <v>11</v>
      </c>
      <c r="N466" s="399">
        <v>1200.4425</v>
      </c>
      <c r="O466" s="399">
        <v>9300.375</v>
      </c>
    </row>
    <row r="467" ht="15.55" customHeight="1">
      <c r="I467" s="392"/>
      <c r="J467" t="s" s="400">
        <v>6598</v>
      </c>
      <c r="K467" s="127"/>
      <c r="L467" s="128"/>
      <c r="M467" s="129">
        <v>11</v>
      </c>
      <c r="N467" s="142">
        <v>1200.4425</v>
      </c>
      <c r="O467" s="142">
        <v>9300.375</v>
      </c>
    </row>
    <row r="468" ht="13.2" customHeight="1">
      <c r="I468" s="392"/>
      <c r="J468" t="s" s="403">
        <v>6508</v>
      </c>
      <c r="K468" s="404">
        <v>44943</v>
      </c>
      <c r="L468" t="s" s="405">
        <v>59</v>
      </c>
      <c r="M468" s="406">
        <v>1</v>
      </c>
      <c r="N468" s="407">
        <v>899.9924999999999</v>
      </c>
      <c r="O468" s="407">
        <v>899.9924999999999</v>
      </c>
    </row>
    <row r="469" ht="15.2" customHeight="1">
      <c r="I469" s="392"/>
      <c r="J469" s="393"/>
      <c r="K469" s="396">
        <v>44943</v>
      </c>
      <c r="L469" s="397"/>
      <c r="M469" s="398">
        <v>1</v>
      </c>
      <c r="N469" s="399">
        <v>899.9924999999999</v>
      </c>
      <c r="O469" s="399">
        <v>899.9924999999999</v>
      </c>
    </row>
    <row r="470" ht="15.55" customHeight="1">
      <c r="I470" s="392"/>
      <c r="J470" t="s" s="400">
        <v>6508</v>
      </c>
      <c r="K470" s="127"/>
      <c r="L470" s="128"/>
      <c r="M470" s="129">
        <v>1</v>
      </c>
      <c r="N470" s="142">
        <v>899.9924999999999</v>
      </c>
      <c r="O470" s="142">
        <v>899.9924999999999</v>
      </c>
    </row>
    <row r="471" ht="16.1" customHeight="1">
      <c r="I471" t="s" s="401">
        <v>555</v>
      </c>
      <c r="J471" s="127"/>
      <c r="K471" s="127"/>
      <c r="L471" s="128"/>
      <c r="M471" s="129">
        <v>12</v>
      </c>
      <c r="N471" s="142">
        <v>2100.435</v>
      </c>
      <c r="O471" s="142">
        <v>10200.3675</v>
      </c>
    </row>
    <row r="472" ht="13.2" customHeight="1">
      <c r="I472" t="s" s="402">
        <v>69</v>
      </c>
      <c r="J472" t="s" s="403">
        <v>6437</v>
      </c>
      <c r="K472" s="404">
        <v>44952</v>
      </c>
      <c r="L472" t="s" s="405">
        <v>254</v>
      </c>
      <c r="M472" s="406">
        <v>2</v>
      </c>
      <c r="N472" s="407">
        <v>0</v>
      </c>
      <c r="O472" s="407">
        <v>0</v>
      </c>
    </row>
    <row r="473" ht="15.2" customHeight="1">
      <c r="I473" s="392"/>
      <c r="J473" s="393"/>
      <c r="K473" s="396">
        <v>44952</v>
      </c>
      <c r="L473" s="397"/>
      <c r="M473" s="398">
        <v>2</v>
      </c>
      <c r="N473" s="399">
        <v>0</v>
      </c>
      <c r="O473" s="399">
        <v>0</v>
      </c>
    </row>
    <row r="474" ht="15.55" customHeight="1">
      <c r="I474" s="392"/>
      <c r="J474" t="s" s="400">
        <v>6437</v>
      </c>
      <c r="K474" s="127"/>
      <c r="L474" s="128"/>
      <c r="M474" s="129">
        <v>2</v>
      </c>
      <c r="N474" s="142">
        <v>0</v>
      </c>
      <c r="O474" s="142">
        <v>0</v>
      </c>
    </row>
    <row r="475" ht="16.1" customHeight="1">
      <c r="I475" t="s" s="401">
        <v>69</v>
      </c>
      <c r="J475" s="127"/>
      <c r="K475" s="127"/>
      <c r="L475" s="128"/>
      <c r="M475" s="129">
        <v>2</v>
      </c>
      <c r="N475" s="142">
        <v>0</v>
      </c>
      <c r="O475" s="142">
        <v>0</v>
      </c>
    </row>
    <row r="476" ht="13.2" customHeight="1">
      <c r="I476" t="s" s="402">
        <v>3189</v>
      </c>
      <c r="J476" t="s" s="403">
        <v>6503</v>
      </c>
      <c r="K476" s="404">
        <v>44943</v>
      </c>
      <c r="L476" t="s" s="405">
        <v>123</v>
      </c>
      <c r="M476" s="406">
        <v>1</v>
      </c>
      <c r="N476" s="407">
        <v>179.99</v>
      </c>
      <c r="O476" s="407">
        <v>179.99</v>
      </c>
    </row>
    <row r="477" ht="12.9" customHeight="1">
      <c r="I477" s="392"/>
      <c r="J477" s="393"/>
      <c r="K477" s="393"/>
      <c r="L477" t="s" s="394">
        <v>125</v>
      </c>
      <c r="M477" s="146">
        <v>2</v>
      </c>
      <c r="N477" s="395">
        <v>64.98999999999999</v>
      </c>
      <c r="O477" s="395">
        <v>129.98</v>
      </c>
    </row>
    <row r="478" ht="12.9" customHeight="1">
      <c r="I478" s="392"/>
      <c r="J478" s="393"/>
      <c r="K478" s="393"/>
      <c r="L478" t="s" s="394">
        <v>146</v>
      </c>
      <c r="M478" s="146">
        <v>2</v>
      </c>
      <c r="N478" s="395">
        <v>19.99</v>
      </c>
      <c r="O478" s="395">
        <v>39.98</v>
      </c>
    </row>
    <row r="479" ht="15.2" customHeight="1">
      <c r="I479" s="392"/>
      <c r="J479" s="393"/>
      <c r="K479" s="396">
        <v>44943</v>
      </c>
      <c r="L479" s="397"/>
      <c r="M479" s="398">
        <v>5</v>
      </c>
      <c r="N479" s="399">
        <v>264.97</v>
      </c>
      <c r="O479" s="399">
        <v>349.95</v>
      </c>
    </row>
    <row r="480" ht="15.55" customHeight="1">
      <c r="I480" s="392"/>
      <c r="J480" t="s" s="400">
        <v>6503</v>
      </c>
      <c r="K480" s="127"/>
      <c r="L480" s="128"/>
      <c r="M480" s="129">
        <v>5</v>
      </c>
      <c r="N480" s="142">
        <v>264.97</v>
      </c>
      <c r="O480" s="142">
        <v>349.95</v>
      </c>
    </row>
    <row r="481" ht="13.2" customHeight="1">
      <c r="I481" s="392"/>
      <c r="J481" t="s" s="403">
        <v>6483</v>
      </c>
      <c r="K481" s="404">
        <v>44945</v>
      </c>
      <c r="L481" t="s" s="405">
        <v>125</v>
      </c>
      <c r="M481" s="406">
        <v>2</v>
      </c>
      <c r="N481" s="407">
        <v>64.98999999999999</v>
      </c>
      <c r="O481" s="407">
        <v>129.98</v>
      </c>
    </row>
    <row r="482" ht="12.9" customHeight="1">
      <c r="I482" s="392"/>
      <c r="J482" s="393"/>
      <c r="K482" s="393"/>
      <c r="L482" t="s" s="394">
        <v>146</v>
      </c>
      <c r="M482" s="146">
        <v>2</v>
      </c>
      <c r="N482" s="395">
        <v>19.99</v>
      </c>
      <c r="O482" s="395">
        <v>39.98</v>
      </c>
    </row>
    <row r="483" ht="15.2" customHeight="1">
      <c r="I483" s="392"/>
      <c r="J483" s="393"/>
      <c r="K483" s="396">
        <v>44945</v>
      </c>
      <c r="L483" s="397"/>
      <c r="M483" s="398">
        <v>4</v>
      </c>
      <c r="N483" s="399">
        <v>84.98</v>
      </c>
      <c r="O483" s="399">
        <v>169.96</v>
      </c>
    </row>
    <row r="484" ht="15.55" customHeight="1">
      <c r="I484" s="392"/>
      <c r="J484" t="s" s="400">
        <v>6483</v>
      </c>
      <c r="K484" s="127"/>
      <c r="L484" s="128"/>
      <c r="M484" s="129">
        <v>4</v>
      </c>
      <c r="N484" s="142">
        <v>84.98</v>
      </c>
      <c r="O484" s="142">
        <v>169.96</v>
      </c>
    </row>
    <row r="485" ht="13.2" customHeight="1">
      <c r="I485" s="392"/>
      <c r="J485" t="s" s="403">
        <v>6452</v>
      </c>
      <c r="K485" s="404">
        <v>44949</v>
      </c>
      <c r="L485" t="s" s="405">
        <v>15</v>
      </c>
      <c r="M485" s="406">
        <v>1</v>
      </c>
      <c r="N485" s="407">
        <v>9.99</v>
      </c>
      <c r="O485" s="407">
        <v>9.99</v>
      </c>
    </row>
    <row r="486" ht="15.2" customHeight="1">
      <c r="I486" s="392"/>
      <c r="J486" s="393"/>
      <c r="K486" s="396">
        <v>44949</v>
      </c>
      <c r="L486" s="397"/>
      <c r="M486" s="398">
        <v>1</v>
      </c>
      <c r="N486" s="399">
        <v>9.99</v>
      </c>
      <c r="O486" s="399">
        <v>9.99</v>
      </c>
    </row>
    <row r="487" ht="15.55" customHeight="1">
      <c r="I487" s="392"/>
      <c r="J487" t="s" s="400">
        <v>6452</v>
      </c>
      <c r="K487" s="127"/>
      <c r="L487" s="128"/>
      <c r="M487" s="129">
        <v>1</v>
      </c>
      <c r="N487" s="142">
        <v>9.99</v>
      </c>
      <c r="O487" s="142">
        <v>9.99</v>
      </c>
    </row>
    <row r="488" ht="16.1" customHeight="1">
      <c r="I488" t="s" s="401">
        <v>3189</v>
      </c>
      <c r="J488" s="127"/>
      <c r="K488" s="127"/>
      <c r="L488" s="128"/>
      <c r="M488" s="129">
        <v>10</v>
      </c>
      <c r="N488" s="142">
        <v>359.94</v>
      </c>
      <c r="O488" s="142">
        <v>529.9</v>
      </c>
    </row>
    <row r="489" ht="13.2" customHeight="1">
      <c r="I489" t="s" s="402">
        <v>506</v>
      </c>
      <c r="J489" t="s" s="403">
        <v>6497</v>
      </c>
      <c r="K489" s="404">
        <v>44943</v>
      </c>
      <c r="L489" t="s" s="405">
        <v>1593</v>
      </c>
      <c r="M489" s="406">
        <v>1</v>
      </c>
      <c r="N489" s="407">
        <v>99.98999999999999</v>
      </c>
      <c r="O489" s="407">
        <v>99.98999999999999</v>
      </c>
    </row>
    <row r="490" ht="15.2" customHeight="1">
      <c r="I490" s="392"/>
      <c r="J490" s="393"/>
      <c r="K490" s="396">
        <v>44943</v>
      </c>
      <c r="L490" s="397"/>
      <c r="M490" s="398">
        <v>1</v>
      </c>
      <c r="N490" s="399">
        <v>99.98999999999999</v>
      </c>
      <c r="O490" s="399">
        <v>99.98999999999999</v>
      </c>
    </row>
    <row r="491" ht="15.55" customHeight="1">
      <c r="I491" s="392"/>
      <c r="J491" t="s" s="400">
        <v>6497</v>
      </c>
      <c r="K491" s="127"/>
      <c r="L491" s="128"/>
      <c r="M491" s="129">
        <v>1</v>
      </c>
      <c r="N491" s="142">
        <v>99.98999999999999</v>
      </c>
      <c r="O491" s="142">
        <v>99.98999999999999</v>
      </c>
    </row>
    <row r="492" ht="16.1" customHeight="1">
      <c r="I492" t="s" s="401">
        <v>506</v>
      </c>
      <c r="J492" s="127"/>
      <c r="K492" s="127"/>
      <c r="L492" s="128"/>
      <c r="M492" s="129">
        <v>1</v>
      </c>
      <c r="N492" s="142">
        <v>99.98999999999999</v>
      </c>
      <c r="O492" s="142">
        <v>99.98999999999999</v>
      </c>
    </row>
    <row r="493" ht="13.2" customHeight="1">
      <c r="I493" t="s" s="402">
        <v>6243</v>
      </c>
      <c r="J493" t="s" s="403">
        <v>6548</v>
      </c>
      <c r="K493" s="404">
        <v>44937</v>
      </c>
      <c r="L493" t="s" s="405">
        <v>1054</v>
      </c>
      <c r="M493" s="406">
        <v>1</v>
      </c>
      <c r="N493" s="407">
        <v>149.99</v>
      </c>
      <c r="O493" s="407">
        <v>149.99</v>
      </c>
    </row>
    <row r="494" ht="15.2" customHeight="1">
      <c r="I494" s="392"/>
      <c r="J494" s="393"/>
      <c r="K494" s="396">
        <v>44937</v>
      </c>
      <c r="L494" s="397"/>
      <c r="M494" s="398">
        <v>1</v>
      </c>
      <c r="N494" s="399">
        <v>149.99</v>
      </c>
      <c r="O494" s="399">
        <v>149.99</v>
      </c>
    </row>
    <row r="495" ht="15.55" customHeight="1">
      <c r="I495" s="392"/>
      <c r="J495" t="s" s="400">
        <v>6548</v>
      </c>
      <c r="K495" s="127"/>
      <c r="L495" s="128"/>
      <c r="M495" s="129">
        <v>1</v>
      </c>
      <c r="N495" s="142">
        <v>149.99</v>
      </c>
      <c r="O495" s="142">
        <v>149.99</v>
      </c>
    </row>
    <row r="496" ht="13.2" customHeight="1">
      <c r="I496" s="392"/>
      <c r="J496" t="s" s="403">
        <v>6433</v>
      </c>
      <c r="K496" s="404">
        <v>44953</v>
      </c>
      <c r="L496" t="s" s="405">
        <v>73</v>
      </c>
      <c r="M496" s="406">
        <v>2</v>
      </c>
      <c r="N496" s="407">
        <v>399.99</v>
      </c>
      <c r="O496" s="407">
        <v>799.98</v>
      </c>
    </row>
    <row r="497" ht="15.2" customHeight="1">
      <c r="I497" s="392"/>
      <c r="J497" s="393"/>
      <c r="K497" s="396">
        <v>44953</v>
      </c>
      <c r="L497" s="397"/>
      <c r="M497" s="398">
        <v>2</v>
      </c>
      <c r="N497" s="399">
        <v>399.99</v>
      </c>
      <c r="O497" s="399">
        <v>799.98</v>
      </c>
    </row>
    <row r="498" ht="15.55" customHeight="1">
      <c r="I498" s="392"/>
      <c r="J498" t="s" s="400">
        <v>6433</v>
      </c>
      <c r="K498" s="127"/>
      <c r="L498" s="128"/>
      <c r="M498" s="129">
        <v>2</v>
      </c>
      <c r="N498" s="142">
        <v>399.99</v>
      </c>
      <c r="O498" s="142">
        <v>799.98</v>
      </c>
    </row>
    <row r="499" ht="16.1" customHeight="1">
      <c r="I499" t="s" s="401">
        <v>6243</v>
      </c>
      <c r="J499" s="127"/>
      <c r="K499" s="127"/>
      <c r="L499" s="128"/>
      <c r="M499" s="129">
        <v>3</v>
      </c>
      <c r="N499" s="142">
        <v>549.98</v>
      </c>
      <c r="O499" s="142">
        <v>949.97</v>
      </c>
    </row>
    <row r="500" ht="13.2" customHeight="1">
      <c r="I500" t="s" s="402">
        <v>6531</v>
      </c>
      <c r="J500" t="s" s="403">
        <v>6530</v>
      </c>
      <c r="K500" s="404">
        <v>44939</v>
      </c>
      <c r="L500" t="s" s="405">
        <v>19</v>
      </c>
      <c r="M500" s="406">
        <v>10</v>
      </c>
      <c r="N500" s="407">
        <v>119.99</v>
      </c>
      <c r="O500" s="407">
        <v>1199.9</v>
      </c>
    </row>
    <row r="501" ht="12.9" customHeight="1">
      <c r="I501" s="392"/>
      <c r="J501" s="393"/>
      <c r="K501" s="393"/>
      <c r="L501" t="s" s="394">
        <v>54</v>
      </c>
      <c r="M501" s="146">
        <v>4</v>
      </c>
      <c r="N501" s="395">
        <v>0</v>
      </c>
      <c r="O501" s="395">
        <v>0</v>
      </c>
    </row>
    <row r="502" ht="12.9" customHeight="1">
      <c r="I502" s="392"/>
      <c r="J502" s="393"/>
      <c r="K502" s="393"/>
      <c r="L502" t="s" s="394">
        <v>602</v>
      </c>
      <c r="M502" s="146">
        <v>10</v>
      </c>
      <c r="N502" s="395">
        <v>474.99</v>
      </c>
      <c r="O502" s="395">
        <v>2499.94</v>
      </c>
    </row>
    <row r="503" ht="12.9" customHeight="1">
      <c r="I503" s="392"/>
      <c r="J503" s="393"/>
      <c r="K503" s="393"/>
      <c r="L503" t="s" s="394">
        <v>722</v>
      </c>
      <c r="M503" s="146">
        <v>4</v>
      </c>
      <c r="N503" s="395">
        <v>869.99</v>
      </c>
      <c r="O503" s="395">
        <v>3479.96</v>
      </c>
    </row>
    <row r="504" ht="12.9" customHeight="1">
      <c r="I504" s="392"/>
      <c r="J504" s="393"/>
      <c r="K504" s="393"/>
      <c r="L504" t="s" s="394">
        <v>50</v>
      </c>
      <c r="M504" s="146">
        <v>4</v>
      </c>
      <c r="N504" s="395">
        <v>0</v>
      </c>
      <c r="O504" s="395">
        <v>0</v>
      </c>
    </row>
    <row r="505" ht="12.9" customHeight="1">
      <c r="I505" s="392"/>
      <c r="J505" s="393"/>
      <c r="K505" s="393"/>
      <c r="L505" t="s" s="394">
        <v>15</v>
      </c>
      <c r="M505" s="146">
        <v>4</v>
      </c>
      <c r="N505" s="395">
        <v>0</v>
      </c>
      <c r="O505" s="395">
        <v>0</v>
      </c>
    </row>
    <row r="506" ht="15.2" customHeight="1">
      <c r="I506" s="392"/>
      <c r="J506" s="393"/>
      <c r="K506" s="396">
        <v>44939</v>
      </c>
      <c r="L506" s="397"/>
      <c r="M506" s="398">
        <v>36</v>
      </c>
      <c r="N506" s="399">
        <v>1464.97</v>
      </c>
      <c r="O506" s="399">
        <v>7179.8</v>
      </c>
    </row>
    <row r="507" ht="15.55" customHeight="1">
      <c r="I507" s="392"/>
      <c r="J507" t="s" s="400">
        <v>6530</v>
      </c>
      <c r="K507" s="127"/>
      <c r="L507" s="128"/>
      <c r="M507" s="129">
        <v>36</v>
      </c>
      <c r="N507" s="142">
        <v>1464.97</v>
      </c>
      <c r="O507" s="142">
        <v>7179.8</v>
      </c>
    </row>
    <row r="508" ht="16.1" customHeight="1">
      <c r="I508" t="s" s="401">
        <v>6531</v>
      </c>
      <c r="J508" s="127"/>
      <c r="K508" s="127"/>
      <c r="L508" s="128"/>
      <c r="M508" s="129">
        <v>36</v>
      </c>
      <c r="N508" s="142">
        <v>1464.97</v>
      </c>
      <c r="O508" s="142">
        <v>7179.8</v>
      </c>
    </row>
    <row r="509" ht="13.2" customHeight="1">
      <c r="I509" t="s" s="402">
        <v>6557</v>
      </c>
      <c r="J509" t="s" s="403">
        <v>6556</v>
      </c>
      <c r="K509" s="404">
        <v>44936</v>
      </c>
      <c r="L509" t="s" s="405">
        <v>1695</v>
      </c>
      <c r="M509" s="406">
        <v>1</v>
      </c>
      <c r="N509" s="407">
        <v>49.99</v>
      </c>
      <c r="O509" s="407">
        <v>49.99</v>
      </c>
    </row>
    <row r="510" ht="12.9" customHeight="1">
      <c r="I510" s="392"/>
      <c r="J510" s="393"/>
      <c r="K510" s="393"/>
      <c r="L510" t="s" s="394">
        <v>15</v>
      </c>
      <c r="M510" s="146">
        <v>1</v>
      </c>
      <c r="N510" s="395">
        <v>0</v>
      </c>
      <c r="O510" s="395">
        <v>0</v>
      </c>
    </row>
    <row r="511" ht="15.2" customHeight="1">
      <c r="I511" s="392"/>
      <c r="J511" s="393"/>
      <c r="K511" s="396">
        <v>44936</v>
      </c>
      <c r="L511" s="397"/>
      <c r="M511" s="398">
        <v>2</v>
      </c>
      <c r="N511" s="399">
        <v>49.99</v>
      </c>
      <c r="O511" s="399">
        <v>49.99</v>
      </c>
    </row>
    <row r="512" ht="15.55" customHeight="1">
      <c r="I512" s="392"/>
      <c r="J512" t="s" s="400">
        <v>6556</v>
      </c>
      <c r="K512" s="127"/>
      <c r="L512" s="128"/>
      <c r="M512" s="129">
        <v>2</v>
      </c>
      <c r="N512" s="142">
        <v>49.99</v>
      </c>
      <c r="O512" s="142">
        <v>49.99</v>
      </c>
    </row>
    <row r="513" ht="16.1" customHeight="1">
      <c r="I513" t="s" s="401">
        <v>6557</v>
      </c>
      <c r="J513" s="127"/>
      <c r="K513" s="127"/>
      <c r="L513" s="128"/>
      <c r="M513" s="129">
        <v>2</v>
      </c>
      <c r="N513" s="142">
        <v>49.99</v>
      </c>
      <c r="O513" s="142">
        <v>49.99</v>
      </c>
    </row>
    <row r="514" ht="13.2" customHeight="1">
      <c r="I514" t="s" s="402">
        <v>6505</v>
      </c>
      <c r="J514" t="s" s="403">
        <v>6504</v>
      </c>
      <c r="K514" s="404">
        <v>44943</v>
      </c>
      <c r="L514" t="s" s="405">
        <v>54</v>
      </c>
      <c r="M514" s="406">
        <v>24</v>
      </c>
      <c r="N514" s="407">
        <v>7.4925</v>
      </c>
      <c r="O514" s="407">
        <v>179.82</v>
      </c>
    </row>
    <row r="515" ht="12.9" customHeight="1">
      <c r="I515" s="392"/>
      <c r="J515" s="393"/>
      <c r="K515" s="393"/>
      <c r="L515" t="s" s="394">
        <v>412</v>
      </c>
      <c r="M515" s="146">
        <v>200</v>
      </c>
      <c r="N515" s="395">
        <v>1.4925</v>
      </c>
      <c r="O515" s="395">
        <v>298.5</v>
      </c>
    </row>
    <row r="516" ht="12.9" customHeight="1">
      <c r="I516" s="392"/>
      <c r="J516" s="393"/>
      <c r="K516" s="393"/>
      <c r="L516" t="s" s="394">
        <v>143</v>
      </c>
      <c r="M516" s="146">
        <v>1</v>
      </c>
      <c r="N516" s="395">
        <v>3199.99</v>
      </c>
      <c r="O516" s="395">
        <v>3199.99</v>
      </c>
    </row>
    <row r="517" ht="12.9" customHeight="1">
      <c r="I517" s="392"/>
      <c r="J517" s="393"/>
      <c r="K517" s="393"/>
      <c r="L517" t="s" s="394">
        <v>47</v>
      </c>
      <c r="M517" s="146">
        <v>1</v>
      </c>
      <c r="N517" s="395">
        <v>148.6</v>
      </c>
      <c r="O517" s="395">
        <v>148.6</v>
      </c>
    </row>
    <row r="518" ht="15.2" customHeight="1">
      <c r="I518" s="392"/>
      <c r="J518" s="393"/>
      <c r="K518" s="396">
        <v>44943</v>
      </c>
      <c r="L518" s="397"/>
      <c r="M518" s="398">
        <v>226</v>
      </c>
      <c r="N518" s="399">
        <v>3357.575</v>
      </c>
      <c r="O518" s="399">
        <v>3826.91</v>
      </c>
    </row>
    <row r="519" ht="15.55" customHeight="1">
      <c r="I519" s="392"/>
      <c r="J519" t="s" s="400">
        <v>6504</v>
      </c>
      <c r="K519" s="127"/>
      <c r="L519" s="128"/>
      <c r="M519" s="129">
        <v>226</v>
      </c>
      <c r="N519" s="142">
        <v>3357.575</v>
      </c>
      <c r="O519" s="142">
        <v>3826.91</v>
      </c>
    </row>
    <row r="520" ht="16.1" customHeight="1">
      <c r="I520" t="s" s="401">
        <v>6505</v>
      </c>
      <c r="J520" s="127"/>
      <c r="K520" s="127"/>
      <c r="L520" s="128"/>
      <c r="M520" s="129">
        <v>226</v>
      </c>
      <c r="N520" s="142">
        <v>3357.575</v>
      </c>
      <c r="O520" s="142">
        <v>3826.91</v>
      </c>
    </row>
    <row r="521" ht="13.2" customHeight="1">
      <c r="I521" t="s" s="402">
        <v>6442</v>
      </c>
      <c r="J521" t="s" s="403">
        <v>6441</v>
      </c>
      <c r="K521" s="404">
        <v>44951</v>
      </c>
      <c r="L521" t="s" s="405">
        <v>345</v>
      </c>
      <c r="M521" s="406">
        <v>1</v>
      </c>
      <c r="N521" s="407">
        <v>219.99</v>
      </c>
      <c r="O521" s="407">
        <v>219.99</v>
      </c>
    </row>
    <row r="522" ht="12.9" customHeight="1">
      <c r="I522" s="392"/>
      <c r="J522" s="393"/>
      <c r="K522" s="393"/>
      <c r="L522" t="s" s="394">
        <v>35</v>
      </c>
      <c r="M522" s="146">
        <v>2</v>
      </c>
      <c r="N522" s="395">
        <v>49.99</v>
      </c>
      <c r="O522" s="395">
        <v>99.98</v>
      </c>
    </row>
    <row r="523" ht="12.9" customHeight="1">
      <c r="I523" s="392"/>
      <c r="J523" s="393"/>
      <c r="K523" s="393"/>
      <c r="L523" t="s" s="394">
        <v>15</v>
      </c>
      <c r="M523" s="146">
        <v>1</v>
      </c>
      <c r="N523" s="395">
        <v>9.99</v>
      </c>
      <c r="O523" s="395">
        <v>9.99</v>
      </c>
    </row>
    <row r="524" ht="15.2" customHeight="1">
      <c r="I524" s="392"/>
      <c r="J524" s="393"/>
      <c r="K524" s="396">
        <v>44951</v>
      </c>
      <c r="L524" s="397"/>
      <c r="M524" s="398">
        <v>4</v>
      </c>
      <c r="N524" s="399">
        <v>279.97</v>
      </c>
      <c r="O524" s="399">
        <v>329.96</v>
      </c>
    </row>
    <row r="525" ht="15.55" customHeight="1">
      <c r="I525" s="392"/>
      <c r="J525" t="s" s="400">
        <v>6441</v>
      </c>
      <c r="K525" s="127"/>
      <c r="L525" s="128"/>
      <c r="M525" s="129">
        <v>4</v>
      </c>
      <c r="N525" s="142">
        <v>279.97</v>
      </c>
      <c r="O525" s="142">
        <v>329.96</v>
      </c>
    </row>
    <row r="526" ht="16.1" customHeight="1">
      <c r="I526" t="s" s="401">
        <v>6442</v>
      </c>
      <c r="J526" s="127"/>
      <c r="K526" s="127"/>
      <c r="L526" s="128"/>
      <c r="M526" s="129">
        <v>4</v>
      </c>
      <c r="N526" s="142">
        <v>279.97</v>
      </c>
      <c r="O526" s="142">
        <v>329.96</v>
      </c>
    </row>
    <row r="527" ht="13.2" customHeight="1">
      <c r="I527" t="s" s="402">
        <v>6399</v>
      </c>
      <c r="J527" t="s" s="403">
        <v>6528</v>
      </c>
      <c r="K527" s="404">
        <v>44939</v>
      </c>
      <c r="L527" t="s" s="405">
        <v>84</v>
      </c>
      <c r="M527" s="406">
        <v>2</v>
      </c>
      <c r="N527" s="407">
        <v>0</v>
      </c>
      <c r="O527" s="407">
        <v>0</v>
      </c>
    </row>
    <row r="528" ht="12.9" customHeight="1">
      <c r="I528" s="392"/>
      <c r="J528" s="393"/>
      <c r="K528" s="393"/>
      <c r="L528" t="s" s="394">
        <v>23</v>
      </c>
      <c r="M528" s="146">
        <v>2</v>
      </c>
      <c r="N528" s="395">
        <v>0</v>
      </c>
      <c r="O528" s="395">
        <v>0</v>
      </c>
    </row>
    <row r="529" ht="12.9" customHeight="1">
      <c r="I529" s="392"/>
      <c r="J529" s="393"/>
      <c r="K529" s="393"/>
      <c r="L529" t="s" s="394">
        <v>81</v>
      </c>
      <c r="M529" s="146">
        <v>2</v>
      </c>
      <c r="N529" s="395">
        <v>837.49</v>
      </c>
      <c r="O529" s="395">
        <v>1674.98</v>
      </c>
    </row>
    <row r="530" ht="12.9" customHeight="1">
      <c r="I530" s="392"/>
      <c r="J530" s="393"/>
      <c r="K530" s="393"/>
      <c r="L530" t="s" s="394">
        <v>50</v>
      </c>
      <c r="M530" s="146">
        <v>2</v>
      </c>
      <c r="N530" s="395">
        <v>0</v>
      </c>
      <c r="O530" s="395">
        <v>0</v>
      </c>
    </row>
    <row r="531" ht="15.2" customHeight="1">
      <c r="I531" s="392"/>
      <c r="J531" s="393"/>
      <c r="K531" s="396">
        <v>44939</v>
      </c>
      <c r="L531" s="397"/>
      <c r="M531" s="398">
        <v>8</v>
      </c>
      <c r="N531" s="399">
        <v>837.49</v>
      </c>
      <c r="O531" s="399">
        <v>1674.98</v>
      </c>
    </row>
    <row r="532" ht="15.55" customHeight="1">
      <c r="I532" s="392"/>
      <c r="J532" t="s" s="400">
        <v>6528</v>
      </c>
      <c r="K532" s="127"/>
      <c r="L532" s="128"/>
      <c r="M532" s="129">
        <v>8</v>
      </c>
      <c r="N532" s="142">
        <v>837.49</v>
      </c>
      <c r="O532" s="142">
        <v>1674.98</v>
      </c>
    </row>
    <row r="533" ht="13.2" customHeight="1">
      <c r="I533" s="392"/>
      <c r="J533" t="s" s="403">
        <v>6484</v>
      </c>
      <c r="K533" s="404">
        <v>44944</v>
      </c>
      <c r="L533" t="s" s="405">
        <v>73</v>
      </c>
      <c r="M533" s="406">
        <v>1</v>
      </c>
      <c r="N533" s="407">
        <v>399.99</v>
      </c>
      <c r="O533" s="407">
        <v>399.99</v>
      </c>
    </row>
    <row r="534" ht="15.2" customHeight="1">
      <c r="I534" s="392"/>
      <c r="J534" s="393"/>
      <c r="K534" s="396">
        <v>44944</v>
      </c>
      <c r="L534" s="397"/>
      <c r="M534" s="398">
        <v>1</v>
      </c>
      <c r="N534" s="399">
        <v>399.99</v>
      </c>
      <c r="O534" s="399">
        <v>399.99</v>
      </c>
    </row>
    <row r="535" ht="15.55" customHeight="1">
      <c r="I535" s="392"/>
      <c r="J535" t="s" s="400">
        <v>6484</v>
      </c>
      <c r="K535" s="127"/>
      <c r="L535" s="128"/>
      <c r="M535" s="129">
        <v>1</v>
      </c>
      <c r="N535" s="142">
        <v>399.99</v>
      </c>
      <c r="O535" s="142">
        <v>399.99</v>
      </c>
    </row>
    <row r="536" ht="13.2" customHeight="1">
      <c r="I536" s="392"/>
      <c r="J536" t="s" s="403">
        <v>6398</v>
      </c>
      <c r="K536" s="404">
        <v>44957</v>
      </c>
      <c r="L536" t="s" s="405">
        <v>11</v>
      </c>
      <c r="M536" s="406">
        <v>1</v>
      </c>
      <c r="N536" s="407">
        <v>374.99</v>
      </c>
      <c r="O536" s="407">
        <v>374.99</v>
      </c>
    </row>
    <row r="537" ht="15.2" customHeight="1">
      <c r="I537" s="392"/>
      <c r="J537" s="393"/>
      <c r="K537" s="396">
        <v>44957</v>
      </c>
      <c r="L537" s="397"/>
      <c r="M537" s="398">
        <v>1</v>
      </c>
      <c r="N537" s="399">
        <v>374.99</v>
      </c>
      <c r="O537" s="399">
        <v>374.99</v>
      </c>
    </row>
    <row r="538" ht="15.55" customHeight="1">
      <c r="I538" s="392"/>
      <c r="J538" t="s" s="400">
        <v>6398</v>
      </c>
      <c r="K538" s="127"/>
      <c r="L538" s="128"/>
      <c r="M538" s="129">
        <v>1</v>
      </c>
      <c r="N538" s="142">
        <v>374.99</v>
      </c>
      <c r="O538" s="142">
        <v>374.99</v>
      </c>
    </row>
    <row r="539" ht="16.1" customHeight="1">
      <c r="I539" t="s" s="401">
        <v>6399</v>
      </c>
      <c r="J539" s="127"/>
      <c r="K539" s="127"/>
      <c r="L539" s="128"/>
      <c r="M539" s="129">
        <v>10</v>
      </c>
      <c r="N539" s="142">
        <v>1612.47</v>
      </c>
      <c r="O539" s="142">
        <v>2449.96</v>
      </c>
    </row>
    <row r="540" ht="13.2" customHeight="1">
      <c r="I540" t="s" s="402">
        <v>6496</v>
      </c>
      <c r="J540" t="s" s="403">
        <v>6495</v>
      </c>
      <c r="K540" s="404">
        <v>44943</v>
      </c>
      <c r="L540" t="s" s="405">
        <v>171</v>
      </c>
      <c r="M540" s="406">
        <v>1</v>
      </c>
      <c r="N540" s="407">
        <v>549.99</v>
      </c>
      <c r="O540" s="407">
        <v>549.99</v>
      </c>
    </row>
    <row r="541" ht="15.2" customHeight="1">
      <c r="I541" s="392"/>
      <c r="J541" s="393"/>
      <c r="K541" s="396">
        <v>44943</v>
      </c>
      <c r="L541" s="397"/>
      <c r="M541" s="398">
        <v>1</v>
      </c>
      <c r="N541" s="399">
        <v>549.99</v>
      </c>
      <c r="O541" s="399">
        <v>549.99</v>
      </c>
    </row>
    <row r="542" ht="15.55" customHeight="1">
      <c r="I542" s="392"/>
      <c r="J542" t="s" s="400">
        <v>6495</v>
      </c>
      <c r="K542" s="127"/>
      <c r="L542" s="128"/>
      <c r="M542" s="129">
        <v>1</v>
      </c>
      <c r="N542" s="142">
        <v>549.99</v>
      </c>
      <c r="O542" s="142">
        <v>549.99</v>
      </c>
    </row>
    <row r="543" ht="16.1" customHeight="1">
      <c r="I543" t="s" s="401">
        <v>6496</v>
      </c>
      <c r="J543" s="127"/>
      <c r="K543" s="127"/>
      <c r="L543" s="128"/>
      <c r="M543" s="129">
        <v>1</v>
      </c>
      <c r="N543" s="142">
        <v>549.99</v>
      </c>
      <c r="O543" s="142">
        <v>549.99</v>
      </c>
    </row>
    <row r="544" ht="13.2" customHeight="1">
      <c r="I544" t="s" s="402">
        <v>896</v>
      </c>
      <c r="J544" t="s" s="403">
        <v>6535</v>
      </c>
      <c r="K544" s="404">
        <v>44939</v>
      </c>
      <c r="L544" t="s" s="405">
        <v>50</v>
      </c>
      <c r="M544" s="406">
        <v>8</v>
      </c>
      <c r="N544" s="407">
        <v>0</v>
      </c>
      <c r="O544" s="407">
        <v>0</v>
      </c>
    </row>
    <row r="545" ht="12.9" customHeight="1">
      <c r="I545" s="392"/>
      <c r="J545" s="393"/>
      <c r="K545" s="393"/>
      <c r="L545" t="s" s="394">
        <v>468</v>
      </c>
      <c r="M545" s="146">
        <v>8</v>
      </c>
      <c r="N545" s="395">
        <v>1624.9935</v>
      </c>
      <c r="O545" s="395">
        <v>12999.948</v>
      </c>
    </row>
    <row r="546" ht="12.9" customHeight="1">
      <c r="I546" s="392"/>
      <c r="J546" s="393"/>
      <c r="K546" s="393"/>
      <c r="L546" t="s" s="394">
        <v>47</v>
      </c>
      <c r="M546" s="146">
        <v>1</v>
      </c>
      <c r="N546" s="395">
        <v>320</v>
      </c>
      <c r="O546" s="395">
        <v>320</v>
      </c>
    </row>
    <row r="547" ht="15.2" customHeight="1">
      <c r="I547" s="392"/>
      <c r="J547" s="393"/>
      <c r="K547" s="396">
        <v>44939</v>
      </c>
      <c r="L547" s="397"/>
      <c r="M547" s="398">
        <v>17</v>
      </c>
      <c r="N547" s="399">
        <v>1944.9935</v>
      </c>
      <c r="O547" s="399">
        <v>13319.948</v>
      </c>
    </row>
    <row r="548" ht="15.55" customHeight="1">
      <c r="I548" s="392"/>
      <c r="J548" t="s" s="400">
        <v>6535</v>
      </c>
      <c r="K548" s="127"/>
      <c r="L548" s="128"/>
      <c r="M548" s="129">
        <v>17</v>
      </c>
      <c r="N548" s="142">
        <v>1944.9935</v>
      </c>
      <c r="O548" s="142">
        <v>13319.948</v>
      </c>
    </row>
    <row r="549" ht="16.1" customHeight="1">
      <c r="I549" t="s" s="401">
        <v>896</v>
      </c>
      <c r="J549" s="127"/>
      <c r="K549" s="127"/>
      <c r="L549" s="128"/>
      <c r="M549" s="129">
        <v>17</v>
      </c>
      <c r="N549" s="142">
        <v>1944.9935</v>
      </c>
      <c r="O549" s="142">
        <v>13319.948</v>
      </c>
    </row>
    <row r="550" ht="13.2" customHeight="1">
      <c r="I550" t="s" s="402">
        <v>6567</v>
      </c>
      <c r="J550" t="s" s="403">
        <v>6566</v>
      </c>
      <c r="K550" s="404">
        <v>44934</v>
      </c>
      <c r="L550" t="s" s="405">
        <v>95</v>
      </c>
      <c r="M550" s="406">
        <v>1</v>
      </c>
      <c r="N550" s="407">
        <v>349.99</v>
      </c>
      <c r="O550" s="407">
        <v>349.99</v>
      </c>
    </row>
    <row r="551" ht="15.2" customHeight="1">
      <c r="I551" s="392"/>
      <c r="J551" s="393"/>
      <c r="K551" s="396">
        <v>44934</v>
      </c>
      <c r="L551" s="397"/>
      <c r="M551" s="398">
        <v>1</v>
      </c>
      <c r="N551" s="399">
        <v>349.99</v>
      </c>
      <c r="O551" s="399">
        <v>349.99</v>
      </c>
    </row>
    <row r="552" ht="15.55" customHeight="1">
      <c r="I552" s="392"/>
      <c r="J552" t="s" s="400">
        <v>6566</v>
      </c>
      <c r="K552" s="127"/>
      <c r="L552" s="128"/>
      <c r="M552" s="129">
        <v>1</v>
      </c>
      <c r="N552" s="142">
        <v>349.99</v>
      </c>
      <c r="O552" s="142">
        <v>349.99</v>
      </c>
    </row>
    <row r="553" ht="16.1" customHeight="1">
      <c r="I553" t="s" s="401">
        <v>6567</v>
      </c>
      <c r="J553" s="127"/>
      <c r="K553" s="127"/>
      <c r="L553" s="128"/>
      <c r="M553" s="129">
        <v>1</v>
      </c>
      <c r="N553" s="142">
        <v>349.99</v>
      </c>
      <c r="O553" s="142">
        <v>349.99</v>
      </c>
    </row>
    <row r="554" ht="13.2" customHeight="1">
      <c r="I554" t="s" s="402">
        <v>6594</v>
      </c>
      <c r="J554" t="s" s="403">
        <v>6593</v>
      </c>
      <c r="K554" s="404">
        <v>44930</v>
      </c>
      <c r="L554" t="s" s="405">
        <v>95</v>
      </c>
      <c r="M554" s="406">
        <v>1</v>
      </c>
      <c r="N554" s="407">
        <v>349.99</v>
      </c>
      <c r="O554" s="407">
        <v>349.99</v>
      </c>
    </row>
    <row r="555" ht="15.2" customHeight="1">
      <c r="I555" s="392"/>
      <c r="J555" s="393"/>
      <c r="K555" s="396">
        <v>44930</v>
      </c>
      <c r="L555" s="397"/>
      <c r="M555" s="398">
        <v>1</v>
      </c>
      <c r="N555" s="399">
        <v>349.99</v>
      </c>
      <c r="O555" s="399">
        <v>349.99</v>
      </c>
    </row>
    <row r="556" ht="15.55" customHeight="1">
      <c r="I556" s="392"/>
      <c r="J556" t="s" s="400">
        <v>6593</v>
      </c>
      <c r="K556" s="127"/>
      <c r="L556" s="128"/>
      <c r="M556" s="129">
        <v>1</v>
      </c>
      <c r="N556" s="142">
        <v>349.99</v>
      </c>
      <c r="O556" s="142">
        <v>349.99</v>
      </c>
    </row>
    <row r="557" ht="16.1" customHeight="1">
      <c r="I557" t="s" s="401">
        <v>6594</v>
      </c>
      <c r="J557" s="127"/>
      <c r="K557" s="127"/>
      <c r="L557" s="128"/>
      <c r="M557" s="129">
        <v>1</v>
      </c>
      <c r="N557" s="142">
        <v>349.99</v>
      </c>
      <c r="O557" s="142">
        <v>349.99</v>
      </c>
    </row>
    <row r="558" ht="13.2" customHeight="1">
      <c r="I558" t="s" s="402">
        <v>6475</v>
      </c>
      <c r="J558" t="s" s="403">
        <v>6514</v>
      </c>
      <c r="K558" s="404">
        <v>44942</v>
      </c>
      <c r="L558" t="s" s="405">
        <v>1729</v>
      </c>
      <c r="M558" s="406">
        <v>1</v>
      </c>
      <c r="N558" s="407">
        <v>14.99</v>
      </c>
      <c r="O558" s="407">
        <v>14.99</v>
      </c>
    </row>
    <row r="559" ht="15.2" customHeight="1">
      <c r="I559" s="392"/>
      <c r="J559" s="393"/>
      <c r="K559" s="396">
        <v>44942</v>
      </c>
      <c r="L559" s="397"/>
      <c r="M559" s="398">
        <v>1</v>
      </c>
      <c r="N559" s="399">
        <v>14.99</v>
      </c>
      <c r="O559" s="399">
        <v>14.99</v>
      </c>
    </row>
    <row r="560" ht="15.55" customHeight="1">
      <c r="I560" s="392"/>
      <c r="J560" t="s" s="400">
        <v>6514</v>
      </c>
      <c r="K560" s="127"/>
      <c r="L560" s="128"/>
      <c r="M560" s="129">
        <v>1</v>
      </c>
      <c r="N560" s="142">
        <v>14.99</v>
      </c>
      <c r="O560" s="142">
        <v>14.99</v>
      </c>
    </row>
    <row r="561" ht="13.2" customHeight="1">
      <c r="I561" s="392"/>
      <c r="J561" t="s" s="403">
        <v>6474</v>
      </c>
      <c r="K561" s="404">
        <v>44946</v>
      </c>
      <c r="L561" t="s" s="405">
        <v>412</v>
      </c>
      <c r="M561" s="406">
        <v>10</v>
      </c>
      <c r="N561" s="407">
        <v>1.99</v>
      </c>
      <c r="O561" s="407">
        <v>19.9</v>
      </c>
    </row>
    <row r="562" ht="15.2" customHeight="1">
      <c r="I562" s="392"/>
      <c r="J562" s="393"/>
      <c r="K562" s="396">
        <v>44946</v>
      </c>
      <c r="L562" s="397"/>
      <c r="M562" s="398">
        <v>10</v>
      </c>
      <c r="N562" s="399">
        <v>1.99</v>
      </c>
      <c r="O562" s="399">
        <v>19.9</v>
      </c>
    </row>
    <row r="563" ht="15.55" customHeight="1">
      <c r="I563" s="392"/>
      <c r="J563" t="s" s="400">
        <v>6474</v>
      </c>
      <c r="K563" s="127"/>
      <c r="L563" s="128"/>
      <c r="M563" s="129">
        <v>10</v>
      </c>
      <c r="N563" s="142">
        <v>1.99</v>
      </c>
      <c r="O563" s="142">
        <v>19.9</v>
      </c>
    </row>
    <row r="564" ht="16.1" customHeight="1">
      <c r="I564" t="s" s="401">
        <v>6475</v>
      </c>
      <c r="J564" s="127"/>
      <c r="K564" s="127"/>
      <c r="L564" s="128"/>
      <c r="M564" s="129">
        <v>11</v>
      </c>
      <c r="N564" s="142">
        <v>16.98</v>
      </c>
      <c r="O564" s="142">
        <v>34.89</v>
      </c>
    </row>
    <row r="565" ht="13.2" customHeight="1">
      <c r="I565" t="s" s="402">
        <v>6455</v>
      </c>
      <c r="J565" t="s" s="403">
        <v>6454</v>
      </c>
      <c r="K565" s="404">
        <v>44949</v>
      </c>
      <c r="L565" t="s" s="405">
        <v>95</v>
      </c>
      <c r="M565" s="406">
        <v>1</v>
      </c>
      <c r="N565" s="407">
        <v>349.99</v>
      </c>
      <c r="O565" s="407">
        <v>349.99</v>
      </c>
    </row>
    <row r="566" ht="15.2" customHeight="1">
      <c r="I566" s="392"/>
      <c r="J566" s="393"/>
      <c r="K566" s="396">
        <v>44949</v>
      </c>
      <c r="L566" s="397"/>
      <c r="M566" s="398">
        <v>1</v>
      </c>
      <c r="N566" s="399">
        <v>349.99</v>
      </c>
      <c r="O566" s="399">
        <v>349.99</v>
      </c>
    </row>
    <row r="567" ht="15.55" customHeight="1">
      <c r="I567" s="392"/>
      <c r="J567" t="s" s="400">
        <v>6454</v>
      </c>
      <c r="K567" s="127"/>
      <c r="L567" s="128"/>
      <c r="M567" s="129">
        <v>1</v>
      </c>
      <c r="N567" s="142">
        <v>349.99</v>
      </c>
      <c r="O567" s="142">
        <v>349.99</v>
      </c>
    </row>
    <row r="568" ht="16.1" customHeight="1">
      <c r="I568" t="s" s="401">
        <v>6455</v>
      </c>
      <c r="J568" s="127"/>
      <c r="K568" s="127"/>
      <c r="L568" s="128"/>
      <c r="M568" s="129">
        <v>1</v>
      </c>
      <c r="N568" s="142">
        <v>349.99</v>
      </c>
      <c r="O568" s="142">
        <v>349.99</v>
      </c>
    </row>
    <row r="569" ht="13.2" customHeight="1">
      <c r="I569" t="s" s="402">
        <v>6172</v>
      </c>
      <c r="J569" t="s" s="403">
        <v>6457</v>
      </c>
      <c r="K569" s="404">
        <v>44949</v>
      </c>
      <c r="L569" t="s" s="405">
        <v>589</v>
      </c>
      <c r="M569" s="406">
        <v>1</v>
      </c>
      <c r="N569" s="407">
        <v>7.49</v>
      </c>
      <c r="O569" s="407">
        <v>7.49</v>
      </c>
    </row>
    <row r="570" ht="12.9" customHeight="1">
      <c r="I570" s="392"/>
      <c r="J570" s="393"/>
      <c r="K570" s="393"/>
      <c r="L570" t="s" s="394">
        <v>73</v>
      </c>
      <c r="M570" s="146">
        <v>5</v>
      </c>
      <c r="N570" s="395">
        <v>399.99</v>
      </c>
      <c r="O570" s="395">
        <v>1999.95</v>
      </c>
    </row>
    <row r="571" ht="12.9" customHeight="1">
      <c r="I571" s="392"/>
      <c r="J571" s="393"/>
      <c r="K571" s="393"/>
      <c r="L571" t="s" s="394">
        <v>15</v>
      </c>
      <c r="M571" s="146">
        <v>3</v>
      </c>
      <c r="N571" s="395">
        <v>9.99</v>
      </c>
      <c r="O571" s="395">
        <v>29.97</v>
      </c>
    </row>
    <row r="572" ht="15.2" customHeight="1">
      <c r="I572" s="392"/>
      <c r="J572" s="393"/>
      <c r="K572" s="396">
        <v>44949</v>
      </c>
      <c r="L572" s="397"/>
      <c r="M572" s="398">
        <v>9</v>
      </c>
      <c r="N572" s="399">
        <v>417.47</v>
      </c>
      <c r="O572" s="399">
        <v>2037.41</v>
      </c>
    </row>
    <row r="573" ht="15.55" customHeight="1">
      <c r="I573" s="392"/>
      <c r="J573" t="s" s="400">
        <v>6457</v>
      </c>
      <c r="K573" s="127"/>
      <c r="L573" s="128"/>
      <c r="M573" s="129">
        <v>9</v>
      </c>
      <c r="N573" s="142">
        <v>417.47</v>
      </c>
      <c r="O573" s="142">
        <v>2037.41</v>
      </c>
    </row>
    <row r="574" ht="16.1" customHeight="1">
      <c r="I574" t="s" s="401">
        <v>6172</v>
      </c>
      <c r="J574" s="127"/>
      <c r="K574" s="127"/>
      <c r="L574" s="128"/>
      <c r="M574" s="129">
        <v>9</v>
      </c>
      <c r="N574" s="142">
        <v>417.47</v>
      </c>
      <c r="O574" s="142">
        <v>2037.41</v>
      </c>
    </row>
    <row r="575" ht="13.2" customHeight="1">
      <c r="I575" t="s" s="402">
        <v>6580</v>
      </c>
      <c r="J575" t="s" s="403">
        <v>6579</v>
      </c>
      <c r="K575" s="404">
        <v>44931</v>
      </c>
      <c r="L575" t="s" s="405">
        <v>35</v>
      </c>
      <c r="M575" s="406">
        <v>2</v>
      </c>
      <c r="N575" s="407">
        <v>49.99</v>
      </c>
      <c r="O575" s="407">
        <v>99.98</v>
      </c>
    </row>
    <row r="576" ht="15.2" customHeight="1">
      <c r="I576" s="392"/>
      <c r="J576" s="393"/>
      <c r="K576" s="396">
        <v>44931</v>
      </c>
      <c r="L576" s="397"/>
      <c r="M576" s="398">
        <v>2</v>
      </c>
      <c r="N576" s="399">
        <v>49.99</v>
      </c>
      <c r="O576" s="399">
        <v>99.98</v>
      </c>
    </row>
    <row r="577" ht="15.55" customHeight="1">
      <c r="I577" s="392"/>
      <c r="J577" t="s" s="400">
        <v>6579</v>
      </c>
      <c r="K577" s="127"/>
      <c r="L577" s="128"/>
      <c r="M577" s="129">
        <v>2</v>
      </c>
      <c r="N577" s="142">
        <v>49.99</v>
      </c>
      <c r="O577" s="142">
        <v>99.98</v>
      </c>
    </row>
    <row r="578" ht="16.1" customHeight="1">
      <c r="I578" t="s" s="401">
        <v>6580</v>
      </c>
      <c r="J578" s="127"/>
      <c r="K578" s="127"/>
      <c r="L578" s="128"/>
      <c r="M578" s="129">
        <v>2</v>
      </c>
      <c r="N578" s="142">
        <v>49.99</v>
      </c>
      <c r="O578" s="142">
        <v>99.98</v>
      </c>
    </row>
    <row r="579" ht="13.2" customHeight="1">
      <c r="I579" t="s" s="402">
        <v>6447</v>
      </c>
      <c r="J579" t="s" s="403">
        <v>6446</v>
      </c>
      <c r="K579" s="404">
        <v>44950</v>
      </c>
      <c r="L579" t="s" s="405">
        <v>2787</v>
      </c>
      <c r="M579" s="406">
        <v>2</v>
      </c>
      <c r="N579" s="407">
        <v>22.99</v>
      </c>
      <c r="O579" s="407">
        <v>45.98</v>
      </c>
    </row>
    <row r="580" ht="12.9" customHeight="1">
      <c r="I580" s="392"/>
      <c r="J580" s="393"/>
      <c r="K580" s="393"/>
      <c r="L580" t="s" s="394">
        <v>1729</v>
      </c>
      <c r="M580" s="146">
        <v>2</v>
      </c>
      <c r="N580" s="395">
        <v>14.99</v>
      </c>
      <c r="O580" s="395">
        <v>29.98</v>
      </c>
    </row>
    <row r="581" ht="15.2" customHeight="1">
      <c r="I581" s="392"/>
      <c r="J581" s="393"/>
      <c r="K581" s="396">
        <v>44950</v>
      </c>
      <c r="L581" s="397"/>
      <c r="M581" s="398">
        <v>4</v>
      </c>
      <c r="N581" s="399">
        <v>37.98</v>
      </c>
      <c r="O581" s="399">
        <v>75.95999999999999</v>
      </c>
    </row>
    <row r="582" ht="15.55" customHeight="1">
      <c r="I582" s="392"/>
      <c r="J582" t="s" s="400">
        <v>6446</v>
      </c>
      <c r="K582" s="127"/>
      <c r="L582" s="128"/>
      <c r="M582" s="129">
        <v>4</v>
      </c>
      <c r="N582" s="142">
        <v>37.98</v>
      </c>
      <c r="O582" s="142">
        <v>75.95999999999999</v>
      </c>
    </row>
    <row r="583" ht="16.1" customHeight="1">
      <c r="I583" t="s" s="401">
        <v>6447</v>
      </c>
      <c r="J583" s="127"/>
      <c r="K583" s="127"/>
      <c r="L583" s="128"/>
      <c r="M583" s="129">
        <v>4</v>
      </c>
      <c r="N583" s="142">
        <v>37.98</v>
      </c>
      <c r="O583" s="142">
        <v>75.95999999999999</v>
      </c>
    </row>
    <row r="584" ht="13.2" customHeight="1">
      <c r="I584" t="s" s="402">
        <v>6473</v>
      </c>
      <c r="J584" t="s" s="403">
        <v>6472</v>
      </c>
      <c r="K584" s="404">
        <v>44946</v>
      </c>
      <c r="L584" t="s" s="405">
        <v>171</v>
      </c>
      <c r="M584" s="406">
        <v>1</v>
      </c>
      <c r="N584" s="407">
        <v>549.99</v>
      </c>
      <c r="O584" s="407">
        <v>549.99</v>
      </c>
    </row>
    <row r="585" ht="15.2" customHeight="1">
      <c r="I585" s="392"/>
      <c r="J585" s="393"/>
      <c r="K585" s="396">
        <v>44946</v>
      </c>
      <c r="L585" s="397"/>
      <c r="M585" s="398">
        <v>1</v>
      </c>
      <c r="N585" s="399">
        <v>549.99</v>
      </c>
      <c r="O585" s="399">
        <v>549.99</v>
      </c>
    </row>
    <row r="586" ht="15.55" customHeight="1">
      <c r="I586" s="392"/>
      <c r="J586" t="s" s="400">
        <v>6472</v>
      </c>
      <c r="K586" s="127"/>
      <c r="L586" s="128"/>
      <c r="M586" s="129">
        <v>1</v>
      </c>
      <c r="N586" s="142">
        <v>549.99</v>
      </c>
      <c r="O586" s="142">
        <v>549.99</v>
      </c>
    </row>
    <row r="587" ht="16.1" customHeight="1">
      <c r="I587" t="s" s="401">
        <v>6473</v>
      </c>
      <c r="J587" s="127"/>
      <c r="K587" s="127"/>
      <c r="L587" s="128"/>
      <c r="M587" s="129">
        <v>1</v>
      </c>
      <c r="N587" s="142">
        <v>549.99</v>
      </c>
      <c r="O587" s="142">
        <v>549.99</v>
      </c>
    </row>
    <row r="588" ht="13.2" customHeight="1">
      <c r="I588" t="s" s="402">
        <v>6436</v>
      </c>
      <c r="J588" t="s" s="403">
        <v>6435</v>
      </c>
      <c r="K588" s="404">
        <v>44952</v>
      </c>
      <c r="L588" t="s" s="405">
        <v>589</v>
      </c>
      <c r="M588" s="406">
        <v>1</v>
      </c>
      <c r="N588" s="407">
        <v>7.49</v>
      </c>
      <c r="O588" s="407">
        <v>7.49</v>
      </c>
    </row>
    <row r="589" ht="15.2" customHeight="1">
      <c r="I589" s="392"/>
      <c r="J589" s="393"/>
      <c r="K589" s="396">
        <v>44952</v>
      </c>
      <c r="L589" s="397"/>
      <c r="M589" s="398">
        <v>1</v>
      </c>
      <c r="N589" s="399">
        <v>7.49</v>
      </c>
      <c r="O589" s="399">
        <v>7.49</v>
      </c>
    </row>
    <row r="590" ht="15.55" customHeight="1">
      <c r="I590" s="392"/>
      <c r="J590" t="s" s="400">
        <v>6435</v>
      </c>
      <c r="K590" s="127"/>
      <c r="L590" s="128"/>
      <c r="M590" s="129">
        <v>1</v>
      </c>
      <c r="N590" s="142">
        <v>7.49</v>
      </c>
      <c r="O590" s="142">
        <v>7.49</v>
      </c>
    </row>
    <row r="591" ht="16.1" customHeight="1">
      <c r="I591" t="s" s="401">
        <v>6436</v>
      </c>
      <c r="J591" s="127"/>
      <c r="K591" s="127"/>
      <c r="L591" s="128"/>
      <c r="M591" s="129">
        <v>1</v>
      </c>
      <c r="N591" s="142">
        <v>7.49</v>
      </c>
      <c r="O591" s="142">
        <v>7.49</v>
      </c>
    </row>
    <row r="592" ht="13.2" customHeight="1">
      <c r="I592" t="s" s="402">
        <v>3803</v>
      </c>
      <c r="J592" t="s" s="403">
        <v>6415</v>
      </c>
      <c r="K592" s="404">
        <v>44956</v>
      </c>
      <c r="L592" t="s" s="405">
        <v>73</v>
      </c>
      <c r="M592" s="406">
        <v>1</v>
      </c>
      <c r="N592" s="407">
        <v>399.99</v>
      </c>
      <c r="O592" s="407">
        <v>399.99</v>
      </c>
    </row>
    <row r="593" ht="15.2" customHeight="1">
      <c r="I593" s="392"/>
      <c r="J593" s="393"/>
      <c r="K593" s="396">
        <v>44956</v>
      </c>
      <c r="L593" s="397"/>
      <c r="M593" s="398">
        <v>1</v>
      </c>
      <c r="N593" s="399">
        <v>399.99</v>
      </c>
      <c r="O593" s="399">
        <v>399.99</v>
      </c>
    </row>
    <row r="594" ht="15.55" customHeight="1">
      <c r="I594" s="392"/>
      <c r="J594" t="s" s="400">
        <v>6415</v>
      </c>
      <c r="K594" s="127"/>
      <c r="L594" s="128"/>
      <c r="M594" s="129">
        <v>1</v>
      </c>
      <c r="N594" s="142">
        <v>399.99</v>
      </c>
      <c r="O594" s="142">
        <v>399.99</v>
      </c>
    </row>
    <row r="595" ht="16.1" customHeight="1">
      <c r="I595" t="s" s="401">
        <v>3803</v>
      </c>
      <c r="J595" s="127"/>
      <c r="K595" s="127"/>
      <c r="L595" s="128"/>
      <c r="M595" s="129">
        <v>1</v>
      </c>
      <c r="N595" s="142">
        <v>399.99</v>
      </c>
      <c r="O595" s="142">
        <v>399.99</v>
      </c>
    </row>
    <row r="596" ht="13.2" customHeight="1">
      <c r="I596" t="s" s="402">
        <v>6482</v>
      </c>
      <c r="J596" t="s" s="403">
        <v>6481</v>
      </c>
      <c r="K596" s="404">
        <v>44945</v>
      </c>
      <c r="L596" t="s" s="405">
        <v>2787</v>
      </c>
      <c r="M596" s="406">
        <v>4</v>
      </c>
      <c r="N596" s="407">
        <v>22.99</v>
      </c>
      <c r="O596" s="407">
        <v>91.95999999999999</v>
      </c>
    </row>
    <row r="597" ht="15.2" customHeight="1">
      <c r="I597" s="392"/>
      <c r="J597" s="393"/>
      <c r="K597" s="396">
        <v>44945</v>
      </c>
      <c r="L597" s="397"/>
      <c r="M597" s="398">
        <v>4</v>
      </c>
      <c r="N597" s="399">
        <v>22.99</v>
      </c>
      <c r="O597" s="399">
        <v>91.95999999999999</v>
      </c>
    </row>
    <row r="598" ht="15.55" customHeight="1">
      <c r="I598" s="392"/>
      <c r="J598" t="s" s="400">
        <v>6481</v>
      </c>
      <c r="K598" s="127"/>
      <c r="L598" s="128"/>
      <c r="M598" s="129">
        <v>4</v>
      </c>
      <c r="N598" s="142">
        <v>22.99</v>
      </c>
      <c r="O598" s="142">
        <v>91.95999999999999</v>
      </c>
    </row>
    <row r="599" ht="16.1" customHeight="1">
      <c r="I599" t="s" s="401">
        <v>6482</v>
      </c>
      <c r="J599" s="127"/>
      <c r="K599" s="127"/>
      <c r="L599" s="128"/>
      <c r="M599" s="129">
        <v>4</v>
      </c>
      <c r="N599" s="142">
        <v>22.99</v>
      </c>
      <c r="O599" s="142">
        <v>91.95999999999999</v>
      </c>
    </row>
    <row r="600" ht="13.2" customHeight="1">
      <c r="I600" t="s" s="402">
        <v>5614</v>
      </c>
      <c r="J600" t="s" s="403">
        <v>6428</v>
      </c>
      <c r="K600" s="404">
        <v>44954</v>
      </c>
      <c r="L600" t="s" s="405">
        <v>95</v>
      </c>
      <c r="M600" s="406">
        <v>1</v>
      </c>
      <c r="N600" s="407">
        <v>349.99</v>
      </c>
      <c r="O600" s="407">
        <v>349.99</v>
      </c>
    </row>
    <row r="601" ht="15.2" customHeight="1">
      <c r="I601" s="392"/>
      <c r="J601" s="393"/>
      <c r="K601" s="396">
        <v>44954</v>
      </c>
      <c r="L601" s="397"/>
      <c r="M601" s="398">
        <v>1</v>
      </c>
      <c r="N601" s="399">
        <v>349.99</v>
      </c>
      <c r="O601" s="399">
        <v>349.99</v>
      </c>
    </row>
    <row r="602" ht="15.55" customHeight="1">
      <c r="I602" s="392"/>
      <c r="J602" t="s" s="400">
        <v>6428</v>
      </c>
      <c r="K602" s="127"/>
      <c r="L602" s="128"/>
      <c r="M602" s="129">
        <v>1</v>
      </c>
      <c r="N602" s="142">
        <v>349.99</v>
      </c>
      <c r="O602" s="142">
        <v>349.99</v>
      </c>
    </row>
    <row r="603" ht="16.1" customHeight="1">
      <c r="I603" t="s" s="401">
        <v>5614</v>
      </c>
      <c r="J603" s="127"/>
      <c r="K603" s="127"/>
      <c r="L603" s="128"/>
      <c r="M603" s="129">
        <v>1</v>
      </c>
      <c r="N603" s="142">
        <v>349.99</v>
      </c>
      <c r="O603" s="142">
        <v>349.99</v>
      </c>
    </row>
    <row r="604" ht="13.2" customHeight="1">
      <c r="I604" t="s" s="402">
        <v>6589</v>
      </c>
      <c r="J604" t="s" s="403">
        <v>6588</v>
      </c>
      <c r="K604" s="404">
        <v>44930</v>
      </c>
      <c r="L604" t="s" s="405">
        <v>95</v>
      </c>
      <c r="M604" s="406">
        <v>1</v>
      </c>
      <c r="N604" s="407">
        <v>349.99</v>
      </c>
      <c r="O604" s="407">
        <v>349.99</v>
      </c>
    </row>
    <row r="605" ht="15.2" customHeight="1">
      <c r="I605" s="392"/>
      <c r="J605" s="393"/>
      <c r="K605" s="396">
        <v>44930</v>
      </c>
      <c r="L605" s="397"/>
      <c r="M605" s="398">
        <v>1</v>
      </c>
      <c r="N605" s="399">
        <v>349.99</v>
      </c>
      <c r="O605" s="399">
        <v>349.99</v>
      </c>
    </row>
    <row r="606" ht="15.55" customHeight="1">
      <c r="I606" s="392"/>
      <c r="J606" t="s" s="400">
        <v>6588</v>
      </c>
      <c r="K606" s="127"/>
      <c r="L606" s="128"/>
      <c r="M606" s="129">
        <v>1</v>
      </c>
      <c r="N606" s="142">
        <v>349.99</v>
      </c>
      <c r="O606" s="142">
        <v>349.99</v>
      </c>
    </row>
    <row r="607" ht="16.1" customHeight="1">
      <c r="I607" t="s" s="401">
        <v>6589</v>
      </c>
      <c r="J607" s="127"/>
      <c r="K607" s="127"/>
      <c r="L607" s="128"/>
      <c r="M607" s="129">
        <v>1</v>
      </c>
      <c r="N607" s="142">
        <v>349.99</v>
      </c>
      <c r="O607" s="142">
        <v>349.99</v>
      </c>
    </row>
    <row r="608" ht="13.2" customHeight="1">
      <c r="I608" t="s" s="402">
        <v>6451</v>
      </c>
      <c r="J608" t="s" s="403">
        <v>6450</v>
      </c>
      <c r="K608" s="404">
        <v>44949</v>
      </c>
      <c r="L608" t="s" s="405">
        <v>73</v>
      </c>
      <c r="M608" s="406">
        <v>1</v>
      </c>
      <c r="N608" s="407">
        <v>399.99</v>
      </c>
      <c r="O608" s="407">
        <v>399.99</v>
      </c>
    </row>
    <row r="609" ht="15.2" customHeight="1">
      <c r="I609" s="392"/>
      <c r="J609" s="393"/>
      <c r="K609" s="396">
        <v>44949</v>
      </c>
      <c r="L609" s="397"/>
      <c r="M609" s="398">
        <v>1</v>
      </c>
      <c r="N609" s="399">
        <v>399.99</v>
      </c>
      <c r="O609" s="399">
        <v>399.99</v>
      </c>
    </row>
    <row r="610" ht="15.55" customHeight="1">
      <c r="I610" s="392"/>
      <c r="J610" t="s" s="400">
        <v>6450</v>
      </c>
      <c r="K610" s="127"/>
      <c r="L610" s="128"/>
      <c r="M610" s="129">
        <v>1</v>
      </c>
      <c r="N610" s="142">
        <v>399.99</v>
      </c>
      <c r="O610" s="142">
        <v>399.99</v>
      </c>
    </row>
    <row r="611" ht="16.1" customHeight="1">
      <c r="I611" t="s" s="401">
        <v>6451</v>
      </c>
      <c r="J611" s="127"/>
      <c r="K611" s="127"/>
      <c r="L611" s="128"/>
      <c r="M611" s="129">
        <v>1</v>
      </c>
      <c r="N611" s="142">
        <v>399.99</v>
      </c>
      <c r="O611" s="142">
        <v>399.99</v>
      </c>
    </row>
    <row r="612" ht="13.2" customHeight="1">
      <c r="I612" t="s" s="402">
        <v>3024</v>
      </c>
      <c r="J612" t="s" s="403">
        <v>6478</v>
      </c>
      <c r="K612" s="404">
        <v>44945</v>
      </c>
      <c r="L612" t="s" s="405">
        <v>35</v>
      </c>
      <c r="M612" s="406">
        <v>1</v>
      </c>
      <c r="N612" s="407">
        <v>49.99</v>
      </c>
      <c r="O612" s="407">
        <v>49.99</v>
      </c>
    </row>
    <row r="613" ht="12.9" customHeight="1">
      <c r="I613" s="392"/>
      <c r="J613" s="393"/>
      <c r="K613" s="393"/>
      <c r="L613" t="s" s="394">
        <v>95</v>
      </c>
      <c r="M613" s="146">
        <v>1</v>
      </c>
      <c r="N613" s="395">
        <v>349.99</v>
      </c>
      <c r="O613" s="395">
        <v>349.99</v>
      </c>
    </row>
    <row r="614" ht="12.9" customHeight="1">
      <c r="I614" s="392"/>
      <c r="J614" s="393"/>
      <c r="K614" s="393"/>
      <c r="L614" t="s" s="394">
        <v>171</v>
      </c>
      <c r="M614" s="146">
        <v>1</v>
      </c>
      <c r="N614" s="395">
        <v>549.99</v>
      </c>
      <c r="O614" s="395">
        <v>549.99</v>
      </c>
    </row>
    <row r="615" ht="15.2" customHeight="1">
      <c r="I615" s="392"/>
      <c r="J615" s="393"/>
      <c r="K615" s="396">
        <v>44945</v>
      </c>
      <c r="L615" s="397"/>
      <c r="M615" s="398">
        <v>3</v>
      </c>
      <c r="N615" s="399">
        <v>949.97</v>
      </c>
      <c r="O615" s="399">
        <v>949.97</v>
      </c>
    </row>
    <row r="616" ht="15.55" customHeight="1">
      <c r="I616" s="392"/>
      <c r="J616" t="s" s="400">
        <v>6478</v>
      </c>
      <c r="K616" s="127"/>
      <c r="L616" s="128"/>
      <c r="M616" s="129">
        <v>3</v>
      </c>
      <c r="N616" s="142">
        <v>949.97</v>
      </c>
      <c r="O616" s="142">
        <v>949.97</v>
      </c>
    </row>
    <row r="617" ht="16.1" customHeight="1">
      <c r="I617" t="s" s="401">
        <v>3024</v>
      </c>
      <c r="J617" s="127"/>
      <c r="K617" s="127"/>
      <c r="L617" s="128"/>
      <c r="M617" s="129">
        <v>3</v>
      </c>
      <c r="N617" s="142">
        <v>949.97</v>
      </c>
      <c r="O617" s="142">
        <v>949.97</v>
      </c>
    </row>
    <row r="618" ht="13.2" customHeight="1">
      <c r="I618" t="s" s="402">
        <v>6542</v>
      </c>
      <c r="J618" t="s" s="403">
        <v>6541</v>
      </c>
      <c r="K618" s="404">
        <v>44938</v>
      </c>
      <c r="L618" t="s" s="405">
        <v>31</v>
      </c>
      <c r="M618" s="406">
        <v>1</v>
      </c>
      <c r="N618" s="407">
        <v>574.99</v>
      </c>
      <c r="O618" s="407">
        <v>574.99</v>
      </c>
    </row>
    <row r="619" ht="15.2" customHeight="1">
      <c r="I619" s="392"/>
      <c r="J619" s="393"/>
      <c r="K619" s="396">
        <v>44938</v>
      </c>
      <c r="L619" s="397"/>
      <c r="M619" s="398">
        <v>1</v>
      </c>
      <c r="N619" s="399">
        <v>574.99</v>
      </c>
      <c r="O619" s="399">
        <v>574.99</v>
      </c>
    </row>
    <row r="620" ht="15.55" customHeight="1">
      <c r="I620" s="392"/>
      <c r="J620" t="s" s="400">
        <v>6541</v>
      </c>
      <c r="K620" s="127"/>
      <c r="L620" s="128"/>
      <c r="M620" s="129">
        <v>1</v>
      </c>
      <c r="N620" s="142">
        <v>574.99</v>
      </c>
      <c r="O620" s="142">
        <v>574.99</v>
      </c>
    </row>
    <row r="621" ht="16.1" customHeight="1">
      <c r="I621" t="s" s="401">
        <v>6542</v>
      </c>
      <c r="J621" s="127"/>
      <c r="K621" s="127"/>
      <c r="L621" s="128"/>
      <c r="M621" s="129">
        <v>1</v>
      </c>
      <c r="N621" s="142">
        <v>574.99</v>
      </c>
      <c r="O621" s="142">
        <v>574.99</v>
      </c>
    </row>
    <row r="622" ht="13.2" customHeight="1">
      <c r="I622" t="s" s="402">
        <v>4251</v>
      </c>
      <c r="J622" t="s" s="403">
        <v>6584</v>
      </c>
      <c r="K622" s="404">
        <v>44931</v>
      </c>
      <c r="L622" t="s" s="405">
        <v>73</v>
      </c>
      <c r="M622" s="406">
        <v>1</v>
      </c>
      <c r="N622" s="407">
        <v>399.99</v>
      </c>
      <c r="O622" s="407">
        <v>399.99</v>
      </c>
    </row>
    <row r="623" ht="15.2" customHeight="1">
      <c r="I623" s="392"/>
      <c r="J623" s="393"/>
      <c r="K623" s="396">
        <v>44931</v>
      </c>
      <c r="L623" s="397"/>
      <c r="M623" s="398">
        <v>1</v>
      </c>
      <c r="N623" s="399">
        <v>399.99</v>
      </c>
      <c r="O623" s="399">
        <v>399.99</v>
      </c>
    </row>
    <row r="624" ht="15.55" customHeight="1">
      <c r="I624" s="392"/>
      <c r="J624" t="s" s="400">
        <v>6584</v>
      </c>
      <c r="K624" s="127"/>
      <c r="L624" s="128"/>
      <c r="M624" s="129">
        <v>1</v>
      </c>
      <c r="N624" s="142">
        <v>399.99</v>
      </c>
      <c r="O624" s="142">
        <v>399.99</v>
      </c>
    </row>
    <row r="625" ht="16.1" customHeight="1">
      <c r="I625" t="s" s="401">
        <v>4251</v>
      </c>
      <c r="J625" s="127"/>
      <c r="K625" s="127"/>
      <c r="L625" s="128"/>
      <c r="M625" s="129">
        <v>1</v>
      </c>
      <c r="N625" s="142">
        <v>399.99</v>
      </c>
      <c r="O625" s="142">
        <v>399.99</v>
      </c>
    </row>
    <row r="626" ht="13.2" customHeight="1">
      <c r="I626" t="s" s="402">
        <v>465</v>
      </c>
      <c r="J626" t="s" s="403">
        <v>6558</v>
      </c>
      <c r="K626" s="404">
        <v>44936</v>
      </c>
      <c r="L626" t="s" s="405">
        <v>123</v>
      </c>
      <c r="M626" s="406">
        <v>2</v>
      </c>
      <c r="N626" s="407">
        <v>134.9925</v>
      </c>
      <c r="O626" s="407">
        <v>269.985</v>
      </c>
    </row>
    <row r="627" ht="12.9" customHeight="1">
      <c r="I627" s="392"/>
      <c r="J627" s="393"/>
      <c r="K627" s="393"/>
      <c r="L627" t="s" s="394">
        <v>89</v>
      </c>
      <c r="M627" s="146">
        <v>16</v>
      </c>
      <c r="N627" s="395">
        <v>44.9925</v>
      </c>
      <c r="O627" s="395">
        <v>719.88</v>
      </c>
    </row>
    <row r="628" ht="12.9" customHeight="1">
      <c r="I628" s="392"/>
      <c r="J628" s="393"/>
      <c r="K628" s="393"/>
      <c r="L628" t="s" s="394">
        <v>359</v>
      </c>
      <c r="M628" s="146">
        <v>4</v>
      </c>
      <c r="N628" s="395">
        <v>22.4925</v>
      </c>
      <c r="O628" s="395">
        <v>89.97</v>
      </c>
    </row>
    <row r="629" ht="12.9" customHeight="1">
      <c r="I629" s="392"/>
      <c r="J629" s="393"/>
      <c r="K629" s="393"/>
      <c r="L629" t="s" s="394">
        <v>77</v>
      </c>
      <c r="M629" s="146">
        <v>6</v>
      </c>
      <c r="N629" s="395">
        <v>14.9925</v>
      </c>
      <c r="O629" s="395">
        <v>89.955</v>
      </c>
    </row>
    <row r="630" ht="12.9" customHeight="1">
      <c r="I630" s="392"/>
      <c r="J630" s="393"/>
      <c r="K630" s="393"/>
      <c r="L630" t="s" s="394">
        <v>143</v>
      </c>
      <c r="M630" s="146">
        <v>1</v>
      </c>
      <c r="N630" s="395">
        <v>2499.99</v>
      </c>
      <c r="O630" s="395">
        <v>2499.99</v>
      </c>
    </row>
    <row r="631" ht="12.9" customHeight="1">
      <c r="I631" s="392"/>
      <c r="J631" s="393"/>
      <c r="K631" s="393"/>
      <c r="L631" t="s" s="394">
        <v>47</v>
      </c>
      <c r="M631" s="146">
        <v>1</v>
      </c>
      <c r="N631" s="395">
        <v>100</v>
      </c>
      <c r="O631" s="395">
        <v>100</v>
      </c>
    </row>
    <row r="632" ht="15.2" customHeight="1">
      <c r="I632" s="392"/>
      <c r="J632" s="393"/>
      <c r="K632" s="396">
        <v>44936</v>
      </c>
      <c r="L632" s="397"/>
      <c r="M632" s="398">
        <v>30</v>
      </c>
      <c r="N632" s="399">
        <v>2817.46</v>
      </c>
      <c r="O632" s="399">
        <v>3769.78</v>
      </c>
    </row>
    <row r="633" ht="15.55" customHeight="1">
      <c r="I633" s="392"/>
      <c r="J633" t="s" s="400">
        <v>6558</v>
      </c>
      <c r="K633" s="127"/>
      <c r="L633" s="128"/>
      <c r="M633" s="129">
        <v>30</v>
      </c>
      <c r="N633" s="142">
        <v>2817.46</v>
      </c>
      <c r="O633" s="142">
        <v>3769.78</v>
      </c>
    </row>
    <row r="634" ht="16.1" customHeight="1">
      <c r="I634" t="s" s="401">
        <v>465</v>
      </c>
      <c r="J634" s="127"/>
      <c r="K634" s="127"/>
      <c r="L634" s="128"/>
      <c r="M634" s="129">
        <v>30</v>
      </c>
      <c r="N634" s="142">
        <v>2817.46</v>
      </c>
      <c r="O634" s="142">
        <v>3769.78</v>
      </c>
    </row>
    <row r="635" ht="13.2" customHeight="1">
      <c r="I635" t="s" s="402">
        <v>6571</v>
      </c>
      <c r="J635" t="s" s="403">
        <v>6570</v>
      </c>
      <c r="K635" s="404">
        <v>44933</v>
      </c>
      <c r="L635" t="s" s="405">
        <v>35</v>
      </c>
      <c r="M635" s="406">
        <v>2</v>
      </c>
      <c r="N635" s="407">
        <v>49.99</v>
      </c>
      <c r="O635" s="407">
        <v>99.98</v>
      </c>
    </row>
    <row r="636" ht="15.2" customHeight="1">
      <c r="I636" s="392"/>
      <c r="J636" s="393"/>
      <c r="K636" s="396">
        <v>44933</v>
      </c>
      <c r="L636" s="397"/>
      <c r="M636" s="398">
        <v>2</v>
      </c>
      <c r="N636" s="399">
        <v>49.99</v>
      </c>
      <c r="O636" s="399">
        <v>99.98</v>
      </c>
    </row>
    <row r="637" ht="15.55" customHeight="1">
      <c r="I637" s="392"/>
      <c r="J637" t="s" s="400">
        <v>6570</v>
      </c>
      <c r="K637" s="127"/>
      <c r="L637" s="128"/>
      <c r="M637" s="129">
        <v>2</v>
      </c>
      <c r="N637" s="142">
        <v>49.99</v>
      </c>
      <c r="O637" s="142">
        <v>99.98</v>
      </c>
    </row>
    <row r="638" ht="16.1" customHeight="1">
      <c r="I638" t="s" s="401">
        <v>6571</v>
      </c>
      <c r="J638" s="127"/>
      <c r="K638" s="127"/>
      <c r="L638" s="128"/>
      <c r="M638" s="129">
        <v>2</v>
      </c>
      <c r="N638" s="142">
        <v>49.99</v>
      </c>
      <c r="O638" s="142">
        <v>99.98</v>
      </c>
    </row>
    <row r="639" ht="13.2" customHeight="1">
      <c r="I639" t="s" s="402">
        <v>6600</v>
      </c>
      <c r="J639" t="s" s="403">
        <v>6599</v>
      </c>
      <c r="K639" s="404">
        <v>44928</v>
      </c>
      <c r="L639" t="s" s="405">
        <v>23</v>
      </c>
      <c r="M639" s="406">
        <v>1</v>
      </c>
      <c r="N639" s="407">
        <v>149.99</v>
      </c>
      <c r="O639" s="407">
        <v>149.99</v>
      </c>
    </row>
    <row r="640" ht="15.2" customHeight="1">
      <c r="I640" s="392"/>
      <c r="J640" s="393"/>
      <c r="K640" s="396">
        <v>44928</v>
      </c>
      <c r="L640" s="397"/>
      <c r="M640" s="398">
        <v>1</v>
      </c>
      <c r="N640" s="399">
        <v>149.99</v>
      </c>
      <c r="O640" s="399">
        <v>149.99</v>
      </c>
    </row>
    <row r="641" ht="15.55" customHeight="1">
      <c r="I641" s="392"/>
      <c r="J641" t="s" s="400">
        <v>6599</v>
      </c>
      <c r="K641" s="127"/>
      <c r="L641" s="128"/>
      <c r="M641" s="129">
        <v>1</v>
      </c>
      <c r="N641" s="142">
        <v>149.99</v>
      </c>
      <c r="O641" s="142">
        <v>149.99</v>
      </c>
    </row>
    <row r="642" ht="16.1" customHeight="1">
      <c r="I642" t="s" s="401">
        <v>6600</v>
      </c>
      <c r="J642" s="127"/>
      <c r="K642" s="127"/>
      <c r="L642" s="128"/>
      <c r="M642" s="129">
        <v>1</v>
      </c>
      <c r="N642" s="142">
        <v>149.99</v>
      </c>
      <c r="O642" s="142">
        <v>149.99</v>
      </c>
    </row>
    <row r="643" ht="13.2" customHeight="1">
      <c r="I643" t="s" s="402">
        <v>6414</v>
      </c>
      <c r="J643" t="s" s="403">
        <v>6413</v>
      </c>
      <c r="K643" s="404">
        <v>44956</v>
      </c>
      <c r="L643" t="s" s="405">
        <v>35</v>
      </c>
      <c r="M643" s="406">
        <v>1</v>
      </c>
      <c r="N643" s="407">
        <v>49.99</v>
      </c>
      <c r="O643" s="407">
        <v>49.99</v>
      </c>
    </row>
    <row r="644" ht="12.9" customHeight="1">
      <c r="I644" s="392"/>
      <c r="J644" s="393"/>
      <c r="K644" s="393"/>
      <c r="L644" t="s" s="394">
        <v>89</v>
      </c>
      <c r="M644" s="146">
        <v>1</v>
      </c>
      <c r="N644" s="395">
        <v>59.99</v>
      </c>
      <c r="O644" s="395">
        <v>59.99</v>
      </c>
    </row>
    <row r="645" ht="15.2" customHeight="1">
      <c r="I645" s="392"/>
      <c r="J645" s="393"/>
      <c r="K645" s="396">
        <v>44956</v>
      </c>
      <c r="L645" s="397"/>
      <c r="M645" s="398">
        <v>2</v>
      </c>
      <c r="N645" s="399">
        <v>109.98</v>
      </c>
      <c r="O645" s="399">
        <v>109.98</v>
      </c>
    </row>
    <row r="646" ht="15.55" customHeight="1">
      <c r="I646" s="392"/>
      <c r="J646" t="s" s="400">
        <v>6413</v>
      </c>
      <c r="K646" s="127"/>
      <c r="L646" s="128"/>
      <c r="M646" s="129">
        <v>2</v>
      </c>
      <c r="N646" s="142">
        <v>109.98</v>
      </c>
      <c r="O646" s="142">
        <v>109.98</v>
      </c>
    </row>
    <row r="647" ht="16.1" customHeight="1">
      <c r="I647" t="s" s="401">
        <v>6414</v>
      </c>
      <c r="J647" s="127"/>
      <c r="K647" s="127"/>
      <c r="L647" s="128"/>
      <c r="M647" s="129">
        <v>2</v>
      </c>
      <c r="N647" s="142">
        <v>109.98</v>
      </c>
      <c r="O647" s="142">
        <v>109.98</v>
      </c>
    </row>
    <row r="648" ht="13.2" customHeight="1">
      <c r="I648" t="s" s="402">
        <v>5135</v>
      </c>
      <c r="J648" t="s" s="403">
        <v>6568</v>
      </c>
      <c r="K648" s="404">
        <v>44934</v>
      </c>
      <c r="L648" t="s" s="405">
        <v>35</v>
      </c>
      <c r="M648" s="406">
        <v>2</v>
      </c>
      <c r="N648" s="407">
        <v>49.99</v>
      </c>
      <c r="O648" s="407">
        <v>99.98</v>
      </c>
    </row>
    <row r="649" ht="12.9" customHeight="1">
      <c r="I649" s="392"/>
      <c r="J649" s="393"/>
      <c r="K649" s="393"/>
      <c r="L649" t="s" s="394">
        <v>171</v>
      </c>
      <c r="M649" s="146">
        <v>2</v>
      </c>
      <c r="N649" s="395">
        <v>549.99</v>
      </c>
      <c r="O649" s="395">
        <v>1099.98</v>
      </c>
    </row>
    <row r="650" ht="15.2" customHeight="1">
      <c r="I650" s="392"/>
      <c r="J650" s="393"/>
      <c r="K650" s="396">
        <v>44934</v>
      </c>
      <c r="L650" s="397"/>
      <c r="M650" s="398">
        <v>4</v>
      </c>
      <c r="N650" s="399">
        <v>599.98</v>
      </c>
      <c r="O650" s="399">
        <v>1199.96</v>
      </c>
    </row>
    <row r="651" ht="15.55" customHeight="1">
      <c r="I651" s="392"/>
      <c r="J651" t="s" s="400">
        <v>6568</v>
      </c>
      <c r="K651" s="127"/>
      <c r="L651" s="128"/>
      <c r="M651" s="129">
        <v>4</v>
      </c>
      <c r="N651" s="142">
        <v>599.98</v>
      </c>
      <c r="O651" s="142">
        <v>1199.96</v>
      </c>
    </row>
    <row r="652" ht="16.1" customHeight="1">
      <c r="I652" t="s" s="401">
        <v>5135</v>
      </c>
      <c r="J652" s="127"/>
      <c r="K652" s="127"/>
      <c r="L652" s="128"/>
      <c r="M652" s="129">
        <v>4</v>
      </c>
      <c r="N652" s="142">
        <v>599.98</v>
      </c>
      <c r="O652" s="142">
        <v>1199.96</v>
      </c>
    </row>
    <row r="653" ht="13.2" customHeight="1">
      <c r="I653" t="s" s="402">
        <v>1913</v>
      </c>
      <c r="J653" t="s" s="403">
        <v>6524</v>
      </c>
      <c r="K653" s="404">
        <v>44940</v>
      </c>
      <c r="L653" t="s" s="405">
        <v>266</v>
      </c>
      <c r="M653" s="406">
        <v>8</v>
      </c>
      <c r="N653" s="407">
        <v>0</v>
      </c>
      <c r="O653" s="407">
        <v>0</v>
      </c>
    </row>
    <row r="654" ht="12.9" customHeight="1">
      <c r="I654" s="392"/>
      <c r="J654" s="393"/>
      <c r="K654" s="393"/>
      <c r="L654" t="s" s="394">
        <v>356</v>
      </c>
      <c r="M654" s="146">
        <v>1</v>
      </c>
      <c r="N654" s="395">
        <v>0</v>
      </c>
      <c r="O654" s="395">
        <v>0</v>
      </c>
    </row>
    <row r="655" ht="12.9" customHeight="1">
      <c r="I655" s="392"/>
      <c r="J655" s="393"/>
      <c r="K655" s="393"/>
      <c r="L655" t="s" s="394">
        <v>6283</v>
      </c>
      <c r="M655" s="146">
        <v>1</v>
      </c>
      <c r="N655" s="395">
        <v>0</v>
      </c>
      <c r="O655" s="395">
        <v>0</v>
      </c>
    </row>
    <row r="656" ht="12.9" customHeight="1">
      <c r="I656" s="392"/>
      <c r="J656" s="393"/>
      <c r="K656" s="393"/>
      <c r="L656" t="s" s="394">
        <v>1914</v>
      </c>
      <c r="M656" s="146">
        <v>1</v>
      </c>
      <c r="N656" s="395">
        <v>0</v>
      </c>
      <c r="O656" s="395">
        <v>0</v>
      </c>
    </row>
    <row r="657" ht="15.2" customHeight="1">
      <c r="I657" s="392"/>
      <c r="J657" s="393"/>
      <c r="K657" s="396">
        <v>44940</v>
      </c>
      <c r="L657" s="397"/>
      <c r="M657" s="398">
        <v>11</v>
      </c>
      <c r="N657" s="399">
        <v>0</v>
      </c>
      <c r="O657" s="399">
        <v>0</v>
      </c>
    </row>
    <row r="658" ht="15.55" customHeight="1">
      <c r="I658" s="392"/>
      <c r="J658" t="s" s="400">
        <v>6524</v>
      </c>
      <c r="K658" s="127"/>
      <c r="L658" s="128"/>
      <c r="M658" s="129">
        <v>11</v>
      </c>
      <c r="N658" s="142">
        <v>0</v>
      </c>
      <c r="O658" s="142">
        <v>0</v>
      </c>
    </row>
    <row r="659" ht="16.1" customHeight="1">
      <c r="I659" t="s" s="401">
        <v>1913</v>
      </c>
      <c r="J659" s="127"/>
      <c r="K659" s="127"/>
      <c r="L659" s="128"/>
      <c r="M659" s="129">
        <v>11</v>
      </c>
      <c r="N659" s="142">
        <v>0</v>
      </c>
      <c r="O659" s="142">
        <v>0</v>
      </c>
    </row>
    <row r="660" ht="13.2" customHeight="1">
      <c r="I660" t="s" s="402">
        <v>6499</v>
      </c>
      <c r="J660" t="s" s="403">
        <v>6498</v>
      </c>
      <c r="K660" s="404">
        <v>44943</v>
      </c>
      <c r="L660" t="s" s="405">
        <v>54</v>
      </c>
      <c r="M660" s="406">
        <v>2</v>
      </c>
      <c r="N660" s="407">
        <v>9.99</v>
      </c>
      <c r="O660" s="407">
        <v>19.98</v>
      </c>
    </row>
    <row r="661" ht="15.2" customHeight="1">
      <c r="I661" s="392"/>
      <c r="J661" s="393"/>
      <c r="K661" s="396">
        <v>44943</v>
      </c>
      <c r="L661" s="397"/>
      <c r="M661" s="398">
        <v>2</v>
      </c>
      <c r="N661" s="399">
        <v>9.99</v>
      </c>
      <c r="O661" s="399">
        <v>19.98</v>
      </c>
    </row>
    <row r="662" ht="15.55" customHeight="1">
      <c r="I662" s="392"/>
      <c r="J662" t="s" s="400">
        <v>6498</v>
      </c>
      <c r="K662" s="127"/>
      <c r="L662" s="128"/>
      <c r="M662" s="129">
        <v>2</v>
      </c>
      <c r="N662" s="142">
        <v>9.99</v>
      </c>
      <c r="O662" s="142">
        <v>19.98</v>
      </c>
    </row>
    <row r="663" ht="16.1" customHeight="1">
      <c r="I663" t="s" s="401">
        <v>6499</v>
      </c>
      <c r="J663" s="127"/>
      <c r="K663" s="127"/>
      <c r="L663" s="128"/>
      <c r="M663" s="129">
        <v>2</v>
      </c>
      <c r="N663" s="142">
        <v>9.99</v>
      </c>
      <c r="O663" s="142">
        <v>19.98</v>
      </c>
    </row>
    <row r="664" ht="13.2" customHeight="1">
      <c r="I664" t="s" s="402">
        <v>6490</v>
      </c>
      <c r="J664" t="s" s="403">
        <v>6489</v>
      </c>
      <c r="K664" s="404">
        <v>44944</v>
      </c>
      <c r="L664" t="s" s="405">
        <v>35</v>
      </c>
      <c r="M664" s="406">
        <v>1</v>
      </c>
      <c r="N664" s="407">
        <v>49.99</v>
      </c>
      <c r="O664" s="407">
        <v>49.99</v>
      </c>
    </row>
    <row r="665" ht="12.9" customHeight="1">
      <c r="I665" s="392"/>
      <c r="J665" s="393"/>
      <c r="K665" s="393"/>
      <c r="L665" t="s" s="394">
        <v>77</v>
      </c>
      <c r="M665" s="146">
        <v>1</v>
      </c>
      <c r="N665" s="395">
        <v>19.99</v>
      </c>
      <c r="O665" s="395">
        <v>19.99</v>
      </c>
    </row>
    <row r="666" ht="15.2" customHeight="1">
      <c r="I666" s="392"/>
      <c r="J666" s="393"/>
      <c r="K666" s="396">
        <v>44944</v>
      </c>
      <c r="L666" s="397"/>
      <c r="M666" s="398">
        <v>2</v>
      </c>
      <c r="N666" s="399">
        <v>69.98</v>
      </c>
      <c r="O666" s="399">
        <v>69.98</v>
      </c>
    </row>
    <row r="667" ht="15.55" customHeight="1">
      <c r="I667" s="392"/>
      <c r="J667" t="s" s="400">
        <v>6489</v>
      </c>
      <c r="K667" s="127"/>
      <c r="L667" s="128"/>
      <c r="M667" s="129">
        <v>2</v>
      </c>
      <c r="N667" s="142">
        <v>69.98</v>
      </c>
      <c r="O667" s="142">
        <v>69.98</v>
      </c>
    </row>
    <row r="668" ht="16.1" customHeight="1">
      <c r="I668" t="s" s="401">
        <v>6490</v>
      </c>
      <c r="J668" s="127"/>
      <c r="K668" s="127"/>
      <c r="L668" s="128"/>
      <c r="M668" s="129">
        <v>2</v>
      </c>
      <c r="N668" s="142">
        <v>69.98</v>
      </c>
      <c r="O668" s="142">
        <v>69.98</v>
      </c>
    </row>
    <row r="669" ht="13.2" customHeight="1">
      <c r="I669" t="s" s="402">
        <v>1359</v>
      </c>
      <c r="J669" t="s" s="403">
        <v>6561</v>
      </c>
      <c r="K669" s="404">
        <v>44935</v>
      </c>
      <c r="L669" t="s" s="405">
        <v>95</v>
      </c>
      <c r="M669" s="406">
        <v>1</v>
      </c>
      <c r="N669" s="407">
        <v>349.99</v>
      </c>
      <c r="O669" s="407">
        <v>349.99</v>
      </c>
    </row>
    <row r="670" ht="15.2" customHeight="1">
      <c r="I670" s="392"/>
      <c r="J670" s="393"/>
      <c r="K670" s="396">
        <v>44935</v>
      </c>
      <c r="L670" s="397"/>
      <c r="M670" s="398">
        <v>1</v>
      </c>
      <c r="N670" s="399">
        <v>349.99</v>
      </c>
      <c r="O670" s="399">
        <v>349.99</v>
      </c>
    </row>
    <row r="671" ht="15.55" customHeight="1">
      <c r="I671" s="392"/>
      <c r="J671" t="s" s="400">
        <v>6561</v>
      </c>
      <c r="K671" s="127"/>
      <c r="L671" s="128"/>
      <c r="M671" s="129">
        <v>1</v>
      </c>
      <c r="N671" s="142">
        <v>349.99</v>
      </c>
      <c r="O671" s="142">
        <v>349.99</v>
      </c>
    </row>
    <row r="672" ht="16.1" customHeight="1">
      <c r="I672" t="s" s="401">
        <v>1359</v>
      </c>
      <c r="J672" s="127"/>
      <c r="K672" s="127"/>
      <c r="L672" s="128"/>
      <c r="M672" s="129">
        <v>1</v>
      </c>
      <c r="N672" s="142">
        <v>349.99</v>
      </c>
      <c r="O672" s="142">
        <v>349.99</v>
      </c>
    </row>
    <row r="673" ht="13.2" customHeight="1">
      <c r="I673" t="s" s="402">
        <v>6461</v>
      </c>
      <c r="J673" t="s" s="403">
        <v>6460</v>
      </c>
      <c r="K673" s="404">
        <v>44949</v>
      </c>
      <c r="L673" t="s" s="405">
        <v>89</v>
      </c>
      <c r="M673" s="406">
        <v>2</v>
      </c>
      <c r="N673" s="407">
        <v>59.99</v>
      </c>
      <c r="O673" s="407">
        <v>119.98</v>
      </c>
    </row>
    <row r="674" ht="15.2" customHeight="1">
      <c r="I674" s="392"/>
      <c r="J674" s="393"/>
      <c r="K674" s="396">
        <v>44949</v>
      </c>
      <c r="L674" s="397"/>
      <c r="M674" s="398">
        <v>2</v>
      </c>
      <c r="N674" s="399">
        <v>59.99</v>
      </c>
      <c r="O674" s="399">
        <v>119.98</v>
      </c>
    </row>
    <row r="675" ht="15.55" customHeight="1">
      <c r="I675" s="392"/>
      <c r="J675" t="s" s="400">
        <v>6460</v>
      </c>
      <c r="K675" s="127"/>
      <c r="L675" s="128"/>
      <c r="M675" s="129">
        <v>2</v>
      </c>
      <c r="N675" s="142">
        <v>59.99</v>
      </c>
      <c r="O675" s="142">
        <v>119.98</v>
      </c>
    </row>
    <row r="676" ht="16.1" customHeight="1">
      <c r="I676" t="s" s="401">
        <v>6461</v>
      </c>
      <c r="J676" s="127"/>
      <c r="K676" s="127"/>
      <c r="L676" s="128"/>
      <c r="M676" s="129">
        <v>2</v>
      </c>
      <c r="N676" s="142">
        <v>59.99</v>
      </c>
      <c r="O676" s="142">
        <v>119.98</v>
      </c>
    </row>
    <row r="677" ht="13.2" customHeight="1">
      <c r="I677" t="s" s="402">
        <v>6540</v>
      </c>
      <c r="J677" t="s" s="403">
        <v>6539</v>
      </c>
      <c r="K677" s="404">
        <v>44938</v>
      </c>
      <c r="L677" t="s" s="405">
        <v>95</v>
      </c>
      <c r="M677" s="406">
        <v>1</v>
      </c>
      <c r="N677" s="407">
        <v>349.99</v>
      </c>
      <c r="O677" s="407">
        <v>349.99</v>
      </c>
    </row>
    <row r="678" ht="15.2" customHeight="1">
      <c r="I678" s="392"/>
      <c r="J678" s="393"/>
      <c r="K678" s="396">
        <v>44938</v>
      </c>
      <c r="L678" s="397"/>
      <c r="M678" s="398">
        <v>1</v>
      </c>
      <c r="N678" s="399">
        <v>349.99</v>
      </c>
      <c r="O678" s="399">
        <v>349.99</v>
      </c>
    </row>
    <row r="679" ht="15.55" customHeight="1">
      <c r="I679" s="392"/>
      <c r="J679" t="s" s="400">
        <v>6539</v>
      </c>
      <c r="K679" s="127"/>
      <c r="L679" s="128"/>
      <c r="M679" s="129">
        <v>1</v>
      </c>
      <c r="N679" s="142">
        <v>349.99</v>
      </c>
      <c r="O679" s="142">
        <v>349.99</v>
      </c>
    </row>
    <row r="680" ht="16.1" customHeight="1">
      <c r="I680" t="s" s="401">
        <v>6540</v>
      </c>
      <c r="J680" s="127"/>
      <c r="K680" s="127"/>
      <c r="L680" s="128"/>
      <c r="M680" s="129">
        <v>1</v>
      </c>
      <c r="N680" s="142">
        <v>349.99</v>
      </c>
      <c r="O680" s="142">
        <v>349.99</v>
      </c>
    </row>
    <row r="681" ht="13.2" customHeight="1">
      <c r="I681" t="s" s="402">
        <v>5999</v>
      </c>
      <c r="J681" t="s" s="403">
        <v>6510</v>
      </c>
      <c r="K681" s="404">
        <v>44942</v>
      </c>
      <c r="L681" t="s" s="405">
        <v>84</v>
      </c>
      <c r="M681" s="406">
        <v>2</v>
      </c>
      <c r="N681" s="407">
        <v>0</v>
      </c>
      <c r="O681" s="407">
        <v>0</v>
      </c>
    </row>
    <row r="682" ht="12.9" customHeight="1">
      <c r="I682" s="392"/>
      <c r="J682" s="393"/>
      <c r="K682" s="393"/>
      <c r="L682" t="s" s="394">
        <v>23</v>
      </c>
      <c r="M682" s="146">
        <v>2</v>
      </c>
      <c r="N682" s="395">
        <v>0</v>
      </c>
      <c r="O682" s="395">
        <v>0</v>
      </c>
    </row>
    <row r="683" ht="12.9" customHeight="1">
      <c r="I683" s="392"/>
      <c r="J683" s="393"/>
      <c r="K683" s="393"/>
      <c r="L683" t="s" s="394">
        <v>81</v>
      </c>
      <c r="M683" s="146">
        <v>2</v>
      </c>
      <c r="N683" s="395">
        <v>849.99</v>
      </c>
      <c r="O683" s="395">
        <v>1699.98</v>
      </c>
    </row>
    <row r="684" ht="12.9" customHeight="1">
      <c r="I684" s="392"/>
      <c r="J684" s="393"/>
      <c r="K684" s="393"/>
      <c r="L684" t="s" s="394">
        <v>50</v>
      </c>
      <c r="M684" s="146">
        <v>2</v>
      </c>
      <c r="N684" s="395">
        <v>0</v>
      </c>
      <c r="O684" s="395">
        <v>0</v>
      </c>
    </row>
    <row r="685" ht="15.2" customHeight="1">
      <c r="I685" s="392"/>
      <c r="J685" s="393"/>
      <c r="K685" s="396">
        <v>44942</v>
      </c>
      <c r="L685" s="397"/>
      <c r="M685" s="398">
        <v>8</v>
      </c>
      <c r="N685" s="399">
        <v>849.99</v>
      </c>
      <c r="O685" s="399">
        <v>1699.98</v>
      </c>
    </row>
    <row r="686" ht="15.55" customHeight="1">
      <c r="I686" s="392"/>
      <c r="J686" t="s" s="400">
        <v>6510</v>
      </c>
      <c r="K686" s="127"/>
      <c r="L686" s="128"/>
      <c r="M686" s="129">
        <v>8</v>
      </c>
      <c r="N686" s="142">
        <v>849.99</v>
      </c>
      <c r="O686" s="142">
        <v>1699.98</v>
      </c>
    </row>
    <row r="687" ht="16.1" customHeight="1">
      <c r="I687" t="s" s="401">
        <v>5999</v>
      </c>
      <c r="J687" s="127"/>
      <c r="K687" s="127"/>
      <c r="L687" s="128"/>
      <c r="M687" s="129">
        <v>8</v>
      </c>
      <c r="N687" s="142">
        <v>849.99</v>
      </c>
      <c r="O687" s="142">
        <v>1699.98</v>
      </c>
    </row>
    <row r="688" ht="13.2" customHeight="1">
      <c r="I688" t="s" s="402">
        <v>6427</v>
      </c>
      <c r="J688" t="s" s="403">
        <v>6426</v>
      </c>
      <c r="K688" s="404">
        <v>44954</v>
      </c>
      <c r="L688" t="s" s="405">
        <v>345</v>
      </c>
      <c r="M688" s="406">
        <v>2</v>
      </c>
      <c r="N688" s="407">
        <v>219.99</v>
      </c>
      <c r="O688" s="407">
        <v>439.98</v>
      </c>
    </row>
    <row r="689" ht="12.9" customHeight="1">
      <c r="I689" s="392"/>
      <c r="J689" s="393"/>
      <c r="K689" s="393"/>
      <c r="L689" t="s" s="394">
        <v>15</v>
      </c>
      <c r="M689" s="146">
        <v>1</v>
      </c>
      <c r="N689" s="395">
        <v>9.99</v>
      </c>
      <c r="O689" s="395">
        <v>9.99</v>
      </c>
    </row>
    <row r="690" ht="15.2" customHeight="1">
      <c r="I690" s="392"/>
      <c r="J690" s="393"/>
      <c r="K690" s="396">
        <v>44954</v>
      </c>
      <c r="L690" s="397"/>
      <c r="M690" s="398">
        <v>3</v>
      </c>
      <c r="N690" s="399">
        <v>229.98</v>
      </c>
      <c r="O690" s="399">
        <v>449.97</v>
      </c>
    </row>
    <row r="691" ht="15.55" customHeight="1">
      <c r="I691" s="392"/>
      <c r="J691" t="s" s="400">
        <v>6426</v>
      </c>
      <c r="K691" s="127"/>
      <c r="L691" s="128"/>
      <c r="M691" s="129">
        <v>3</v>
      </c>
      <c r="N691" s="142">
        <v>229.98</v>
      </c>
      <c r="O691" s="142">
        <v>449.97</v>
      </c>
    </row>
    <row r="692" ht="16.1" customHeight="1">
      <c r="I692" t="s" s="401">
        <v>6427</v>
      </c>
      <c r="J692" s="127"/>
      <c r="K692" s="127"/>
      <c r="L692" s="128"/>
      <c r="M692" s="129">
        <v>3</v>
      </c>
      <c r="N692" s="142">
        <v>229.98</v>
      </c>
      <c r="O692" s="142">
        <v>449.97</v>
      </c>
    </row>
    <row r="693" ht="13.2" customHeight="1">
      <c r="I693" t="s" s="402">
        <v>6459</v>
      </c>
      <c r="J693" t="s" s="403">
        <v>6458</v>
      </c>
      <c r="K693" s="404">
        <v>44949</v>
      </c>
      <c r="L693" t="s" s="405">
        <v>95</v>
      </c>
      <c r="M693" s="406">
        <v>1</v>
      </c>
      <c r="N693" s="407">
        <v>349.99</v>
      </c>
      <c r="O693" s="407">
        <v>349.99</v>
      </c>
    </row>
    <row r="694" ht="15.2" customHeight="1">
      <c r="I694" s="392"/>
      <c r="J694" s="393"/>
      <c r="K694" s="396">
        <v>44949</v>
      </c>
      <c r="L694" s="397"/>
      <c r="M694" s="398">
        <v>1</v>
      </c>
      <c r="N694" s="399">
        <v>349.99</v>
      </c>
      <c r="O694" s="399">
        <v>349.99</v>
      </c>
    </row>
    <row r="695" ht="15.55" customHeight="1">
      <c r="I695" s="392"/>
      <c r="J695" t="s" s="400">
        <v>6458</v>
      </c>
      <c r="K695" s="127"/>
      <c r="L695" s="128"/>
      <c r="M695" s="129">
        <v>1</v>
      </c>
      <c r="N695" s="142">
        <v>349.99</v>
      </c>
      <c r="O695" s="142">
        <v>349.99</v>
      </c>
    </row>
    <row r="696" ht="16.1" customHeight="1">
      <c r="I696" t="s" s="401">
        <v>6459</v>
      </c>
      <c r="J696" s="127"/>
      <c r="K696" s="127"/>
      <c r="L696" s="128"/>
      <c r="M696" s="129">
        <v>1</v>
      </c>
      <c r="N696" s="142">
        <v>349.99</v>
      </c>
      <c r="O696" s="142">
        <v>349.99</v>
      </c>
    </row>
    <row r="697" ht="13.2" customHeight="1">
      <c r="I697" t="s" s="402">
        <v>5024</v>
      </c>
      <c r="J697" t="s" s="403">
        <v>6400</v>
      </c>
      <c r="K697" s="404">
        <v>44957</v>
      </c>
      <c r="L697" t="s" s="405">
        <v>369</v>
      </c>
      <c r="M697" s="406">
        <v>1</v>
      </c>
      <c r="N697" s="407">
        <v>12.99</v>
      </c>
      <c r="O697" s="407">
        <v>12.99</v>
      </c>
    </row>
    <row r="698" ht="15.2" customHeight="1">
      <c r="I698" s="392"/>
      <c r="J698" s="393"/>
      <c r="K698" s="396">
        <v>44957</v>
      </c>
      <c r="L698" s="397"/>
      <c r="M698" s="398">
        <v>1</v>
      </c>
      <c r="N698" s="399">
        <v>12.99</v>
      </c>
      <c r="O698" s="399">
        <v>12.99</v>
      </c>
    </row>
    <row r="699" ht="15.55" customHeight="1">
      <c r="I699" s="392"/>
      <c r="J699" t="s" s="400">
        <v>6400</v>
      </c>
      <c r="K699" s="127"/>
      <c r="L699" s="128"/>
      <c r="M699" s="129">
        <v>1</v>
      </c>
      <c r="N699" s="142">
        <v>12.99</v>
      </c>
      <c r="O699" s="142">
        <v>12.99</v>
      </c>
    </row>
    <row r="700" ht="16.1" customHeight="1">
      <c r="I700" t="s" s="401">
        <v>5024</v>
      </c>
      <c r="J700" s="127"/>
      <c r="K700" s="127"/>
      <c r="L700" s="128"/>
      <c r="M700" s="129">
        <v>1</v>
      </c>
      <c r="N700" s="142">
        <v>12.99</v>
      </c>
      <c r="O700" s="142">
        <v>12.99</v>
      </c>
    </row>
    <row r="701" ht="13.2" customHeight="1">
      <c r="I701" t="s" s="402">
        <v>6578</v>
      </c>
      <c r="J701" t="s" s="403">
        <v>6577</v>
      </c>
      <c r="K701" s="404">
        <v>44931</v>
      </c>
      <c r="L701" t="s" s="405">
        <v>35</v>
      </c>
      <c r="M701" s="406">
        <v>1</v>
      </c>
      <c r="N701" s="407">
        <v>37.49</v>
      </c>
      <c r="O701" s="407">
        <v>37.49</v>
      </c>
    </row>
    <row r="702" ht="12.9" customHeight="1">
      <c r="I702" s="392"/>
      <c r="J702" s="393"/>
      <c r="K702" s="393"/>
      <c r="L702" t="s" s="394">
        <v>31</v>
      </c>
      <c r="M702" s="146">
        <v>1</v>
      </c>
      <c r="N702" s="395">
        <v>587.49</v>
      </c>
      <c r="O702" s="395">
        <v>587.49</v>
      </c>
    </row>
    <row r="703" ht="15.2" customHeight="1">
      <c r="I703" s="392"/>
      <c r="J703" s="393"/>
      <c r="K703" s="396">
        <v>44931</v>
      </c>
      <c r="L703" s="397"/>
      <c r="M703" s="398">
        <v>2</v>
      </c>
      <c r="N703" s="399">
        <v>624.98</v>
      </c>
      <c r="O703" s="399">
        <v>624.98</v>
      </c>
    </row>
    <row r="704" ht="15.55" customHeight="1">
      <c r="I704" s="392"/>
      <c r="J704" t="s" s="400">
        <v>6577</v>
      </c>
      <c r="K704" s="127"/>
      <c r="L704" s="128"/>
      <c r="M704" s="129">
        <v>2</v>
      </c>
      <c r="N704" s="142">
        <v>624.98</v>
      </c>
      <c r="O704" s="142">
        <v>624.98</v>
      </c>
    </row>
    <row r="705" ht="16.1" customHeight="1">
      <c r="I705" t="s" s="401">
        <v>6578</v>
      </c>
      <c r="J705" s="127"/>
      <c r="K705" s="127"/>
      <c r="L705" s="128"/>
      <c r="M705" s="129">
        <v>2</v>
      </c>
      <c r="N705" s="142">
        <v>624.98</v>
      </c>
      <c r="O705" s="142">
        <v>624.98</v>
      </c>
    </row>
    <row r="706" ht="13.2" customHeight="1">
      <c r="I706" t="s" s="402">
        <v>6404</v>
      </c>
      <c r="J706" t="s" s="403">
        <v>6403</v>
      </c>
      <c r="K706" s="404">
        <v>44957</v>
      </c>
      <c r="L706" t="s" s="405">
        <v>412</v>
      </c>
      <c r="M706" s="406">
        <v>1</v>
      </c>
      <c r="N706" s="407">
        <v>1.99</v>
      </c>
      <c r="O706" s="407">
        <v>1.99</v>
      </c>
    </row>
    <row r="707" ht="15.2" customHeight="1">
      <c r="I707" s="392"/>
      <c r="J707" s="393"/>
      <c r="K707" s="396">
        <v>44957</v>
      </c>
      <c r="L707" s="397"/>
      <c r="M707" s="398">
        <v>1</v>
      </c>
      <c r="N707" s="399">
        <v>1.99</v>
      </c>
      <c r="O707" s="399">
        <v>1.99</v>
      </c>
    </row>
    <row r="708" ht="15.55" customHeight="1">
      <c r="I708" s="392"/>
      <c r="J708" t="s" s="400">
        <v>6403</v>
      </c>
      <c r="K708" s="127"/>
      <c r="L708" s="128"/>
      <c r="M708" s="129">
        <v>1</v>
      </c>
      <c r="N708" s="142">
        <v>1.99</v>
      </c>
      <c r="O708" s="142">
        <v>1.99</v>
      </c>
    </row>
    <row r="709" ht="16.1" customHeight="1">
      <c r="I709" t="s" s="401">
        <v>6404</v>
      </c>
      <c r="J709" s="127"/>
      <c r="K709" s="127"/>
      <c r="L709" s="128"/>
      <c r="M709" s="129">
        <v>1</v>
      </c>
      <c r="N709" s="142">
        <v>1.99</v>
      </c>
      <c r="O709" s="142">
        <v>1.99</v>
      </c>
    </row>
    <row r="710" ht="13.2" customHeight="1">
      <c r="I710" t="s" s="402">
        <v>5932</v>
      </c>
      <c r="J710" t="s" s="403">
        <v>6538</v>
      </c>
      <c r="K710" s="404">
        <v>44938</v>
      </c>
      <c r="L710" t="s" s="405">
        <v>84</v>
      </c>
      <c r="M710" s="406">
        <v>1</v>
      </c>
      <c r="N710" s="407">
        <v>15</v>
      </c>
      <c r="O710" s="407">
        <v>15</v>
      </c>
    </row>
    <row r="711" ht="12.9" customHeight="1">
      <c r="I711" s="392"/>
      <c r="J711" s="393"/>
      <c r="K711" s="393"/>
      <c r="L711" t="s" s="394">
        <v>133</v>
      </c>
      <c r="M711" s="146">
        <v>1</v>
      </c>
      <c r="N711" s="395">
        <v>199.99</v>
      </c>
      <c r="O711" s="395">
        <v>199.99</v>
      </c>
    </row>
    <row r="712" ht="15.2" customHeight="1">
      <c r="I712" s="392"/>
      <c r="J712" s="393"/>
      <c r="K712" s="396">
        <v>44938</v>
      </c>
      <c r="L712" s="397"/>
      <c r="M712" s="398">
        <v>2</v>
      </c>
      <c r="N712" s="399">
        <v>214.99</v>
      </c>
      <c r="O712" s="399">
        <v>214.99</v>
      </c>
    </row>
    <row r="713" ht="15.55" customHeight="1">
      <c r="I713" s="392"/>
      <c r="J713" t="s" s="400">
        <v>6538</v>
      </c>
      <c r="K713" s="127"/>
      <c r="L713" s="128"/>
      <c r="M713" s="129">
        <v>2</v>
      </c>
      <c r="N713" s="142">
        <v>214.99</v>
      </c>
      <c r="O713" s="142">
        <v>214.99</v>
      </c>
    </row>
    <row r="714" ht="13.2" customHeight="1">
      <c r="I714" s="392"/>
      <c r="J714" t="s" s="403">
        <v>6537</v>
      </c>
      <c r="K714" s="404">
        <v>44938</v>
      </c>
      <c r="L714" t="s" s="405">
        <v>15</v>
      </c>
      <c r="M714" s="406">
        <v>1</v>
      </c>
      <c r="N714" s="407">
        <v>9.99</v>
      </c>
      <c r="O714" s="407">
        <v>9.99</v>
      </c>
    </row>
    <row r="715" ht="15.2" customHeight="1">
      <c r="I715" s="392"/>
      <c r="J715" s="393"/>
      <c r="K715" s="396">
        <v>44938</v>
      </c>
      <c r="L715" s="397"/>
      <c r="M715" s="398">
        <v>1</v>
      </c>
      <c r="N715" s="399">
        <v>9.99</v>
      </c>
      <c r="O715" s="399">
        <v>9.99</v>
      </c>
    </row>
    <row r="716" ht="15.55" customHeight="1">
      <c r="I716" s="392"/>
      <c r="J716" t="s" s="400">
        <v>6537</v>
      </c>
      <c r="K716" s="127"/>
      <c r="L716" s="128"/>
      <c r="M716" s="129">
        <v>1</v>
      </c>
      <c r="N716" s="142">
        <v>9.99</v>
      </c>
      <c r="O716" s="142">
        <v>9.99</v>
      </c>
    </row>
    <row r="717" ht="16.1" customHeight="1">
      <c r="I717" t="s" s="401">
        <v>5932</v>
      </c>
      <c r="J717" s="127"/>
      <c r="K717" s="127"/>
      <c r="L717" s="128"/>
      <c r="M717" s="129">
        <v>3</v>
      </c>
      <c r="N717" s="142">
        <v>224.98</v>
      </c>
      <c r="O717" s="142">
        <v>224.98</v>
      </c>
    </row>
    <row r="718" ht="13.2" customHeight="1">
      <c r="I718" t="s" s="402">
        <v>6512</v>
      </c>
      <c r="J718" t="s" s="403">
        <v>6511</v>
      </c>
      <c r="K718" s="404">
        <v>44942</v>
      </c>
      <c r="L718" t="s" s="405">
        <v>31</v>
      </c>
      <c r="M718" s="406">
        <v>1</v>
      </c>
      <c r="N718" s="407">
        <v>599.99</v>
      </c>
      <c r="O718" s="407">
        <v>599.99</v>
      </c>
    </row>
    <row r="719" ht="15.2" customHeight="1">
      <c r="I719" s="392"/>
      <c r="J719" s="393"/>
      <c r="K719" s="396">
        <v>44942</v>
      </c>
      <c r="L719" s="397"/>
      <c r="M719" s="398">
        <v>1</v>
      </c>
      <c r="N719" s="399">
        <v>599.99</v>
      </c>
      <c r="O719" s="399">
        <v>599.99</v>
      </c>
    </row>
    <row r="720" ht="15.55" customHeight="1">
      <c r="I720" s="392"/>
      <c r="J720" t="s" s="400">
        <v>6511</v>
      </c>
      <c r="K720" s="127"/>
      <c r="L720" s="128"/>
      <c r="M720" s="129">
        <v>1</v>
      </c>
      <c r="N720" s="142">
        <v>599.99</v>
      </c>
      <c r="O720" s="142">
        <v>599.99</v>
      </c>
    </row>
    <row r="721" ht="16.1" customHeight="1">
      <c r="I721" t="s" s="401">
        <v>6512</v>
      </c>
      <c r="J721" s="127"/>
      <c r="K721" s="127"/>
      <c r="L721" s="128"/>
      <c r="M721" s="129">
        <v>1</v>
      </c>
      <c r="N721" s="142">
        <v>599.99</v>
      </c>
      <c r="O721" s="142">
        <v>599.99</v>
      </c>
    </row>
    <row r="722" ht="13.2" customHeight="1">
      <c r="I722" t="s" s="402">
        <v>3437</v>
      </c>
      <c r="J722" t="s" s="403">
        <v>6562</v>
      </c>
      <c r="K722" s="404">
        <v>44935</v>
      </c>
      <c r="L722" t="s" s="405">
        <v>19</v>
      </c>
      <c r="M722" s="406">
        <v>8</v>
      </c>
      <c r="N722" s="407">
        <v>89.99250000000001</v>
      </c>
      <c r="O722" s="407">
        <v>719.9400000000001</v>
      </c>
    </row>
    <row r="723" ht="12.9" customHeight="1">
      <c r="I723" s="392"/>
      <c r="J723" s="393"/>
      <c r="K723" s="393"/>
      <c r="L723" t="s" s="394">
        <v>54</v>
      </c>
      <c r="M723" s="146">
        <v>13</v>
      </c>
      <c r="N723" s="395">
        <v>0</v>
      </c>
      <c r="O723" s="395">
        <v>0</v>
      </c>
    </row>
    <row r="724" ht="12.9" customHeight="1">
      <c r="I724" s="392"/>
      <c r="J724" s="393"/>
      <c r="K724" s="393"/>
      <c r="L724" t="s" s="394">
        <v>23</v>
      </c>
      <c r="M724" s="146">
        <v>13</v>
      </c>
      <c r="N724" s="395">
        <v>0</v>
      </c>
      <c r="O724" s="395">
        <v>0</v>
      </c>
    </row>
    <row r="725" ht="12.9" customHeight="1">
      <c r="I725" s="392"/>
      <c r="J725" s="393"/>
      <c r="K725" s="393"/>
      <c r="L725" t="s" s="394">
        <v>52</v>
      </c>
      <c r="M725" s="146">
        <v>13</v>
      </c>
      <c r="N725" s="395">
        <v>0</v>
      </c>
      <c r="O725" s="395">
        <v>0</v>
      </c>
    </row>
    <row r="726" ht="12.9" customHeight="1">
      <c r="I726" s="392"/>
      <c r="J726" s="393"/>
      <c r="K726" s="393"/>
      <c r="L726" t="s" s="394">
        <v>50</v>
      </c>
      <c r="M726" s="146">
        <v>13</v>
      </c>
      <c r="N726" s="395">
        <v>0</v>
      </c>
      <c r="O726" s="395">
        <v>0</v>
      </c>
    </row>
    <row r="727" ht="12.9" customHeight="1">
      <c r="I727" s="392"/>
      <c r="J727" s="393"/>
      <c r="K727" s="393"/>
      <c r="L727" t="s" s="394">
        <v>48</v>
      </c>
      <c r="M727" s="146">
        <v>13</v>
      </c>
      <c r="N727" s="395">
        <v>974.9924999999999</v>
      </c>
      <c r="O727" s="395">
        <v>12674.9025</v>
      </c>
    </row>
    <row r="728" ht="12.9" customHeight="1">
      <c r="I728" s="392"/>
      <c r="J728" s="393"/>
      <c r="K728" s="393"/>
      <c r="L728" t="s" s="394">
        <v>559</v>
      </c>
      <c r="M728" s="146">
        <v>200</v>
      </c>
      <c r="N728" s="395">
        <v>0</v>
      </c>
      <c r="O728" s="395">
        <v>0</v>
      </c>
    </row>
    <row r="729" ht="12.9" customHeight="1">
      <c r="I729" s="392"/>
      <c r="J729" s="393"/>
      <c r="K729" s="393"/>
      <c r="L729" t="s" s="394">
        <v>47</v>
      </c>
      <c r="M729" s="146">
        <v>1</v>
      </c>
      <c r="N729" s="395">
        <v>277.53</v>
      </c>
      <c r="O729" s="395">
        <v>277.53</v>
      </c>
    </row>
    <row r="730" ht="15.2" customHeight="1">
      <c r="I730" s="392"/>
      <c r="J730" s="393"/>
      <c r="K730" s="396">
        <v>44935</v>
      </c>
      <c r="L730" s="397"/>
      <c r="M730" s="398">
        <v>274</v>
      </c>
      <c r="N730" s="399">
        <v>1342.515</v>
      </c>
      <c r="O730" s="399">
        <v>13672.3725</v>
      </c>
    </row>
    <row r="731" ht="15.55" customHeight="1">
      <c r="I731" s="392"/>
      <c r="J731" t="s" s="400">
        <v>6562</v>
      </c>
      <c r="K731" s="127"/>
      <c r="L731" s="128"/>
      <c r="M731" s="129">
        <v>274</v>
      </c>
      <c r="N731" s="142">
        <v>1342.515</v>
      </c>
      <c r="O731" s="142">
        <v>13672.3725</v>
      </c>
    </row>
    <row r="732" ht="13.2" customHeight="1">
      <c r="I732" s="392"/>
      <c r="J732" t="s" s="403">
        <v>6553</v>
      </c>
      <c r="K732" s="404">
        <v>44937</v>
      </c>
      <c r="L732" t="s" s="405">
        <v>359</v>
      </c>
      <c r="M732" s="406">
        <v>8</v>
      </c>
      <c r="N732" s="407">
        <v>22.4925</v>
      </c>
      <c r="O732" s="407">
        <v>179.94</v>
      </c>
    </row>
    <row r="733" ht="15.2" customHeight="1">
      <c r="I733" s="392"/>
      <c r="J733" s="393"/>
      <c r="K733" s="396">
        <v>44937</v>
      </c>
      <c r="L733" s="397"/>
      <c r="M733" s="398">
        <v>8</v>
      </c>
      <c r="N733" s="399">
        <v>22.4925</v>
      </c>
      <c r="O733" s="399">
        <v>179.94</v>
      </c>
    </row>
    <row r="734" ht="15.55" customHeight="1">
      <c r="I734" s="392"/>
      <c r="J734" t="s" s="400">
        <v>6553</v>
      </c>
      <c r="K734" s="127"/>
      <c r="L734" s="128"/>
      <c r="M734" s="129">
        <v>8</v>
      </c>
      <c r="N734" s="142">
        <v>22.4925</v>
      </c>
      <c r="O734" s="142">
        <v>179.94</v>
      </c>
    </row>
    <row r="735" ht="16.1" customHeight="1">
      <c r="I735" t="s" s="401">
        <v>3437</v>
      </c>
      <c r="J735" s="127"/>
      <c r="K735" s="127"/>
      <c r="L735" s="128"/>
      <c r="M735" s="129">
        <v>282</v>
      </c>
      <c r="N735" s="142">
        <v>1365.0075</v>
      </c>
      <c r="O735" s="142">
        <v>13852.3125</v>
      </c>
    </row>
    <row r="736" ht="13.2" customHeight="1">
      <c r="I736" t="s" s="402">
        <v>6402</v>
      </c>
      <c r="J736" t="s" s="403">
        <v>6581</v>
      </c>
      <c r="K736" s="404">
        <v>44931</v>
      </c>
      <c r="L736" t="s" s="405">
        <v>54</v>
      </c>
      <c r="M736" s="406">
        <v>1</v>
      </c>
      <c r="N736" s="407">
        <v>1.66</v>
      </c>
      <c r="O736" s="407">
        <v>1.66</v>
      </c>
    </row>
    <row r="737" ht="12.9" customHeight="1">
      <c r="I737" s="392"/>
      <c r="J737" s="393"/>
      <c r="K737" s="393"/>
      <c r="L737" t="s" s="394">
        <v>345</v>
      </c>
      <c r="M737" s="146">
        <v>1</v>
      </c>
      <c r="N737" s="395">
        <v>211.65</v>
      </c>
      <c r="O737" s="395">
        <v>211.65</v>
      </c>
    </row>
    <row r="738" ht="12.9" customHeight="1">
      <c r="I738" s="392"/>
      <c r="J738" s="393"/>
      <c r="K738" s="393"/>
      <c r="L738" t="s" s="394">
        <v>15</v>
      </c>
      <c r="M738" s="146">
        <v>1</v>
      </c>
      <c r="N738" s="395">
        <v>1.66</v>
      </c>
      <c r="O738" s="395">
        <v>1.66</v>
      </c>
    </row>
    <row r="739" ht="15.2" customHeight="1">
      <c r="I739" s="392"/>
      <c r="J739" s="393"/>
      <c r="K739" s="396">
        <v>44931</v>
      </c>
      <c r="L739" s="397"/>
      <c r="M739" s="398">
        <v>3</v>
      </c>
      <c r="N739" s="399">
        <v>214.97</v>
      </c>
      <c r="O739" s="399">
        <v>214.97</v>
      </c>
    </row>
    <row r="740" ht="15.55" customHeight="1">
      <c r="I740" s="392"/>
      <c r="J740" t="s" s="400">
        <v>6581</v>
      </c>
      <c r="K740" s="127"/>
      <c r="L740" s="128"/>
      <c r="M740" s="129">
        <v>3</v>
      </c>
      <c r="N740" s="142">
        <v>214.97</v>
      </c>
      <c r="O740" s="142">
        <v>214.97</v>
      </c>
    </row>
    <row r="741" ht="13.2" customHeight="1">
      <c r="I741" s="392"/>
      <c r="J741" t="s" s="403">
        <v>6401</v>
      </c>
      <c r="K741" s="404">
        <v>44957</v>
      </c>
      <c r="L741" t="s" s="405">
        <v>54</v>
      </c>
      <c r="M741" s="406">
        <v>1</v>
      </c>
      <c r="N741" s="407">
        <v>9.99</v>
      </c>
      <c r="O741" s="407">
        <v>9.99</v>
      </c>
    </row>
    <row r="742" ht="15.2" customHeight="1">
      <c r="I742" s="392"/>
      <c r="J742" s="393"/>
      <c r="K742" s="396">
        <v>44957</v>
      </c>
      <c r="L742" s="397"/>
      <c r="M742" s="398">
        <v>1</v>
      </c>
      <c r="N742" s="399">
        <v>9.99</v>
      </c>
      <c r="O742" s="399">
        <v>9.99</v>
      </c>
    </row>
    <row r="743" ht="15.55" customHeight="1">
      <c r="I743" s="392"/>
      <c r="J743" t="s" s="400">
        <v>6401</v>
      </c>
      <c r="K743" s="127"/>
      <c r="L743" s="128"/>
      <c r="M743" s="129">
        <v>1</v>
      </c>
      <c r="N743" s="142">
        <v>9.99</v>
      </c>
      <c r="O743" s="142">
        <v>9.99</v>
      </c>
    </row>
    <row r="744" ht="16.1" customHeight="1">
      <c r="I744" t="s" s="401">
        <v>6402</v>
      </c>
      <c r="J744" s="127"/>
      <c r="K744" s="127"/>
      <c r="L744" s="128"/>
      <c r="M744" s="129">
        <v>4</v>
      </c>
      <c r="N744" s="142">
        <v>224.96</v>
      </c>
      <c r="O744" s="142">
        <v>224.96</v>
      </c>
    </row>
    <row r="745" ht="13.2" customHeight="1">
      <c r="I745" t="s" s="402">
        <v>6517</v>
      </c>
      <c r="J745" t="s" s="403">
        <v>6516</v>
      </c>
      <c r="K745" s="404">
        <v>44941</v>
      </c>
      <c r="L745" t="s" s="405">
        <v>95</v>
      </c>
      <c r="M745" s="406">
        <v>1</v>
      </c>
      <c r="N745" s="407">
        <v>349.99</v>
      </c>
      <c r="O745" s="407">
        <v>349.99</v>
      </c>
    </row>
    <row r="746" ht="15.2" customHeight="1">
      <c r="I746" s="392"/>
      <c r="J746" s="393"/>
      <c r="K746" s="396">
        <v>44941</v>
      </c>
      <c r="L746" s="397"/>
      <c r="M746" s="398">
        <v>1</v>
      </c>
      <c r="N746" s="399">
        <v>349.99</v>
      </c>
      <c r="O746" s="399">
        <v>349.99</v>
      </c>
    </row>
    <row r="747" ht="15.55" customHeight="1">
      <c r="I747" s="392"/>
      <c r="J747" t="s" s="400">
        <v>6516</v>
      </c>
      <c r="K747" s="127"/>
      <c r="L747" s="128"/>
      <c r="M747" s="129">
        <v>1</v>
      </c>
      <c r="N747" s="142">
        <v>349.99</v>
      </c>
      <c r="O747" s="142">
        <v>349.99</v>
      </c>
    </row>
    <row r="748" ht="16.1" customHeight="1">
      <c r="I748" t="s" s="401">
        <v>6517</v>
      </c>
      <c r="J748" s="127"/>
      <c r="K748" s="127"/>
      <c r="L748" s="128"/>
      <c r="M748" s="129">
        <v>1</v>
      </c>
      <c r="N748" s="142">
        <v>349.99</v>
      </c>
      <c r="O748" s="142">
        <v>349.99</v>
      </c>
    </row>
    <row r="749" ht="13.2" customHeight="1">
      <c r="I749" t="s" s="402">
        <v>6523</v>
      </c>
      <c r="J749" t="s" s="403">
        <v>6522</v>
      </c>
      <c r="K749" s="404">
        <v>44940</v>
      </c>
      <c r="L749" t="s" s="405">
        <v>227</v>
      </c>
      <c r="M749" s="406">
        <v>4</v>
      </c>
      <c r="N749" s="407">
        <v>29.99</v>
      </c>
      <c r="O749" s="407">
        <v>119.96</v>
      </c>
    </row>
    <row r="750" ht="12.9" customHeight="1">
      <c r="I750" s="392"/>
      <c r="J750" s="393"/>
      <c r="K750" s="393"/>
      <c r="L750" t="s" s="394">
        <v>84</v>
      </c>
      <c r="M750" s="146">
        <v>2</v>
      </c>
      <c r="N750" s="395">
        <v>0</v>
      </c>
      <c r="O750" s="395">
        <v>0</v>
      </c>
    </row>
    <row r="751" ht="12.9" customHeight="1">
      <c r="I751" s="392"/>
      <c r="J751" s="393"/>
      <c r="K751" s="393"/>
      <c r="L751" t="s" s="394">
        <v>23</v>
      </c>
      <c r="M751" s="146">
        <v>2</v>
      </c>
      <c r="N751" s="395">
        <v>0</v>
      </c>
      <c r="O751" s="395">
        <v>0</v>
      </c>
    </row>
    <row r="752" ht="12.9" customHeight="1">
      <c r="I752" s="392"/>
      <c r="J752" s="393"/>
      <c r="K752" s="393"/>
      <c r="L752" t="s" s="394">
        <v>81</v>
      </c>
      <c r="M752" s="146">
        <v>2</v>
      </c>
      <c r="N752" s="395">
        <v>849.99</v>
      </c>
      <c r="O752" s="395">
        <v>1699.98</v>
      </c>
    </row>
    <row r="753" ht="12.9" customHeight="1">
      <c r="I753" s="392"/>
      <c r="J753" s="393"/>
      <c r="K753" s="393"/>
      <c r="L753" t="s" s="394">
        <v>50</v>
      </c>
      <c r="M753" s="146">
        <v>2</v>
      </c>
      <c r="N753" s="395">
        <v>0</v>
      </c>
      <c r="O753" s="395">
        <v>0</v>
      </c>
    </row>
    <row r="754" ht="15.2" customHeight="1">
      <c r="I754" s="392"/>
      <c r="J754" s="393"/>
      <c r="K754" s="396">
        <v>44940</v>
      </c>
      <c r="L754" s="397"/>
      <c r="M754" s="398">
        <v>12</v>
      </c>
      <c r="N754" s="399">
        <v>879.98</v>
      </c>
      <c r="O754" s="399">
        <v>1819.94</v>
      </c>
    </row>
    <row r="755" ht="15.55" customHeight="1">
      <c r="I755" s="392"/>
      <c r="J755" t="s" s="400">
        <v>6522</v>
      </c>
      <c r="K755" s="127"/>
      <c r="L755" s="128"/>
      <c r="M755" s="129">
        <v>12</v>
      </c>
      <c r="N755" s="142">
        <v>879.98</v>
      </c>
      <c r="O755" s="142">
        <v>1819.94</v>
      </c>
    </row>
    <row r="756" ht="16.1" customHeight="1">
      <c r="I756" t="s" s="401">
        <v>6523</v>
      </c>
      <c r="J756" s="127"/>
      <c r="K756" s="127"/>
      <c r="L756" s="128"/>
      <c r="M756" s="129">
        <v>12</v>
      </c>
      <c r="N756" s="142">
        <v>879.98</v>
      </c>
      <c r="O756" s="142">
        <v>1819.94</v>
      </c>
    </row>
    <row r="757" ht="13.2" customHeight="1">
      <c r="I757" t="s" s="402">
        <v>6412</v>
      </c>
      <c r="J757" t="s" s="403">
        <v>6411</v>
      </c>
      <c r="K757" s="404">
        <v>44956</v>
      </c>
      <c r="L757" t="s" s="405">
        <v>35</v>
      </c>
      <c r="M757" s="406">
        <v>1</v>
      </c>
      <c r="N757" s="407">
        <v>49.99</v>
      </c>
      <c r="O757" s="407">
        <v>49.99</v>
      </c>
    </row>
    <row r="758" ht="15.2" customHeight="1">
      <c r="I758" s="392"/>
      <c r="J758" s="393"/>
      <c r="K758" s="396">
        <v>44956</v>
      </c>
      <c r="L758" s="397"/>
      <c r="M758" s="398">
        <v>1</v>
      </c>
      <c r="N758" s="399">
        <v>49.99</v>
      </c>
      <c r="O758" s="399">
        <v>49.99</v>
      </c>
    </row>
    <row r="759" ht="15.55" customHeight="1">
      <c r="I759" s="392"/>
      <c r="J759" t="s" s="400">
        <v>6411</v>
      </c>
      <c r="K759" s="127"/>
      <c r="L759" s="128"/>
      <c r="M759" s="129">
        <v>1</v>
      </c>
      <c r="N759" s="142">
        <v>49.99</v>
      </c>
      <c r="O759" s="142">
        <v>49.99</v>
      </c>
    </row>
    <row r="760" ht="16.1" customHeight="1">
      <c r="I760" t="s" s="401">
        <v>6412</v>
      </c>
      <c r="J760" s="127"/>
      <c r="K760" s="127"/>
      <c r="L760" s="128"/>
      <c r="M760" s="129">
        <v>1</v>
      </c>
      <c r="N760" s="142">
        <v>49.99</v>
      </c>
      <c r="O760" s="142">
        <v>49.99</v>
      </c>
    </row>
    <row r="761" ht="13.2" customHeight="1">
      <c r="I761" t="s" s="402">
        <v>6480</v>
      </c>
      <c r="J761" t="s" s="403">
        <v>6479</v>
      </c>
      <c r="K761" s="404">
        <v>44945</v>
      </c>
      <c r="L761" t="s" s="405">
        <v>11</v>
      </c>
      <c r="M761" s="406">
        <v>1</v>
      </c>
      <c r="N761" s="407">
        <v>399.99</v>
      </c>
      <c r="O761" s="407">
        <v>399.99</v>
      </c>
    </row>
    <row r="762" ht="15.2" customHeight="1">
      <c r="I762" s="392"/>
      <c r="J762" s="393"/>
      <c r="K762" s="396">
        <v>44945</v>
      </c>
      <c r="L762" s="397"/>
      <c r="M762" s="398">
        <v>1</v>
      </c>
      <c r="N762" s="399">
        <v>399.99</v>
      </c>
      <c r="O762" s="399">
        <v>399.99</v>
      </c>
    </row>
    <row r="763" ht="15.55" customHeight="1">
      <c r="I763" s="392"/>
      <c r="J763" t="s" s="400">
        <v>6479</v>
      </c>
      <c r="K763" s="127"/>
      <c r="L763" s="128"/>
      <c r="M763" s="129">
        <v>1</v>
      </c>
      <c r="N763" s="142">
        <v>399.99</v>
      </c>
      <c r="O763" s="142">
        <v>399.99</v>
      </c>
    </row>
    <row r="764" ht="16.1" customHeight="1">
      <c r="I764" t="s" s="401">
        <v>6480</v>
      </c>
      <c r="J764" s="127"/>
      <c r="K764" s="127"/>
      <c r="L764" s="128"/>
      <c r="M764" s="129">
        <v>1</v>
      </c>
      <c r="N764" s="142">
        <v>399.99</v>
      </c>
      <c r="O764" s="142">
        <v>399.99</v>
      </c>
    </row>
    <row r="765" ht="13.2" customHeight="1">
      <c r="I765" t="s" s="402">
        <v>6488</v>
      </c>
      <c r="J765" t="s" s="403">
        <v>6487</v>
      </c>
      <c r="K765" s="404">
        <v>44944</v>
      </c>
      <c r="L765" t="s" s="405">
        <v>31</v>
      </c>
      <c r="M765" s="406">
        <v>1</v>
      </c>
      <c r="N765" s="407">
        <v>599.99</v>
      </c>
      <c r="O765" s="407">
        <v>599.99</v>
      </c>
    </row>
    <row r="766" ht="15.2" customHeight="1">
      <c r="I766" s="392"/>
      <c r="J766" s="393"/>
      <c r="K766" s="396">
        <v>44944</v>
      </c>
      <c r="L766" s="397"/>
      <c r="M766" s="398">
        <v>1</v>
      </c>
      <c r="N766" s="399">
        <v>599.99</v>
      </c>
      <c r="O766" s="399">
        <v>599.99</v>
      </c>
    </row>
    <row r="767" ht="15.55" customHeight="1">
      <c r="I767" s="392"/>
      <c r="J767" t="s" s="400">
        <v>6487</v>
      </c>
      <c r="K767" s="127"/>
      <c r="L767" s="128"/>
      <c r="M767" s="129">
        <v>1</v>
      </c>
      <c r="N767" s="142">
        <v>599.99</v>
      </c>
      <c r="O767" s="142">
        <v>599.99</v>
      </c>
    </row>
    <row r="768" ht="16.1" customHeight="1">
      <c r="I768" t="s" s="401">
        <v>6488</v>
      </c>
      <c r="J768" s="127"/>
      <c r="K768" s="127"/>
      <c r="L768" s="128"/>
      <c r="M768" s="129">
        <v>1</v>
      </c>
      <c r="N768" s="142">
        <v>599.99</v>
      </c>
      <c r="O768" s="142">
        <v>599.99</v>
      </c>
    </row>
    <row r="769" ht="13.2" customHeight="1">
      <c r="I769" t="s" s="402">
        <v>2382</v>
      </c>
      <c r="J769" t="s" s="403">
        <v>6407</v>
      </c>
      <c r="K769" s="404">
        <v>44957</v>
      </c>
      <c r="L769" t="s" s="405">
        <v>6408</v>
      </c>
      <c r="M769" s="406">
        <v>1</v>
      </c>
      <c r="N769" s="407">
        <v>0</v>
      </c>
      <c r="O769" s="407">
        <v>0</v>
      </c>
    </row>
    <row r="770" ht="12.9" customHeight="1">
      <c r="I770" s="392"/>
      <c r="J770" s="393"/>
      <c r="K770" s="393"/>
      <c r="L770" t="s" s="394">
        <v>143</v>
      </c>
      <c r="M770" s="146">
        <v>3</v>
      </c>
      <c r="N770" s="395">
        <v>3199.99</v>
      </c>
      <c r="O770" s="395">
        <v>9599.969999999999</v>
      </c>
    </row>
    <row r="771" ht="12.9" customHeight="1">
      <c r="I771" s="392"/>
      <c r="J771" s="393"/>
      <c r="K771" s="393"/>
      <c r="L771" t="s" s="394">
        <v>47</v>
      </c>
      <c r="M771" s="146">
        <v>1</v>
      </c>
      <c r="N771" s="395">
        <v>172.88</v>
      </c>
      <c r="O771" s="395">
        <v>172.88</v>
      </c>
    </row>
    <row r="772" ht="15.2" customHeight="1">
      <c r="I772" s="392"/>
      <c r="J772" s="393"/>
      <c r="K772" s="396">
        <v>44957</v>
      </c>
      <c r="L772" s="397"/>
      <c r="M772" s="398">
        <v>5</v>
      </c>
      <c r="N772" s="399">
        <v>3372.87</v>
      </c>
      <c r="O772" s="399">
        <v>9772.85</v>
      </c>
    </row>
    <row r="773" ht="15.55" customHeight="1">
      <c r="I773" s="392"/>
      <c r="J773" t="s" s="400">
        <v>6407</v>
      </c>
      <c r="K773" s="127"/>
      <c r="L773" s="128"/>
      <c r="M773" s="129">
        <v>5</v>
      </c>
      <c r="N773" s="142">
        <v>3372.87</v>
      </c>
      <c r="O773" s="142">
        <v>9772.85</v>
      </c>
    </row>
    <row r="774" ht="16.1" customHeight="1">
      <c r="I774" t="s" s="401">
        <v>2382</v>
      </c>
      <c r="J774" s="127"/>
      <c r="K774" s="127"/>
      <c r="L774" s="128"/>
      <c r="M774" s="129">
        <v>5</v>
      </c>
      <c r="N774" s="142">
        <v>3372.87</v>
      </c>
      <c r="O774" s="142">
        <v>9772.85</v>
      </c>
    </row>
    <row r="775" ht="13.2" customHeight="1">
      <c r="I775" t="s" s="402">
        <v>42</v>
      </c>
      <c r="J775" t="s" s="403">
        <v>6552</v>
      </c>
      <c r="K775" s="404">
        <v>44937</v>
      </c>
      <c r="L775" t="s" s="405">
        <v>775</v>
      </c>
      <c r="M775" s="406">
        <v>2</v>
      </c>
      <c r="N775" s="407">
        <v>0</v>
      </c>
      <c r="O775" s="407">
        <v>0</v>
      </c>
    </row>
    <row r="776" ht="12.9" customHeight="1">
      <c r="I776" s="392"/>
      <c r="J776" s="393"/>
      <c r="K776" s="393"/>
      <c r="L776" t="s" s="394">
        <v>4888</v>
      </c>
      <c r="M776" s="146">
        <v>2</v>
      </c>
      <c r="N776" s="395">
        <v>0</v>
      </c>
      <c r="O776" s="395">
        <v>0</v>
      </c>
    </row>
    <row r="777" ht="15.2" customHeight="1">
      <c r="I777" s="392"/>
      <c r="J777" s="393"/>
      <c r="K777" s="396">
        <v>44937</v>
      </c>
      <c r="L777" s="397"/>
      <c r="M777" s="398">
        <v>4</v>
      </c>
      <c r="N777" s="399">
        <v>0</v>
      </c>
      <c r="O777" s="399">
        <v>0</v>
      </c>
    </row>
    <row r="778" ht="15.55" customHeight="1">
      <c r="I778" s="392"/>
      <c r="J778" t="s" s="400">
        <v>6552</v>
      </c>
      <c r="K778" s="127"/>
      <c r="L778" s="128"/>
      <c r="M778" s="129">
        <v>4</v>
      </c>
      <c r="N778" s="142">
        <v>0</v>
      </c>
      <c r="O778" s="142">
        <v>0</v>
      </c>
    </row>
    <row r="779" ht="13.2" customHeight="1">
      <c r="I779" s="392"/>
      <c r="J779" t="s" s="403">
        <v>6526</v>
      </c>
      <c r="K779" s="404">
        <v>44940</v>
      </c>
      <c r="L779" t="s" s="405">
        <v>3610</v>
      </c>
      <c r="M779" s="406">
        <v>18</v>
      </c>
      <c r="N779" s="407">
        <v>0</v>
      </c>
      <c r="O779" s="407">
        <v>0</v>
      </c>
    </row>
    <row r="780" ht="15.2" customHeight="1">
      <c r="I780" s="392"/>
      <c r="J780" s="393"/>
      <c r="K780" s="396">
        <v>44940</v>
      </c>
      <c r="L780" s="397"/>
      <c r="M780" s="398">
        <v>18</v>
      </c>
      <c r="N780" s="399">
        <v>0</v>
      </c>
      <c r="O780" s="399">
        <v>0</v>
      </c>
    </row>
    <row r="781" ht="15.55" customHeight="1">
      <c r="I781" s="392"/>
      <c r="J781" t="s" s="400">
        <v>6526</v>
      </c>
      <c r="K781" s="127"/>
      <c r="L781" s="128"/>
      <c r="M781" s="129">
        <v>18</v>
      </c>
      <c r="N781" s="142">
        <v>0</v>
      </c>
      <c r="O781" s="142">
        <v>0</v>
      </c>
    </row>
    <row r="782" ht="13.2" customHeight="1">
      <c r="I782" s="392"/>
      <c r="J782" t="s" s="403">
        <v>6549</v>
      </c>
      <c r="K782" s="404">
        <v>44937</v>
      </c>
      <c r="L782" t="s" s="405">
        <v>775</v>
      </c>
      <c r="M782" s="406">
        <v>1</v>
      </c>
      <c r="N782" s="407">
        <v>0</v>
      </c>
      <c r="O782" s="407">
        <v>0</v>
      </c>
    </row>
    <row r="783" ht="12.9" customHeight="1">
      <c r="I783" s="392"/>
      <c r="J783" s="393"/>
      <c r="K783" s="393"/>
      <c r="L783" t="s" s="394">
        <v>4888</v>
      </c>
      <c r="M783" s="146">
        <v>1</v>
      </c>
      <c r="N783" s="395">
        <v>0</v>
      </c>
      <c r="O783" s="395">
        <v>0</v>
      </c>
    </row>
    <row r="784" ht="15.2" customHeight="1">
      <c r="I784" s="392"/>
      <c r="J784" s="393"/>
      <c r="K784" s="396">
        <v>44937</v>
      </c>
      <c r="L784" s="397"/>
      <c r="M784" s="398">
        <v>2</v>
      </c>
      <c r="N784" s="399">
        <v>0</v>
      </c>
      <c r="O784" s="399">
        <v>0</v>
      </c>
    </row>
    <row r="785" ht="15.55" customHeight="1">
      <c r="I785" s="392"/>
      <c r="J785" t="s" s="400">
        <v>6549</v>
      </c>
      <c r="K785" s="127"/>
      <c r="L785" s="128"/>
      <c r="M785" s="129">
        <v>2</v>
      </c>
      <c r="N785" s="142">
        <v>0</v>
      </c>
      <c r="O785" s="142">
        <v>0</v>
      </c>
    </row>
    <row r="786" ht="16.1" customHeight="1">
      <c r="I786" t="s" s="401">
        <v>42</v>
      </c>
      <c r="J786" s="127"/>
      <c r="K786" s="127"/>
      <c r="L786" s="128"/>
      <c r="M786" s="129">
        <v>24</v>
      </c>
      <c r="N786" s="142">
        <v>0</v>
      </c>
      <c r="O786" s="142">
        <v>0</v>
      </c>
    </row>
    <row r="787" ht="13.2" customHeight="1">
      <c r="I787" t="s" s="402">
        <v>6477</v>
      </c>
      <c r="J787" t="s" s="403">
        <v>6529</v>
      </c>
      <c r="K787" s="404">
        <v>44939</v>
      </c>
      <c r="L787" t="s" s="405">
        <v>89</v>
      </c>
      <c r="M787" s="406">
        <v>2</v>
      </c>
      <c r="N787" s="407">
        <v>59.99</v>
      </c>
      <c r="O787" s="407">
        <v>119.98</v>
      </c>
    </row>
    <row r="788" ht="15.2" customHeight="1">
      <c r="I788" s="392"/>
      <c r="J788" s="393"/>
      <c r="K788" s="396">
        <v>44939</v>
      </c>
      <c r="L788" s="397"/>
      <c r="M788" s="398">
        <v>2</v>
      </c>
      <c r="N788" s="399">
        <v>59.99</v>
      </c>
      <c r="O788" s="399">
        <v>119.98</v>
      </c>
    </row>
    <row r="789" ht="15.55" customHeight="1">
      <c r="I789" s="392"/>
      <c r="J789" t="s" s="400">
        <v>6529</v>
      </c>
      <c r="K789" s="127"/>
      <c r="L789" s="128"/>
      <c r="M789" s="129">
        <v>2</v>
      </c>
      <c r="N789" s="142">
        <v>59.99</v>
      </c>
      <c r="O789" s="142">
        <v>119.98</v>
      </c>
    </row>
    <row r="790" ht="13.2" customHeight="1">
      <c r="I790" s="392"/>
      <c r="J790" t="s" s="403">
        <v>6476</v>
      </c>
      <c r="K790" s="404">
        <v>44946</v>
      </c>
      <c r="L790" t="s" s="405">
        <v>35</v>
      </c>
      <c r="M790" s="406">
        <v>1</v>
      </c>
      <c r="N790" s="407">
        <v>49.99</v>
      </c>
      <c r="O790" s="407">
        <v>49.99</v>
      </c>
    </row>
    <row r="791" ht="15.2" customHeight="1">
      <c r="I791" s="392"/>
      <c r="J791" s="393"/>
      <c r="K791" s="396">
        <v>44946</v>
      </c>
      <c r="L791" s="397"/>
      <c r="M791" s="398">
        <v>1</v>
      </c>
      <c r="N791" s="399">
        <v>49.99</v>
      </c>
      <c r="O791" s="399">
        <v>49.99</v>
      </c>
    </row>
    <row r="792" ht="15.55" customHeight="1">
      <c r="I792" s="392"/>
      <c r="J792" t="s" s="400">
        <v>6476</v>
      </c>
      <c r="K792" s="127"/>
      <c r="L792" s="128"/>
      <c r="M792" s="129">
        <v>1</v>
      </c>
      <c r="N792" s="142">
        <v>49.99</v>
      </c>
      <c r="O792" s="142">
        <v>49.99</v>
      </c>
    </row>
    <row r="793" ht="16.1" customHeight="1">
      <c r="I793" t="s" s="401">
        <v>6477</v>
      </c>
      <c r="J793" s="127"/>
      <c r="K793" s="127"/>
      <c r="L793" s="128"/>
      <c r="M793" s="129">
        <v>3</v>
      </c>
      <c r="N793" s="142">
        <v>109.98</v>
      </c>
      <c r="O793" s="142">
        <v>169.97</v>
      </c>
    </row>
    <row r="794" ht="13.2" customHeight="1">
      <c r="I794" t="s" s="402">
        <v>182</v>
      </c>
      <c r="J794" t="s" s="403">
        <v>6592</v>
      </c>
      <c r="K794" s="404">
        <v>44930</v>
      </c>
      <c r="L794" t="s" s="405">
        <v>73</v>
      </c>
      <c r="M794" s="406">
        <v>1</v>
      </c>
      <c r="N794" s="407">
        <v>399.99</v>
      </c>
      <c r="O794" s="407">
        <v>399.99</v>
      </c>
    </row>
    <row r="795" ht="15.2" customHeight="1">
      <c r="I795" s="392"/>
      <c r="J795" s="393"/>
      <c r="K795" s="396">
        <v>44930</v>
      </c>
      <c r="L795" s="397"/>
      <c r="M795" s="398">
        <v>1</v>
      </c>
      <c r="N795" s="399">
        <v>399.99</v>
      </c>
      <c r="O795" s="399">
        <v>399.99</v>
      </c>
    </row>
    <row r="796" ht="15.55" customHeight="1">
      <c r="I796" s="392"/>
      <c r="J796" t="s" s="400">
        <v>6592</v>
      </c>
      <c r="K796" s="127"/>
      <c r="L796" s="128"/>
      <c r="M796" s="129">
        <v>1</v>
      </c>
      <c r="N796" s="142">
        <v>399.99</v>
      </c>
      <c r="O796" s="142">
        <v>399.99</v>
      </c>
    </row>
    <row r="797" ht="16.1" customHeight="1">
      <c r="I797" t="s" s="401">
        <v>182</v>
      </c>
      <c r="J797" s="127"/>
      <c r="K797" s="127"/>
      <c r="L797" s="128"/>
      <c r="M797" s="129">
        <v>1</v>
      </c>
      <c r="N797" s="142">
        <v>399.99</v>
      </c>
      <c r="O797" s="142">
        <v>399.99</v>
      </c>
    </row>
    <row r="798" ht="13.2" customHeight="1">
      <c r="I798" t="s" s="402">
        <v>6583</v>
      </c>
      <c r="J798" t="s" s="403">
        <v>6582</v>
      </c>
      <c r="K798" s="404">
        <v>44931</v>
      </c>
      <c r="L798" t="s" s="405">
        <v>171</v>
      </c>
      <c r="M798" s="406">
        <v>1</v>
      </c>
      <c r="N798" s="407">
        <v>549.99</v>
      </c>
      <c r="O798" s="407">
        <v>549.99</v>
      </c>
    </row>
    <row r="799" ht="15.2" customHeight="1">
      <c r="I799" s="392"/>
      <c r="J799" s="393"/>
      <c r="K799" s="396">
        <v>44931</v>
      </c>
      <c r="L799" s="397"/>
      <c r="M799" s="398">
        <v>1</v>
      </c>
      <c r="N799" s="399">
        <v>549.99</v>
      </c>
      <c r="O799" s="399">
        <v>549.99</v>
      </c>
    </row>
    <row r="800" ht="15.55" customHeight="1">
      <c r="I800" s="392"/>
      <c r="J800" t="s" s="400">
        <v>6582</v>
      </c>
      <c r="K800" s="127"/>
      <c r="L800" s="128"/>
      <c r="M800" s="129">
        <v>1</v>
      </c>
      <c r="N800" s="142">
        <v>549.99</v>
      </c>
      <c r="O800" s="142">
        <v>549.99</v>
      </c>
    </row>
    <row r="801" ht="16.1" customHeight="1">
      <c r="I801" t="s" s="401">
        <v>6583</v>
      </c>
      <c r="J801" s="127"/>
      <c r="K801" s="127"/>
      <c r="L801" s="128"/>
      <c r="M801" s="129">
        <v>1</v>
      </c>
      <c r="N801" s="142">
        <v>549.99</v>
      </c>
      <c r="O801" s="142">
        <v>549.99</v>
      </c>
    </row>
    <row r="802" ht="13.2" customHeight="1">
      <c r="I802" t="s" s="402">
        <v>6602</v>
      </c>
      <c r="J802" t="s" s="403">
        <v>6601</v>
      </c>
      <c r="K802" s="404">
        <v>44928</v>
      </c>
      <c r="L802" t="s" s="405">
        <v>19</v>
      </c>
      <c r="M802" s="406">
        <v>8</v>
      </c>
      <c r="N802" s="407">
        <v>107.991</v>
      </c>
      <c r="O802" s="407">
        <v>863.928</v>
      </c>
    </row>
    <row r="803" ht="12.9" customHeight="1">
      <c r="I803" s="392"/>
      <c r="J803" s="393"/>
      <c r="K803" s="393"/>
      <c r="L803" t="s" s="394">
        <v>54</v>
      </c>
      <c r="M803" s="146">
        <v>8</v>
      </c>
      <c r="N803" s="395">
        <v>0</v>
      </c>
      <c r="O803" s="395">
        <v>0</v>
      </c>
    </row>
    <row r="804" ht="12.9" customHeight="1">
      <c r="I804" s="392"/>
      <c r="J804" s="393"/>
      <c r="K804" s="393"/>
      <c r="L804" t="s" s="394">
        <v>133</v>
      </c>
      <c r="M804" s="146">
        <v>4</v>
      </c>
      <c r="N804" s="395">
        <v>37.5</v>
      </c>
      <c r="O804" s="395">
        <v>150</v>
      </c>
    </row>
    <row r="805" ht="12.9" customHeight="1">
      <c r="I805" s="392"/>
      <c r="J805" s="393"/>
      <c r="K805" s="393"/>
      <c r="L805" t="s" s="394">
        <v>602</v>
      </c>
      <c r="M805" s="146">
        <v>4</v>
      </c>
      <c r="N805" s="395">
        <v>131.25</v>
      </c>
      <c r="O805" s="395">
        <v>525</v>
      </c>
    </row>
    <row r="806" ht="12.9" customHeight="1">
      <c r="I806" s="392"/>
      <c r="J806" s="393"/>
      <c r="K806" s="393"/>
      <c r="L806" t="s" s="394">
        <v>52</v>
      </c>
      <c r="M806" s="146">
        <v>8</v>
      </c>
      <c r="N806" s="395">
        <v>0</v>
      </c>
      <c r="O806" s="395">
        <v>0</v>
      </c>
    </row>
    <row r="807" ht="12.9" customHeight="1">
      <c r="I807" s="392"/>
      <c r="J807" s="393"/>
      <c r="K807" s="393"/>
      <c r="L807" t="s" s="394">
        <v>50</v>
      </c>
      <c r="M807" s="146">
        <v>8</v>
      </c>
      <c r="N807" s="395">
        <v>0</v>
      </c>
      <c r="O807" s="395">
        <v>0</v>
      </c>
    </row>
    <row r="808" ht="12.9" customHeight="1">
      <c r="I808" s="392"/>
      <c r="J808" s="393"/>
      <c r="K808" s="393"/>
      <c r="L808" t="s" s="394">
        <v>48</v>
      </c>
      <c r="M808" s="146">
        <v>8</v>
      </c>
      <c r="N808" s="395">
        <v>1169.991</v>
      </c>
      <c r="O808" s="395">
        <v>9359.928</v>
      </c>
    </row>
    <row r="809" ht="12.9" customHeight="1">
      <c r="I809" s="392"/>
      <c r="J809" s="393"/>
      <c r="K809" s="393"/>
      <c r="L809" t="s" s="394">
        <v>73</v>
      </c>
      <c r="M809" s="146">
        <v>1</v>
      </c>
      <c r="N809" s="395">
        <v>0</v>
      </c>
      <c r="O809" s="395">
        <v>0</v>
      </c>
    </row>
    <row r="810" ht="12.9" customHeight="1">
      <c r="I810" s="392"/>
      <c r="J810" s="393"/>
      <c r="K810" s="393"/>
      <c r="L810" t="s" s="394">
        <v>559</v>
      </c>
      <c r="M810" s="146">
        <v>100</v>
      </c>
      <c r="N810" s="395">
        <v>0</v>
      </c>
      <c r="O810" s="395">
        <v>0</v>
      </c>
    </row>
    <row r="811" ht="15.2" customHeight="1">
      <c r="I811" s="392"/>
      <c r="J811" s="393"/>
      <c r="K811" s="396">
        <v>44928</v>
      </c>
      <c r="L811" s="397"/>
      <c r="M811" s="398">
        <v>149</v>
      </c>
      <c r="N811" s="399">
        <v>1446.732</v>
      </c>
      <c r="O811" s="399">
        <v>10898.856</v>
      </c>
    </row>
    <row r="812" ht="15.55" customHeight="1">
      <c r="I812" s="392"/>
      <c r="J812" t="s" s="400">
        <v>6601</v>
      </c>
      <c r="K812" s="127"/>
      <c r="L812" s="128"/>
      <c r="M812" s="129">
        <v>149</v>
      </c>
      <c r="N812" s="142">
        <v>1446.732</v>
      </c>
      <c r="O812" s="142">
        <v>10898.856</v>
      </c>
    </row>
    <row r="813" ht="16.1" customHeight="1">
      <c r="I813" t="s" s="401">
        <v>6602</v>
      </c>
      <c r="J813" s="127"/>
      <c r="K813" s="127"/>
      <c r="L813" s="128"/>
      <c r="M813" s="129">
        <v>149</v>
      </c>
      <c r="N813" s="142">
        <v>1446.732</v>
      </c>
      <c r="O813" s="142">
        <v>10898.856</v>
      </c>
    </row>
    <row r="814" ht="13.2" customHeight="1">
      <c r="I814" t="s" s="402">
        <v>6440</v>
      </c>
      <c r="J814" t="s" s="403">
        <v>6439</v>
      </c>
      <c r="K814" s="404">
        <v>44951</v>
      </c>
      <c r="L814" t="s" s="405">
        <v>1961</v>
      </c>
      <c r="M814" s="406">
        <v>2</v>
      </c>
      <c r="N814" s="407">
        <v>109.99</v>
      </c>
      <c r="O814" s="407">
        <v>219.98</v>
      </c>
    </row>
    <row r="815" ht="12.9" customHeight="1">
      <c r="I815" s="392"/>
      <c r="J815" s="393"/>
      <c r="K815" s="393"/>
      <c r="L815" t="s" s="394">
        <v>470</v>
      </c>
      <c r="M815" s="146">
        <v>2</v>
      </c>
      <c r="N815" s="395">
        <v>249.99</v>
      </c>
      <c r="O815" s="395">
        <v>499.98</v>
      </c>
    </row>
    <row r="816" ht="15.2" customHeight="1">
      <c r="I816" s="392"/>
      <c r="J816" s="393"/>
      <c r="K816" s="396">
        <v>44951</v>
      </c>
      <c r="L816" s="397"/>
      <c r="M816" s="398">
        <v>4</v>
      </c>
      <c r="N816" s="399">
        <v>359.98</v>
      </c>
      <c r="O816" s="399">
        <v>719.96</v>
      </c>
    </row>
    <row r="817" ht="15.55" customHeight="1">
      <c r="I817" s="392"/>
      <c r="J817" t="s" s="400">
        <v>6439</v>
      </c>
      <c r="K817" s="127"/>
      <c r="L817" s="128"/>
      <c r="M817" s="129">
        <v>4</v>
      </c>
      <c r="N817" s="142">
        <v>359.98</v>
      </c>
      <c r="O817" s="142">
        <v>719.96</v>
      </c>
    </row>
    <row r="818" ht="16.1" customHeight="1">
      <c r="I818" t="s" s="401">
        <v>6440</v>
      </c>
      <c r="J818" s="127"/>
      <c r="K818" s="127"/>
      <c r="L818" s="128"/>
      <c r="M818" s="129">
        <v>4</v>
      </c>
      <c r="N818" s="142">
        <v>359.98</v>
      </c>
      <c r="O818" s="142">
        <v>719.96</v>
      </c>
    </row>
    <row r="819" ht="13.2" customHeight="1">
      <c r="I819" t="s" s="402">
        <v>6449</v>
      </c>
      <c r="J819" t="s" s="403">
        <v>6448</v>
      </c>
      <c r="K819" s="404">
        <v>44950</v>
      </c>
      <c r="L819" t="s" s="405">
        <v>11</v>
      </c>
      <c r="M819" s="406">
        <v>2</v>
      </c>
      <c r="N819" s="407">
        <v>399.99</v>
      </c>
      <c r="O819" s="407">
        <v>799.98</v>
      </c>
    </row>
    <row r="820" ht="15.2" customHeight="1">
      <c r="I820" s="392"/>
      <c r="J820" s="393"/>
      <c r="K820" s="396">
        <v>44950</v>
      </c>
      <c r="L820" s="397"/>
      <c r="M820" s="398">
        <v>2</v>
      </c>
      <c r="N820" s="399">
        <v>399.99</v>
      </c>
      <c r="O820" s="399">
        <v>799.98</v>
      </c>
    </row>
    <row r="821" ht="15.55" customHeight="1">
      <c r="I821" s="392"/>
      <c r="J821" t="s" s="400">
        <v>6448</v>
      </c>
      <c r="K821" s="127"/>
      <c r="L821" s="128"/>
      <c r="M821" s="129">
        <v>2</v>
      </c>
      <c r="N821" s="142">
        <v>399.99</v>
      </c>
      <c r="O821" s="142">
        <v>799.98</v>
      </c>
    </row>
    <row r="822" ht="16.1" customHeight="1">
      <c r="I822" t="s" s="401">
        <v>6449</v>
      </c>
      <c r="J822" s="127"/>
      <c r="K822" s="127"/>
      <c r="L822" s="128"/>
      <c r="M822" s="129">
        <v>2</v>
      </c>
      <c r="N822" s="142">
        <v>399.99</v>
      </c>
      <c r="O822" s="142">
        <v>799.98</v>
      </c>
    </row>
    <row r="823" ht="13.2" customHeight="1">
      <c r="I823" t="s" s="402">
        <v>3455</v>
      </c>
      <c r="J823" t="s" s="403">
        <v>6595</v>
      </c>
      <c r="K823" s="404">
        <v>44930</v>
      </c>
      <c r="L823" t="s" s="405">
        <v>63</v>
      </c>
      <c r="M823" s="406">
        <v>1</v>
      </c>
      <c r="N823" s="407">
        <v>15</v>
      </c>
      <c r="O823" s="407">
        <v>15</v>
      </c>
    </row>
    <row r="824" ht="12.9" customHeight="1">
      <c r="I824" s="392"/>
      <c r="J824" s="393"/>
      <c r="K824" s="393"/>
      <c r="L824" t="s" s="394">
        <v>6596</v>
      </c>
      <c r="M824" s="146">
        <v>4</v>
      </c>
      <c r="N824" s="395">
        <v>18.5</v>
      </c>
      <c r="O824" s="395">
        <v>74</v>
      </c>
    </row>
    <row r="825" ht="15.2" customHeight="1">
      <c r="I825" s="392"/>
      <c r="J825" s="393"/>
      <c r="K825" s="396">
        <v>44930</v>
      </c>
      <c r="L825" s="397"/>
      <c r="M825" s="398">
        <v>5</v>
      </c>
      <c r="N825" s="399">
        <v>33.5</v>
      </c>
      <c r="O825" s="399">
        <v>89</v>
      </c>
    </row>
    <row r="826" ht="15.55" customHeight="1">
      <c r="I826" s="392"/>
      <c r="J826" t="s" s="400">
        <v>6595</v>
      </c>
      <c r="K826" s="127"/>
      <c r="L826" s="128"/>
      <c r="M826" s="129">
        <v>5</v>
      </c>
      <c r="N826" s="142">
        <v>33.5</v>
      </c>
      <c r="O826" s="142">
        <v>89</v>
      </c>
    </row>
    <row r="827" ht="16.1" customHeight="1">
      <c r="I827" t="s" s="401">
        <v>3455</v>
      </c>
      <c r="J827" s="127"/>
      <c r="K827" s="127"/>
      <c r="L827" s="128"/>
      <c r="M827" s="129">
        <v>5</v>
      </c>
      <c r="N827" s="142">
        <v>33.5</v>
      </c>
      <c r="O827" s="142">
        <v>89</v>
      </c>
    </row>
    <row r="828" ht="13.2" customHeight="1">
      <c r="I828" t="s" s="402">
        <v>6605</v>
      </c>
      <c r="J828" t="s" s="403">
        <v>6604</v>
      </c>
      <c r="K828" s="404">
        <v>44927</v>
      </c>
      <c r="L828" t="s" s="405">
        <v>84</v>
      </c>
      <c r="M828" s="406">
        <v>1</v>
      </c>
      <c r="N828" s="407">
        <v>15</v>
      </c>
      <c r="O828" s="407">
        <v>15</v>
      </c>
    </row>
    <row r="829" ht="12.9" customHeight="1">
      <c r="I829" s="392"/>
      <c r="J829" s="393"/>
      <c r="K829" s="393"/>
      <c r="L829" t="s" s="394">
        <v>23</v>
      </c>
      <c r="M829" s="146">
        <v>1</v>
      </c>
      <c r="N829" s="395">
        <v>149.99</v>
      </c>
      <c r="O829" s="395">
        <v>149.99</v>
      </c>
    </row>
    <row r="830" ht="12.9" customHeight="1">
      <c r="I830" s="392"/>
      <c r="J830" s="393"/>
      <c r="K830" s="393"/>
      <c r="L830" t="s" s="394">
        <v>31</v>
      </c>
      <c r="M830" s="146">
        <v>1</v>
      </c>
      <c r="N830" s="395">
        <v>599.99</v>
      </c>
      <c r="O830" s="395">
        <v>599.99</v>
      </c>
    </row>
    <row r="831" ht="15.2" customHeight="1">
      <c r="I831" s="392"/>
      <c r="J831" s="393"/>
      <c r="K831" s="396">
        <v>44927</v>
      </c>
      <c r="L831" s="397"/>
      <c r="M831" s="398">
        <v>3</v>
      </c>
      <c r="N831" s="399">
        <v>764.98</v>
      </c>
      <c r="O831" s="399">
        <v>764.98</v>
      </c>
    </row>
    <row r="832" ht="15.55" customHeight="1">
      <c r="I832" s="392"/>
      <c r="J832" t="s" s="400">
        <v>6604</v>
      </c>
      <c r="K832" s="127"/>
      <c r="L832" s="128"/>
      <c r="M832" s="129">
        <v>3</v>
      </c>
      <c r="N832" s="142">
        <v>764.98</v>
      </c>
      <c r="O832" s="142">
        <v>764.98</v>
      </c>
    </row>
    <row r="833" ht="16.1" customHeight="1">
      <c r="I833" t="s" s="401">
        <v>6605</v>
      </c>
      <c r="J833" s="127"/>
      <c r="K833" s="127"/>
      <c r="L833" s="128"/>
      <c r="M833" s="129">
        <v>3</v>
      </c>
      <c r="N833" s="142">
        <v>764.98</v>
      </c>
      <c r="O833" s="142">
        <v>764.98</v>
      </c>
    </row>
    <row r="834" ht="13.2" customHeight="1">
      <c r="I834" t="s" s="402">
        <v>721</v>
      </c>
      <c r="J834" t="s" s="403">
        <v>6597</v>
      </c>
      <c r="K834" s="404">
        <v>44930</v>
      </c>
      <c r="L834" t="s" s="405">
        <v>762</v>
      </c>
      <c r="M834" s="406">
        <v>1</v>
      </c>
      <c r="N834" s="407">
        <v>0</v>
      </c>
      <c r="O834" s="407">
        <v>0</v>
      </c>
    </row>
    <row r="835" ht="15.2" customHeight="1">
      <c r="I835" s="392"/>
      <c r="J835" s="393"/>
      <c r="K835" s="396">
        <v>44930</v>
      </c>
      <c r="L835" s="397"/>
      <c r="M835" s="398">
        <v>1</v>
      </c>
      <c r="N835" s="399">
        <v>0</v>
      </c>
      <c r="O835" s="399">
        <v>0</v>
      </c>
    </row>
    <row r="836" ht="15.55" customHeight="1">
      <c r="I836" s="392"/>
      <c r="J836" t="s" s="400">
        <v>6597</v>
      </c>
      <c r="K836" s="127"/>
      <c r="L836" s="128"/>
      <c r="M836" s="129">
        <v>1</v>
      </c>
      <c r="N836" s="142">
        <v>0</v>
      </c>
      <c r="O836" s="142">
        <v>0</v>
      </c>
    </row>
    <row r="837" ht="13.2" customHeight="1">
      <c r="I837" s="392"/>
      <c r="J837" t="s" s="403">
        <v>6492</v>
      </c>
      <c r="K837" s="404">
        <v>44944</v>
      </c>
      <c r="L837" t="s" s="405">
        <v>468</v>
      </c>
      <c r="M837" s="406">
        <v>1</v>
      </c>
      <c r="N837" s="407">
        <v>1499.994</v>
      </c>
      <c r="O837" s="407">
        <v>1499.994</v>
      </c>
    </row>
    <row r="838" ht="12.9" customHeight="1">
      <c r="I838" s="392"/>
      <c r="J838" s="393"/>
      <c r="K838" s="393"/>
      <c r="L838" t="s" s="394">
        <v>59</v>
      </c>
      <c r="M838" s="146">
        <v>1</v>
      </c>
      <c r="N838" s="395">
        <v>899.9924999999999</v>
      </c>
      <c r="O838" s="395">
        <v>899.9924999999999</v>
      </c>
    </row>
    <row r="839" ht="12.9" customHeight="1">
      <c r="I839" s="392"/>
      <c r="J839" s="393"/>
      <c r="K839" s="393"/>
      <c r="L839" t="s" s="394">
        <v>63</v>
      </c>
      <c r="M839" s="146">
        <v>1</v>
      </c>
      <c r="N839" s="395">
        <v>150</v>
      </c>
      <c r="O839" s="395">
        <v>150</v>
      </c>
    </row>
    <row r="840" ht="15.2" customHeight="1">
      <c r="I840" s="392"/>
      <c r="J840" s="393"/>
      <c r="K840" s="396">
        <v>44944</v>
      </c>
      <c r="L840" s="397"/>
      <c r="M840" s="398">
        <v>3</v>
      </c>
      <c r="N840" s="399">
        <v>2549.9865</v>
      </c>
      <c r="O840" s="399">
        <v>2549.9865</v>
      </c>
    </row>
    <row r="841" ht="15.55" customHeight="1">
      <c r="I841" s="392"/>
      <c r="J841" t="s" s="400">
        <v>6492</v>
      </c>
      <c r="K841" s="127"/>
      <c r="L841" s="128"/>
      <c r="M841" s="129">
        <v>3</v>
      </c>
      <c r="N841" s="142">
        <v>2549.9865</v>
      </c>
      <c r="O841" s="142">
        <v>2549.9865</v>
      </c>
    </row>
    <row r="842" ht="16.1" customHeight="1">
      <c r="I842" t="s" s="401">
        <v>721</v>
      </c>
      <c r="J842" s="127"/>
      <c r="K842" s="127"/>
      <c r="L842" s="128"/>
      <c r="M842" s="129">
        <v>4</v>
      </c>
      <c r="N842" s="142">
        <v>2549.9865</v>
      </c>
      <c r="O842" s="142">
        <v>2549.9865</v>
      </c>
    </row>
    <row r="843" ht="13.2" customHeight="1">
      <c r="I843" t="s" s="402">
        <v>6547</v>
      </c>
      <c r="J843" t="s" s="403">
        <v>6546</v>
      </c>
      <c r="K843" s="404">
        <v>44937</v>
      </c>
      <c r="L843" t="s" s="405">
        <v>35</v>
      </c>
      <c r="M843" s="406">
        <v>2</v>
      </c>
      <c r="N843" s="407">
        <v>49.99</v>
      </c>
      <c r="O843" s="407">
        <v>99.98</v>
      </c>
    </row>
    <row r="844" ht="15.2" customHeight="1">
      <c r="I844" s="392"/>
      <c r="J844" s="393"/>
      <c r="K844" s="396">
        <v>44937</v>
      </c>
      <c r="L844" s="397"/>
      <c r="M844" s="398">
        <v>2</v>
      </c>
      <c r="N844" s="399">
        <v>49.99</v>
      </c>
      <c r="O844" s="399">
        <v>99.98</v>
      </c>
    </row>
    <row r="845" ht="15.55" customHeight="1">
      <c r="I845" s="392"/>
      <c r="J845" t="s" s="400">
        <v>6546</v>
      </c>
      <c r="K845" s="127"/>
      <c r="L845" s="128"/>
      <c r="M845" s="129">
        <v>2</v>
      </c>
      <c r="N845" s="142">
        <v>49.99</v>
      </c>
      <c r="O845" s="142">
        <v>99.98</v>
      </c>
    </row>
    <row r="846" ht="16.1" customHeight="1">
      <c r="I846" t="s" s="401">
        <v>6547</v>
      </c>
      <c r="J846" s="127"/>
      <c r="K846" s="127"/>
      <c r="L846" s="128"/>
      <c r="M846" s="129">
        <v>2</v>
      </c>
      <c r="N846" s="142">
        <v>49.99</v>
      </c>
      <c r="O846" s="142">
        <v>99.98</v>
      </c>
    </row>
    <row r="847" ht="13.2" customHeight="1">
      <c r="I847" t="s" s="402">
        <v>2931</v>
      </c>
      <c r="J847" t="s" s="403">
        <v>6507</v>
      </c>
      <c r="K847" s="404">
        <v>44943</v>
      </c>
      <c r="L847" t="s" s="405">
        <v>123</v>
      </c>
      <c r="M847" s="406">
        <v>8</v>
      </c>
      <c r="N847" s="407">
        <v>134.9925</v>
      </c>
      <c r="O847" s="407">
        <v>1079.94</v>
      </c>
    </row>
    <row r="848" ht="12.9" customHeight="1">
      <c r="I848" s="392"/>
      <c r="J848" s="393"/>
      <c r="K848" s="393"/>
      <c r="L848" t="s" s="394">
        <v>59</v>
      </c>
      <c r="M848" s="146">
        <v>1</v>
      </c>
      <c r="N848" s="395">
        <v>899.9924999999999</v>
      </c>
      <c r="O848" s="395">
        <v>899.9924999999999</v>
      </c>
    </row>
    <row r="849" ht="12.9" customHeight="1">
      <c r="I849" s="392"/>
      <c r="J849" s="393"/>
      <c r="K849" s="393"/>
      <c r="L849" t="s" s="394">
        <v>63</v>
      </c>
      <c r="M849" s="146">
        <v>1</v>
      </c>
      <c r="N849" s="395">
        <v>38.5</v>
      </c>
      <c r="O849" s="395">
        <v>38.5</v>
      </c>
    </row>
    <row r="850" ht="15.2" customHeight="1">
      <c r="I850" s="392"/>
      <c r="J850" s="393"/>
      <c r="K850" s="396">
        <v>44943</v>
      </c>
      <c r="L850" s="397"/>
      <c r="M850" s="398">
        <v>10</v>
      </c>
      <c r="N850" s="399">
        <v>1073.485</v>
      </c>
      <c r="O850" s="399">
        <v>2018.4325</v>
      </c>
    </row>
    <row r="851" ht="15.55" customHeight="1">
      <c r="I851" s="392"/>
      <c r="J851" t="s" s="400">
        <v>6507</v>
      </c>
      <c r="K851" s="127"/>
      <c r="L851" s="128"/>
      <c r="M851" s="129">
        <v>10</v>
      </c>
      <c r="N851" s="142">
        <v>1073.485</v>
      </c>
      <c r="O851" s="142">
        <v>2018.4325</v>
      </c>
    </row>
    <row r="852" ht="16.1" customHeight="1">
      <c r="I852" t="s" s="401">
        <v>2931</v>
      </c>
      <c r="J852" s="127"/>
      <c r="K852" s="127"/>
      <c r="L852" s="128"/>
      <c r="M852" s="129">
        <v>10</v>
      </c>
      <c r="N852" s="142">
        <v>1073.485</v>
      </c>
      <c r="O852" s="142">
        <v>2018.4325</v>
      </c>
    </row>
    <row r="853" ht="13.2" customHeight="1">
      <c r="I853" t="s" s="402">
        <v>2703</v>
      </c>
      <c r="J853" t="s" s="403">
        <v>6500</v>
      </c>
      <c r="K853" s="404">
        <v>44943</v>
      </c>
      <c r="L853" t="s" s="405">
        <v>84</v>
      </c>
      <c r="M853" s="406">
        <v>2</v>
      </c>
      <c r="N853" s="407">
        <v>0</v>
      </c>
      <c r="O853" s="407">
        <v>0</v>
      </c>
    </row>
    <row r="854" ht="12.9" customHeight="1">
      <c r="I854" s="392"/>
      <c r="J854" s="393"/>
      <c r="K854" s="393"/>
      <c r="L854" t="s" s="394">
        <v>487</v>
      </c>
      <c r="M854" s="146">
        <v>2</v>
      </c>
      <c r="N854" s="395">
        <v>54.995</v>
      </c>
      <c r="O854" s="395">
        <v>109.99</v>
      </c>
    </row>
    <row r="855" ht="12.9" customHeight="1">
      <c r="I855" s="392"/>
      <c r="J855" s="393"/>
      <c r="K855" s="393"/>
      <c r="L855" t="s" s="394">
        <v>23</v>
      </c>
      <c r="M855" s="146">
        <v>2</v>
      </c>
      <c r="N855" s="395">
        <v>0</v>
      </c>
      <c r="O855" s="395">
        <v>0</v>
      </c>
    </row>
    <row r="856" ht="12.9" customHeight="1">
      <c r="I856" s="392"/>
      <c r="J856" s="393"/>
      <c r="K856" s="393"/>
      <c r="L856" t="s" s="394">
        <v>50</v>
      </c>
      <c r="M856" s="146">
        <v>2</v>
      </c>
      <c r="N856" s="395">
        <v>0</v>
      </c>
      <c r="O856" s="395">
        <v>0</v>
      </c>
    </row>
    <row r="857" ht="12.9" customHeight="1">
      <c r="I857" s="392"/>
      <c r="J857" s="393"/>
      <c r="K857" s="393"/>
      <c r="L857" t="s" s="394">
        <v>48</v>
      </c>
      <c r="M857" s="146">
        <v>2</v>
      </c>
      <c r="N857" s="395">
        <v>1299.99</v>
      </c>
      <c r="O857" s="395">
        <v>2599.98</v>
      </c>
    </row>
    <row r="858" ht="15.2" customHeight="1">
      <c r="I858" s="392"/>
      <c r="J858" s="393"/>
      <c r="K858" s="396">
        <v>44943</v>
      </c>
      <c r="L858" s="397"/>
      <c r="M858" s="398">
        <v>10</v>
      </c>
      <c r="N858" s="399">
        <v>1354.985</v>
      </c>
      <c r="O858" s="399">
        <v>2709.97</v>
      </c>
    </row>
    <row r="859" ht="15.55" customHeight="1">
      <c r="I859" s="392"/>
      <c r="J859" t="s" s="400">
        <v>6500</v>
      </c>
      <c r="K859" s="127"/>
      <c r="L859" s="128"/>
      <c r="M859" s="129">
        <v>10</v>
      </c>
      <c r="N859" s="142">
        <v>1354.985</v>
      </c>
      <c r="O859" s="142">
        <v>2709.97</v>
      </c>
    </row>
    <row r="860" ht="16.1" customHeight="1">
      <c r="I860" t="s" s="401">
        <v>2703</v>
      </c>
      <c r="J860" s="127"/>
      <c r="K860" s="127"/>
      <c r="L860" s="128"/>
      <c r="M860" s="129">
        <v>10</v>
      </c>
      <c r="N860" s="142">
        <v>1354.985</v>
      </c>
      <c r="O860" s="142">
        <v>2709.97</v>
      </c>
    </row>
    <row r="861" ht="13.2" customHeight="1">
      <c r="I861" t="s" s="402">
        <v>3801</v>
      </c>
      <c r="J861" t="s" s="403">
        <v>6462</v>
      </c>
      <c r="K861" s="404">
        <v>44949</v>
      </c>
      <c r="L861" t="s" s="405">
        <v>19</v>
      </c>
      <c r="M861" s="406">
        <v>1</v>
      </c>
      <c r="N861" s="407">
        <v>119.99</v>
      </c>
      <c r="O861" s="407">
        <v>119.99</v>
      </c>
    </row>
    <row r="862" ht="12.9" customHeight="1">
      <c r="I862" s="392"/>
      <c r="J862" s="393"/>
      <c r="K862" s="393"/>
      <c r="L862" t="s" s="394">
        <v>15</v>
      </c>
      <c r="M862" s="146">
        <v>1</v>
      </c>
      <c r="N862" s="395">
        <v>0</v>
      </c>
      <c r="O862" s="395">
        <v>0</v>
      </c>
    </row>
    <row r="863" ht="15.2" customHeight="1">
      <c r="I863" s="392"/>
      <c r="J863" s="393"/>
      <c r="K863" s="396">
        <v>44949</v>
      </c>
      <c r="L863" s="397"/>
      <c r="M863" s="398">
        <v>2</v>
      </c>
      <c r="N863" s="399">
        <v>119.99</v>
      </c>
      <c r="O863" s="399">
        <v>119.99</v>
      </c>
    </row>
    <row r="864" ht="15.55" customHeight="1">
      <c r="I864" s="392"/>
      <c r="J864" t="s" s="400">
        <v>6462</v>
      </c>
      <c r="K864" s="127"/>
      <c r="L864" s="128"/>
      <c r="M864" s="129">
        <v>2</v>
      </c>
      <c r="N864" s="142">
        <v>119.99</v>
      </c>
      <c r="O864" s="142">
        <v>119.99</v>
      </c>
    </row>
    <row r="865" ht="16.1" customHeight="1">
      <c r="I865" t="s" s="401">
        <v>3801</v>
      </c>
      <c r="J865" s="127"/>
      <c r="K865" s="127"/>
      <c r="L865" s="128"/>
      <c r="M865" s="129">
        <v>2</v>
      </c>
      <c r="N865" s="142">
        <v>119.99</v>
      </c>
      <c r="O865" s="142">
        <v>119.99</v>
      </c>
    </row>
    <row r="866" ht="13.2" customHeight="1">
      <c r="I866" t="s" s="402">
        <v>2323</v>
      </c>
      <c r="J866" t="s" s="403">
        <v>6419</v>
      </c>
      <c r="K866" s="404">
        <v>44956</v>
      </c>
      <c r="L866" t="s" s="405">
        <v>123</v>
      </c>
      <c r="M866" s="406">
        <v>2</v>
      </c>
      <c r="N866" s="407">
        <v>134.9925</v>
      </c>
      <c r="O866" s="407">
        <v>269.985</v>
      </c>
    </row>
    <row r="867" ht="12.9" customHeight="1">
      <c r="I867" s="392"/>
      <c r="J867" s="393"/>
      <c r="K867" s="393"/>
      <c r="L867" t="s" s="394">
        <v>227</v>
      </c>
      <c r="M867" s="146">
        <v>6</v>
      </c>
      <c r="N867" s="395">
        <v>22.4925</v>
      </c>
      <c r="O867" s="395">
        <v>134.955</v>
      </c>
    </row>
    <row r="868" ht="12.9" customHeight="1">
      <c r="I868" s="392"/>
      <c r="J868" s="393"/>
      <c r="K868" s="393"/>
      <c r="L868" t="s" s="394">
        <v>54</v>
      </c>
      <c r="M868" s="146">
        <v>14</v>
      </c>
      <c r="N868" s="395">
        <v>0</v>
      </c>
      <c r="O868" s="395">
        <v>0</v>
      </c>
    </row>
    <row r="869" ht="12.9" customHeight="1">
      <c r="I869" s="392"/>
      <c r="J869" s="393"/>
      <c r="K869" s="393"/>
      <c r="L869" t="s" s="394">
        <v>1695</v>
      </c>
      <c r="M869" s="146">
        <v>4</v>
      </c>
      <c r="N869" s="395">
        <v>37.4925</v>
      </c>
      <c r="O869" s="395">
        <v>149.97</v>
      </c>
    </row>
    <row r="870" ht="12.9" customHeight="1">
      <c r="I870" s="392"/>
      <c r="J870" s="393"/>
      <c r="K870" s="393"/>
      <c r="L870" t="s" s="394">
        <v>412</v>
      </c>
      <c r="M870" s="146">
        <v>12</v>
      </c>
      <c r="N870" s="395">
        <v>0</v>
      </c>
      <c r="O870" s="395">
        <v>0</v>
      </c>
    </row>
    <row r="871" ht="12.9" customHeight="1">
      <c r="I871" s="392"/>
      <c r="J871" s="393"/>
      <c r="K871" s="393"/>
      <c r="L871" t="s" s="394">
        <v>299</v>
      </c>
      <c r="M871" s="146">
        <v>8</v>
      </c>
      <c r="N871" s="395">
        <v>52.4925</v>
      </c>
      <c r="O871" s="395">
        <v>419.94</v>
      </c>
    </row>
    <row r="872" ht="12.9" customHeight="1">
      <c r="I872" s="392"/>
      <c r="J872" s="393"/>
      <c r="K872" s="393"/>
      <c r="L872" t="s" s="394">
        <v>487</v>
      </c>
      <c r="M872" s="146">
        <v>5</v>
      </c>
      <c r="N872" s="395">
        <v>82.49250000000001</v>
      </c>
      <c r="O872" s="395">
        <v>412.4625</v>
      </c>
    </row>
    <row r="873" ht="12.9" customHeight="1">
      <c r="I873" s="392"/>
      <c r="J873" s="393"/>
      <c r="K873" s="393"/>
      <c r="L873" t="s" s="394">
        <v>133</v>
      </c>
      <c r="M873" s="146">
        <v>14</v>
      </c>
      <c r="N873" s="395">
        <v>37.5</v>
      </c>
      <c r="O873" s="395">
        <v>525</v>
      </c>
    </row>
    <row r="874" ht="12.9" customHeight="1">
      <c r="I874" s="392"/>
      <c r="J874" s="393"/>
      <c r="K874" s="393"/>
      <c r="L874" t="s" s="394">
        <v>52</v>
      </c>
      <c r="M874" s="146">
        <v>6</v>
      </c>
      <c r="N874" s="395">
        <v>0</v>
      </c>
      <c r="O874" s="395">
        <v>0</v>
      </c>
    </row>
    <row r="875" ht="12.9" customHeight="1">
      <c r="I875" s="392"/>
      <c r="J875" s="393"/>
      <c r="K875" s="393"/>
      <c r="L875" t="s" s="394">
        <v>50</v>
      </c>
      <c r="M875" s="146">
        <v>6</v>
      </c>
      <c r="N875" s="395">
        <v>0</v>
      </c>
      <c r="O875" s="395">
        <v>0</v>
      </c>
    </row>
    <row r="876" ht="12.9" customHeight="1">
      <c r="I876" s="392"/>
      <c r="J876" s="393"/>
      <c r="K876" s="393"/>
      <c r="L876" t="s" s="394">
        <v>48</v>
      </c>
      <c r="M876" s="146">
        <v>6</v>
      </c>
      <c r="N876" s="395">
        <v>974.9924999999999</v>
      </c>
      <c r="O876" s="395">
        <v>5849.955</v>
      </c>
    </row>
    <row r="877" ht="12.9" customHeight="1">
      <c r="I877" s="392"/>
      <c r="J877" s="393"/>
      <c r="K877" s="393"/>
      <c r="L877" t="s" s="394">
        <v>468</v>
      </c>
      <c r="M877" s="146">
        <v>2</v>
      </c>
      <c r="N877" s="395">
        <v>1874.9925</v>
      </c>
      <c r="O877" s="395">
        <v>3749.985</v>
      </c>
    </row>
    <row r="878" ht="12.9" customHeight="1">
      <c r="I878" s="392"/>
      <c r="J878" s="393"/>
      <c r="K878" s="393"/>
      <c r="L878" t="s" s="394">
        <v>73</v>
      </c>
      <c r="M878" s="146">
        <v>2</v>
      </c>
      <c r="N878" s="395">
        <v>299.9925</v>
      </c>
      <c r="O878" s="395">
        <v>599.985</v>
      </c>
    </row>
    <row r="879" ht="12.9" customHeight="1">
      <c r="I879" s="392"/>
      <c r="J879" s="393"/>
      <c r="K879" s="393"/>
      <c r="L879" t="s" s="394">
        <v>559</v>
      </c>
      <c r="M879" s="146">
        <v>100</v>
      </c>
      <c r="N879" s="395">
        <v>0</v>
      </c>
      <c r="O879" s="395">
        <v>0</v>
      </c>
    </row>
    <row r="880" ht="12.9" customHeight="1">
      <c r="I880" s="392"/>
      <c r="J880" s="393"/>
      <c r="K880" s="393"/>
      <c r="L880" t="s" s="394">
        <v>47</v>
      </c>
      <c r="M880" s="146">
        <v>1</v>
      </c>
      <c r="N880" s="395">
        <v>225</v>
      </c>
      <c r="O880" s="395">
        <v>225</v>
      </c>
    </row>
    <row r="881" ht="15.2" customHeight="1">
      <c r="I881" s="392"/>
      <c r="J881" s="393"/>
      <c r="K881" s="396">
        <v>44956</v>
      </c>
      <c r="L881" s="397"/>
      <c r="M881" s="398">
        <v>188</v>
      </c>
      <c r="N881" s="399">
        <v>3742.44</v>
      </c>
      <c r="O881" s="399">
        <v>12337.2375</v>
      </c>
    </row>
    <row r="882" ht="15.55" customHeight="1">
      <c r="I882" s="392"/>
      <c r="J882" t="s" s="400">
        <v>6419</v>
      </c>
      <c r="K882" s="127"/>
      <c r="L882" s="128"/>
      <c r="M882" s="129">
        <v>188</v>
      </c>
      <c r="N882" s="142">
        <v>3742.44</v>
      </c>
      <c r="O882" s="142">
        <v>12337.2375</v>
      </c>
    </row>
    <row r="883" ht="16.1" customHeight="1">
      <c r="I883" t="s" s="401">
        <v>2323</v>
      </c>
      <c r="J883" s="127"/>
      <c r="K883" s="127"/>
      <c r="L883" s="128"/>
      <c r="M883" s="129">
        <v>188</v>
      </c>
      <c r="N883" s="142">
        <v>3742.44</v>
      </c>
      <c r="O883" s="142">
        <v>12337.2375</v>
      </c>
    </row>
    <row r="884" ht="13.2" customHeight="1">
      <c r="I884" t="s" s="402">
        <v>6544</v>
      </c>
      <c r="J884" t="s" s="403">
        <v>6543</v>
      </c>
      <c r="K884" s="404">
        <v>44938</v>
      </c>
      <c r="L884" t="s" s="405">
        <v>1695</v>
      </c>
      <c r="M884" s="406">
        <v>1</v>
      </c>
      <c r="N884" s="407">
        <v>49.99</v>
      </c>
      <c r="O884" s="407">
        <v>49.99</v>
      </c>
    </row>
    <row r="885" ht="12.9" customHeight="1">
      <c r="I885" s="392"/>
      <c r="J885" s="393"/>
      <c r="K885" s="393"/>
      <c r="L885" t="s" s="394">
        <v>15</v>
      </c>
      <c r="M885" s="146">
        <v>2</v>
      </c>
      <c r="N885" s="395">
        <v>9.99</v>
      </c>
      <c r="O885" s="395">
        <v>9.99</v>
      </c>
    </row>
    <row r="886" ht="15.2" customHeight="1">
      <c r="I886" s="392"/>
      <c r="J886" s="393"/>
      <c r="K886" s="396">
        <v>44938</v>
      </c>
      <c r="L886" s="397"/>
      <c r="M886" s="398">
        <v>3</v>
      </c>
      <c r="N886" s="399">
        <v>59.98</v>
      </c>
      <c r="O886" s="399">
        <v>59.98</v>
      </c>
    </row>
    <row r="887" ht="15.55" customHeight="1">
      <c r="I887" s="392"/>
      <c r="J887" t="s" s="400">
        <v>6543</v>
      </c>
      <c r="K887" s="127"/>
      <c r="L887" s="128"/>
      <c r="M887" s="129">
        <v>3</v>
      </c>
      <c r="N887" s="142">
        <v>59.98</v>
      </c>
      <c r="O887" s="142">
        <v>59.98</v>
      </c>
    </row>
    <row r="888" ht="16.1" customHeight="1">
      <c r="I888" t="s" s="401">
        <v>6544</v>
      </c>
      <c r="J888" s="127"/>
      <c r="K888" s="127"/>
      <c r="L888" s="128"/>
      <c r="M888" s="129">
        <v>3</v>
      </c>
      <c r="N888" s="142">
        <v>59.98</v>
      </c>
      <c r="O888" s="142">
        <v>59.98</v>
      </c>
    </row>
    <row r="889" ht="13.2" customHeight="1">
      <c r="I889" t="s" s="402">
        <v>1451</v>
      </c>
      <c r="J889" t="s" s="403">
        <v>6513</v>
      </c>
      <c r="K889" s="404">
        <v>44942</v>
      </c>
      <c r="L889" t="s" s="405">
        <v>95</v>
      </c>
      <c r="M889" s="406">
        <v>1</v>
      </c>
      <c r="N889" s="407">
        <v>349.99</v>
      </c>
      <c r="O889" s="407">
        <v>349.99</v>
      </c>
    </row>
    <row r="890" ht="15.2" customHeight="1">
      <c r="I890" s="392"/>
      <c r="J890" s="393"/>
      <c r="K890" s="396">
        <v>44942</v>
      </c>
      <c r="L890" s="397"/>
      <c r="M890" s="398">
        <v>1</v>
      </c>
      <c r="N890" s="399">
        <v>349.99</v>
      </c>
      <c r="O890" s="399">
        <v>349.99</v>
      </c>
    </row>
    <row r="891" ht="15.55" customHeight="1">
      <c r="I891" s="392"/>
      <c r="J891" t="s" s="400">
        <v>6513</v>
      </c>
      <c r="K891" s="127"/>
      <c r="L891" s="128"/>
      <c r="M891" s="129">
        <v>1</v>
      </c>
      <c r="N891" s="142">
        <v>349.99</v>
      </c>
      <c r="O891" s="142">
        <v>349.99</v>
      </c>
    </row>
    <row r="892" ht="16.1" customHeight="1">
      <c r="I892" t="s" s="401">
        <v>1451</v>
      </c>
      <c r="J892" s="127"/>
      <c r="K892" s="127"/>
      <c r="L892" s="128"/>
      <c r="M892" s="129">
        <v>1</v>
      </c>
      <c r="N892" s="142">
        <v>349.99</v>
      </c>
      <c r="O892" s="142">
        <v>349.99</v>
      </c>
    </row>
    <row r="893" ht="13.2" customHeight="1">
      <c r="I893" t="s" s="402">
        <v>6471</v>
      </c>
      <c r="J893" t="s" s="403">
        <v>6470</v>
      </c>
      <c r="K893" s="404">
        <v>44946</v>
      </c>
      <c r="L893" t="s" s="405">
        <v>602</v>
      </c>
      <c r="M893" s="406">
        <v>2</v>
      </c>
      <c r="N893" s="407">
        <v>299.99</v>
      </c>
      <c r="O893" s="407">
        <v>599.98</v>
      </c>
    </row>
    <row r="894" ht="15.2" customHeight="1">
      <c r="I894" s="392"/>
      <c r="J894" s="393"/>
      <c r="K894" s="396">
        <v>44946</v>
      </c>
      <c r="L894" s="397"/>
      <c r="M894" s="398">
        <v>2</v>
      </c>
      <c r="N894" s="399">
        <v>299.99</v>
      </c>
      <c r="O894" s="399">
        <v>599.98</v>
      </c>
    </row>
    <row r="895" ht="15.55" customHeight="1">
      <c r="I895" s="392"/>
      <c r="J895" t="s" s="400">
        <v>6470</v>
      </c>
      <c r="K895" s="127"/>
      <c r="L895" s="128"/>
      <c r="M895" s="129">
        <v>2</v>
      </c>
      <c r="N895" s="142">
        <v>299.99</v>
      </c>
      <c r="O895" s="142">
        <v>599.98</v>
      </c>
    </row>
    <row r="896" ht="16.1" customHeight="1">
      <c r="I896" t="s" s="401">
        <v>6471</v>
      </c>
      <c r="J896" s="127"/>
      <c r="K896" s="127"/>
      <c r="L896" s="128"/>
      <c r="M896" s="129">
        <v>2</v>
      </c>
      <c r="N896" s="142">
        <v>299.99</v>
      </c>
      <c r="O896" s="142">
        <v>599.98</v>
      </c>
    </row>
    <row r="897" ht="13.2" customHeight="1">
      <c r="I897" t="s" s="402">
        <v>6591</v>
      </c>
      <c r="J897" t="s" s="403">
        <v>6590</v>
      </c>
      <c r="K897" s="404">
        <v>44930</v>
      </c>
      <c r="L897" t="s" s="405">
        <v>77</v>
      </c>
      <c r="M897" s="406">
        <v>4</v>
      </c>
      <c r="N897" s="407">
        <v>19.99</v>
      </c>
      <c r="O897" s="407">
        <v>79.95999999999999</v>
      </c>
    </row>
    <row r="898" ht="15.2" customHeight="1">
      <c r="I898" s="392"/>
      <c r="J898" s="393"/>
      <c r="K898" s="396">
        <v>44930</v>
      </c>
      <c r="L898" s="397"/>
      <c r="M898" s="398">
        <v>4</v>
      </c>
      <c r="N898" s="399">
        <v>19.99</v>
      </c>
      <c r="O898" s="399">
        <v>79.95999999999999</v>
      </c>
    </row>
    <row r="899" ht="15.55" customHeight="1">
      <c r="I899" s="392"/>
      <c r="J899" t="s" s="400">
        <v>6590</v>
      </c>
      <c r="K899" s="127"/>
      <c r="L899" s="128"/>
      <c r="M899" s="129">
        <v>4</v>
      </c>
      <c r="N899" s="142">
        <v>19.99</v>
      </c>
      <c r="O899" s="142">
        <v>79.95999999999999</v>
      </c>
    </row>
    <row r="900" ht="16.1" customHeight="1">
      <c r="I900" t="s" s="401">
        <v>6591</v>
      </c>
      <c r="J900" s="127"/>
      <c r="K900" s="127"/>
      <c r="L900" s="128"/>
      <c r="M900" s="129">
        <v>4</v>
      </c>
      <c r="N900" s="142">
        <v>19.99</v>
      </c>
      <c r="O900" s="142">
        <v>79.95999999999999</v>
      </c>
    </row>
    <row r="901" ht="13.2" customHeight="1">
      <c r="I901" t="s" s="402">
        <v>2916</v>
      </c>
      <c r="J901" t="s" s="403">
        <v>6519</v>
      </c>
      <c r="K901" s="404">
        <v>44940</v>
      </c>
      <c r="L901" t="s" s="405">
        <v>227</v>
      </c>
      <c r="M901" s="406">
        <v>12</v>
      </c>
      <c r="N901" s="407">
        <v>29.99</v>
      </c>
      <c r="O901" s="407">
        <v>359.88</v>
      </c>
    </row>
    <row r="902" ht="12.9" customHeight="1">
      <c r="I902" s="392"/>
      <c r="J902" s="393"/>
      <c r="K902" s="393"/>
      <c r="L902" t="s" s="394">
        <v>84</v>
      </c>
      <c r="M902" s="146">
        <v>6</v>
      </c>
      <c r="N902" s="395">
        <v>0</v>
      </c>
      <c r="O902" s="395">
        <v>0</v>
      </c>
    </row>
    <row r="903" ht="12.9" customHeight="1">
      <c r="I903" s="392"/>
      <c r="J903" s="393"/>
      <c r="K903" s="393"/>
      <c r="L903" t="s" s="394">
        <v>602</v>
      </c>
      <c r="M903" s="146">
        <v>6</v>
      </c>
      <c r="N903" s="395">
        <v>175</v>
      </c>
      <c r="O903" s="395">
        <v>1050</v>
      </c>
    </row>
    <row r="904" ht="12.9" customHeight="1">
      <c r="I904" s="392"/>
      <c r="J904" s="393"/>
      <c r="K904" s="393"/>
      <c r="L904" t="s" s="394">
        <v>81</v>
      </c>
      <c r="M904" s="146">
        <v>6</v>
      </c>
      <c r="N904" s="395">
        <v>849.99</v>
      </c>
      <c r="O904" s="395">
        <v>5099.94</v>
      </c>
    </row>
    <row r="905" ht="12.9" customHeight="1">
      <c r="I905" s="392"/>
      <c r="J905" s="393"/>
      <c r="K905" s="393"/>
      <c r="L905" t="s" s="394">
        <v>50</v>
      </c>
      <c r="M905" s="146">
        <v>6</v>
      </c>
      <c r="N905" s="395">
        <v>0</v>
      </c>
      <c r="O905" s="395">
        <v>0</v>
      </c>
    </row>
    <row r="906" ht="15.2" customHeight="1">
      <c r="I906" s="392"/>
      <c r="J906" s="393"/>
      <c r="K906" s="396">
        <v>44940</v>
      </c>
      <c r="L906" s="397"/>
      <c r="M906" s="398">
        <v>36</v>
      </c>
      <c r="N906" s="399">
        <v>1054.98</v>
      </c>
      <c r="O906" s="399">
        <v>6509.82</v>
      </c>
    </row>
    <row r="907" ht="15.55" customHeight="1">
      <c r="I907" s="392"/>
      <c r="J907" t="s" s="400">
        <v>6519</v>
      </c>
      <c r="K907" s="127"/>
      <c r="L907" s="128"/>
      <c r="M907" s="129">
        <v>36</v>
      </c>
      <c r="N907" s="142">
        <v>1054.98</v>
      </c>
      <c r="O907" s="142">
        <v>6509.82</v>
      </c>
    </row>
    <row r="908" ht="16.1" customHeight="1">
      <c r="I908" t="s" s="408">
        <v>2916</v>
      </c>
      <c r="J908" s="133"/>
      <c r="K908" s="133"/>
      <c r="L908" s="134"/>
      <c r="M908" s="135">
        <v>36</v>
      </c>
      <c r="N908" s="143">
        <v>1054.98</v>
      </c>
      <c r="O908" s="143">
        <v>6509.82</v>
      </c>
    </row>
    <row r="909" ht="16.1" customHeight="1">
      <c r="I909" t="s" s="33">
        <v>620</v>
      </c>
      <c r="M909" s="34">
        <v>1475</v>
      </c>
      <c r="N909" s="35">
        <v>67786.4945</v>
      </c>
      <c r="O909" s="35">
        <v>171274.124</v>
      </c>
    </row>
    <row r="911" ht="15.55" customHeight="1">
      <c r="P911" t="s" s="2">
        <v>6607</v>
      </c>
      <c r="Q911" s="2"/>
    </row>
    <row r="912" ht="13.1" customHeight="1">
      <c r="P912" t="s" s="37">
        <v>4</v>
      </c>
      <c r="Q912" t="s" s="145">
        <v>617</v>
      </c>
    </row>
    <row r="913" ht="13.1" customHeight="1">
      <c r="P913" t="s" s="38">
        <v>559</v>
      </c>
      <c r="Q913" s="34">
        <v>400</v>
      </c>
    </row>
    <row r="914" ht="12.9" customHeight="1">
      <c r="P914" t="s" s="40">
        <v>412</v>
      </c>
      <c r="Q914" s="146">
        <v>233</v>
      </c>
    </row>
    <row r="915" ht="12.9" customHeight="1">
      <c r="P915" t="s" s="40">
        <v>54</v>
      </c>
      <c r="Q915" s="146">
        <v>87</v>
      </c>
    </row>
    <row r="916" ht="12.9" customHeight="1">
      <c r="P916" t="s" s="40">
        <v>50</v>
      </c>
      <c r="Q916" s="146">
        <v>79</v>
      </c>
    </row>
    <row r="917" ht="12.9" customHeight="1">
      <c r="P917" t="s" s="40">
        <v>48</v>
      </c>
      <c r="Q917" s="146">
        <v>49</v>
      </c>
    </row>
    <row r="918" ht="12.9" customHeight="1">
      <c r="P918" t="s" s="40">
        <v>15</v>
      </c>
      <c r="Q918" s="146">
        <v>40</v>
      </c>
    </row>
    <row r="919" ht="12.9" customHeight="1">
      <c r="P919" t="s" s="40">
        <v>52</v>
      </c>
      <c r="Q919" s="146">
        <v>37</v>
      </c>
    </row>
    <row r="920" ht="12.9" customHeight="1">
      <c r="P920" t="s" s="40">
        <v>227</v>
      </c>
      <c r="Q920" s="146">
        <v>32</v>
      </c>
    </row>
    <row r="921" ht="12.9" customHeight="1">
      <c r="P921" t="s" s="40">
        <v>133</v>
      </c>
      <c r="Q921" s="146">
        <v>31</v>
      </c>
    </row>
    <row r="922" ht="12.9" customHeight="1">
      <c r="P922" t="s" s="40">
        <v>19</v>
      </c>
      <c r="Q922" s="146">
        <v>30</v>
      </c>
    </row>
    <row r="923" ht="12.9" customHeight="1">
      <c r="P923" t="s" s="40">
        <v>602</v>
      </c>
      <c r="Q923" s="146">
        <v>30</v>
      </c>
    </row>
    <row r="924" ht="12.9" customHeight="1">
      <c r="P924" t="s" s="40">
        <v>23</v>
      </c>
      <c r="Q924" s="146">
        <v>26</v>
      </c>
    </row>
    <row r="925" ht="12.9" customHeight="1">
      <c r="P925" t="s" s="40">
        <v>89</v>
      </c>
      <c r="Q925" s="146">
        <v>26</v>
      </c>
    </row>
    <row r="926" ht="12.9" customHeight="1">
      <c r="P926" t="s" s="40">
        <v>84</v>
      </c>
      <c r="Q926" s="146">
        <v>21</v>
      </c>
    </row>
    <row r="927" ht="12.9" customHeight="1">
      <c r="P927" t="s" s="40">
        <v>73</v>
      </c>
      <c r="Q927" s="146">
        <v>19</v>
      </c>
    </row>
    <row r="928" ht="12.9" customHeight="1">
      <c r="P928" t="s" s="40">
        <v>266</v>
      </c>
      <c r="Q928" s="146">
        <v>18</v>
      </c>
    </row>
    <row r="929" ht="12.9" customHeight="1">
      <c r="P929" t="s" s="40">
        <v>35</v>
      </c>
      <c r="Q929" s="146">
        <v>18</v>
      </c>
    </row>
    <row r="930" ht="12.9" customHeight="1">
      <c r="P930" t="s" s="40">
        <v>3610</v>
      </c>
      <c r="Q930" s="146">
        <v>18</v>
      </c>
    </row>
    <row r="931" ht="12.9" customHeight="1">
      <c r="P931" t="s" s="40">
        <v>95</v>
      </c>
      <c r="Q931" s="146">
        <v>15</v>
      </c>
    </row>
    <row r="932" ht="12.9" customHeight="1">
      <c r="P932" t="s" s="40">
        <v>81</v>
      </c>
      <c r="Q932" s="146">
        <v>14</v>
      </c>
    </row>
    <row r="933" ht="12.9" customHeight="1">
      <c r="P933" t="s" s="40">
        <v>59</v>
      </c>
      <c r="Q933" s="146">
        <v>14</v>
      </c>
    </row>
    <row r="934" ht="12.9" customHeight="1">
      <c r="P934" t="s" s="40">
        <v>123</v>
      </c>
      <c r="Q934" s="146">
        <v>13</v>
      </c>
    </row>
    <row r="935" ht="12.9" customHeight="1">
      <c r="P935" t="s" s="40">
        <v>1054</v>
      </c>
      <c r="Q935" s="146">
        <v>13</v>
      </c>
    </row>
    <row r="936" ht="12.9" customHeight="1">
      <c r="P936" t="s" s="40">
        <v>468</v>
      </c>
      <c r="Q936" s="146">
        <v>13</v>
      </c>
    </row>
    <row r="937" ht="12.9" customHeight="1">
      <c r="P937" t="s" s="40">
        <v>1695</v>
      </c>
      <c r="Q937" s="146">
        <v>12</v>
      </c>
    </row>
    <row r="938" ht="12.9" customHeight="1">
      <c r="P938" t="s" s="40">
        <v>359</v>
      </c>
      <c r="Q938" s="146">
        <v>12</v>
      </c>
    </row>
    <row r="939" ht="12.9" customHeight="1">
      <c r="P939" t="s" s="40">
        <v>77</v>
      </c>
      <c r="Q939" s="146">
        <v>11</v>
      </c>
    </row>
    <row r="940" ht="12.9" customHeight="1">
      <c r="P940" t="s" s="40">
        <v>4800</v>
      </c>
      <c r="Q940" s="146">
        <v>10</v>
      </c>
    </row>
    <row r="941" ht="12.9" customHeight="1">
      <c r="P941" t="s" s="40">
        <v>31</v>
      </c>
      <c r="Q941" s="146">
        <v>10</v>
      </c>
    </row>
    <row r="942" ht="12.9" customHeight="1">
      <c r="P942" t="s" s="40">
        <v>47</v>
      </c>
      <c r="Q942" s="146">
        <v>9</v>
      </c>
    </row>
    <row r="943" ht="12.9" customHeight="1">
      <c r="P943" t="s" s="40">
        <v>299</v>
      </c>
      <c r="Q943" s="146">
        <v>8</v>
      </c>
    </row>
    <row r="944" ht="12.9" customHeight="1">
      <c r="P944" t="s" s="40">
        <v>11</v>
      </c>
      <c r="Q944" s="146">
        <v>8</v>
      </c>
    </row>
    <row r="945" ht="12.9" customHeight="1">
      <c r="P945" t="s" s="40">
        <v>487</v>
      </c>
      <c r="Q945" s="146">
        <v>7</v>
      </c>
    </row>
    <row r="946" ht="12.9" customHeight="1">
      <c r="P946" t="s" s="40">
        <v>171</v>
      </c>
      <c r="Q946" s="146">
        <v>7</v>
      </c>
    </row>
    <row r="947" ht="12.9" customHeight="1">
      <c r="P947" t="s" s="40">
        <v>1046</v>
      </c>
      <c r="Q947" s="146">
        <v>6</v>
      </c>
    </row>
    <row r="948" ht="12.9" customHeight="1">
      <c r="P948" t="s" s="40">
        <v>1891</v>
      </c>
      <c r="Q948" s="146">
        <v>6</v>
      </c>
    </row>
    <row r="949" ht="12.9" customHeight="1">
      <c r="P949" t="s" s="40">
        <v>1892</v>
      </c>
      <c r="Q949" s="146">
        <v>6</v>
      </c>
    </row>
    <row r="950" ht="12.9" customHeight="1">
      <c r="P950" t="s" s="40">
        <v>2787</v>
      </c>
      <c r="Q950" s="146">
        <v>6</v>
      </c>
    </row>
    <row r="951" ht="12.9" customHeight="1">
      <c r="P951" t="s" s="40">
        <v>63</v>
      </c>
      <c r="Q951" s="146">
        <v>6</v>
      </c>
    </row>
    <row r="952" ht="12.9" customHeight="1">
      <c r="P952" t="s" s="40">
        <v>2512</v>
      </c>
      <c r="Q952" s="146">
        <v>6</v>
      </c>
    </row>
    <row r="953" ht="12.9" customHeight="1">
      <c r="P953" t="s" s="40">
        <v>1729</v>
      </c>
      <c r="Q953" s="146">
        <v>5</v>
      </c>
    </row>
    <row r="954" ht="12.9" customHeight="1">
      <c r="P954" t="s" s="40">
        <v>143</v>
      </c>
      <c r="Q954" s="146">
        <v>5</v>
      </c>
    </row>
    <row r="955" ht="12.9" customHeight="1">
      <c r="P955" t="s" s="40">
        <v>345</v>
      </c>
      <c r="Q955" s="146">
        <v>4</v>
      </c>
    </row>
    <row r="956" ht="12.9" customHeight="1">
      <c r="P956" t="s" s="40">
        <v>125</v>
      </c>
      <c r="Q956" s="146">
        <v>4</v>
      </c>
    </row>
    <row r="957" ht="12.9" customHeight="1">
      <c r="P957" t="s" s="40">
        <v>146</v>
      </c>
      <c r="Q957" s="146">
        <v>4</v>
      </c>
    </row>
    <row r="958" ht="12.9" customHeight="1">
      <c r="P958" t="s" s="40">
        <v>722</v>
      </c>
      <c r="Q958" s="146">
        <v>4</v>
      </c>
    </row>
    <row r="959" ht="12.9" customHeight="1">
      <c r="P959" t="s" s="40">
        <v>6587</v>
      </c>
      <c r="Q959" s="146">
        <v>4</v>
      </c>
    </row>
    <row r="960" ht="12.9" customHeight="1">
      <c r="P960" t="s" s="40">
        <v>6596</v>
      </c>
      <c r="Q960" s="146">
        <v>4</v>
      </c>
    </row>
    <row r="961" ht="12.9" customHeight="1">
      <c r="P961" t="s" s="40">
        <v>1186</v>
      </c>
      <c r="Q961" s="146">
        <v>3</v>
      </c>
    </row>
    <row r="962" ht="12.9" customHeight="1">
      <c r="P962" t="s" s="40">
        <v>1187</v>
      </c>
      <c r="Q962" s="146">
        <v>3</v>
      </c>
    </row>
    <row r="963" ht="12.9" customHeight="1">
      <c r="P963" t="s" s="40">
        <v>775</v>
      </c>
      <c r="Q963" s="146">
        <v>3</v>
      </c>
    </row>
    <row r="964" ht="12.9" customHeight="1">
      <c r="P964" t="s" s="40">
        <v>3480</v>
      </c>
      <c r="Q964" s="146">
        <v>3</v>
      </c>
    </row>
    <row r="965" ht="12.9" customHeight="1">
      <c r="P965" t="s" s="40">
        <v>4888</v>
      </c>
      <c r="Q965" s="146">
        <v>3</v>
      </c>
    </row>
    <row r="966" ht="12.9" customHeight="1">
      <c r="P966" t="s" s="40">
        <v>589</v>
      </c>
      <c r="Q966" s="146">
        <v>2</v>
      </c>
    </row>
    <row r="967" ht="12.9" customHeight="1">
      <c r="P967" t="s" s="40">
        <v>1069</v>
      </c>
      <c r="Q967" s="146">
        <v>2</v>
      </c>
    </row>
    <row r="968" ht="12.9" customHeight="1">
      <c r="P968" t="s" s="40">
        <v>1961</v>
      </c>
      <c r="Q968" s="146">
        <v>2</v>
      </c>
    </row>
    <row r="969" ht="12.9" customHeight="1">
      <c r="P969" t="s" s="40">
        <v>39</v>
      </c>
      <c r="Q969" s="146">
        <v>2</v>
      </c>
    </row>
    <row r="970" ht="12.9" customHeight="1">
      <c r="P970" t="s" s="40">
        <v>470</v>
      </c>
      <c r="Q970" s="146">
        <v>2</v>
      </c>
    </row>
    <row r="971" ht="12.9" customHeight="1">
      <c r="P971" t="s" s="40">
        <v>254</v>
      </c>
      <c r="Q971" s="146">
        <v>2</v>
      </c>
    </row>
    <row r="972" ht="12.9" customHeight="1">
      <c r="P972" t="s" s="40">
        <v>109</v>
      </c>
      <c r="Q972" s="146">
        <v>1</v>
      </c>
    </row>
    <row r="973" ht="12.9" customHeight="1">
      <c r="P973" t="s" s="40">
        <v>6408</v>
      </c>
      <c r="Q973" s="146">
        <v>1</v>
      </c>
    </row>
    <row r="974" ht="12.9" customHeight="1">
      <c r="P974" t="s" s="40">
        <v>369</v>
      </c>
      <c r="Q974" s="146">
        <v>1</v>
      </c>
    </row>
    <row r="975" ht="12.9" customHeight="1">
      <c r="P975" t="s" s="40">
        <v>1593</v>
      </c>
      <c r="Q975" s="146">
        <v>1</v>
      </c>
    </row>
    <row r="976" ht="12.9" customHeight="1">
      <c r="P976" t="s" s="40">
        <v>356</v>
      </c>
      <c r="Q976" s="146">
        <v>1</v>
      </c>
    </row>
    <row r="977" ht="12.9" customHeight="1">
      <c r="P977" t="s" s="40">
        <v>6283</v>
      </c>
      <c r="Q977" s="146">
        <v>1</v>
      </c>
    </row>
    <row r="978" ht="12.9" customHeight="1">
      <c r="P978" t="s" s="40">
        <v>1914</v>
      </c>
      <c r="Q978" s="146">
        <v>1</v>
      </c>
    </row>
    <row r="979" ht="13.1" customHeight="1">
      <c r="P979" t="s" s="42">
        <v>762</v>
      </c>
      <c r="Q979" s="147">
        <v>1</v>
      </c>
    </row>
    <row r="980" ht="13.1" customHeight="1">
      <c r="P980" t="s" s="44">
        <v>620</v>
      </c>
      <c r="Q980" s="34">
        <v>1475</v>
      </c>
    </row>
    <row r="982" ht="15.55" customHeight="1">
      <c r="R982" t="s" s="2">
        <v>6608</v>
      </c>
      <c r="S982" s="2"/>
    </row>
    <row r="983" ht="13.1" customHeight="1">
      <c r="R983" t="s" s="37">
        <v>4</v>
      </c>
      <c r="S983" t="s" s="145">
        <v>619</v>
      </c>
    </row>
    <row r="984" ht="13.1" customHeight="1">
      <c r="R984" t="s" s="38">
        <v>48</v>
      </c>
      <c r="S984" s="50">
        <v>49284.7455</v>
      </c>
    </row>
    <row r="985" ht="12.9" customHeight="1">
      <c r="R985" t="s" s="40">
        <v>468</v>
      </c>
      <c r="S985" s="150">
        <v>23249.907</v>
      </c>
    </row>
    <row r="986" ht="12.9" customHeight="1">
      <c r="R986" t="s" s="40">
        <v>143</v>
      </c>
      <c r="S986" s="150">
        <v>15299.95</v>
      </c>
    </row>
    <row r="987" ht="12.9" customHeight="1">
      <c r="R987" t="s" s="40">
        <v>59</v>
      </c>
      <c r="S987" s="150">
        <v>12599.895</v>
      </c>
    </row>
    <row r="988" ht="12.9" customHeight="1">
      <c r="R988" t="s" s="40">
        <v>81</v>
      </c>
      <c r="S988" s="150">
        <v>11874.86</v>
      </c>
    </row>
    <row r="989" ht="12.9" customHeight="1">
      <c r="R989" t="s" s="40">
        <v>73</v>
      </c>
      <c r="S989" s="150">
        <v>6999.825</v>
      </c>
    </row>
    <row r="990" ht="12.9" customHeight="1">
      <c r="R990" t="s" s="40">
        <v>602</v>
      </c>
      <c r="S990" s="150">
        <v>6474.86</v>
      </c>
    </row>
    <row r="991" ht="12.9" customHeight="1">
      <c r="R991" t="s" s="40">
        <v>31</v>
      </c>
      <c r="S991" s="150">
        <v>5912.4</v>
      </c>
    </row>
    <row r="992" ht="12.9" customHeight="1">
      <c r="R992" t="s" s="40">
        <v>95</v>
      </c>
      <c r="S992" s="150">
        <v>5119.853</v>
      </c>
    </row>
    <row r="993" ht="12.9" customHeight="1">
      <c r="R993" t="s" s="40">
        <v>171</v>
      </c>
      <c r="S993" s="150">
        <v>3849.93</v>
      </c>
    </row>
    <row r="994" ht="12.9" customHeight="1">
      <c r="R994" t="s" s="40">
        <v>4800</v>
      </c>
      <c r="S994" s="150">
        <v>3500</v>
      </c>
    </row>
    <row r="995" ht="12.9" customHeight="1">
      <c r="R995" t="s" s="40">
        <v>722</v>
      </c>
      <c r="S995" s="150">
        <v>3479.96</v>
      </c>
    </row>
    <row r="996" ht="12.9" customHeight="1">
      <c r="R996" t="s" s="40">
        <v>19</v>
      </c>
      <c r="S996" s="150">
        <v>3263.728</v>
      </c>
    </row>
    <row r="997" ht="12.9" customHeight="1">
      <c r="R997" t="s" s="40">
        <v>11</v>
      </c>
      <c r="S997" s="150">
        <v>3054.923</v>
      </c>
    </row>
    <row r="998" ht="12.9" customHeight="1">
      <c r="R998" t="s" s="40">
        <v>123</v>
      </c>
      <c r="S998" s="150">
        <v>1799.9</v>
      </c>
    </row>
    <row r="999" ht="12.9" customHeight="1">
      <c r="R999" t="s" s="40">
        <v>47</v>
      </c>
      <c r="S999" s="150">
        <v>1769.01</v>
      </c>
    </row>
    <row r="1000" ht="12.9" customHeight="1">
      <c r="R1000" t="s" s="40">
        <v>133</v>
      </c>
      <c r="S1000" s="150">
        <v>1624.98</v>
      </c>
    </row>
    <row r="1001" ht="12.9" customHeight="1">
      <c r="R1001" t="s" s="40">
        <v>1054</v>
      </c>
      <c r="S1001" s="150">
        <v>1499.9</v>
      </c>
    </row>
    <row r="1002" ht="12.9" customHeight="1">
      <c r="R1002" t="s" s="40">
        <v>89</v>
      </c>
      <c r="S1002" s="150">
        <v>1319.78</v>
      </c>
    </row>
    <row r="1003" ht="12.9" customHeight="1">
      <c r="R1003" t="s" s="40">
        <v>35</v>
      </c>
      <c r="S1003" s="150">
        <v>887.3200000000001</v>
      </c>
    </row>
    <row r="1004" ht="12.9" customHeight="1">
      <c r="R1004" t="s" s="40">
        <v>345</v>
      </c>
      <c r="S1004" s="150">
        <v>871.62</v>
      </c>
    </row>
    <row r="1005" ht="12.9" customHeight="1">
      <c r="R1005" t="s" s="40">
        <v>227</v>
      </c>
      <c r="S1005" s="150">
        <v>839.72</v>
      </c>
    </row>
    <row r="1006" ht="12.9" customHeight="1">
      <c r="R1006" t="s" s="40">
        <v>3480</v>
      </c>
      <c r="S1006" s="150">
        <v>675</v>
      </c>
    </row>
    <row r="1007" ht="12.9" customHeight="1">
      <c r="R1007" t="s" s="40">
        <v>23</v>
      </c>
      <c r="S1007" s="150">
        <v>599.96</v>
      </c>
    </row>
    <row r="1008" ht="12.9" customHeight="1">
      <c r="R1008" t="s" s="40">
        <v>1695</v>
      </c>
      <c r="S1008" s="150">
        <v>549.89</v>
      </c>
    </row>
    <row r="1009" ht="12.9" customHeight="1">
      <c r="R1009" t="s" s="40">
        <v>63</v>
      </c>
      <c r="S1009" s="150">
        <v>533.95</v>
      </c>
    </row>
    <row r="1010" ht="12.9" customHeight="1">
      <c r="R1010" t="s" s="40">
        <v>487</v>
      </c>
      <c r="S1010" s="150">
        <v>522.4525</v>
      </c>
    </row>
    <row r="1011" ht="12.9" customHeight="1">
      <c r="R1011" t="s" s="40">
        <v>470</v>
      </c>
      <c r="S1011" s="150">
        <v>499.98</v>
      </c>
    </row>
    <row r="1012" ht="12.9" customHeight="1">
      <c r="R1012" t="s" s="40">
        <v>299</v>
      </c>
      <c r="S1012" s="150">
        <v>419.94</v>
      </c>
    </row>
    <row r="1013" ht="12.9" customHeight="1">
      <c r="R1013" t="s" s="40">
        <v>412</v>
      </c>
      <c r="S1013" s="150">
        <v>340.29</v>
      </c>
    </row>
    <row r="1014" ht="12.9" customHeight="1">
      <c r="R1014" t="s" s="40">
        <v>359</v>
      </c>
      <c r="S1014" s="150">
        <v>269.91</v>
      </c>
    </row>
    <row r="1015" ht="12.9" customHeight="1">
      <c r="R1015" t="s" s="40">
        <v>125</v>
      </c>
      <c r="S1015" s="150">
        <v>259.96</v>
      </c>
    </row>
    <row r="1016" ht="12.9" customHeight="1">
      <c r="R1016" t="s" s="40">
        <v>54</v>
      </c>
      <c r="S1016" s="150">
        <v>251.41</v>
      </c>
    </row>
    <row r="1017" ht="12.9" customHeight="1">
      <c r="R1017" t="s" s="40">
        <v>1961</v>
      </c>
      <c r="S1017" s="150">
        <v>219.98</v>
      </c>
    </row>
    <row r="1018" ht="12.9" customHeight="1">
      <c r="R1018" t="s" s="40">
        <v>39</v>
      </c>
      <c r="S1018" s="150">
        <v>219.98</v>
      </c>
    </row>
    <row r="1019" ht="12.9" customHeight="1">
      <c r="R1019" t="s" s="40">
        <v>1069</v>
      </c>
      <c r="S1019" s="150">
        <v>199.98</v>
      </c>
    </row>
    <row r="1020" ht="12.9" customHeight="1">
      <c r="R1020" t="s" s="40">
        <v>77</v>
      </c>
      <c r="S1020" s="150">
        <v>189.905</v>
      </c>
    </row>
    <row r="1021" ht="12.9" customHeight="1">
      <c r="R1021" t="s" s="40">
        <v>109</v>
      </c>
      <c r="S1021" s="150">
        <v>150</v>
      </c>
    </row>
    <row r="1022" ht="12.9" customHeight="1">
      <c r="R1022" t="s" s="40">
        <v>15</v>
      </c>
      <c r="S1022" s="150">
        <v>145.51</v>
      </c>
    </row>
    <row r="1023" ht="12.9" customHeight="1">
      <c r="R1023" t="s" s="40">
        <v>2787</v>
      </c>
      <c r="S1023" s="150">
        <v>137.94</v>
      </c>
    </row>
    <row r="1024" ht="12.9" customHeight="1">
      <c r="R1024" t="s" s="40">
        <v>1593</v>
      </c>
      <c r="S1024" s="150">
        <v>99.98999999999999</v>
      </c>
    </row>
    <row r="1025" ht="12.9" customHeight="1">
      <c r="R1025" t="s" s="40">
        <v>6587</v>
      </c>
      <c r="S1025" s="150">
        <v>90</v>
      </c>
    </row>
    <row r="1026" ht="12.9" customHeight="1">
      <c r="R1026" t="s" s="40">
        <v>146</v>
      </c>
      <c r="S1026" s="150">
        <v>79.95999999999999</v>
      </c>
    </row>
    <row r="1027" ht="12.9" customHeight="1">
      <c r="R1027" t="s" s="40">
        <v>1729</v>
      </c>
      <c r="S1027" s="150">
        <v>74.95</v>
      </c>
    </row>
    <row r="1028" ht="12.9" customHeight="1">
      <c r="R1028" t="s" s="40">
        <v>6596</v>
      </c>
      <c r="S1028" s="150">
        <v>74</v>
      </c>
    </row>
    <row r="1029" ht="12.9" customHeight="1">
      <c r="R1029" t="s" s="40">
        <v>84</v>
      </c>
      <c r="S1029" s="150">
        <v>45</v>
      </c>
    </row>
    <row r="1030" ht="12.9" customHeight="1">
      <c r="R1030" t="s" s="40">
        <v>589</v>
      </c>
      <c r="S1030" s="150">
        <v>14.98</v>
      </c>
    </row>
    <row r="1031" ht="12.9" customHeight="1">
      <c r="R1031" t="s" s="40">
        <v>369</v>
      </c>
      <c r="S1031" s="150">
        <v>12.99</v>
      </c>
    </row>
    <row r="1032" ht="12.9" customHeight="1">
      <c r="R1032" t="s" s="40">
        <v>1186</v>
      </c>
      <c r="S1032" s="150">
        <v>6</v>
      </c>
    </row>
    <row r="1033" ht="12.9" customHeight="1">
      <c r="R1033" t="s" s="40">
        <v>1892</v>
      </c>
      <c r="S1033" s="150">
        <v>4.2</v>
      </c>
    </row>
    <row r="1034" ht="12.9" customHeight="1">
      <c r="R1034" t="s" s="40">
        <v>266</v>
      </c>
      <c r="S1034" s="150">
        <v>2.5</v>
      </c>
    </row>
    <row r="1035" ht="12.9" customHeight="1">
      <c r="R1035" t="s" s="40">
        <v>1187</v>
      </c>
      <c r="S1035" s="150">
        <v>2.25</v>
      </c>
    </row>
    <row r="1036" ht="12.9" customHeight="1">
      <c r="R1036" t="s" s="40">
        <v>1046</v>
      </c>
      <c r="S1036" s="150">
        <v>1.5</v>
      </c>
    </row>
    <row r="1037" ht="12.9" customHeight="1">
      <c r="R1037" t="s" s="40">
        <v>1891</v>
      </c>
      <c r="S1037" s="150">
        <v>1.5</v>
      </c>
    </row>
    <row r="1038" ht="12.9" customHeight="1">
      <c r="R1038" t="s" s="40">
        <v>2512</v>
      </c>
      <c r="S1038" s="150">
        <v>1.2</v>
      </c>
    </row>
    <row r="1039" ht="12.9" customHeight="1">
      <c r="R1039" t="s" s="40">
        <v>775</v>
      </c>
      <c r="S1039" s="149">
        <v>0</v>
      </c>
    </row>
    <row r="1040" ht="12.9" customHeight="1">
      <c r="R1040" t="s" s="40">
        <v>6408</v>
      </c>
      <c r="S1040" s="149">
        <v>0</v>
      </c>
    </row>
    <row r="1041" ht="12.9" customHeight="1">
      <c r="R1041" t="s" s="40">
        <v>52</v>
      </c>
      <c r="S1041" s="149">
        <v>0</v>
      </c>
    </row>
    <row r="1042" ht="12.9" customHeight="1">
      <c r="R1042" t="s" s="40">
        <v>50</v>
      </c>
      <c r="S1042" s="149">
        <v>0</v>
      </c>
    </row>
    <row r="1043" ht="12.9" customHeight="1">
      <c r="R1043" t="s" s="40">
        <v>559</v>
      </c>
      <c r="S1043" s="149">
        <v>0</v>
      </c>
    </row>
    <row r="1044" ht="12.9" customHeight="1">
      <c r="R1044" t="s" s="40">
        <v>356</v>
      </c>
      <c r="S1044" s="149">
        <v>0</v>
      </c>
    </row>
    <row r="1045" ht="12.9" customHeight="1">
      <c r="R1045" t="s" s="40">
        <v>4888</v>
      </c>
      <c r="S1045" s="149">
        <v>0</v>
      </c>
    </row>
    <row r="1046" ht="12.9" customHeight="1">
      <c r="R1046" t="s" s="40">
        <v>6283</v>
      </c>
      <c r="S1046" s="149">
        <v>0</v>
      </c>
    </row>
    <row r="1047" ht="12.9" customHeight="1">
      <c r="R1047" t="s" s="40">
        <v>1914</v>
      </c>
      <c r="S1047" s="149">
        <v>0</v>
      </c>
    </row>
    <row r="1048" ht="12.9" customHeight="1">
      <c r="R1048" t="s" s="40">
        <v>3610</v>
      </c>
      <c r="S1048" s="149">
        <v>0</v>
      </c>
    </row>
    <row r="1049" ht="12.9" customHeight="1">
      <c r="R1049" t="s" s="40">
        <v>254</v>
      </c>
      <c r="S1049" s="149">
        <v>0</v>
      </c>
    </row>
    <row r="1050" ht="13.1" customHeight="1">
      <c r="R1050" t="s" s="42">
        <v>762</v>
      </c>
      <c r="S1050" s="151">
        <v>0</v>
      </c>
    </row>
    <row r="1051" ht="13.1" customHeight="1">
      <c r="R1051" t="s" s="44">
        <v>620</v>
      </c>
      <c r="S1051" s="50">
        <v>171274.124</v>
      </c>
    </row>
  </sheetData>
  <mergeCells count="4">
    <mergeCell ref="A1:H1"/>
    <mergeCell ref="I284:O284"/>
    <mergeCell ref="P911:Q911"/>
    <mergeCell ref="R982:S982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7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98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411" customWidth="1"/>
    <col min="15" max="16384" width="16.3516" style="411" customWidth="1"/>
  </cols>
  <sheetData>
    <row r="1" ht="15.55" customHeight="1">
      <c r="A1" t="s" s="2">
        <v>6609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0">
        <v>3284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251">
        <v>3237</v>
      </c>
    </row>
    <row r="3" ht="15.1" customHeight="1">
      <c r="A3" t="s" s="157">
        <v>3285</v>
      </c>
      <c r="B3" s="158">
        <f>GETPIVOTDATA("Sum of Order Quantity",'January 2023'!P912,"Line Item Name","CC-CH-02-MFD")</f>
        <v>4</v>
      </c>
      <c r="C3" s="159">
        <f>GETPIVOTDATA("Sum of Order Quantity",'February 2023'!P523,"Line Item Name","CC-CH-02-MFD")</f>
        <v>22</v>
      </c>
      <c r="D3" s="159">
        <f>GETPIVOTDATA("Sum of Order Quantity",'March 2023'!P1251,"Line Item Name","CC-CH-02-MFD")</f>
        <v>1</v>
      </c>
      <c r="E3" s="159">
        <f>GETPIVOTDATA("Sum of Order Quantity",'April 2023'!P436,"Line Item Name","2FT CO2 Hose - JIC x JIC")+GETPIVOTDATA("Sum of Order Quantity",'April 2023'!P436,"Line Item Name","CC-CH-02-MFD")</f>
        <v>17</v>
      </c>
      <c r="F3" s="159">
        <f>GETPIVOTDATA("Sum of Order Quantity",'May 2023'!P1140,"Line Item Name","CC-CH-02-MFD")</f>
        <v>22</v>
      </c>
      <c r="G3" s="159">
        <f>GETPIVOTDATA("Sum of Order Quantity",'June 2023'!P500,"Line Item Name","CC-CH-02-MFD")</f>
        <v>10</v>
      </c>
      <c r="H3" s="159">
        <f>GETPIVOTDATA("Sum of Order Quantity",'July 2023'!P1024,"Line Item Name","CC-CH-02-MFD")</f>
        <v>2</v>
      </c>
      <c r="I3" s="159">
        <f t="shared" si="7" ref="I3:M51">0</f>
        <v>0</v>
      </c>
      <c r="J3" s="159">
        <f t="shared" si="7"/>
        <v>0</v>
      </c>
      <c r="K3" s="159">
        <f>GETPIVOTDATA("Sum of Order Quantity",'October 2023'!P599,"Line Item Name","2FT CO2 Hose - 1/4" ID (JIC #6 x JIC #6)")+GETPIVOTDATA("Sum of Order Quantity",'October 2023'!P599,"Line Item Name","CC-CH-02-MFD")</f>
        <v>20</v>
      </c>
      <c r="L3" s="159">
        <f t="shared" si="7"/>
        <v>0</v>
      </c>
      <c r="M3" s="159">
        <f>GETPIVOTDATA("Sum of Order Quantity",'Decemeber 2023'!P419,"Line Item Name","CC-CH-02-MFD")</f>
        <v>18</v>
      </c>
      <c r="N3" s="252">
        <f>SUM(B3:M3)</f>
        <v>116</v>
      </c>
    </row>
    <row r="4" ht="15.1" customHeight="1">
      <c r="A4" t="s" s="163">
        <v>3312</v>
      </c>
      <c r="B4" s="164">
        <f>GETPIVOTDATA("Sum of Order Quantity",'January 2023'!P912,"Line Item Name","CC-CH-03.5-MFD")</f>
        <v>8</v>
      </c>
      <c r="C4" s="165">
        <f>GETPIVOTDATA("Sum of Order Quantity",'February 2023'!P523,"Line Item Name","CC-CH-03.5-MFD")</f>
        <v>18</v>
      </c>
      <c r="D4" s="165">
        <f>GETPIVOTDATA("Sum of Order Quantity",'March 2023'!P1251,"Line Item Name","CC-CH-03.5-MFD")</f>
        <v>8</v>
      </c>
      <c r="E4" s="165">
        <f>GETPIVOTDATA("Sum of Order Quantity",'April 2023'!P436,"Line Item Name","CC-CH-03.5-MFD")</f>
        <v>6</v>
      </c>
      <c r="F4" s="165">
        <f>GETPIVOTDATA("Sum of Order Quantity",'May 2023'!P1140,"Line Item Name","CC-CH-03.5-MFD")</f>
        <v>6</v>
      </c>
      <c r="G4" s="165">
        <f>GETPIVOTDATA("Sum of Order Quantity",'June 2023'!P500,"Line Item Name","CC-CH-03.5-MFD")</f>
        <v>4</v>
      </c>
      <c r="H4" s="165">
        <f>GETPIVOTDATA("Sum of Order Quantity",'July 2023'!P1024,"Line Item Name","CC-CH-03.5-MFD")</f>
        <v>8</v>
      </c>
      <c r="I4" s="165">
        <f>SUM(GETPIVOTDATA("Sum of Order Quantity",'August 2023'!P655,"Line Item Name","3.5FT CO2 HOSE - JIC X JIC 3.5FT CO2 HOSE - FEMALE JIC #6 X FEMALE JIC #6"),GETPIVOTDATA("Sum of Order Quantity",'August 2023'!P655,"Line Item Name","CC-CH-03.5-EXT"))</f>
        <v>72</v>
      </c>
      <c r="J4" s="165">
        <f>SUM(GETPIVOTDATA("Sum of Order Quantity",'September 2023'!P599,"Line Item Name","3.5FT CO2 HOSE - JIC X JIC 3.5FT CO2 HOSE - FEMALE JIC #6 X FEMALE JIC #6"),GETPIVOTDATA("Sum of Order Quantity",'September 2023'!P599,"Line Item Name","CC-CH-03.5-MFD"))</f>
        <v>12</v>
      </c>
      <c r="K4" s="165">
        <f>GETPIVOTDATA("Sum of Order Quantity",'October 2023'!P599,"Line Item Name","CC-CH-03.5-MFD")</f>
        <v>6</v>
      </c>
      <c r="L4" s="165">
        <f>GETPIVOTDATA("Sum of Order Quantity",'November 2023'!P454,"Line Item Name","CC-CH-03.5-MFD")</f>
        <v>20</v>
      </c>
      <c r="M4" s="165">
        <f>GETPIVOTDATA("Sum of Order Quantity",'Decemeber 2023'!P419,"Line Item Name","CC-CH-03.5-MFD")</f>
        <v>18</v>
      </c>
      <c r="N4" s="253">
        <f>SUM(B4:M4)</f>
        <v>186</v>
      </c>
    </row>
    <row r="5" ht="15.1" customHeight="1">
      <c r="A5" t="s" s="163">
        <v>3287</v>
      </c>
      <c r="B5" s="164">
        <f>0</f>
        <v>0</v>
      </c>
      <c r="C5" s="165">
        <f>GETPIVOTDATA("Sum of Order Quantity",'February 2023'!P523,"Line Item Name","CC-CH-05-MFD")</f>
        <v>4</v>
      </c>
      <c r="D5" s="165">
        <f>GETPIVOTDATA("Sum of Order Quantity",'March 2023'!P1251,"Line Item Name","CC-CH-05-MFD")</f>
        <v>20</v>
      </c>
      <c r="E5" s="165">
        <f>GETPIVOTDATA("Sum of Order Quantity",'April 2023'!P436,"Line Item Name","CC-CH-05-MFD")</f>
        <v>4</v>
      </c>
      <c r="F5" s="165">
        <f>GETPIVOTDATA("Sum of Order Quantity",'May 2023'!P1140,"Line Item Name","5FT CO2 Hose - 1/4" ID (JIC #6 x JIC #6)")</f>
        <v>10</v>
      </c>
      <c r="G5" s="165">
        <f>0</f>
        <v>0</v>
      </c>
      <c r="H5" s="165">
        <f>GETPIVOTDATA("Sum of Order Quantity",'July 2023'!P1024,"Line Item Name","CC-CH-05-MFD")</f>
        <v>6</v>
      </c>
      <c r="I5" s="165">
        <f>GETPIVOTDATA("Sum of Order Quantity",'August 2023'!P655,"Line Item Name","CC-CH-05-MFD")</f>
        <v>2</v>
      </c>
      <c r="J5" s="165">
        <f>GETPIVOTDATA("Sum of Order Quantity",'September 2023'!P599,"Line Item Name","CC-CH-05-MFD")+GETPIVOTDATA("Sum of Order Quantity",'September 2023'!P599,"Line Item Name","5FT CO2 Hose - JIC  x JIC")</f>
        <v>2</v>
      </c>
      <c r="K5" s="165">
        <f>GETPIVOTDATA("Sum of Order Quantity",'October 2023'!P599,"Line Item Name","CC-CH-05-MFD")+GETPIVOTDATA("Sum of Order Quantity",'October 2023'!P599,"Line Item Name","5FT CO2 Hose - 1/4" ID (JIC #6 x JIC #6)")</f>
        <v>26</v>
      </c>
      <c r="L5" s="165">
        <f>GETPIVOTDATA("Sum of Order Quantity",'November 2023'!P454,"Line Item Name","CC-CH-05-MFD")</f>
        <v>1</v>
      </c>
      <c r="M5" s="165">
        <f>GETPIVOTDATA("Sum of Order Quantity",'Decemeber 2023'!P419,"Line Item Name","CC-CH-05-MFD")</f>
        <v>32</v>
      </c>
      <c r="N5" s="253">
        <f>SUM(B5:M5)</f>
        <v>107</v>
      </c>
    </row>
    <row r="6" ht="15.1" customHeight="1">
      <c r="A6" t="s" s="163">
        <v>3288</v>
      </c>
      <c r="B6" s="164">
        <f>GETPIVOTDATA("Sum of Order Quantity",'January 2023'!P912,"Line Item Name","CC-CH-05-STD")</f>
        <v>1</v>
      </c>
      <c r="C6" s="165">
        <f>GETPIVOTDATA("Sum of Order Quantity",'February 2023'!P523,"Line Item Name","CC-CH-05-STD")</f>
        <v>9</v>
      </c>
      <c r="D6" s="165">
        <f>GETPIVOTDATA("Sum of Order Quantity",'March 2023'!P1251,"Line Item Name","CC-CH-05-STD")</f>
        <v>4</v>
      </c>
      <c r="E6" s="165">
        <f>GETPIVOTDATA("Sum of Order Quantity",'April 2023'!P436,"Line Item Name","CC-CH-05-STD")+1</f>
        <v>2</v>
      </c>
      <c r="F6" s="165">
        <f>0</f>
        <v>0</v>
      </c>
      <c r="G6" s="165">
        <f>GETPIVOTDATA("Sum of Order Quantity",'June 2023'!P500,"Line Item Name","CC-CH-05-STD")</f>
        <v>2</v>
      </c>
      <c r="H6" s="165">
        <f>0</f>
        <v>0</v>
      </c>
      <c r="I6" s="165">
        <f>GETPIVOTDATA("Sum of Order Quantity",'August 2023'!P655,"Line Item Name","CC-CH-05-STD")</f>
        <v>4</v>
      </c>
      <c r="J6" s="165">
        <f>GETPIVOTDATA("Sum of Order Quantity",'September 2023'!P599,"Line Item Name","CC-CH-05-STD")</f>
        <v>9</v>
      </c>
      <c r="K6" s="165">
        <f>GETPIVOTDATA("Sum of Order Quantity",'October 2023'!P599,"Line Item Name","CC-CH-05-STD - 01")+GETPIVOTDATA("Sum of Order Quantity",'October 2023'!P599,"Line Item Name","CC-CH-05-STD")</f>
        <v>7</v>
      </c>
      <c r="L6" s="165">
        <f>GETPIVOTDATA("Sum of Order Quantity",'November 2023'!P454,"Line Item Name","CC-CH-05-STD - 01")</f>
        <v>8</v>
      </c>
      <c r="M6" s="165">
        <f>SUM(GETPIVOTDATA("Sum of Order Quantity",'Decemeber 2023'!P419,"Line Item Name","5FT CO2 Hose - JIC  x JIC"),GETPIVOTDATA("Sum of Order Quantity",'Decemeber 2023'!P419,"Line Item Name","CC-CH-05-STD - 01"))</f>
        <v>15</v>
      </c>
      <c r="N6" s="253">
        <f>SUM(B6:M6)</f>
        <v>61</v>
      </c>
    </row>
    <row r="7" ht="15.1" customHeight="1">
      <c r="A7" t="s" s="163">
        <v>3289</v>
      </c>
      <c r="B7" s="164">
        <f>GETPIVOTDATA("Sum of Order Quantity",'January 2023'!P912,"Line Item Name","CC-CH-05-DSY")</f>
        <v>2</v>
      </c>
      <c r="C7" s="165">
        <f>0</f>
        <v>0</v>
      </c>
      <c r="D7" s="165">
        <f>GETPIVOTDATA("Sum of Order Quantity",'March 2023'!P1251,"Line Item Name","CC-CH-05-DSY")</f>
        <v>6</v>
      </c>
      <c r="E7" s="165">
        <f>0</f>
        <v>0</v>
      </c>
      <c r="F7" s="165">
        <f>SUM(GETPIVOTDATA("Sum of Order Quantity",'May 2023'!P1140,"Line Item Name","CC-CH-05-DSY"))</f>
        <v>13</v>
      </c>
      <c r="G7" s="165">
        <f>0</f>
        <v>0</v>
      </c>
      <c r="H7" s="165">
        <f>0</f>
        <v>0</v>
      </c>
      <c r="I7" s="165">
        <f>GETPIVOTDATA("Sum of Order Quantity",'August 2023'!P655,"Line Item Name","CC-CH-05-DSY")</f>
        <v>13</v>
      </c>
      <c r="J7" s="165">
        <f>GETPIVOTDATA("Sum of Order Quantity",'September 2023'!P599,"Line Item Name","CC-CH-05-DSY")</f>
        <v>10</v>
      </c>
      <c r="K7" s="165">
        <f>GETPIVOTDATA("Sum of Order Quantity",'October 2023'!P599,"Line Item Name","CC-CH-05-DSY")</f>
        <v>2</v>
      </c>
      <c r="L7" s="165">
        <f>GETPIVOTDATA("Sum of Order Quantity",'November 2023'!P454,"Line Item Name","CC-CH-05-DSY")</f>
        <v>1</v>
      </c>
      <c r="M7" s="165">
        <f>GETPIVOTDATA("Sum of Order Quantity",'Decemeber 2023'!P419,"Line Item Name","CC-CH-08-DSY")</f>
        <v>3</v>
      </c>
      <c r="N7" s="253">
        <f>SUM(B7:M7)</f>
        <v>50</v>
      </c>
    </row>
    <row r="8" ht="15.1" customHeight="1">
      <c r="A8" t="s" s="163">
        <v>3290</v>
      </c>
      <c r="B8" s="164">
        <f>0</f>
        <v>0</v>
      </c>
      <c r="C8" s="165">
        <v>0</v>
      </c>
      <c r="D8" s="165">
        <f>0</f>
        <v>0</v>
      </c>
      <c r="E8" s="165">
        <v>0</v>
      </c>
      <c r="F8" s="165">
        <v>0</v>
      </c>
      <c r="G8" s="165">
        <v>0</v>
      </c>
      <c r="H8" s="165">
        <f>GETPIVOTDATA("Sum of Order Quantity",'July 2023'!P1024,"Line Item Name","CC-CH-05-EXT")</f>
        <v>2</v>
      </c>
      <c r="I8" s="165">
        <f>GETPIVOTDATA("Sum of Order Quantity",'August 2023'!P655,"Line Item Name","CC-CH-05-EXT")</f>
        <v>2</v>
      </c>
      <c r="J8" s="165">
        <f t="shared" si="7"/>
        <v>0</v>
      </c>
      <c r="K8" s="165">
        <v>0</v>
      </c>
      <c r="L8" s="165">
        <f>GETPIVOTDATA("Sum of Order Quantity",'November 2023'!P454,"Line Item Name","CC-CH-05-EXT")</f>
        <v>6</v>
      </c>
      <c r="M8" s="165">
        <v>0</v>
      </c>
      <c r="N8" s="253">
        <f>SUM(B8:M8)</f>
        <v>10</v>
      </c>
    </row>
    <row r="9" ht="15.1" customHeight="1">
      <c r="A9" t="s" s="163">
        <v>3291</v>
      </c>
      <c r="B9" s="164">
        <f>SUM(GETPIVOTDATA("Sum of Order Quantity",'January 2023'!P912,"Line Item Name","CC-HCCMKII-08-NC"),GETPIVOTDATA("Sum of Order Quantity",'January 2023'!P912,"Line Item Name","CC-HCCMKII-08-TC"),GETPIVOTDATA("Sum of Order Quantity",'January 2023'!P912,"Line Item Name","CC-CH-08-STD"))</f>
        <v>24</v>
      </c>
      <c r="C9" s="165">
        <f>SUM(GETPIVOTDATA("Sum of Order Quantity",'February 2023'!P523,"Line Item Name","CC-HCCMKII-08-NC"),GETPIVOTDATA("Sum of Order Quantity",'February 2023'!P523,"Line Item Name","CC-HCCMKII-08-TC"),GETPIVOTDATA("Sum of Order Quantity",'February 2023'!P523,"Line Item Name","CC-CH-08-STD"))</f>
        <v>15</v>
      </c>
      <c r="D9" s="165">
        <f>SUM(GETPIVOTDATA("Sum of Order Quantity",'March 2023'!P1251,"Line Item Name","CC-CH-08-STD"),GETPIVOTDATA("Sum of Order Quantity",'March 2023'!P1251,"Line Item Name","CC-HCCMKII-08-TC"),GETPIVOTDATA("Sum of Order Quantity",'March 2023'!P1251,"Line Item Name","CC-HCCMKII-08-NC"))</f>
        <v>29</v>
      </c>
      <c r="E9" s="165">
        <f>SUM(GETPIVOTDATA("Sum of Order Quantity",'April 2023'!P436,"Line Item Name","CC-HCCMKII-08-NC"),GETPIVOTDATA("Sum of Order Quantity",'April 2023'!P436,"Line Item Name","CC-HCCMKII-08-TC"),GETPIVOTDATA("Sum of Order Quantity",'April 2023'!P436,"Line Item Name","CC-CH-08-STD"))</f>
        <v>19</v>
      </c>
      <c r="F9" s="165">
        <f>SUM(GETPIVOTDATA("Sum of Order Quantity",'May 2023'!P1140,"Line Item Name","CC-CH-08-STD"),GETPIVOTDATA("Sum of Order Quantity",'May 2023'!P1140,"Line Item Name","CC-HCCMKII-08-NC"),GETPIVOTDATA("Sum of Order Quantity",'May 2023'!P1140,"Line Item Name","CC-HCCMKII-08-TC"))</f>
        <v>39</v>
      </c>
      <c r="G9" s="165">
        <f>SUM(GETPIVOTDATA("Sum of Order Quantity",'June 2023'!P500,"Line Item Name","CC-CH-08-STD"),GETPIVOTDATA("Sum of Order Quantity",'June 2023'!P500,"Line Item Name","CC-HCCMKII-08-TC"),GETPIVOTDATA("Sum of Order Quantity",'June 2023'!P500,"Line Item Name","CC-HCCMKII-08-NC"))</f>
        <v>39</v>
      </c>
      <c r="H9" s="165">
        <f>SUM(GETPIVOTDATA("Sum of Order Quantity",'July 2023'!P1024,"Line Item Name","CC-CH-08-STD"),GETPIVOTDATA("Sum of Order Quantity",'July 2023'!P1024,"Line Item Name","CC-HCCMKII-08-TC"),GETPIVOTDATA("Sum of Order Quantity",'July 2023'!P1024,"Line Item Name","CC-HCCMKII-08-NC"))</f>
        <v>19</v>
      </c>
      <c r="I9" s="165">
        <f>SUM(GETPIVOTDATA("Sum of Order Quantity",'August 2023'!P655,"Line Item Name","CC-CH-08-STD"),GETPIVOTDATA("Sum of Order Quantity",'August 2023'!P655,"Line Item Name","CC-HCCMKII-08-NC"),GETPIVOTDATA("Sum of Order Quantity",'August 2023'!P655,"Line Item Name","CC-HCCMKII-08-TC"))</f>
        <v>26</v>
      </c>
      <c r="J9" s="165">
        <f>SUM(GETPIVOTDATA("Sum of Order Quantity",'September 2023'!P599,"Line Item Name","CC-HCCMKII-08-TC"),GETPIVOTDATA("Sum of Order Quantity",'September 2023'!P599,"Line Item Name","CC-CH-08-STD"),GETPIVOTDATA("Sum of Order Quantity",'September 2023'!P599,"Line Item Name","CC-HCCMKII-08-NC"))</f>
        <v>36</v>
      </c>
      <c r="K9" s="165">
        <f>SUM(GETPIVOTDATA("Sum of Order Quantity",'October 2023'!P599,"Line Item Name","CC-CH-08-STD"),GETPIVOTDATA("Sum of Order Quantity",'October 2023'!P599,"Line Item Name","CC-HCCMKII-08-NC"),GETPIVOTDATA("Sum of Order Quantity",'October 2023'!P599,"Line Item Name","CC-HCCMKII-08-TC"))</f>
        <v>33</v>
      </c>
      <c r="L9" s="165">
        <f>SUM(GETPIVOTDATA("Sum of Order Quantity",'November 2023'!P454,"Line Item Name","CC-CH-10-STD"),GETPIVOTDATA("Sum of Order Quantity",'November 2023'!P454,"Line Item Name","CC-CH-08-STD"),GETPIVOTDATA("Sum of Order Quantity",'November 2023'!P454,"Line Item Name","CC-HCCMKII-08-TC"),GETPIVOTDATA("Sum of Order Quantity",'November 2023'!P454,"Line Item Name","CC-HCCMKII-08-NC"))</f>
        <v>20</v>
      </c>
      <c r="M9" s="165">
        <f>SUM(GETPIVOTDATA("Sum of Order Quantity",'November 2023'!P454,"Line Item Name","CC-HCCMKII-08-TC"),GETPIVOTDATA("Sum of Order Quantity",'November 2023'!P454,"Line Item Name","CC-CH-08-STD"),GETPIVOTDATA("Sum of Order Quantity",'November 2023'!P454,"Line Item Name","CC-HCCMKII-08-NC"),GETPIVOTDATA("Sum of Order Quantity",'November 2023'!P454,"Line Item Name","CC-CH-10-STD"))</f>
        <v>20</v>
      </c>
      <c r="N9" s="253">
        <f>SUM(B9:M9)</f>
        <v>319</v>
      </c>
    </row>
    <row r="10" ht="15.1" customHeight="1">
      <c r="A10" t="s" s="163">
        <v>3292</v>
      </c>
      <c r="B10" s="164">
        <f>GETPIVOTDATA("Sum of Order Quantity",'January 2023'!P912,"Line Item Name","CC-CH-08-DSY")</f>
        <v>7</v>
      </c>
      <c r="C10" s="165">
        <f>0</f>
        <v>0</v>
      </c>
      <c r="D10" s="165">
        <f>GETPIVOTDATA("Sum of Order Quantity",'March 2023'!P1251,"Line Item Name","CC-CH-08-DSY")</f>
        <v>9</v>
      </c>
      <c r="E10" s="165">
        <f>GETPIVOTDATA("Sum of Order Quantity",'April 2023'!P436,"Line Item Name","CC-CH-08-DSY")</f>
        <v>8</v>
      </c>
      <c r="F10" s="165">
        <f>GETPIVOTDATA("Sum of Order Quantity",'May 2023'!P1140,"Line Item Name","CC-CH-08-DSY")</f>
        <v>6</v>
      </c>
      <c r="G10" s="165">
        <f>GETPIVOTDATA("Sum of Order Quantity",'June 2023'!P500,"Line Item Name","CC-CH-08-DSY")</f>
        <v>14</v>
      </c>
      <c r="H10" s="165">
        <f>GETPIVOTDATA("Sum of Order Quantity",'July 2023'!P1024,"Line Item Name","CC-CH-08-DSY")</f>
        <v>4</v>
      </c>
      <c r="I10" s="165">
        <f>GETPIVOTDATA("Sum of Order Quantity",'August 2023'!P655,"Line Item Name","CC-CH-08-DSY")</f>
        <v>19</v>
      </c>
      <c r="J10" s="165">
        <f t="shared" si="7"/>
        <v>0</v>
      </c>
      <c r="K10" s="165">
        <f>GETPIVOTDATA("Sum of Order Quantity",'October 2023'!P599,"Line Item Name","CC-CH-08-DSY")</f>
        <v>5</v>
      </c>
      <c r="L10" s="165">
        <f t="shared" si="7"/>
        <v>0</v>
      </c>
      <c r="M10" s="165">
        <f>GETPIVOTDATA("Sum of Order Quantity",'Decemeber 2023'!P419,"Line Item Name","CC-CH-08-DSY")</f>
        <v>3</v>
      </c>
      <c r="N10" s="253">
        <f>SUM(B10:M10)</f>
        <v>75</v>
      </c>
    </row>
    <row r="11" ht="15.1" customHeight="1">
      <c r="A11" t="s" s="163">
        <v>3293</v>
      </c>
      <c r="B11" s="164">
        <f>GETPIVOTDATA("Sum of Order Quantity",'January 2023'!P912,"Line Item Name","CC-CH-08-EXT")</f>
        <v>2</v>
      </c>
      <c r="C11" s="165">
        <f>GETPIVOTDATA("Sum of Order Quantity",'February 2023'!P523,"Line Item Name","CC-CH-08-EXT")</f>
        <v>4</v>
      </c>
      <c r="D11" s="165">
        <f>0</f>
        <v>0</v>
      </c>
      <c r="E11" s="165">
        <f>0</f>
        <v>0</v>
      </c>
      <c r="F11" s="165">
        <f>GETPIVOTDATA("Sum of Order Quantity",'May 2023'!P1140,"Line Item Name","CC-CH-08-EXT")</f>
        <v>2</v>
      </c>
      <c r="G11" s="165">
        <f>GETPIVOTDATA("Sum of Order Quantity",'June 2023'!P500,"Line Item Name","CC-CH-08-EXT")</f>
        <v>1</v>
      </c>
      <c r="H11" s="165">
        <f>GETPIVOTDATA("Sum of Order Quantity",'July 2023'!P1024,"Line Item Name","CC-CH-08-EXT")</f>
        <v>3</v>
      </c>
      <c r="I11" s="165">
        <f t="shared" si="7"/>
        <v>0</v>
      </c>
      <c r="J11" s="165">
        <f>GETPIVOTDATA("Sum of Order Quantity",'September 2023'!P599,"Line Item Name","CC-CH-08-EXT")</f>
        <v>2</v>
      </c>
      <c r="K11" s="165">
        <f t="shared" si="7"/>
        <v>0</v>
      </c>
      <c r="L11" s="165">
        <f t="shared" si="7"/>
        <v>0</v>
      </c>
      <c r="M11" s="165">
        <f t="shared" si="7"/>
        <v>0</v>
      </c>
      <c r="N11" s="253">
        <f>SUM(B11:M11)</f>
        <v>14</v>
      </c>
    </row>
    <row r="12" ht="15.1" customHeight="1">
      <c r="A12" t="s" s="163">
        <v>3294</v>
      </c>
      <c r="B12" s="164">
        <f>SUM(GETPIVOTDATA("Sum of Order Quantity",'January 2023'!P912,"Line Item Name","CC-CH-15-STD"),GETPIVOTDATA("Sum of Order Quantity",'January 2023'!P912,"Line Item Name","CC-HCCMKII-15-TC"),GETPIVOTDATA("Sum of Order Quantity",'January 2023'!P912,"Line Item Name","CC-HCCMKII-15-NC"))</f>
        <v>44</v>
      </c>
      <c r="C12" s="165">
        <f>SUM(GETPIVOTDATA("Sum of Order Quantity",'February 2023'!P523,"Line Item Name","CC-CH-15-STD"),GETPIVOTDATA("Sum of Order Quantity",'February 2023'!P523,"Line Item Name","CC-HCCMKII-15-NC"),GETPIVOTDATA("Sum of Order Quantity",'February 2023'!P523,"Line Item Name","CC-HCCMKII-15-TC"))</f>
        <v>122</v>
      </c>
      <c r="D12" s="165">
        <f>SUM(GETPIVOTDATA("Sum of Order Quantity",'March 2023'!P1251,"Line Item Name","CC-CH-15-STD"),GETPIVOTDATA("Sum of Order Quantity",'March 2023'!P1251,"Line Item Name","CC-HCCMKII-15-TC"),GETPIVOTDATA("Sum of Order Quantity",'March 2023'!P1251,"Line Item Name","CC-HCCMKII-15-NC"))</f>
        <v>41</v>
      </c>
      <c r="E12" s="165">
        <f>SUM(GETPIVOTDATA("Sum of Order Quantity",'April 2023'!P436,"Line Item Name","CC-CH-15-STD"),GETPIVOTDATA("Sum of Order Quantity",'April 2023'!P436,"Line Item Name","CC-HCCMKII-15-NC"),GETPIVOTDATA("Sum of Order Quantity",'April 2023'!P436,"Line Item Name","CC-HCCMKII-15-TC"))</f>
        <v>35</v>
      </c>
      <c r="F12" s="165">
        <f>SUM(GETPIVOTDATA("Sum of Order Quantity",'May 2023'!P1140,"Line Item Name","CC-CH-15-STD"),GETPIVOTDATA("Sum of Order Quantity",'May 2023'!P1140,"Line Item Name","CC-HCCMKII-15-TC"),GETPIVOTDATA("Sum of Order Quantity",'May 2023'!P1140,"Line Item Name","CC-HCCMKII-15-NC"))</f>
        <v>44</v>
      </c>
      <c r="G12" s="165">
        <f>SUM(GETPIVOTDATA("Sum of Order Quantity",'June 2023'!P500,"Line Item Name","CC-CH-15-STD"),GETPIVOTDATA("Sum of Order Quantity",'June 2023'!P500,"Line Item Name","15FT CO2 Hose - 3/8" NPT Male Swivel x JIC"),GETPIVOTDATA("Sum of Order Quantity",'June 2023'!P500,"Line Item Name","CC-HCCMKII-15-NC"),GETPIVOTDATA("Sum of Order Quantity",'June 2023'!P500,"Line Item Name","CC-HCCMKII-15-TC"))</f>
        <v>61</v>
      </c>
      <c r="H12" s="165">
        <f>SUM(GETPIVOTDATA("Sum of Order Quantity",'July 2023'!P1024,"Line Item Name","CC-CH-15-STD"),GETPIVOTDATA("Sum of Order Quantity",'July 2023'!P1024,"Line Item Name","CC-HCCMKII-15-NC"),GETPIVOTDATA("Sum of Order Quantity",'July 2023'!P1024,"Line Item Name","CC-HCCMKII-15-TC"))</f>
        <v>35</v>
      </c>
      <c r="I12" s="165">
        <f>SUM(GETPIVOTDATA("Sum of Order Quantity",'August 2023'!P655,"Line Item Name","CC-CH-15-STD"),GETPIVOTDATA("Sum of Order Quantity",'August 2023'!P655,"Line Item Name","CC-HCCMKII-15-TC"),GETPIVOTDATA("Sum of Order Quantity",'August 2023'!P655,"Line Item Name","CC-HCCMKII-15-NC"))</f>
        <v>126</v>
      </c>
      <c r="J12" s="165">
        <f>SUM(GETPIVOTDATA("Sum of Order Quantity",'September 2023'!P599,"Line Item Name","CC-HCCMKII-15-TC"),GETPIVOTDATA("Sum of Order Quantity",'September 2023'!P599,"Line Item Name","CC-HCCMKII-15-NC"),GETPIVOTDATA("Sum of Order Quantity",'September 2023'!P599,"Line Item Name","CC-CH-15-STD"))+GETPIVOTDATA("Sum of Order Quantity",'September 2023'!P599,"Line Item Name","15FT CO2 Hose - 3/8" NPT Male Swivel x JIC")</f>
        <v>50</v>
      </c>
      <c r="K12" s="165">
        <f>SUM(GETPIVOTDATA("Sum of Order Quantity",'October 2023'!P599,"Line Item Name","CC-CH-15-STD"),GETPIVOTDATA("Sum of Order Quantity",'October 2023'!P599,"Line Item Name","CC-HCCMKII-15-TC"),GETPIVOTDATA("Sum of Order Quantity",'October 2023'!P599,"Line Item Name","CC-HCCMKII-15-NC"),GETPIVOTDATA("Sum of Order Quantity",'October 2023'!P599,"Line Item Name","15FT CO2 Hose - 3/8" NPT Male Swivel x JIC"))</f>
        <v>63</v>
      </c>
      <c r="L12" s="165">
        <f>SUM(GETPIVOTDATA("Sum of Order Quantity",'November 2023'!P454,"Line Item Name","CC-CH-15-STD"),GETPIVOTDATA("Sum of Order Quantity",'November 2023'!P454,"Line Item Name","CC-HCCMKII-15-NC"),GETPIVOTDATA("Sum of Order Quantity",'November 2023'!P454,"Line Item Name","CC-HCCMKII-15-TC"))</f>
        <v>37</v>
      </c>
      <c r="M12" s="165">
        <f>SUM(GETPIVOTDATA("Sum of Order Quantity",'Decemeber 2023'!P419,"Line Item Name","CC-HCCMKII-15-TC"),GETPIVOTDATA("Sum of Order Quantity",'Decemeber 2023'!P419,"Line Item Name","CC-HCCMKII-15-NC"),GETPIVOTDATA("Sum of Order Quantity",'Decemeber 2023'!P419,"Line Item Name","CC-CH-15-STD"))</f>
        <v>24</v>
      </c>
      <c r="N12" s="253">
        <f>SUM(B12:M12)</f>
        <v>682</v>
      </c>
    </row>
    <row r="13" ht="15.1" customHeight="1">
      <c r="A13" t="s" s="163">
        <v>3295</v>
      </c>
      <c r="B13" s="164">
        <f>GETPIVOTDATA("Sum of Order Quantity",'January 2023'!P912,"Line Item Name","CC-CH-15-DSY")</f>
        <v>13</v>
      </c>
      <c r="C13" s="165">
        <f>GETPIVOTDATA("Sum of Order Quantity",'February 2023'!P523,"Line Item Name","CC-CH-15-DSY")</f>
        <v>2</v>
      </c>
      <c r="D13" s="165">
        <f>0</f>
        <v>0</v>
      </c>
      <c r="E13" s="165">
        <f>0</f>
        <v>0</v>
      </c>
      <c r="F13" s="165">
        <f>0</f>
        <v>0</v>
      </c>
      <c r="G13" s="165">
        <f>GETPIVOTDATA("Sum of Order Quantity",'June 2023'!P500,"Line Item Name","CC-CH-15-DSY")</f>
        <v>9</v>
      </c>
      <c r="H13" s="165">
        <f>0</f>
        <v>0</v>
      </c>
      <c r="I13" s="165">
        <f t="shared" si="7"/>
        <v>0</v>
      </c>
      <c r="J13" s="165">
        <f>GETPIVOTDATA("Sum of Order Quantity",'September 2023'!P599,"Line Item Name","CC-CH-15-DSY")</f>
        <v>4</v>
      </c>
      <c r="K13" s="165">
        <f t="shared" si="7"/>
        <v>0</v>
      </c>
      <c r="L13" s="165">
        <f t="shared" si="7"/>
        <v>0</v>
      </c>
      <c r="M13" s="165">
        <f>GETPIVOTDATA("Sum of Order Quantity",'Decemeber 2023'!P419,"Line Item Name","CC-CH-15-DSY")</f>
        <v>2</v>
      </c>
      <c r="N13" s="253">
        <f>SUM(B13:M13)</f>
        <v>30</v>
      </c>
    </row>
    <row r="14" ht="15.1" customHeight="1">
      <c r="A14" t="s" s="163">
        <v>3296</v>
      </c>
      <c r="B14" s="164">
        <f>0</f>
        <v>0</v>
      </c>
      <c r="C14" s="165">
        <f>GETPIVOTDATA("Sum of Order Quantity",'February 2023'!P523,"Line Item Name","CC-CH-15-EXT")</f>
        <v>8</v>
      </c>
      <c r="D14" s="165">
        <f>GETPIVOTDATA("Sum of Order Quantity",'March 2023'!P1251,"Line Item Name","CC-CH-15-EXT")</f>
        <v>2</v>
      </c>
      <c r="E14" s="165">
        <f>GETPIVOTDATA("Sum of Order Quantity",'April 2023'!P436,"Line Item Name","CC-CH-15-EXT")</f>
        <v>4</v>
      </c>
      <c r="F14" s="165">
        <f>0</f>
        <v>0</v>
      </c>
      <c r="G14" s="165">
        <f>0</f>
        <v>0</v>
      </c>
      <c r="H14" s="165">
        <f>GETPIVOTDATA("Sum of Order Quantity",'July 2023'!P1024,"Line Item Name","CC-CH-15-EXT")</f>
        <v>15</v>
      </c>
      <c r="I14" s="165">
        <f>GETPIVOTDATA("Sum of Order Quantity",'August 2023'!P655,"Line Item Name","CC-CH-15-EXT")</f>
        <v>7</v>
      </c>
      <c r="J14" s="165">
        <f>GETPIVOTDATA("Sum of Order Quantity",'September 2023'!P599,"Line Item Name","CC-CH-15-EXT")</f>
        <v>2</v>
      </c>
      <c r="K14" s="165">
        <f>GETPIVOTDATA("Sum of Order Quantity",'October 2023'!P599,"Line Item Name","CC-CH-15-EXT")</f>
        <v>4</v>
      </c>
      <c r="L14" s="165">
        <f>GETPIVOTDATA("Sum of Order Quantity",'November 2023'!P454,"Line Item Name","CC-CH-15-EXT")</f>
        <v>10</v>
      </c>
      <c r="M14" s="165">
        <f>GETPIVOTDATA("Sum of Order Quantity",'Decemeber 2023'!P419,"Line Item Name","CC-CH-15-EXT")</f>
        <v>3</v>
      </c>
      <c r="N14" s="253">
        <f>SUM(B14:M14)</f>
        <v>55</v>
      </c>
    </row>
    <row r="15" ht="15.1" customHeight="1">
      <c r="A15" t="s" s="163">
        <v>3297</v>
      </c>
      <c r="B15" s="164">
        <f>GETPIVOTDATA("Sum of Order Quantity",'January 2023'!P912,"Line Item Name","CC-CH-25-STD")</f>
        <v>31</v>
      </c>
      <c r="C15" s="165">
        <f>GETPIVOTDATA("Sum of Order Quantity",'February 2023'!P523,"Line Item Name","CC-CH-25-STD")</f>
        <v>33</v>
      </c>
      <c r="D15" s="165">
        <f>GETPIVOTDATA("Sum of Order Quantity",'March 2023'!P1251,"Line Item Name","CC-CH-25-STD")</f>
        <v>56</v>
      </c>
      <c r="E15" s="165">
        <f>SUM(GETPIVOTDATA("Sum of Order Quantity",'April 2023'!P436,"Line Item Name","25FT CO2 Hose - 1/4" ID (JIC #6 x JIC #6)"),GETPIVOTDATA("Sum of Order Quantity",'April 2023'!P436,"Line Item Name","CC-CH-25-STD"),GETPIVOTDATA("Sum of Order Quantity",'April 2023'!P436,"Line Item Name","25FT CO2 Hose - 3/8" NPT Male Swivel x JIC"))</f>
        <v>32</v>
      </c>
      <c r="F15" s="165">
        <f>SUM(GETPIVOTDATA("Sum of Order Quantity",'May 2023'!P1140,"Line Item Name","25FT CO2 Hose - 1/4" ID (JIC #6 x JIC #6)"),GETPIVOTDATA("Sum of Order Quantity",'May 2023'!P1140,"Line Item Name","CC-CH-25-STD"))</f>
        <v>19</v>
      </c>
      <c r="G15" s="165">
        <f>GETPIVOTDATA("Sum of Order Quantity",'June 2023'!P500,"Line Item Name","CC-CH-25-STD")</f>
        <v>22</v>
      </c>
      <c r="H15" s="165">
        <f>GETPIVOTDATA("Sum of Order Quantity",'July 2023'!P1024,"Line Item Name","25FT CO2 Hose - 3/8" NPT Male Swivel x JIC")+GETPIVOTDATA("Sum of Order Quantity",'July 2023'!P1024,"Line Item Name","CC-CH-25-STD")+GETPIVOTDATA("Sum of Order Quantity",'July 2023'!P1024,"Line Item Name","CC-CH-25-OB")</f>
        <v>28</v>
      </c>
      <c r="I15" s="165">
        <f>SUM(GETPIVOTDATA("Sum of Order Quantity",'August 2023'!P655,"Line Item Name","CC-HCCMKII-25-NC"),GETPIVOTDATA("Sum of Order Quantity",'August 2023'!P655,"Line Item Name","25FT CO2 Hose - 3/8" NPT Male Swivel x JIC"),GETPIVOTDATA("Sum of Order Quantity",'August 2023'!P655,"Line Item Name","CC-CH-25-STD"))</f>
        <v>10</v>
      </c>
      <c r="J15" s="165">
        <f>GETPIVOTDATA("Sum of Order Quantity",'September 2023'!P599,"Line Item Name","25FT CO2 Hose - 3/8" NPT Male Swivel x JIC")+GETPIVOTDATA("Sum of Order Quantity",'September 2023'!P599,"Line Item Name","CC-CH-25-STD")</f>
        <v>37</v>
      </c>
      <c r="K15" s="165">
        <f>GETPIVOTDATA("Sum of Order Quantity",'October 2023'!P599,"Line Item Name","CC-CH-25-STD")</f>
        <v>21</v>
      </c>
      <c r="L15" s="165">
        <f>GETPIVOTDATA("Sum of Order Quantity",'November 2023'!P454,"Line Item Name","CC-CH-25-STD")</f>
        <v>54</v>
      </c>
      <c r="M15" s="165">
        <f>GETPIVOTDATA("Sum of Order Quantity",'Decemeber 2023'!P419,"Line Item Name","CC-CH-25-STD")+GETPIVOTDATA("Sum of Order Quantity",'Decemeber 2023'!P419,"Line Item Name","25FT CO2 Hose - 1/4" ID (JIC #6 x JIC #6)")</f>
        <v>8</v>
      </c>
      <c r="N15" s="253">
        <f>SUM(B15:M15)</f>
        <v>351</v>
      </c>
    </row>
    <row r="16" ht="15.1" customHeight="1">
      <c r="A16" t="s" s="163">
        <v>3298</v>
      </c>
      <c r="B16" s="164">
        <f>0</f>
        <v>0</v>
      </c>
      <c r="C16" s="165">
        <f>GETPIVOTDATA("Sum of Order Quantity",'February 2023'!P523,"Line Item Name","CC-CH-25-DSY")</f>
        <v>2</v>
      </c>
      <c r="D16" s="165">
        <f>0</f>
        <v>0</v>
      </c>
      <c r="E16" s="165">
        <f>GETPIVOTDATA("Sum of Order Quantity",'April 2023'!P436,"Line Item Name","CC-CH-25-DSY")</f>
        <v>5</v>
      </c>
      <c r="F16" s="165">
        <f>0</f>
        <v>0</v>
      </c>
      <c r="G16" s="165">
        <f>GETPIVOTDATA("Sum of Order Quantity",'June 2023'!P500,"Line Item Name","CC-CH-25-DSY")</f>
        <v>9</v>
      </c>
      <c r="H16" s="165">
        <f>GETPIVOTDATA("Sum of Order Quantity",'July 2023'!P1024,"Line Item Name","CC-CH-25-DSY")</f>
        <v>2</v>
      </c>
      <c r="I16" s="165">
        <f t="shared" si="7"/>
        <v>0</v>
      </c>
      <c r="J16" s="165">
        <f t="shared" si="7"/>
        <v>0</v>
      </c>
      <c r="K16" s="165">
        <f t="shared" si="7"/>
        <v>0</v>
      </c>
      <c r="L16" s="165">
        <f t="shared" si="7"/>
        <v>0</v>
      </c>
      <c r="M16" s="165">
        <f t="shared" si="7"/>
        <v>0</v>
      </c>
      <c r="N16" s="253">
        <f>SUM(B16:M16)</f>
        <v>18</v>
      </c>
    </row>
    <row r="17" ht="15.1" customHeight="1">
      <c r="A17" t="s" s="163">
        <v>3299</v>
      </c>
      <c r="B17" s="164">
        <f>0</f>
        <v>0</v>
      </c>
      <c r="C17" s="165">
        <f>GETPIVOTDATA("Sum of Order Quantity",'February 2023'!P523,"Line Item Name","CC-CH-25-EXT")</f>
        <v>1</v>
      </c>
      <c r="D17" s="165">
        <f>GETPIVOTDATA("Sum of Order Quantity",'March 2023'!P1251,"Line Item Name","CC-CH-25-EXT")</f>
        <v>6</v>
      </c>
      <c r="E17" s="165">
        <f>0</f>
        <v>0</v>
      </c>
      <c r="F17" s="165">
        <f>GETPIVOTDATA("Sum of Order Quantity",'May 2023'!P1140,"Line Item Name","CC-CH-25-EXT")</f>
        <v>2</v>
      </c>
      <c r="G17" s="165">
        <v>0</v>
      </c>
      <c r="H17" s="165">
        <f>GETPIVOTDATA("Sum of Order Quantity",'July 2023'!P1024,"Line Item Name","CC-CH-25-EXT")</f>
        <v>1</v>
      </c>
      <c r="I17" s="165">
        <f>GETPIVOTDATA("Sum of Order Quantity",'August 2023'!P655,"Line Item Name","CC-CH-25-EXT")</f>
        <v>10</v>
      </c>
      <c r="J17" s="165">
        <f>GETPIVOTDATA("Sum of Order Quantity",'September 2023'!P599,"Line Item Name","CC-CH-25-EXT")</f>
        <v>4</v>
      </c>
      <c r="K17" s="165">
        <f>GETPIVOTDATA("Sum of Order Quantity",'October 2023'!P599,"Line Item Name","CC-CH-25-EXT")</f>
        <v>7</v>
      </c>
      <c r="L17" s="165">
        <f>GETPIVOTDATA("Sum of Order Quantity",'November 2023'!P454,"Line Item Name","CC-CH-25-EXT")</f>
        <v>8</v>
      </c>
      <c r="M17" s="165">
        <f t="shared" si="7"/>
        <v>0</v>
      </c>
      <c r="N17" s="253">
        <f>SUM(B17:M17)</f>
        <v>39</v>
      </c>
    </row>
    <row r="18" ht="15.1" customHeight="1">
      <c r="A18" t="s" s="163">
        <v>3300</v>
      </c>
      <c r="B18" s="164">
        <f>GETPIVOTDATA("Sum of Order Quantity",'January 2023'!P912,"Line Item Name","CC-CH-35-STD")</f>
        <v>2</v>
      </c>
      <c r="C18" s="165">
        <f>GETPIVOTDATA("Sum of Order Quantity",'February 2023'!P523,"Line Item Name","CC-CH-35-STD")</f>
        <v>8</v>
      </c>
      <c r="D18" s="165">
        <f>GETPIVOTDATA("Sum of Order Quantity",'March 2023'!P1251,"Line Item Name","CC-CH-35-STD")</f>
        <v>6</v>
      </c>
      <c r="E18" s="165">
        <f>GETPIVOTDATA("Sum of Order Quantity",'April 2023'!P436,"Line Item Name","CC-CH-35-STD")</f>
        <v>6</v>
      </c>
      <c r="F18" s="165">
        <f>GETPIVOTDATA("Sum of Order Quantity",'May 2023'!P1140,"Line Item Name","CC-CH-35-STD")</f>
        <v>11</v>
      </c>
      <c r="G18" s="165">
        <f>GETPIVOTDATA("Sum of Order Quantity",'June 2023'!P500,"Line Item Name","CC-CH-35-STD")</f>
        <v>15</v>
      </c>
      <c r="H18" s="165">
        <f>GETPIVOTDATA("Sum of Order Quantity",'July 2023'!P1024,"Line Item Name","CC-CH-35-STD")</f>
        <v>1</v>
      </c>
      <c r="I18" s="165">
        <f>GETPIVOTDATA("Sum of Order Quantity",'August 2023'!P655,"Line Item Name","CC-CH-35-STD")</f>
        <v>3</v>
      </c>
      <c r="J18" s="165">
        <f>SUM(GETPIVOTDATA("Sum of Order Quantity",'September 2023'!P599,"Line Item Name","35FT CO2 Hose - 3/8" NPT Male Swivel x JIC"),GETPIVOTDATA("Sum of Order Quantity",'September 2023'!P599,"Line Item Name","CC-CH-35-STD"))</f>
        <v>13</v>
      </c>
      <c r="K18" s="165">
        <f>GETPIVOTDATA("Sum of Order Quantity",'October 2023'!P599,"Line Item Name","CC-CH-35-STD")</f>
        <v>11</v>
      </c>
      <c r="L18" s="165">
        <f>GETPIVOTDATA("Sum of Order Quantity",'November 2023'!P454,"Line Item Name","CC-CH-35-STD")</f>
        <v>4</v>
      </c>
      <c r="M18" s="165">
        <f>GETPIVOTDATA("Sum of Order Quantity",'Decemeber 2023'!P419,"Line Item Name","CC-CH-35-STD")</f>
        <v>5</v>
      </c>
      <c r="N18" s="253">
        <f>SUM(B18:M18)</f>
        <v>85</v>
      </c>
    </row>
    <row r="19" ht="15.1" customHeight="1">
      <c r="A19" t="s" s="163">
        <v>3301</v>
      </c>
      <c r="B19" s="164">
        <v>0</v>
      </c>
      <c r="C19" s="165">
        <f>0</f>
        <v>0</v>
      </c>
      <c r="D19" s="165">
        <f>0</f>
        <v>0</v>
      </c>
      <c r="E19" s="165">
        <f>0</f>
        <v>0</v>
      </c>
      <c r="F19" s="165">
        <f>0</f>
        <v>0</v>
      </c>
      <c r="G19" s="165">
        <f>0</f>
        <v>0</v>
      </c>
      <c r="H19" s="165">
        <f>GETPIVOTDATA("Sum of Order Quantity",'July 2023'!P1024,"Line Item Name","CC-CH-35-DSY")</f>
        <v>1</v>
      </c>
      <c r="I19" s="165">
        <f>GETPIVOTDATA("Sum of Order Quantity",'August 2023'!P655,"Line Item Name","CC-CH-35-DSY")</f>
        <v>2</v>
      </c>
      <c r="J19" s="165">
        <f>GETPIVOTDATA("Sum of Order Quantity",'September 2023'!P599,"Line Item Name","CC-NPTC-35-DSY")</f>
        <v>1</v>
      </c>
      <c r="K19" s="165">
        <f>GETPIVOTDATA("Sum of Order Quantity",'October 2023'!P599,"Line Item Name","CC-CH-35-DSY")</f>
        <v>1</v>
      </c>
      <c r="L19" s="165">
        <v>0</v>
      </c>
      <c r="M19" s="165">
        <f t="shared" si="7"/>
        <v>0</v>
      </c>
      <c r="N19" s="253">
        <f>SUM(B19:M19)</f>
        <v>5</v>
      </c>
    </row>
    <row r="20" ht="15.1" customHeight="1">
      <c r="A20" t="s" s="163">
        <v>3302</v>
      </c>
      <c r="B20" s="164">
        <f>0</f>
        <v>0</v>
      </c>
      <c r="C20" s="165">
        <f>0</f>
        <v>0</v>
      </c>
      <c r="D20" s="165">
        <f>0</f>
        <v>0</v>
      </c>
      <c r="E20" s="165">
        <v>0</v>
      </c>
      <c r="F20" s="165">
        <v>0</v>
      </c>
      <c r="G20" s="165">
        <f>0</f>
        <v>0</v>
      </c>
      <c r="H20" s="165">
        <f>0</f>
        <v>0</v>
      </c>
      <c r="I20" s="165">
        <f>GETPIVOTDATA("Sum of Order Quantity",'August 2023'!P655,"Line Item Name","CC-CH-35-EXT")</f>
        <v>4</v>
      </c>
      <c r="J20" s="165">
        <f t="shared" si="7"/>
        <v>0</v>
      </c>
      <c r="K20" s="165">
        <f>GETPIVOTDATA("Sum of Order Quantity",'October 2023'!P599,"Line Item Name","CC-CH-35-EXT")</f>
        <v>6</v>
      </c>
      <c r="L20" s="165">
        <f>GETPIVOTDATA("Sum of Order Quantity",'November 2023'!P454,"Line Item Name","CC-CH-35-EXT")</f>
        <v>2</v>
      </c>
      <c r="M20" s="165">
        <v>0</v>
      </c>
      <c r="N20" s="253">
        <f>SUM(B20:M20)</f>
        <v>12</v>
      </c>
    </row>
    <row r="21" ht="15.1" customHeight="1">
      <c r="A21" t="s" s="163">
        <v>3303</v>
      </c>
      <c r="B21" s="164">
        <f>GETPIVOTDATA("Sum of Order Quantity",'January 2023'!P912,"Line Item Name","CC-CH-50-STD")</f>
        <v>30</v>
      </c>
      <c r="C21" s="165">
        <f>GETPIVOTDATA("Sum of Order Quantity",'February 2023'!P523,"Line Item Name","CC-CH-50-STD")</f>
        <v>4</v>
      </c>
      <c r="D21" s="165">
        <f>GETPIVOTDATA("Sum of Order Quantity",'March 2023'!P1251,"Line Item Name","CC-CH-50-STD")</f>
        <v>25</v>
      </c>
      <c r="E21" s="165">
        <f>GETPIVOTDATA("Sum of Order Quantity",'April 2023'!P436,"Line Item Name","CC-CH-50-STD")+GETPIVOTDATA("Sum of Order Quantity",'April 2023'!P436,"Line Item Name","50FT CO2 Hose - 1/4" ID (JIC #6 x JIC #6)")</f>
        <v>14</v>
      </c>
      <c r="F21" s="165">
        <f>GETPIVOTDATA("Sum of Order Quantity",'May 2023'!P1140,"Line Item Name","CC-CH-50-STD")+GETPIVOTDATA("Sum of Order Quantity",'May 2023'!P1140,"Line Item Name","50FT CO2 Hose - 1/4" ID (JIC #6 x JIC #6)")+GETPIVOTDATA("Sum of Order Quantity",'May 2023'!P1140,"Line Item Name","50FT CO2 Hose - 3/8" NPT Male Swivel x JIC")</f>
        <v>39</v>
      </c>
      <c r="G21" s="165">
        <f>GETPIVOTDATA("Sum of Order Quantity",'June 2023'!P500,"Line Item Name","CC-CH-50-STD")</f>
        <v>5</v>
      </c>
      <c r="H21" s="165">
        <f>GETPIVOTDATA("Sum of Order Quantity",'July 2023'!P1024,"Line Item Name","CC-CH-50-STD")</f>
        <v>8</v>
      </c>
      <c r="I21" s="165">
        <f>GETPIVOTDATA("Sum of Order Quantity",'August 2023'!P655,"Line Item Name","CC-CH-50-STD")</f>
        <v>38</v>
      </c>
      <c r="J21" s="165">
        <f>GETPIVOTDATA("Sum of Order Quantity",'September 2023'!P599,"Line Item Name","CC-CH-50-STD")</f>
        <v>6</v>
      </c>
      <c r="K21" s="165">
        <f>GETPIVOTDATA("Sum of Order Quantity",'October 2023'!P599,"Line Item Name","CC-CH-50-STD")</f>
        <v>10</v>
      </c>
      <c r="L21" s="165">
        <f>SUM(GETPIVOTDATA("Sum of Order Quantity",'November 2023'!P454,"Line Item Name","CC-CH-50-STD-1/4"),GETPIVOTDATA("Sum of Order Quantity",'November 2023'!P454,"Line Item Name","CC-CH-50-STD"))</f>
        <v>6</v>
      </c>
      <c r="M21" s="165">
        <f>GETPIVOTDATA("Sum of Order Quantity",'Decemeber 2023'!P419,"Line Item Name","CC-CH-50-STD")+GETPIVOTDATA("Sum of Order Quantity",'Decemeber 2023'!P419,"Line Item Name","50FT CO2 HOSE - 3/8" (BSPP x JIC #6)")</f>
        <v>10</v>
      </c>
      <c r="N21" s="253">
        <f>SUM(B21:M21)</f>
        <v>195</v>
      </c>
    </row>
    <row r="22" ht="15.1" customHeight="1">
      <c r="A22" t="s" s="163">
        <v>3304</v>
      </c>
      <c r="B22" s="164">
        <v>0</v>
      </c>
      <c r="C22" s="165">
        <f>GETPIVOTDATA("Sum of Order Quantity",'February 2023'!P523,"Line Item Name","CC-CH-50-EXT")</f>
        <v>4</v>
      </c>
      <c r="D22" s="165">
        <f>GETPIVOTDATA("Sum of Order Quantity",'March 2023'!P1251,"Line Item Name","CC-CH-50-EXT")</f>
        <v>2</v>
      </c>
      <c r="E22" s="165">
        <v>0</v>
      </c>
      <c r="F22" s="165">
        <f>0</f>
        <v>0</v>
      </c>
      <c r="G22" s="165">
        <f>GETPIVOTDATA("Sum of Order Quantity",'June 2023'!P500,"Line Item Name","CC-CH-50-EXT")</f>
        <v>2</v>
      </c>
      <c r="H22" s="165">
        <f>0</f>
        <v>0</v>
      </c>
      <c r="I22" s="165">
        <f>GETPIVOTDATA("Sum of Order Quantity",'August 2023'!P655,"Line Item Name","CC-CH-50-EXT")</f>
        <v>10</v>
      </c>
      <c r="J22" s="165">
        <f>SUM(GETPIVOTDATA("Sum of Order Quantity",'September 2023'!P599,"Line Item Name","CC-CH-50-EXT"),GETPIVOTDATA("Sum of Order Quantity",'September 2023'!P599,"Line Item Name","CC-CH-50-DSY"))</f>
        <v>5</v>
      </c>
      <c r="K22" s="165">
        <f>GETPIVOTDATA("Sum of Order Quantity",'October 2023'!P599,"Line Item Name","CC-CH-50-EXT")</f>
        <v>2</v>
      </c>
      <c r="L22" s="165">
        <v>0</v>
      </c>
      <c r="M22" s="165">
        <f t="shared" si="7"/>
        <v>0</v>
      </c>
      <c r="N22" s="253">
        <f>SUM(B22:M22)</f>
        <v>25</v>
      </c>
    </row>
    <row r="23" ht="15.1" customHeight="1">
      <c r="A23" t="s" s="163">
        <v>3305</v>
      </c>
      <c r="B23" s="164">
        <f>0</f>
        <v>0</v>
      </c>
      <c r="C23" s="165">
        <f>0</f>
        <v>0</v>
      </c>
      <c r="D23" s="165">
        <f>0</f>
        <v>0</v>
      </c>
      <c r="E23" s="165">
        <f>GETPIVOTDATA("Sum of Order Quantity",'April 2023'!P436,"Line Item Name","CC-CH-100-STD")</f>
        <v>2</v>
      </c>
      <c r="F23" s="165">
        <f>0</f>
        <v>0</v>
      </c>
      <c r="G23" s="165">
        <f>GETPIVOTDATA("Sum of Order Quantity",'June 2023'!P500,"Line Item Name","CC-CH-100-STD")</f>
        <v>2</v>
      </c>
      <c r="H23" s="165">
        <f>GETPIVOTDATA("Sum of Order Quantity",'July 2023'!P1024,"Line Item Name","CC-CH-100-STD")</f>
        <v>4</v>
      </c>
      <c r="I23" s="165">
        <f>GETPIVOTDATA("Sum of Order Quantity",'August 2023'!P655,"Line Item Name","CC-CH-100-STD")</f>
        <v>4</v>
      </c>
      <c r="J23" s="165">
        <f t="shared" si="7"/>
        <v>0</v>
      </c>
      <c r="K23" s="165">
        <f>GETPIVOTDATA("Sum of Order Quantity",'October 2023'!P599,"Line Item Name","CC-CH-100-STD")</f>
        <v>9</v>
      </c>
      <c r="L23" s="165">
        <f t="shared" si="7"/>
        <v>0</v>
      </c>
      <c r="M23" s="165">
        <f>GETPIVOTDATA("Sum of Order Quantity",'Decemeber 2023'!P419,"Line Item Name","CC-CH-100-STD")</f>
        <v>2</v>
      </c>
      <c r="N23" s="253">
        <f>SUM(B23:M23)</f>
        <v>23</v>
      </c>
    </row>
    <row r="24" ht="15.1" customHeight="1">
      <c r="A24" t="s" s="163">
        <v>3306</v>
      </c>
      <c r="B24" s="164">
        <v>0</v>
      </c>
      <c r="C24" s="165">
        <f>SUM(GETPIVOTDATA("Sum of Order Quantity",'February 2023'!P523,"Line Item Name","CC-CH-XX-STD"),GETPIVOTDATA("Sum of Order Quantity",'February 2023'!P523,"Line Item Name","CC-CH-XX-DSY"))</f>
        <v>12</v>
      </c>
      <c r="D24" s="165">
        <f>GETPIVOTDATA("Sum of Order Quantity",'March 2023'!P1251,"Line Item Name","CC-CH-XX-STD")</f>
        <v>2</v>
      </c>
      <c r="E24" s="165">
        <f>0</f>
        <v>0</v>
      </c>
      <c r="F24" s="165">
        <f>GETPIVOTDATA("Sum of Order Quantity",'May 2023'!P1140,"Line Item Name","CC-CH-XX-STD")</f>
        <v>2</v>
      </c>
      <c r="G24" s="165">
        <f>0</f>
        <v>0</v>
      </c>
      <c r="H24" s="165">
        <f>0</f>
        <v>0</v>
      </c>
      <c r="I24" s="165">
        <f>GETPIVOTDATA("Sum of Order Quantity",'August 2023'!P655,"Line Item Name","CC-CH-XX-EXT")</f>
        <v>4</v>
      </c>
      <c r="J24" s="165">
        <f>GETPIVOTDATA("Sum of Order Quantity",'September 2023'!P599,"Line Item Name","CC-CH-XX-STD")</f>
        <v>8</v>
      </c>
      <c r="K24" s="165">
        <f t="shared" si="7"/>
        <v>0</v>
      </c>
      <c r="L24" s="165">
        <f>GETPIVOTDATA("Sum of Order Quantity",'November 2023'!P454,"Line Item Name","CC-CH-XX-STD")</f>
        <v>1</v>
      </c>
      <c r="M24" s="165">
        <f>GETPIVOTDATA("Sum of Order Quantity",'Decemeber 2023'!P419,"Line Item Name","CC-CH-XX-STD")</f>
        <v>2</v>
      </c>
      <c r="N24" s="253">
        <f>SUM(B24:M24)</f>
        <v>31</v>
      </c>
    </row>
    <row r="25" ht="15.1" customHeight="1">
      <c r="A25" t="s" s="163">
        <v>3237</v>
      </c>
      <c r="B25" s="254">
        <f>SUM(B3:B24)</f>
        <v>168</v>
      </c>
      <c r="C25" s="253">
        <f>SUM(C3:C24)</f>
        <v>268</v>
      </c>
      <c r="D25" s="253">
        <f>SUM(D3:D24)</f>
        <v>217</v>
      </c>
      <c r="E25" s="253">
        <f>SUM(E3:E24)</f>
        <v>154</v>
      </c>
      <c r="F25" s="253">
        <f>SUM(F3:F24)</f>
        <v>215</v>
      </c>
      <c r="G25" s="253">
        <f>SUM(G3:G24)</f>
        <v>195</v>
      </c>
      <c r="H25" s="253">
        <f>SUM(H3:H24)</f>
        <v>139</v>
      </c>
      <c r="I25" s="253">
        <f>SUM(I3:I24)</f>
        <v>356</v>
      </c>
      <c r="J25" s="253">
        <f>SUM(J3:J24)</f>
        <v>201</v>
      </c>
      <c r="K25" s="253">
        <f>SUM(K3:K24)</f>
        <v>233</v>
      </c>
      <c r="L25" s="253">
        <f>SUM(L3:L24)</f>
        <v>178</v>
      </c>
      <c r="M25" s="253">
        <f>SUM(M3:M24)</f>
        <v>165</v>
      </c>
      <c r="N25" s="253">
        <f>SUM(N3:N24)</f>
        <v>2489</v>
      </c>
    </row>
    <row r="26" ht="15.1" customHeight="1">
      <c r="A26" s="255"/>
      <c r="B26" s="172"/>
      <c r="C26" s="173"/>
      <c r="D26" s="173"/>
      <c r="E26" s="173"/>
      <c r="F26" t="s" s="174">
        <v>3266</v>
      </c>
      <c r="G26" s="16"/>
      <c r="H26" s="16"/>
      <c r="I26" s="16"/>
      <c r="J26" s="173"/>
      <c r="K26" s="173"/>
      <c r="L26" s="173"/>
      <c r="M26" s="173"/>
      <c r="N26" s="173"/>
    </row>
    <row r="27" ht="15.1" customHeight="1">
      <c r="A27" s="256"/>
      <c r="B27" t="s" s="257">
        <v>3307</v>
      </c>
      <c r="C27" t="s" s="258">
        <v>3308</v>
      </c>
      <c r="D27" t="s" s="259">
        <v>3309</v>
      </c>
      <c r="E27" t="s" s="258">
        <v>3310</v>
      </c>
      <c r="F27" s="260"/>
      <c r="G27" s="166"/>
      <c r="H27" s="166"/>
      <c r="I27" s="166"/>
      <c r="J27" s="166"/>
      <c r="K27" s="166"/>
      <c r="L27" s="166"/>
      <c r="M27" s="166"/>
      <c r="N27" s="166"/>
    </row>
    <row r="28" ht="15.1" customHeight="1">
      <c r="A28" t="s" s="261">
        <v>3285</v>
      </c>
      <c r="B28" s="262">
        <f>N3/N25</f>
        <v>0.0466050622740056</v>
      </c>
      <c r="C28" s="263">
        <f>SUM(N3:N5)</f>
        <v>409</v>
      </c>
      <c r="D28" s="264">
        <f>N3/C28</f>
        <v>0.28361858190709</v>
      </c>
      <c r="E28" s="265">
        <f>SUM(B28:B30)</f>
        <v>0.164323021293692</v>
      </c>
      <c r="F28" t="s" s="266">
        <v>3311</v>
      </c>
      <c r="G28" s="267"/>
      <c r="H28" s="189"/>
      <c r="I28" s="189"/>
      <c r="J28" s="189"/>
      <c r="K28" s="189"/>
      <c r="L28" s="189"/>
      <c r="M28" s="189"/>
      <c r="N28" s="189"/>
    </row>
    <row r="29" ht="15.1" customHeight="1">
      <c r="A29" t="s" s="268">
        <v>3312</v>
      </c>
      <c r="B29" s="269">
        <f>N4/N25</f>
        <v>0.0747288067496987</v>
      </c>
      <c r="C29" s="270"/>
      <c r="D29" s="271">
        <f>N4/C28</f>
        <v>0.454767726161369</v>
      </c>
      <c r="E29" s="270"/>
      <c r="F29" s="270"/>
      <c r="G29" s="267"/>
      <c r="H29" s="189"/>
      <c r="I29" s="189"/>
      <c r="J29" s="189"/>
      <c r="K29" s="189"/>
      <c r="L29" s="189"/>
      <c r="M29" s="189"/>
      <c r="N29" s="189"/>
    </row>
    <row r="30" ht="15.1" customHeight="1">
      <c r="A30" t="s" s="272">
        <v>3287</v>
      </c>
      <c r="B30" s="273">
        <f>N5/N25</f>
        <v>0.0429891522699879</v>
      </c>
      <c r="C30" s="274"/>
      <c r="D30" s="275">
        <f>N5/C28</f>
        <v>0.26161369193154</v>
      </c>
      <c r="E30" s="274"/>
      <c r="F30" s="274"/>
      <c r="G30" s="267"/>
      <c r="H30" s="189"/>
      <c r="I30" s="189"/>
      <c r="J30" s="189"/>
      <c r="K30" s="189"/>
      <c r="L30" s="189"/>
      <c r="M30" s="189"/>
      <c r="N30" s="189"/>
    </row>
    <row r="31" ht="15.1" customHeight="1">
      <c r="A31" t="s" s="261">
        <v>3288</v>
      </c>
      <c r="B31" s="262">
        <f>N6/N25</f>
        <v>0.0245078344716754</v>
      </c>
      <c r="C31" s="263">
        <f>SUM(N6:N8)</f>
        <v>121</v>
      </c>
      <c r="D31" s="264">
        <f>N6/C31</f>
        <v>0.504132231404959</v>
      </c>
      <c r="E31" s="265">
        <f>SUM(B31:B33)</f>
        <v>0.0486139011651266</v>
      </c>
      <c r="F31" t="s" s="266">
        <v>3313</v>
      </c>
      <c r="G31" s="267"/>
      <c r="H31" s="189"/>
      <c r="I31" s="189"/>
      <c r="J31" s="189"/>
      <c r="K31" s="189"/>
      <c r="L31" s="189"/>
      <c r="M31" s="189"/>
      <c r="N31" s="189"/>
    </row>
    <row r="32" ht="15.1" customHeight="1">
      <c r="A32" t="s" s="268">
        <v>3289</v>
      </c>
      <c r="B32" s="269">
        <f>N7/N25</f>
        <v>0.0200883889112093</v>
      </c>
      <c r="C32" s="270"/>
      <c r="D32" s="271">
        <f>N7/C31</f>
        <v>0.413223140495868</v>
      </c>
      <c r="E32" s="270"/>
      <c r="F32" s="270"/>
      <c r="G32" s="267"/>
      <c r="H32" s="189"/>
      <c r="I32" s="189"/>
      <c r="J32" s="189"/>
      <c r="K32" s="189"/>
      <c r="L32" s="189"/>
      <c r="M32" s="189"/>
      <c r="N32" s="189"/>
    </row>
    <row r="33" ht="15.1" customHeight="1">
      <c r="A33" t="s" s="272">
        <v>3290</v>
      </c>
      <c r="B33" s="273">
        <f>N8/N25</f>
        <v>0.00401767778224186</v>
      </c>
      <c r="C33" s="274"/>
      <c r="D33" s="275">
        <f>N8/C31</f>
        <v>0.0826446280991736</v>
      </c>
      <c r="E33" s="274"/>
      <c r="F33" s="274"/>
      <c r="G33" s="267"/>
      <c r="H33" s="189"/>
      <c r="I33" s="189"/>
      <c r="J33" s="189"/>
      <c r="K33" s="189"/>
      <c r="L33" s="189"/>
      <c r="M33" s="189"/>
      <c r="N33" s="189"/>
    </row>
    <row r="34" ht="15.1" customHeight="1">
      <c r="A34" t="s" s="261">
        <v>3291</v>
      </c>
      <c r="B34" s="262">
        <f>N9/N25</f>
        <v>0.128163921253515</v>
      </c>
      <c r="C34" s="263">
        <f>SUM(N9:N11)</f>
        <v>408</v>
      </c>
      <c r="D34" s="264">
        <f>N9/C34</f>
        <v>0.781862745098039</v>
      </c>
      <c r="E34" s="265">
        <f>SUM(B34:B36)</f>
        <v>0.163921253515468</v>
      </c>
      <c r="F34" t="s" s="266">
        <v>3314</v>
      </c>
      <c r="G34" s="267"/>
      <c r="H34" s="189"/>
      <c r="I34" s="189"/>
      <c r="J34" s="189"/>
      <c r="K34" s="189"/>
      <c r="L34" s="189"/>
      <c r="M34" s="189"/>
      <c r="N34" s="189"/>
    </row>
    <row r="35" ht="15.1" customHeight="1">
      <c r="A35" t="s" s="268">
        <v>3292</v>
      </c>
      <c r="B35" s="269">
        <f>N10/N25</f>
        <v>0.030132583366814</v>
      </c>
      <c r="C35" s="270"/>
      <c r="D35" s="271">
        <f>N10/C34</f>
        <v>0.183823529411765</v>
      </c>
      <c r="E35" s="270"/>
      <c r="F35" s="270"/>
      <c r="G35" s="267"/>
      <c r="H35" s="189"/>
      <c r="I35" s="189"/>
      <c r="J35" s="189"/>
      <c r="K35" s="189"/>
      <c r="L35" s="189"/>
      <c r="M35" s="189"/>
      <c r="N35" s="189"/>
    </row>
    <row r="36" ht="15.1" customHeight="1">
      <c r="A36" t="s" s="272">
        <v>3293</v>
      </c>
      <c r="B36" s="273">
        <f>N11/N25</f>
        <v>0.00562474889513861</v>
      </c>
      <c r="C36" s="274"/>
      <c r="D36" s="275">
        <f>N11/C34</f>
        <v>0.0343137254901961</v>
      </c>
      <c r="E36" s="274"/>
      <c r="F36" s="274"/>
      <c r="G36" s="267"/>
      <c r="H36" s="189"/>
      <c r="I36" s="189"/>
      <c r="J36" s="189"/>
      <c r="K36" s="189"/>
      <c r="L36" s="189"/>
      <c r="M36" s="189"/>
      <c r="N36" s="189"/>
    </row>
    <row r="37" ht="15.1" customHeight="1">
      <c r="A37" t="s" s="261">
        <v>3294</v>
      </c>
      <c r="B37" s="262">
        <f>N12/N25</f>
        <v>0.274005624748895</v>
      </c>
      <c r="C37" s="263">
        <f>SUM(N12:N14)</f>
        <v>767</v>
      </c>
      <c r="D37" s="264">
        <f>N12/C37</f>
        <v>0.889178617992177</v>
      </c>
      <c r="E37" s="265">
        <f>SUM(B37:B39)</f>
        <v>0.308155885897951</v>
      </c>
      <c r="F37" t="s" s="266">
        <v>3315</v>
      </c>
      <c r="G37" s="267"/>
      <c r="H37" s="189"/>
      <c r="I37" s="189"/>
      <c r="J37" s="189"/>
      <c r="K37" s="189"/>
      <c r="L37" s="189"/>
      <c r="M37" s="189"/>
      <c r="N37" s="189"/>
    </row>
    <row r="38" ht="15.1" customHeight="1">
      <c r="A38" t="s" s="268">
        <v>3295</v>
      </c>
      <c r="B38" s="269">
        <f>N13/N25</f>
        <v>0.0120530333467256</v>
      </c>
      <c r="C38" s="270"/>
      <c r="D38" s="271">
        <f>N13/C37</f>
        <v>0.0391134289439374</v>
      </c>
      <c r="E38" s="270"/>
      <c r="F38" s="270"/>
      <c r="G38" s="267"/>
      <c r="H38" s="189"/>
      <c r="I38" s="189"/>
      <c r="J38" s="189"/>
      <c r="K38" s="189"/>
      <c r="L38" s="189"/>
      <c r="M38" s="189"/>
      <c r="N38" s="189"/>
    </row>
    <row r="39" ht="15.1" customHeight="1">
      <c r="A39" t="s" s="272">
        <v>3296</v>
      </c>
      <c r="B39" s="273">
        <f>N14/N25</f>
        <v>0.0220972278023303</v>
      </c>
      <c r="C39" s="274"/>
      <c r="D39" s="275">
        <f>N14/C37</f>
        <v>0.0717079530638853</v>
      </c>
      <c r="E39" s="274"/>
      <c r="F39" s="274"/>
      <c r="G39" s="267"/>
      <c r="H39" s="189"/>
      <c r="I39" s="189"/>
      <c r="J39" s="189"/>
      <c r="K39" s="189"/>
      <c r="L39" s="189"/>
      <c r="M39" s="189"/>
      <c r="N39" s="189"/>
    </row>
    <row r="40" ht="15.1" customHeight="1">
      <c r="A40" t="s" s="261">
        <v>3297</v>
      </c>
      <c r="B40" s="262">
        <f>N15/N25</f>
        <v>0.141020490156689</v>
      </c>
      <c r="C40" s="263">
        <f>SUM(N15:N17)</f>
        <v>408</v>
      </c>
      <c r="D40" s="264">
        <f>N15/C40</f>
        <v>0.860294117647059</v>
      </c>
      <c r="E40" s="265">
        <f>SUM(B40:B42)</f>
        <v>0.163921253515468</v>
      </c>
      <c r="F40" t="s" s="266">
        <v>3316</v>
      </c>
      <c r="G40" s="267"/>
      <c r="H40" s="189"/>
      <c r="I40" s="189"/>
      <c r="J40" s="189"/>
      <c r="K40" s="189"/>
      <c r="L40" s="189"/>
      <c r="M40" s="189"/>
      <c r="N40" s="189"/>
    </row>
    <row r="41" ht="15.1" customHeight="1">
      <c r="A41" t="s" s="268">
        <v>3298</v>
      </c>
      <c r="B41" s="269">
        <f>N16/N25</f>
        <v>0.00723182000803536</v>
      </c>
      <c r="C41" s="270"/>
      <c r="D41" s="271">
        <f>N16/C40</f>
        <v>0.0441176470588235</v>
      </c>
      <c r="E41" s="270"/>
      <c r="F41" s="270"/>
      <c r="G41" s="267"/>
      <c r="H41" s="189"/>
      <c r="I41" s="189"/>
      <c r="J41" s="189"/>
      <c r="K41" s="189"/>
      <c r="L41" s="189"/>
      <c r="M41" s="189"/>
      <c r="N41" s="189"/>
    </row>
    <row r="42" ht="15.1" customHeight="1">
      <c r="A42" t="s" s="272">
        <v>3299</v>
      </c>
      <c r="B42" s="273">
        <f>N17/N25</f>
        <v>0.0156689433507433</v>
      </c>
      <c r="C42" s="274"/>
      <c r="D42" s="275">
        <f>N17/C40</f>
        <v>0.0955882352941176</v>
      </c>
      <c r="E42" s="274"/>
      <c r="F42" s="274"/>
      <c r="G42" s="267"/>
      <c r="H42" s="189"/>
      <c r="I42" s="189"/>
      <c r="J42" s="189"/>
      <c r="K42" s="189"/>
      <c r="L42" s="189"/>
      <c r="M42" s="189"/>
      <c r="N42" s="189"/>
    </row>
    <row r="43" ht="15.1" customHeight="1">
      <c r="A43" t="s" s="261">
        <v>3300</v>
      </c>
      <c r="B43" s="262">
        <f>N18/N25</f>
        <v>0.0341502611490558</v>
      </c>
      <c r="C43" s="263">
        <f>SUM(N18:N20)</f>
        <v>102</v>
      </c>
      <c r="D43" s="264">
        <f>N18/C43</f>
        <v>0.833333333333333</v>
      </c>
      <c r="E43" s="265">
        <f>SUM(B43:B45)</f>
        <v>0.040980313378867</v>
      </c>
      <c r="F43" t="s" s="266">
        <v>3317</v>
      </c>
      <c r="G43" s="267"/>
      <c r="H43" s="189"/>
      <c r="I43" s="189"/>
      <c r="J43" s="189"/>
      <c r="K43" s="189"/>
      <c r="L43" s="189"/>
      <c r="M43" s="189"/>
      <c r="N43" s="189"/>
    </row>
    <row r="44" ht="15.1" customHeight="1">
      <c r="A44" t="s" s="268">
        <v>3301</v>
      </c>
      <c r="B44" s="269">
        <f>N19/N25</f>
        <v>0.00200883889112093</v>
      </c>
      <c r="C44" s="270"/>
      <c r="D44" s="271">
        <f>N19/C43</f>
        <v>0.0490196078431373</v>
      </c>
      <c r="E44" s="270"/>
      <c r="F44" s="270"/>
      <c r="G44" s="267"/>
      <c r="H44" s="189"/>
      <c r="I44" s="189"/>
      <c r="J44" s="189"/>
      <c r="K44" s="189"/>
      <c r="L44" s="189"/>
      <c r="M44" s="189"/>
      <c r="N44" s="189"/>
    </row>
    <row r="45" ht="15.1" customHeight="1">
      <c r="A45" t="s" s="272">
        <v>3302</v>
      </c>
      <c r="B45" s="273">
        <f>N20/N25</f>
        <v>0.00482121333869024</v>
      </c>
      <c r="C45" s="274"/>
      <c r="D45" s="275">
        <f>N20/C43</f>
        <v>0.117647058823529</v>
      </c>
      <c r="E45" s="274"/>
      <c r="F45" s="274"/>
      <c r="G45" s="267"/>
      <c r="H45" s="189"/>
      <c r="I45" s="189"/>
      <c r="J45" s="189"/>
      <c r="K45" s="189"/>
      <c r="L45" s="189"/>
      <c r="M45" s="189"/>
      <c r="N45" s="189"/>
    </row>
    <row r="46" ht="15.1" customHeight="1">
      <c r="A46" t="s" s="261">
        <v>3303</v>
      </c>
      <c r="B46" s="262">
        <f>N21/N25</f>
        <v>0.0783447167537164</v>
      </c>
      <c r="C46" s="263">
        <f>SUM(N21:N22)</f>
        <v>220</v>
      </c>
      <c r="D46" s="264">
        <f>N21/C46</f>
        <v>0.886363636363636</v>
      </c>
      <c r="E46" s="265">
        <f>SUM(B46:B47)</f>
        <v>0.0883889112093211</v>
      </c>
      <c r="F46" t="s" s="266">
        <v>3318</v>
      </c>
      <c r="G46" s="267"/>
      <c r="H46" s="189"/>
      <c r="I46" s="189"/>
      <c r="J46" s="189"/>
      <c r="K46" s="189"/>
      <c r="L46" s="189"/>
      <c r="M46" s="189"/>
      <c r="N46" s="189"/>
    </row>
    <row r="47" ht="15.1" customHeight="1">
      <c r="A47" t="s" s="272">
        <v>3304</v>
      </c>
      <c r="B47" s="273">
        <f>N22/N25</f>
        <v>0.0100441944556047</v>
      </c>
      <c r="C47" s="274"/>
      <c r="D47" s="275">
        <f>N22/C46</f>
        <v>0.113636363636364</v>
      </c>
      <c r="E47" s="274"/>
      <c r="F47" s="274"/>
      <c r="G47" s="267"/>
      <c r="H47" s="189"/>
      <c r="I47" s="189"/>
      <c r="J47" s="189"/>
      <c r="K47" s="189"/>
      <c r="L47" s="189"/>
      <c r="M47" s="189"/>
      <c r="N47" s="189"/>
    </row>
    <row r="48" ht="15.1" customHeight="1">
      <c r="A48" t="s" s="276">
        <v>3305</v>
      </c>
      <c r="B48" s="277">
        <f>N23/N25</f>
        <v>0.00924065889915629</v>
      </c>
      <c r="C48" s="278">
        <v>23</v>
      </c>
      <c r="D48" s="279">
        <v>1</v>
      </c>
      <c r="E48" s="280">
        <v>0.0094</v>
      </c>
      <c r="F48" t="s" s="281">
        <v>3319</v>
      </c>
      <c r="G48" s="267"/>
      <c r="H48" s="189"/>
      <c r="I48" s="189"/>
      <c r="J48" s="189"/>
      <c r="K48" s="189"/>
      <c r="L48" s="189"/>
      <c r="M48" s="189"/>
      <c r="N48" s="189"/>
    </row>
    <row r="49" ht="17.55" customHeight="1">
      <c r="A49" s="282"/>
      <c r="B49" s="283"/>
      <c r="C49" s="284"/>
      <c r="D49" s="284"/>
      <c r="E49" s="284"/>
      <c r="F49" t="s" s="285">
        <v>3270</v>
      </c>
      <c r="G49" s="16"/>
      <c r="H49" s="16"/>
      <c r="I49" s="16"/>
      <c r="J49" s="215"/>
      <c r="K49" s="215"/>
      <c r="L49" s="215"/>
      <c r="M49" s="215"/>
      <c r="N49" s="215"/>
    </row>
    <row r="50" ht="15.1" customHeight="1">
      <c r="A50" s="286"/>
      <c r="B50" s="220">
        <v>45292</v>
      </c>
      <c r="C50" s="221">
        <v>45323</v>
      </c>
      <c r="D50" s="221">
        <v>45352</v>
      </c>
      <c r="E50" s="221">
        <v>45383</v>
      </c>
      <c r="F50" s="221">
        <v>45413</v>
      </c>
      <c r="G50" s="221">
        <v>45444</v>
      </c>
      <c r="H50" s="221">
        <v>45474</v>
      </c>
      <c r="I50" s="221">
        <v>45505</v>
      </c>
      <c r="J50" s="221">
        <v>45536</v>
      </c>
      <c r="K50" s="221">
        <v>45566</v>
      </c>
      <c r="L50" s="221">
        <v>45597</v>
      </c>
      <c r="M50" s="221">
        <v>45627</v>
      </c>
      <c r="N50" t="s" s="287">
        <v>3237</v>
      </c>
    </row>
    <row r="51" ht="15.1" customHeight="1">
      <c r="A51" t="s" s="163">
        <v>3285</v>
      </c>
      <c r="B51" s="224">
        <f>GETPIVOTDATA("Sum of Total Line Item $",'January 2023'!R983,"Line Item Name","CC-CH-02-MFD")</f>
        <v>259.96</v>
      </c>
      <c r="C51" s="225">
        <f>GETPIVOTDATA("Sum of Total Line Item $",'February 2023'!R610,"Line Item Name","CC-CH-02-MFD")</f>
        <v>1429.78</v>
      </c>
      <c r="D51" s="225">
        <f>GETPIVOTDATA("Sum of Total Line Item $",'March 2023'!R1329,"Line Item Name","CC-CH-02-MFD")</f>
        <v>64.98999999999999</v>
      </c>
      <c r="E51" s="225">
        <f>GETPIVOTDATA("Sum of Total Line Item $",'April 2023'!R506,"Line Item Name","CC-CH-02-MFD")</f>
        <v>584.91</v>
      </c>
      <c r="F51" s="225">
        <f>GETPIVOTDATA("Sum of Total Line Item $",'May 2023'!R1236,"Line Item Name","CC-CH-02-MFD")</f>
        <v>1364.79</v>
      </c>
      <c r="G51" s="225">
        <f>GETPIVOTDATA("Sum of Total Line Item $",'June 2023'!R608,"Line Item Name","CC-CH-02-MFD")</f>
        <v>649.9</v>
      </c>
      <c r="H51" s="225">
        <f>GETPIVOTDATA("Sum of Total Line Item $",'July 2023'!R1133,"Line Item Name","CC-CH-02-MFD")</f>
        <v>97.485</v>
      </c>
      <c r="I51" s="225">
        <f t="shared" si="7"/>
        <v>0</v>
      </c>
      <c r="J51" s="225">
        <f t="shared" si="7"/>
        <v>0</v>
      </c>
      <c r="K51" s="225">
        <f>GETPIVOTDATA("Sum of Total Line Item $",'October 2023'!R708,"Line Item Name","CC-CH-02-MFD")</f>
        <v>974.85</v>
      </c>
      <c r="L51" s="225">
        <f t="shared" si="7"/>
        <v>0</v>
      </c>
      <c r="M51" s="225">
        <f>GETPIVOTDATA("Sum of Total Line Item $",'Decemeber 2023'!R527,"Line Item Name","CC-CH-02-MFD")</f>
        <v>903.6</v>
      </c>
      <c r="N51" s="231">
        <f>SUM(B51:M51)</f>
        <v>6330.265</v>
      </c>
    </row>
    <row r="52" ht="15.1" customHeight="1">
      <c r="A52" t="s" s="163">
        <v>3312</v>
      </c>
      <c r="B52" s="224">
        <f>GETPIVOTDATA("Sum of Total Line Item $",'January 2023'!R983,"Line Item Name","CC-CH-03.5-MFD")</f>
        <v>419.94</v>
      </c>
      <c r="C52" s="225">
        <f>GETPIVOTDATA("Sum of Total Line Item $",'February 2023'!R610,"Line Item Name","CC-CH-03.5-MFD")</f>
        <v>979.86</v>
      </c>
      <c r="D52" s="225">
        <f>GETPIVOTDATA("Sum of Total Line Item $",'March 2023'!R1329,"Line Item Name","CC-CH-03.5-MFD")</f>
        <v>559.92</v>
      </c>
      <c r="E52" s="225">
        <f>GETPIVOTDATA("Sum of Total Line Item $",'April 2023'!R506,"Line Item Name","CC-CH-03.5-MFD")</f>
        <v>419.94</v>
      </c>
      <c r="F52" s="225">
        <f>GETPIVOTDATA("Sum of Total Line Item $",'May 2023'!R1236,"Line Item Name","CC-CH-03.5-MFD")</f>
        <v>349.95</v>
      </c>
      <c r="G52" s="225">
        <f>GETPIVOTDATA("Sum of Total Line Item $",'June 2023'!R608,"Line Item Name","CC-CH-03.5-MFD")</f>
        <v>139.98</v>
      </c>
      <c r="H52" s="225">
        <f>GETPIVOTDATA("Sum of Total Line Item $",'July 2023'!R1133,"Line Item Name","CC-CH-03.5-MFD")</f>
        <v>419.94</v>
      </c>
      <c r="I52" s="225">
        <f>GETPIVOTDATA("Sum of Total Line Item $",'August 2023'!R760,"Line Item Name","CC-CH-03.5-EXT")</f>
        <v>1529.82</v>
      </c>
      <c r="J52" s="225">
        <f>GETPIVOTDATA("Sum of Total Line Item $",'September 2023'!R716,"Line Item Name","CC-CH-03.5-MFD")</f>
        <v>559.92</v>
      </c>
      <c r="K52" s="225">
        <f>GETPIVOTDATA("Sum of Total Line Item $",'October 2023'!R708,"Line Item Name","CC-CH-03.5-MFD")</f>
        <v>314.955</v>
      </c>
      <c r="L52" s="225">
        <f>GETPIVOTDATA("Sum of Total Line Item $",'November 2023'!R549,"Line Item Name","CC-CH-03.5-MFD")</f>
        <v>1399.8</v>
      </c>
      <c r="M52" s="225">
        <f>GETPIVOTDATA("Sum of Total Line Item $",'Decemeber 2023'!R527,"Line Item Name","CC-CH-03.5-MFD")</f>
        <v>973.6</v>
      </c>
      <c r="N52" s="231">
        <f>SUM(B52:M52)</f>
        <v>8067.625</v>
      </c>
    </row>
    <row r="53" ht="15.1" customHeight="1">
      <c r="A53" t="s" s="163">
        <v>3287</v>
      </c>
      <c r="B53" s="228">
        <f>0</f>
        <v>0</v>
      </c>
      <c r="C53" s="225">
        <f>0</f>
        <v>0</v>
      </c>
      <c r="D53" s="225">
        <f>GETPIVOTDATA("Sum of Total Line Item $",'March 2023'!R1329,"Line Item Name","CC-CH-05-MFD")</f>
        <v>1274.83</v>
      </c>
      <c r="E53" s="225">
        <f>GETPIVOTDATA("Sum of Total Line Item $",'April 2023'!R506,"Line Item Name","CC-CH-05-MFD")</f>
        <v>299.96</v>
      </c>
      <c r="F53" s="225">
        <v>0</v>
      </c>
      <c r="G53" s="225">
        <v>0</v>
      </c>
      <c r="H53" s="225">
        <f>GETPIVOTDATA("Sum of Total Line Item $",'July 2023'!R1133,"Line Item Name","CC-CH-05-MFD")</f>
        <v>337.455</v>
      </c>
      <c r="I53" s="225">
        <f>GETPIVOTDATA("Sum of Total Line Item $",'August 2023'!R760,"Line Item Name","CC-CH-05-MFD")</f>
        <v>149.98</v>
      </c>
      <c r="J53" s="225">
        <f>GETPIVOTDATA("Sum of Total Line Item $",'September 2023'!R716,"Line Item Name","CC-CH-05-MFD")</f>
        <v>74.98999999999999</v>
      </c>
      <c r="K53" s="225">
        <f>GETPIVOTDATA("Sum of Total Line Item $",'October 2023'!R708,"Line Item Name","CC-CH-05-MFD")</f>
        <v>337.455</v>
      </c>
      <c r="L53" s="225">
        <f>GETPIVOTDATA("Sum of Total Line Item $",'November 2023'!R549,"Line Item Name","CC-CH-05-MFD")</f>
        <v>74.98999999999999</v>
      </c>
      <c r="M53" s="225">
        <f>GETPIVOTDATA("Sum of Total Line Item $",'Decemeber 2023'!R527,"Line Item Name","CC-CH-05-MFD")</f>
        <v>1799.76</v>
      </c>
      <c r="N53" s="231">
        <f>SUM(B53:M53)</f>
        <v>4349.42</v>
      </c>
    </row>
    <row r="54" ht="15.1" customHeight="1">
      <c r="A54" t="s" s="163">
        <v>3288</v>
      </c>
      <c r="B54" s="224">
        <f>GETPIVOTDATA("Sum of Total Line Item $",'January 2023'!R983,"Line Item Name","CC-CH-05-STD")</f>
        <v>99.98999999999999</v>
      </c>
      <c r="C54" s="225">
        <f>GETPIVOTDATA("Sum of Total Line Item $",'February 2023'!R610,"Line Item Name","CC-CH-05-STD")</f>
        <v>299.97</v>
      </c>
      <c r="D54" s="225">
        <f>GETPIVOTDATA("Sum of Total Line Item $",'March 2023'!R1329,"Line Item Name","CC-CH-05-STD")</f>
        <v>399.96</v>
      </c>
      <c r="E54" s="225">
        <f>GETPIVOTDATA("Sum of Total Line Item $",'April 2023'!R506,"Line Item Name","CC-CH-05-STD")</f>
        <v>99.98999999999999</v>
      </c>
      <c r="F54" s="225">
        <v>0</v>
      </c>
      <c r="G54" s="225">
        <f>GETPIVOTDATA("Sum of Total Line Item $",'June 2023'!R608,"Line Item Name","CC-CH-05-STD")</f>
        <v>199.98</v>
      </c>
      <c r="H54" s="225">
        <v>0</v>
      </c>
      <c r="I54" s="225">
        <v>0</v>
      </c>
      <c r="J54" s="225">
        <f>GETPIVOTDATA("Sum of Total Line Item $",'September 2023'!R716,"Line Item Name","CC-CH-05-STD")</f>
        <v>99.98999999999999</v>
      </c>
      <c r="K54" s="225">
        <f>GETPIVOTDATA("Sum of Total Line Item $",'October 2023'!R708,"Line Item Name","CC-CH-05-STD")+GETPIVOTDATA("Sum of Total Line Item $",'October 2023'!R708,"Line Item Name","CC-CH-05-STD - 01")</f>
        <v>699.9299999999999</v>
      </c>
      <c r="L54" s="225">
        <f>GETPIVOTDATA("Sum of Total Line Item $",'November 2023'!R549,"Line Item Name","CC-CH-05-STD - 01")</f>
        <v>799.92</v>
      </c>
      <c r="M54" s="225">
        <f>GETPIVOTDATA("Sum of Total Line Item $",'Decemeber 2023'!R527,"Line Item Name","CC-CH-05-STD - 01")</f>
        <v>199.98</v>
      </c>
      <c r="N54" s="231">
        <f>SUM(B54:M54)</f>
        <v>2899.71</v>
      </c>
    </row>
    <row r="55" ht="15.1" customHeight="1">
      <c r="A55" t="s" s="163">
        <v>3289</v>
      </c>
      <c r="B55" s="224">
        <f>GETPIVOTDATA("Sum of Total Line Item $",'January 2023'!R983,"Line Item Name","CC-CH-05-DSY")</f>
        <v>199.98</v>
      </c>
      <c r="C55" s="225">
        <v>0</v>
      </c>
      <c r="D55" s="225">
        <f>GETPIVOTDATA("Sum of Total Line Item $",'March 2023'!R1329,"Line Item Name","CC-CH-05-DSY")</f>
        <v>549.9450000000001</v>
      </c>
      <c r="E55" s="225">
        <v>0</v>
      </c>
      <c r="F55" s="225">
        <f>GETPIVOTDATA("Sum of Total Line Item $",'May 2023'!R1236,"Line Item Name","CC-CH-05-DSY")</f>
        <v>1299.87</v>
      </c>
      <c r="G55" s="225">
        <v>0</v>
      </c>
      <c r="H55" s="225">
        <v>0</v>
      </c>
      <c r="I55" s="225">
        <f>GETPIVOTDATA("Sum of Total Line Item $",'August 2023'!R760,"Line Item Name","CC-CH-05-DSY")</f>
        <v>1299.87</v>
      </c>
      <c r="J55" s="225">
        <f>GETPIVOTDATA("Sum of Total Line Item $",'September 2023'!R716,"Line Item Name","CC-CH-05-DSY")</f>
        <v>749.925</v>
      </c>
      <c r="K55" s="225">
        <f>GETPIVOTDATA("Sum of Total Line Item $",'October 2023'!R708,"Line Item Name","CC-CH-05-DSY")</f>
        <v>199.98</v>
      </c>
      <c r="L55" s="225">
        <f>GETPIVOTDATA("Sum of Total Line Item $",'November 2023'!R549,"Line Item Name","CC-CH-05-DSY")</f>
        <v>99.98999999999999</v>
      </c>
      <c r="M55" s="225">
        <v>0</v>
      </c>
      <c r="N55" s="231">
        <f>SUM(B55:M55)</f>
        <v>4399.56</v>
      </c>
    </row>
    <row r="56" ht="15.1" customHeight="1">
      <c r="A56" t="s" s="163">
        <v>3290</v>
      </c>
      <c r="B56" s="224">
        <v>0</v>
      </c>
      <c r="C56" s="225">
        <v>0</v>
      </c>
      <c r="D56" s="225">
        <f>0</f>
        <v>0</v>
      </c>
      <c r="E56" s="225">
        <v>0</v>
      </c>
      <c r="F56" s="225">
        <f>0</f>
        <v>0</v>
      </c>
      <c r="G56" s="225">
        <v>0</v>
      </c>
      <c r="H56" s="225">
        <f>GETPIVOTDATA("Sum of Total Line Item $",'July 2023'!R1133,"Line Item Name","CC-CH-05-EXT")</f>
        <v>199.98</v>
      </c>
      <c r="I56" s="225">
        <f>GETPIVOTDATA("Sum of Total Line Item $",'August 2023'!R760,"Line Item Name","CC-CH-05-EXT")</f>
        <v>199.98</v>
      </c>
      <c r="J56" s="225">
        <v>0</v>
      </c>
      <c r="K56" s="225">
        <v>0</v>
      </c>
      <c r="L56" s="225">
        <f>GETPIVOTDATA("Sum of Total Line Item $",'November 2023'!R549,"Line Item Name","CC-CH-05-EXT")</f>
        <v>599.9400000000001</v>
      </c>
      <c r="M56" s="225">
        <v>0</v>
      </c>
      <c r="N56" s="231">
        <f>SUM(B56:M56)</f>
        <v>999.9</v>
      </c>
    </row>
    <row r="57" ht="15.1" customHeight="1">
      <c r="A57" t="s" s="163">
        <v>3291</v>
      </c>
      <c r="B57" s="224">
        <f>GETPIVOTDATA("Sum of Total Line Item $",'January 2023'!R983,"Line Item Name","CC-CH-08-STD")</f>
        <v>219.98</v>
      </c>
      <c r="C57" s="225">
        <f>GETPIVOTDATA("Sum of Total Line Item $",'February 2023'!R610,"Line Item Name","CC-CH-08-STD")</f>
        <v>219.98</v>
      </c>
      <c r="D57" s="225">
        <f>GETPIVOTDATA("Sum of Total Line Item $",'March 2023'!R1329,"Line Item Name","CC-CH-08-STD")</f>
        <v>109.99</v>
      </c>
      <c r="E57" s="225">
        <f>GETPIVOTDATA("Sum of Total Line Item $",'April 2023'!R506,"Line Item Name","CC-CH-08-STD")</f>
        <v>109.99</v>
      </c>
      <c r="F57" s="225">
        <f>GETPIVOTDATA("Sum of Total Line Item $",'May 2023'!R1236,"Line Item Name","CC-CH-08-STD")</f>
        <v>2089.81</v>
      </c>
      <c r="G57" s="225">
        <f>GETPIVOTDATA("Sum of Total Line Item $",'June 2023'!R608,"Line Item Name","CC-CH-08-STD")</f>
        <v>549.95</v>
      </c>
      <c r="H57" s="225">
        <f>GETPIVOTDATA("Sum of Total Line Item $",'July 2023'!R1133,"Line Item Name","CC-CH-08-STD")</f>
        <v>0</v>
      </c>
      <c r="I57" s="225">
        <f>GETPIVOTDATA("Sum of Total Line Item $",'August 2023'!R760,"Line Item Name","CC-CH-08-STD")</f>
        <v>219.98</v>
      </c>
      <c r="J57" s="225">
        <f>GETPIVOTDATA("Sum of Total Line Item $",'September 2023'!R716,"Line Item Name","CC-CH-08-STD")</f>
        <v>1154.895</v>
      </c>
      <c r="K57" s="225">
        <f>GETPIVOTDATA("Sum of Total Line Item $",'October 2023'!R708,"Line Item Name","CC-CH-08-STD")</f>
        <v>1209.89</v>
      </c>
      <c r="L57" s="225">
        <f>GETPIVOTDATA("Sum of Total Line Item $",'November 2023'!R549,"Line Item Name","CC-CH-08-STD")</f>
        <v>439.96</v>
      </c>
      <c r="M57" s="225">
        <f>GETPIVOTDATA("Sum of Total Line Item $",'Decemeber 2023'!R527,"Line Item Name","CC-CH-08-STD")</f>
        <v>439.96</v>
      </c>
      <c r="N57" s="231">
        <f>SUM(B57:M57)</f>
        <v>6764.385</v>
      </c>
    </row>
    <row r="58" ht="15.1" customHeight="1">
      <c r="A58" t="s" s="163">
        <v>3292</v>
      </c>
      <c r="B58" s="224">
        <f>GETPIVOTDATA("Sum of Total Line Item $",'January 2023'!R983,"Line Item Name","CC-CH-08-DSY")</f>
        <v>522.4525</v>
      </c>
      <c r="C58" s="225">
        <v>0</v>
      </c>
      <c r="D58" s="225">
        <f>GETPIVOTDATA("Sum of Total Line Item $",'March 2023'!R1329,"Line Item Name","CC-CH-08-DSY")</f>
        <v>329.97</v>
      </c>
      <c r="E58" s="225">
        <f>GETPIVOTDATA("Sum of Total Line Item $",'April 2023'!R506,"Line Item Name","CC-CH-08-DSY")</f>
        <v>82.49250000000001</v>
      </c>
      <c r="F58" s="225">
        <f>GETPIVOTDATA("Sum of Total Line Item $",'May 2023'!R1236,"Line Item Name","CC-CH-08-DSY")</f>
        <v>494.955</v>
      </c>
      <c r="G58" s="225">
        <f>GETPIVOTDATA("Sum of Total Line Item $",'June 2023'!R608,"Line Item Name","CC-CH-08-DSY")</f>
        <v>1099.9</v>
      </c>
      <c r="H58" s="225">
        <f>GETPIVOTDATA("Sum of Total Line Item $",'July 2023'!R1133,"Line Item Name","CC-CH-08-DSY")</f>
        <v>439.96</v>
      </c>
      <c r="I58" s="225">
        <f>GETPIVOTDATA("Sum of Total Line Item $",'August 2023'!R760,"Line Item Name","CC-CH-08-DSY")</f>
        <v>1649.85</v>
      </c>
      <c r="J58" s="225">
        <f t="shared" si="419" ref="J58:M72">0</f>
        <v>0</v>
      </c>
      <c r="K58" s="225">
        <f>GETPIVOTDATA("Sum of Total Line Item $",'October 2023'!R708,"Line Item Name","CC-CH-08-DSY")</f>
        <v>549.95</v>
      </c>
      <c r="L58" s="225">
        <v>0</v>
      </c>
      <c r="M58" s="225">
        <f>GETPIVOTDATA("Sum of Total Line Item $",'Decemeber 2023'!R527,"Line Item Name","CC-CH-08-DSY")</f>
        <v>329.97</v>
      </c>
      <c r="N58" s="231">
        <f>SUM(B58:M58)</f>
        <v>5499.5</v>
      </c>
    </row>
    <row r="59" ht="15.1" customHeight="1">
      <c r="A59" t="s" s="163">
        <v>3293</v>
      </c>
      <c r="B59" s="224">
        <f>GETPIVOTDATA("Sum of Total Line Item $",'January 2023'!R983,"Line Item Name","CC-CH-08-EXT")</f>
        <v>219.98</v>
      </c>
      <c r="C59" s="225">
        <f>GETPIVOTDATA("Sum of Total Line Item $",'February 2023'!R610,"Line Item Name","CC-CH-08-EXT")</f>
        <v>439.96</v>
      </c>
      <c r="D59" s="225">
        <f>0</f>
        <v>0</v>
      </c>
      <c r="E59" s="225">
        <f>0</f>
        <v>0</v>
      </c>
      <c r="F59" s="225">
        <f>GETPIVOTDATA("Sum of Total Line Item $",'May 2023'!R1236,"Line Item Name","CC-CH-08-EXT")</f>
        <v>219.98</v>
      </c>
      <c r="G59" s="225">
        <f>GETPIVOTDATA("Sum of Total Line Item $",'June 2023'!R608,"Line Item Name","CC-CH-08-EXT")</f>
        <v>109.99</v>
      </c>
      <c r="H59" s="225">
        <f>GETPIVOTDATA("Sum of Total Line Item $",'July 2023'!R1133,"Line Item Name","CC-CH-08-EXT")</f>
        <v>109.99</v>
      </c>
      <c r="I59" s="225">
        <f>0</f>
        <v>0</v>
      </c>
      <c r="J59" s="225">
        <f>GETPIVOTDATA("Sum of Total Line Item $",'September 2023'!R716,"Line Item Name","CC-CH-08-EXT")</f>
        <v>219.98</v>
      </c>
      <c r="K59" s="225">
        <v>0</v>
      </c>
      <c r="L59" s="225">
        <v>0</v>
      </c>
      <c r="M59" s="225">
        <f t="shared" si="419"/>
        <v>0</v>
      </c>
      <c r="N59" s="231">
        <f>SUM(B59:M59)</f>
        <v>1319.88</v>
      </c>
    </row>
    <row r="60" ht="15.1" customHeight="1">
      <c r="A60" t="s" s="163">
        <v>3294</v>
      </c>
      <c r="B60" s="224">
        <f>GETPIVOTDATA("Sum of Total Line Item $",'January 2023'!R983,"Line Item Name","CC-CH-15-STD")</f>
        <v>599.96</v>
      </c>
      <c r="C60" s="225">
        <f>GETPIVOTDATA("Sum of Total Line Item $",'February 2023'!R610,"Line Item Name","CC-CH-15-STD")</f>
        <v>449.97</v>
      </c>
      <c r="D60" s="225">
        <f>GETPIVOTDATA("Sum of Total Line Item $",'March 2023'!R1329,"Line Item Name","CC-CH-15-STD")</f>
        <v>299.98</v>
      </c>
      <c r="E60" s="225">
        <f>GETPIVOTDATA("Sum of Total Line Item $",'April 2023'!R506,"Line Item Name","CC-CH-15-STD")</f>
        <v>749.95</v>
      </c>
      <c r="F60" s="225">
        <f>GETPIVOTDATA("Sum of Total Line Item $",'May 2023'!R1236,"Line Item Name","CC-CH-15-STD")</f>
        <v>712.4525</v>
      </c>
      <c r="G60" s="225">
        <f>GETPIVOTDATA("Sum of Total Line Item $",'June 2023'!R608,"Line Item Name","CC-CH-15-STD")</f>
        <v>1874.875</v>
      </c>
      <c r="H60" s="225">
        <f>GETPIVOTDATA("Sum of Total Line Item $",'July 2023'!R1133,"Line Item Name","CC-CH-15-STD")</f>
        <v>449.97</v>
      </c>
      <c r="I60" s="225">
        <f>GETPIVOTDATA("Sum of Total Line Item $",'August 2023'!R760,"Line Item Name","CC-CH-15-STD")</f>
        <v>2924.805</v>
      </c>
      <c r="J60" s="225">
        <f>GETPIVOTDATA("Sum of Total Line Item $",'September 2023'!R716,"Line Item Name","CC-CH-15-STD")</f>
        <v>1649.89</v>
      </c>
      <c r="K60" s="225">
        <f>GETPIVOTDATA("Sum of Total Line Item $",'October 2023'!R708,"Line Item Name","CC-CH-15-STD")</f>
        <v>2324.845</v>
      </c>
      <c r="L60" s="225">
        <f>GETPIVOTDATA("Sum of Total Line Item $",'November 2023'!R549,"Line Item Name","CC-CH-15-STD")</f>
        <v>1199.92</v>
      </c>
      <c r="M60" s="225">
        <f>GETPIVOTDATA("Sum of Total Line Item $",'Decemeber 2023'!R527,"Line Item Name","CC-CH-15-STD")</f>
        <v>734.951</v>
      </c>
      <c r="N60" s="231">
        <f>SUM(B60:M60)</f>
        <v>13971.5685</v>
      </c>
    </row>
    <row r="61" ht="15.1" customHeight="1">
      <c r="A61" t="s" s="163">
        <v>3295</v>
      </c>
      <c r="B61" s="224">
        <f>GETPIVOTDATA("Sum of Total Line Item $",'January 2023'!R983,"Line Item Name","CC-CH-15-DSY")</f>
        <v>1499.9</v>
      </c>
      <c r="C61" s="225">
        <f>GETPIVOTDATA("Sum of Total Line Item $",'February 2023'!R610,"Line Item Name","CC-CH-15-DSY")</f>
        <v>224.985</v>
      </c>
      <c r="D61" s="225">
        <f>0</f>
        <v>0</v>
      </c>
      <c r="E61" s="225">
        <f>0</f>
        <v>0</v>
      </c>
      <c r="F61" s="225">
        <f>0</f>
        <v>0</v>
      </c>
      <c r="G61" s="225">
        <f>GETPIVOTDATA("Sum of Total Line Item $",'June 2023'!R608,"Line Item Name","CC-CH-15-DSY")</f>
        <v>299.98</v>
      </c>
      <c r="H61" s="225">
        <f>0</f>
        <v>0</v>
      </c>
      <c r="I61" s="225">
        <f>0</f>
        <v>0</v>
      </c>
      <c r="J61" s="225">
        <f>GETPIVOTDATA("Sum of Total Line Item $",'September 2023'!R716,"Line Item Name","CC-CH-15-DSY")</f>
        <v>599.96</v>
      </c>
      <c r="K61" s="225">
        <f>GETPIVOTDATA("Sum of Total Line Item $",'October 2023'!R708,"Line Item Name","CC-CH-15-DSY")</f>
        <v>1199.92</v>
      </c>
      <c r="L61" s="225">
        <v>0</v>
      </c>
      <c r="M61" s="225">
        <f>GETPIVOTDATA("Sum of Total Line Item $",'Decemeber 2023'!R527,"Line Item Name","CC-CH-15-DSY")</f>
        <v>299.98</v>
      </c>
      <c r="N61" s="231">
        <f>SUM(B61:M61)</f>
        <v>4124.725</v>
      </c>
    </row>
    <row r="62" ht="15.1" customHeight="1">
      <c r="A62" t="s" s="163">
        <v>3296</v>
      </c>
      <c r="B62" s="224">
        <f>0</f>
        <v>0</v>
      </c>
      <c r="C62" s="225">
        <f>GETPIVOTDATA("Sum of Total Line Item $",'February 2023'!R610,"Line Item Name","CC-CH-15-EXT")</f>
        <v>1049.93</v>
      </c>
      <c r="D62" s="225">
        <f>GETPIVOTDATA("Sum of Total Line Item $",'March 2023'!R1329,"Line Item Name","CC-CH-15-EXT")</f>
        <v>299.98</v>
      </c>
      <c r="E62" s="225">
        <f>GETPIVOTDATA("Sum of Total Line Item $",'April 2023'!R506,"Line Item Name","CC-CH-15-EXT")</f>
        <v>0</v>
      </c>
      <c r="F62" s="225">
        <v>0</v>
      </c>
      <c r="G62" s="225">
        <v>0</v>
      </c>
      <c r="H62" s="225">
        <f>GETPIVOTDATA("Sum of Total Line Item $",'July 2023'!R1133,"Line Item Name","CC-CH-15-EXT")</f>
        <v>562.4625</v>
      </c>
      <c r="I62" s="225">
        <f>GETPIVOTDATA("Sum of Total Line Item $",'August 2023'!R760,"Line Item Name","CC-CH-15-EXT")</f>
        <v>787.4475</v>
      </c>
      <c r="J62" s="225">
        <f>GETPIVOTDATA("Sum of Total Line Item $",'September 2023'!R716,"Line Item Name","CC-CH-15-EXT")</f>
        <v>299.98</v>
      </c>
      <c r="K62" s="225">
        <f>GETPIVOTDATA("Sum of Total Line Item $",'October 2023'!R708,"Line Item Name","CC-CH-15-EXT")</f>
        <v>449.97</v>
      </c>
      <c r="L62" s="225">
        <f>GETPIVOTDATA("Sum of Total Line Item $",'November 2023'!R549,"Line Item Name","CC-CH-15-EXT")</f>
        <v>1499.9</v>
      </c>
      <c r="M62" s="225">
        <f>GETPIVOTDATA("Sum of Total Line Item $",'Decemeber 2023'!R527,"Line Item Name","CC-CH-15-EXT")</f>
        <v>374.975</v>
      </c>
      <c r="N62" s="231">
        <f>SUM(B62:M62)</f>
        <v>5324.645</v>
      </c>
    </row>
    <row r="63" ht="15.1" customHeight="1">
      <c r="A63" t="s" s="163">
        <v>3297</v>
      </c>
      <c r="B63" s="224">
        <f>GETPIVOTDATA("Sum of Total Line Item $",'January 2023'!R983,"Line Item Name","CC-CH-25-STD")</f>
        <v>1624.98</v>
      </c>
      <c r="C63" s="225">
        <f>GETPIVOTDATA("Sum of Total Line Item $",'February 2023'!R610,"Line Item Name","CC-CH-25-STD")</f>
        <v>2349.935</v>
      </c>
      <c r="D63" s="225">
        <f>GETPIVOTDATA("Sum of Total Line Item $",'March 2023'!R1329,"Line Item Name","CC-CH-25-STD")</f>
        <v>7249.84</v>
      </c>
      <c r="E63" s="225">
        <f>GETPIVOTDATA("Sum of Total Line Item $",'April 2023'!R506,"Line Item Name","CC-CH-25-STD")</f>
        <v>1399.96</v>
      </c>
      <c r="F63" s="225">
        <f>GETPIVOTDATA("Sum of Total Line Item $",'May 2023'!R1236,"Line Item Name","CC-CH-25-STD")</f>
        <v>1749.93</v>
      </c>
      <c r="G63" s="225">
        <f>GETPIVOTDATA("Sum of Total Line Item $",'June 2023'!R608,"Line Item Name","CC-CH-25-STD")</f>
        <v>2049.9325</v>
      </c>
      <c r="H63" s="225">
        <f>GETPIVOTDATA("Sum of Total Line Item $",'July 2023'!R1133,"Line Item Name","CC-CH-25-STD")+GETPIVOTDATA("Sum of Total Line Item $",'July 2023'!R1133,"Line Item Name","CC-CH-25-OB")</f>
        <v>2449.89</v>
      </c>
      <c r="I63" s="225">
        <f>GETPIVOTDATA("Sum of Total Line Item $",'August 2023'!R760,"Line Item Name","CC-CH-25-STD")</f>
        <v>1249.94</v>
      </c>
      <c r="J63" s="225">
        <f>GETPIVOTDATA("Sum of Total Line Item $",'September 2023'!R716,"Line Item Name","CC-CH-25-STD")</f>
        <v>4449.8</v>
      </c>
      <c r="K63" s="225">
        <f>GETPIVOTDATA("Sum of Total Line Item $",'October 2023'!R708,"Line Item Name","CC-CH-25-STD")</f>
        <v>2549.8925</v>
      </c>
      <c r="L63" s="225">
        <f>GETPIVOTDATA("Sum of Total Line Item $",'November 2023'!R549,"Line Item Name","CC-CH-25-STD")</f>
        <v>2599.97</v>
      </c>
      <c r="M63" s="225">
        <f>GETPIVOTDATA("Sum of Total Line Item $",'Decemeber 2023'!R527,"Line Item Name","CC-CH-25-STD")</f>
        <v>175</v>
      </c>
      <c r="N63" s="231">
        <f>SUM(B63:M63)</f>
        <v>29899.07</v>
      </c>
    </row>
    <row r="64" ht="15.1" customHeight="1">
      <c r="A64" t="s" s="163">
        <v>3298</v>
      </c>
      <c r="B64" s="224">
        <f>0</f>
        <v>0</v>
      </c>
      <c r="C64" s="225">
        <f>GETPIVOTDATA("Sum of Total Line Item $",'February 2023'!R610,"Line Item Name","CC-CH-25-DSY")</f>
        <v>399.98</v>
      </c>
      <c r="D64" s="225">
        <f>0</f>
        <v>0</v>
      </c>
      <c r="E64" s="225">
        <f>GETPIVOTDATA("Sum of Total Line Item $",'April 2023'!R506,"Line Item Name","CC-CH-25-DSY")</f>
        <v>624.9725</v>
      </c>
      <c r="F64" s="225">
        <v>0</v>
      </c>
      <c r="G64" s="225">
        <f>GETPIVOTDATA("Sum of Total Line Item $",'June 2023'!R608,"Line Item Name","CC-CH-25-DSY")</f>
        <v>1499.925</v>
      </c>
      <c r="H64" s="225">
        <f>GETPIVOTDATA("Sum of Total Line Item $",'July 2023'!R1133,"Line Item Name","CC-CH-25-DSY")</f>
        <v>399.98</v>
      </c>
      <c r="I64" s="225">
        <f>0</f>
        <v>0</v>
      </c>
      <c r="J64" s="225">
        <f t="shared" si="419"/>
        <v>0</v>
      </c>
      <c r="K64" s="225">
        <f t="shared" si="419"/>
        <v>0</v>
      </c>
      <c r="L64" s="225">
        <f t="shared" si="419"/>
        <v>0</v>
      </c>
      <c r="M64" s="225">
        <v>0</v>
      </c>
      <c r="N64" s="231">
        <f>SUM(B64:M64)</f>
        <v>2924.8575</v>
      </c>
    </row>
    <row r="65" ht="15.1" customHeight="1">
      <c r="A65" t="s" s="163">
        <v>3299</v>
      </c>
      <c r="B65" s="224">
        <f>0</f>
        <v>0</v>
      </c>
      <c r="C65" s="225">
        <f>GETPIVOTDATA("Sum of Total Line Item $",'February 2023'!R610,"Line Item Name","CC-CH-25-EXT")</f>
        <v>199.99</v>
      </c>
      <c r="D65" s="225">
        <f>GETPIVOTDATA("Sum of Total Line Item $",'March 2023'!R1329,"Line Item Name","CC-CH-25-EXT")</f>
        <v>899.955</v>
      </c>
      <c r="E65" s="225">
        <f>0</f>
        <v>0</v>
      </c>
      <c r="F65" s="225">
        <v>0</v>
      </c>
      <c r="G65" s="225">
        <v>0</v>
      </c>
      <c r="H65" s="225">
        <f>GETPIVOTDATA("Sum of Total Line Item $",'July 2023'!R1133,"Line Item Name","CC-CH-25-EXT")</f>
        <v>199.99</v>
      </c>
      <c r="I65" s="225">
        <f>GETPIVOTDATA("Sum of Total Line Item $",'August 2023'!R760,"Line Item Name","CC-CH-25-EXT")</f>
        <v>1599.92</v>
      </c>
      <c r="J65" s="225">
        <f>GETPIVOTDATA("Sum of Total Line Item $",'September 2023'!R716,"Line Item Name","CC-CH-25-EXT")</f>
        <v>599.97</v>
      </c>
      <c r="K65" s="225">
        <f>GETPIVOTDATA("Sum of Total Line Item $",'October 2023'!R708,"Line Item Name","CC-CH-25-EXT")</f>
        <v>1199.94</v>
      </c>
      <c r="L65" s="225">
        <f>GETPIVOTDATA("Sum of Total Line Item $",'November 2023'!R549,"Line Item Name","CC-CH-25-EXT")</f>
        <v>1599.92</v>
      </c>
      <c r="M65" s="225">
        <v>0</v>
      </c>
      <c r="N65" s="231">
        <f>SUM(B65:M65)</f>
        <v>6299.685</v>
      </c>
    </row>
    <row r="66" ht="15.1" customHeight="1">
      <c r="A66" t="s" s="163">
        <v>3300</v>
      </c>
      <c r="B66" s="224">
        <f>GETPIVOTDATA("Sum of Total Line Item $",'January 2023'!R983,"Line Item Name","CC-CH-35-STD")</f>
        <v>499.98</v>
      </c>
      <c r="C66" s="225">
        <f>GETPIVOTDATA("Sum of Total Line Item $",'February 2023'!R610,"Line Item Name","CC-CH-35-STD")+GETPIVOTDATA("Sum of Total Line Item $",'February 2023'!R610,"Line Item Name","CC-CH-35-OB")</f>
        <v>1762.4375</v>
      </c>
      <c r="D66" s="225">
        <f>GETPIVOTDATA("Sum of Total Line Item $",'March 2023'!R1329,"Line Item Name","CC-CH-35-STD")</f>
        <v>824.975</v>
      </c>
      <c r="E66" s="225">
        <f>GETPIVOTDATA("Sum of Total Line Item $",'April 2023'!R506,"Line Item Name","CC-CH-35-STD")</f>
        <v>1249.95</v>
      </c>
      <c r="F66" s="225">
        <f>GETPIVOTDATA("Sum of Total Line Item $",'May 2023'!R1236,"Line Item Name","CC-CH-35-STD")</f>
        <v>1549.97</v>
      </c>
      <c r="G66" s="225">
        <f>GETPIVOTDATA("Sum of Total Line Item $",'June 2023'!R608,"Line Item Name","CC-CH-35-STD")</f>
        <v>3024.895</v>
      </c>
      <c r="H66" s="225">
        <f>GETPIVOTDATA("Sum of Total Line Item $",'July 2023'!R1133,"Line Item Name","CC-CH-35-STD")</f>
        <v>249.99</v>
      </c>
      <c r="I66" s="225">
        <f>GETPIVOTDATA("Sum of Total Line Item $",'August 2023'!R760,"Line Item Name","CC-CH-35-STD")</f>
        <v>624.975</v>
      </c>
      <c r="J66" s="225">
        <f>GETPIVOTDATA("Sum of Total Line Item $",'September 2023'!R716,"Line Item Name","CC-CH-35-STD")</f>
        <v>599.98</v>
      </c>
      <c r="K66" s="225">
        <f>GETPIVOTDATA("Sum of Total Line Item $",'October 2023'!R708,"Line Item Name","CC-CH-35-STD")</f>
        <v>1249.99</v>
      </c>
      <c r="L66" s="225">
        <f>GETPIVOTDATA("Sum of Total Line Item $",'November 2023'!R549,"Line Item Name","CC-CH-35-STD")</f>
        <v>549.99</v>
      </c>
      <c r="M66" s="225">
        <f>GETPIVOTDATA("Sum of Total Line Item $",'Decemeber 2023'!R527,"Line Item Name","CC-CH-35-STD")</f>
        <v>674.985</v>
      </c>
      <c r="N66" s="231">
        <f>SUM(B66:M66)</f>
        <v>12862.1175</v>
      </c>
    </row>
    <row r="67" ht="15.1" customHeight="1">
      <c r="A67" t="s" s="163">
        <v>3301</v>
      </c>
      <c r="B67" s="224">
        <f>0</f>
        <v>0</v>
      </c>
      <c r="C67" s="225">
        <v>0</v>
      </c>
      <c r="D67" s="225">
        <f>0</f>
        <v>0</v>
      </c>
      <c r="E67" s="225">
        <v>0</v>
      </c>
      <c r="F67" s="225">
        <v>0</v>
      </c>
      <c r="G67" s="225">
        <v>0</v>
      </c>
      <c r="H67" s="225">
        <f>GETPIVOTDATA("Sum of Total Line Item $",'July 2023'!R1133,"Line Item Name","CC-CH-35-DSY")</f>
        <v>249.99</v>
      </c>
      <c r="I67" s="225">
        <f>GETPIVOTDATA("Sum of Total Line Item $",'August 2023'!R760,"Line Item Name","CC-CH-35-DSY")</f>
        <v>499.98</v>
      </c>
      <c r="J67" s="225">
        <v>0</v>
      </c>
      <c r="K67" s="225">
        <f>GETPIVOTDATA("Sum of Total Line Item $",'October 2023'!R708,"Line Item Name","CC-CH-35-DSY")</f>
        <v>249.99</v>
      </c>
      <c r="L67" s="225">
        <f t="shared" si="419"/>
        <v>0</v>
      </c>
      <c r="M67" s="225">
        <v>0</v>
      </c>
      <c r="N67" s="231">
        <f>SUM(B67:M67)</f>
        <v>999.96</v>
      </c>
    </row>
    <row r="68" ht="15.1" customHeight="1">
      <c r="A68" t="s" s="163">
        <v>3302</v>
      </c>
      <c r="B68" s="224">
        <v>0</v>
      </c>
      <c r="C68" s="225">
        <v>0</v>
      </c>
      <c r="D68" s="225">
        <v>0</v>
      </c>
      <c r="E68" s="225">
        <v>0</v>
      </c>
      <c r="F68" s="225">
        <v>0</v>
      </c>
      <c r="G68" s="225">
        <v>0</v>
      </c>
      <c r="H68" s="225">
        <v>0</v>
      </c>
      <c r="I68" s="225">
        <f>GETPIVOTDATA("Sum of Total Line Item $",'August 2023'!R760,"Line Item Name","CC-CH-35-EXT")</f>
        <v>749.97</v>
      </c>
      <c r="J68" s="225">
        <v>0</v>
      </c>
      <c r="K68" s="225">
        <f>GETPIVOTDATA("Sum of Total Line Item $",'October 2023'!R708,"Line Item Name","CC-CH-35-EXT")</f>
        <v>1374.945</v>
      </c>
      <c r="L68" s="225">
        <f>GETPIVOTDATA("Sum of Total Line Item $",'November 2023'!R549,"Line Item Name","CC-CH-35-EXT")</f>
        <v>499.98</v>
      </c>
      <c r="M68" s="225">
        <v>0</v>
      </c>
      <c r="N68" s="231">
        <f>SUM(B68:M68)</f>
        <v>2624.895</v>
      </c>
    </row>
    <row r="69" ht="15.1" customHeight="1">
      <c r="A69" t="s" s="163">
        <v>3303</v>
      </c>
      <c r="B69" s="224">
        <f>GETPIVOTDATA("Sum of Total Line Item $",'January 2023'!R983,"Line Item Name","CC-CH-50-STD")</f>
        <v>6474.86</v>
      </c>
      <c r="C69" s="225">
        <f>GETPIVOTDATA("Sum of Total Line Item $",'February 2023'!R610,"Line Item Name","CC-CH-50-STD")</f>
        <v>949.98</v>
      </c>
      <c r="D69" s="225">
        <f>GETPIVOTDATA("Sum of Total Line Item $",'March 2023'!R1329,"Line Item Name","CC-CH-50-STD")</f>
        <v>6224.81</v>
      </c>
      <c r="E69" s="225">
        <f>GETPIVOTDATA("Sum of Total Line Item $",'April 2023'!R506,"Line Item Name","CC-CH-50-STD")</f>
        <v>1487.5</v>
      </c>
      <c r="F69" s="225">
        <f>GETPIVOTDATA("Sum of Total Line Item $",'May 2023'!R1236,"Line Item Name","CC-CH-50-STD")</f>
        <v>5131.1475</v>
      </c>
      <c r="G69" s="225">
        <f>GETPIVOTDATA("Sum of Total Line Item $",'June 2023'!R608,"Line Item Name","CC-CH-50-STD")</f>
        <v>1249.97</v>
      </c>
      <c r="H69" s="225">
        <f>GETPIVOTDATA("Sum of Total Line Item $",'July 2023'!R1133,"Line Item Name","CC-CH-50-STD")</f>
        <v>1774.97</v>
      </c>
      <c r="I69" s="225">
        <f>GETPIVOTDATA("Sum of Total Line Item $",'August 2023'!R760,"Line Item Name","CC-CH-50-STD")</f>
        <v>9039.757</v>
      </c>
      <c r="J69" s="225">
        <f>GETPIVOTDATA("Sum of Total Line Item $",'September 2023'!R716,"Line Item Name","CC-CH-50-STD")</f>
        <v>1674.95</v>
      </c>
      <c r="K69" s="225">
        <f>GETPIVOTDATA("Sum of Total Line Item $",'October 2023'!R708,"Line Item Name","CC-CH-50-STD")</f>
        <v>2249.9425</v>
      </c>
      <c r="L69" s="225">
        <f>GETPIVOTDATA("Sum of Total Line Item $",'November 2023'!R549,"Line Item Name","CC-CH-50-STD")+GETPIVOTDATA("Sum of Total Line Item $",'November 2023'!R549,"Line Item Name","CC-CH-50-STD-1/4")</f>
        <v>1449.9575</v>
      </c>
      <c r="M69" s="225">
        <f>GETPIVOTDATA("Sum of Total Line Item $",'Decemeber 2023'!R527,"Line Item Name","CC-CH-50-STD")</f>
        <v>1074.98</v>
      </c>
      <c r="N69" s="231">
        <f>SUM(B69:M69)</f>
        <v>38782.8245</v>
      </c>
    </row>
    <row r="70" ht="15.1" customHeight="1">
      <c r="A70" t="s" s="163">
        <v>3304</v>
      </c>
      <c r="B70" s="224">
        <v>0</v>
      </c>
      <c r="C70" s="225">
        <f>GETPIVOTDATA("Sum of Total Line Item $",'February 2023'!R610,"Line Item Name","CC-CH-50-EXT")</f>
        <v>1199.96</v>
      </c>
      <c r="D70" s="225">
        <f>GETPIVOTDATA("Sum of Total Line Item $",'March 2023'!R1329,"Line Item Name","CC-CH-50-EXT")</f>
        <v>599.98</v>
      </c>
      <c r="E70" s="225">
        <v>0</v>
      </c>
      <c r="F70" s="225">
        <v>0</v>
      </c>
      <c r="G70" s="225">
        <f>GETPIVOTDATA("Sum of Total Line Item $",'June 2023'!R608,"Line Item Name","CC-CH-50-EXT")</f>
        <v>449.985</v>
      </c>
      <c r="H70" s="225">
        <v>0</v>
      </c>
      <c r="I70" s="225">
        <f>GETPIVOTDATA("Sum of Total Line Item $",'August 2023'!R760,"Line Item Name","CC-CH-50-EXT")</f>
        <v>2924.9025</v>
      </c>
      <c r="J70" s="225">
        <f>GETPIVOTDATA("Sum of Total Line Item $",'September 2023'!R716,"Line Item Name","CC-CH-50-EXT")+GETPIVOTDATA("Sum of Total Line Item $",'September 2023'!R716,"Line Item Name","CC-CH-50-DSY")</f>
        <v>1499.95</v>
      </c>
      <c r="K70" s="225">
        <f>GETPIVOTDATA("Sum of Total Line Item $",'October 2023'!R708,"Line Item Name","CC-CH-50-EXT")</f>
        <v>449.985</v>
      </c>
      <c r="L70" s="225">
        <f t="shared" si="419"/>
        <v>0</v>
      </c>
      <c r="M70" s="225">
        <v>0</v>
      </c>
      <c r="N70" s="231">
        <f>SUM(B70:M70)</f>
        <v>7124.7625</v>
      </c>
    </row>
    <row r="71" ht="15.1" customHeight="1">
      <c r="A71" t="s" s="163">
        <v>3305</v>
      </c>
      <c r="B71" s="224">
        <v>0</v>
      </c>
      <c r="C71" s="225">
        <f>0</f>
        <v>0</v>
      </c>
      <c r="D71" s="225">
        <f>0</f>
        <v>0</v>
      </c>
      <c r="E71" s="225">
        <f>GETPIVOTDATA("Sum of Total Line Item $",'April 2023'!R506,"Line Item Name","CC-CH-100-STD")</f>
        <v>850</v>
      </c>
      <c r="F71" s="225">
        <v>0</v>
      </c>
      <c r="G71" s="225">
        <f>GETPIVOTDATA("Sum of Total Line Item $",'June 2023'!R608,"Line Item Name","CC-CH-100-STD")</f>
        <v>824.985</v>
      </c>
      <c r="H71" s="225">
        <f>GETPIVOTDATA("Sum of Total Line Item $",'July 2023'!R1133,"Line Item Name","CC-CH-100-STD")</f>
        <v>2199.96</v>
      </c>
      <c r="I71" s="225">
        <f>GETPIVOTDATA("Sum of Total Line Item $",'August 2023'!R760,"Line Item Name","CC-CH-100-STD")</f>
        <v>1599.96</v>
      </c>
      <c r="J71" s="225">
        <f t="shared" si="419"/>
        <v>0</v>
      </c>
      <c r="K71" s="225">
        <f>GETPIVOTDATA("Sum of Total Line Item $",'October 2023'!R708,"Line Item Name","CC-CH-100-STD")</f>
        <v>3712.4325</v>
      </c>
      <c r="L71" s="225">
        <f t="shared" si="419"/>
        <v>0</v>
      </c>
      <c r="M71" s="225">
        <f>GETPIVOTDATA("Sum of Total Line Item $",'Decemeber 2023'!R527,"Line Item Name","CC-CH-100-STD")</f>
        <v>850</v>
      </c>
      <c r="N71" s="231">
        <f>SUM(B71:M71)</f>
        <v>10037.3375</v>
      </c>
    </row>
    <row r="72" ht="15.1" customHeight="1">
      <c r="A72" t="s" s="163">
        <v>3306</v>
      </c>
      <c r="B72" s="224">
        <v>0</v>
      </c>
      <c r="C72" s="225">
        <f>SUM('February 2023'!S622:S647)</f>
        <v>4219.96</v>
      </c>
      <c r="D72" s="225">
        <f>GETPIVOTDATA("Sum of Total Line Item $",'March 2023'!R1329,"Line Item Name","CC-CH-XX-STD")</f>
        <v>850</v>
      </c>
      <c r="E72" s="225">
        <f>0</f>
        <v>0</v>
      </c>
      <c r="F72" s="225">
        <f>GETPIVOTDATA("Sum of Total Line Item $",'May 2023'!R1236,"Line Item Name","CC-CH-XX-STD")</f>
        <v>699.98</v>
      </c>
      <c r="G72" s="225">
        <v>0</v>
      </c>
      <c r="H72" s="225">
        <v>0</v>
      </c>
      <c r="I72" s="225">
        <f>GETPIVOTDATA("Sum of Total Line Item $",'August 2023'!R760,"Line Item Name","CC-CH-XX-EXT")</f>
        <v>1124.97</v>
      </c>
      <c r="J72" s="225">
        <f>GETPIVOTDATA("Sum of Total Line Item $",'September 2023'!R716,"Line Item Name","CC-CH-XX-STD")</f>
        <v>2100</v>
      </c>
      <c r="K72" s="225">
        <f t="shared" si="419"/>
        <v>0</v>
      </c>
      <c r="L72" s="225">
        <f>GETPIVOTDATA("Sum of Total Line Item $",'November 2023'!R549,"Line Item Name","CC-CH-XX-STD")</f>
        <v>0</v>
      </c>
      <c r="M72" s="225">
        <f>GETPIVOTDATA("Sum of Total Line Item $",'Decemeber 2023'!R527,"Line Item Name","CC-CH-XX-STD")</f>
        <v>850</v>
      </c>
      <c r="N72" s="231">
        <f>SUM(B72:M72)</f>
        <v>9844.91</v>
      </c>
    </row>
    <row r="73" ht="15.1" customHeight="1">
      <c r="A73" t="s" s="288">
        <v>3237</v>
      </c>
      <c r="B73" s="412">
        <f>SUM(B51:B72)</f>
        <v>12641.9625</v>
      </c>
      <c r="C73" s="297">
        <f>SUM(C51:C72)</f>
        <v>16176.6775</v>
      </c>
      <c r="D73" s="297">
        <f>SUM(D51:D72)</f>
        <v>20539.125</v>
      </c>
      <c r="E73" s="297">
        <f>SUM(E51:E72)</f>
        <v>7959.615</v>
      </c>
      <c r="F73" s="297">
        <f>SUM(F51:F72)</f>
        <v>15662.835</v>
      </c>
      <c r="G73" s="297">
        <f>SUM(G51:G72)</f>
        <v>14024.2475</v>
      </c>
      <c r="H73" s="297">
        <f>SUM(H51:H72)</f>
        <v>10142.0125</v>
      </c>
      <c r="I73" s="297">
        <f>SUM(I51:I72)</f>
        <v>28176.107</v>
      </c>
      <c r="J73" s="297">
        <f>SUM(J51:J72)</f>
        <v>16334.18</v>
      </c>
      <c r="K73" s="297">
        <f>SUM(K51:K72)</f>
        <v>21298.8625</v>
      </c>
      <c r="L73" s="297">
        <f>SUM(L51:L72)</f>
        <v>12814.2375</v>
      </c>
      <c r="M73" s="297">
        <f>SUM(M51:M72)</f>
        <v>9681.741</v>
      </c>
      <c r="N73" s="297">
        <f>SUM(N51:N72)</f>
        <v>185451.603</v>
      </c>
    </row>
    <row r="74" ht="15.1" customHeight="1">
      <c r="A74" s="247"/>
      <c r="B74" s="234"/>
      <c r="C74" s="235"/>
      <c r="D74" s="235"/>
      <c r="E74" s="235"/>
      <c r="F74" s="235"/>
      <c r="G74" s="235"/>
      <c r="H74" s="235"/>
      <c r="I74" s="235"/>
      <c r="J74" s="235"/>
      <c r="K74" s="235"/>
      <c r="L74" s="235"/>
      <c r="M74" s="235"/>
      <c r="N74" s="235"/>
    </row>
    <row r="75" ht="15.1" customHeight="1">
      <c r="A75" t="s" s="241">
        <v>3272</v>
      </c>
      <c r="B75" t="s" s="237">
        <v>3320</v>
      </c>
      <c r="C75" s="215"/>
      <c r="D75" t="s" s="238">
        <v>3274</v>
      </c>
      <c r="E75" t="s" s="238">
        <v>3275</v>
      </c>
      <c r="F75" t="s" s="238">
        <v>3321</v>
      </c>
      <c r="G75" t="s" s="238">
        <v>6610</v>
      </c>
      <c r="H75" s="215"/>
      <c r="I75" t="s" s="239">
        <v>6611</v>
      </c>
      <c r="J75" t="s" s="239">
        <v>3322</v>
      </c>
      <c r="K75" s="289"/>
      <c r="L75" s="166"/>
      <c r="M75" s="166"/>
      <c r="N75" s="166"/>
    </row>
    <row r="76" ht="15.1" customHeight="1">
      <c r="A76" t="s" s="241">
        <v>3285</v>
      </c>
      <c r="B76" s="213">
        <f>N51/N73</f>
        <v>0.0341343234439446</v>
      </c>
      <c r="C76" s="189"/>
      <c r="D76" s="242">
        <v>21.9</v>
      </c>
      <c r="E76" s="242">
        <f>N51/N3</f>
        <v>54.57125</v>
      </c>
      <c r="F76" s="242">
        <f>E76-D76</f>
        <v>32.67125</v>
      </c>
      <c r="G76" s="242">
        <f>F76*N3</f>
        <v>3789.865</v>
      </c>
      <c r="H76" s="166"/>
      <c r="I76" t="s" s="239">
        <v>3285</v>
      </c>
      <c r="J76" s="243">
        <f>G76/G98</f>
        <v>0.0647537953354865</v>
      </c>
      <c r="K76" s="166"/>
      <c r="L76" s="166"/>
      <c r="M76" s="166"/>
      <c r="N76" s="166"/>
    </row>
    <row r="77" ht="15.1" customHeight="1">
      <c r="A77" t="s" s="241">
        <v>3312</v>
      </c>
      <c r="B77" s="213">
        <f>N52/N73</f>
        <v>0.0435025897295695</v>
      </c>
      <c r="C77" s="189"/>
      <c r="D77" s="242">
        <v>23.78</v>
      </c>
      <c r="E77" s="242">
        <f>N52/N4</f>
        <v>43.3743279569892</v>
      </c>
      <c r="F77" s="242">
        <f>E77-D77</f>
        <v>19.5943279569892</v>
      </c>
      <c r="G77" s="242">
        <f>F77*N4</f>
        <v>3644.544999999990</v>
      </c>
      <c r="H77" s="166"/>
      <c r="I77" t="s" s="239">
        <v>3312</v>
      </c>
      <c r="J77" s="243">
        <f>G77/$G$98</f>
        <v>0.0622708516057881</v>
      </c>
      <c r="K77" s="166"/>
      <c r="L77" s="166"/>
      <c r="M77" s="166"/>
      <c r="N77" s="166"/>
    </row>
    <row r="78" ht="15.1" customHeight="1">
      <c r="A78" t="s" s="241">
        <v>3287</v>
      </c>
      <c r="B78" s="213">
        <f>N53/N73</f>
        <v>0.0234531270134128</v>
      </c>
      <c r="C78" s="189"/>
      <c r="D78" s="242">
        <v>25.45</v>
      </c>
      <c r="E78" s="242">
        <f>N53/N5</f>
        <v>40.648785046729</v>
      </c>
      <c r="F78" s="242">
        <f>E78-D78</f>
        <v>15.198785046729</v>
      </c>
      <c r="G78" s="242">
        <f>F78*N5</f>
        <v>1626.27</v>
      </c>
      <c r="H78" s="166"/>
      <c r="I78" t="s" s="239">
        <v>3287</v>
      </c>
      <c r="J78" s="243">
        <f>G78/$G$98</f>
        <v>0.0277865187124717</v>
      </c>
      <c r="K78" s="166"/>
      <c r="L78" s="166"/>
      <c r="M78" s="166"/>
      <c r="N78" s="166"/>
    </row>
    <row r="79" ht="15.1" customHeight="1">
      <c r="A79" t="s" s="241">
        <v>3288</v>
      </c>
      <c r="B79" s="213">
        <f>N54/N73</f>
        <v>0.0156359392590422</v>
      </c>
      <c r="C79" s="189"/>
      <c r="D79" s="242">
        <v>31.12</v>
      </c>
      <c r="E79" s="242">
        <f>N54/N6</f>
        <v>47.5362295081967</v>
      </c>
      <c r="F79" s="242">
        <f>E79-D79</f>
        <v>16.4162295081967</v>
      </c>
      <c r="G79" s="242">
        <f>F79*N6</f>
        <v>1001.39</v>
      </c>
      <c r="H79" s="166"/>
      <c r="I79" t="s" s="239">
        <v>3288</v>
      </c>
      <c r="J79" s="243">
        <f>G79/$G$98</f>
        <v>0.0171097923305983</v>
      </c>
      <c r="K79" s="166"/>
      <c r="L79" s="166"/>
      <c r="M79" s="166"/>
      <c r="N79" s="166"/>
    </row>
    <row r="80" ht="15.1" customHeight="1">
      <c r="A80" t="s" s="241">
        <v>3289</v>
      </c>
      <c r="B80" s="213">
        <f>N55/N73</f>
        <v>0.0237234940482019</v>
      </c>
      <c r="C80" s="189"/>
      <c r="D80" s="242">
        <v>29.14</v>
      </c>
      <c r="E80" s="242">
        <f>N55/N7</f>
        <v>87.99120000000001</v>
      </c>
      <c r="F80" s="242">
        <f>E80-D80</f>
        <v>58.8512</v>
      </c>
      <c r="G80" s="242">
        <f>F80*N7</f>
        <v>2942.56</v>
      </c>
      <c r="H80" s="166"/>
      <c r="I80" t="s" s="239">
        <v>3289</v>
      </c>
      <c r="J80" s="243">
        <f>G80/$G$98</f>
        <v>0.0502767058991255</v>
      </c>
      <c r="K80" s="166"/>
      <c r="L80" s="166"/>
      <c r="M80" s="166"/>
      <c r="N80" s="166"/>
    </row>
    <row r="81" ht="15.1" customHeight="1">
      <c r="A81" t="s" s="241">
        <v>3290</v>
      </c>
      <c r="B81" s="213">
        <f>N56/N73</f>
        <v>0.00539170319277316</v>
      </c>
      <c r="C81" s="189"/>
      <c r="D81" s="242">
        <v>25.11</v>
      </c>
      <c r="E81" s="242">
        <f>N56/N8</f>
        <v>99.98999999999999</v>
      </c>
      <c r="F81" s="242">
        <f>E81-D81</f>
        <v>74.88</v>
      </c>
      <c r="G81" s="242">
        <f>F81*N8</f>
        <v>748.8</v>
      </c>
      <c r="H81" s="166"/>
      <c r="I81" t="s" s="239">
        <v>3290</v>
      </c>
      <c r="J81" s="243">
        <f>G81/$G$98</f>
        <v>0.012794028797124</v>
      </c>
      <c r="K81" s="166"/>
      <c r="L81" s="166"/>
      <c r="M81" s="166"/>
      <c r="N81" s="166"/>
    </row>
    <row r="82" ht="15.1" customHeight="1">
      <c r="A82" t="s" s="241">
        <v>3291</v>
      </c>
      <c r="B82" s="213">
        <f>N57/N73</f>
        <v>0.0364752037220191</v>
      </c>
      <c r="C82" s="189"/>
      <c r="D82" s="242">
        <v>33.43</v>
      </c>
      <c r="E82" s="242">
        <f>N57/N9</f>
        <v>21.2049686520376</v>
      </c>
      <c r="F82" s="242">
        <f>E82-D82</f>
        <v>-12.2250313479624</v>
      </c>
      <c r="G82" s="242">
        <f>F82*N9</f>
        <v>-3899.785000000010</v>
      </c>
      <c r="H82" s="166"/>
      <c r="I82" t="s" s="239">
        <v>3291</v>
      </c>
      <c r="J82" s="243">
        <f>G82/$G$98</f>
        <v>-0.0666318931525004</v>
      </c>
      <c r="K82" s="166"/>
      <c r="L82" s="166"/>
      <c r="M82" s="166"/>
      <c r="N82" s="166"/>
    </row>
    <row r="83" ht="15.1" customHeight="1">
      <c r="A83" t="s" s="241">
        <v>3292</v>
      </c>
      <c r="B83" s="213">
        <f>N58/N73</f>
        <v>0.0296546371723732</v>
      </c>
      <c r="C83" s="189"/>
      <c r="D83" s="242">
        <v>34.34</v>
      </c>
      <c r="E83" s="242">
        <f>N58/N10</f>
        <v>73.3266666666667</v>
      </c>
      <c r="F83" s="242">
        <f>E83-D83</f>
        <v>38.9866666666667</v>
      </c>
      <c r="G83" s="242">
        <f>F83*N10</f>
        <v>2924</v>
      </c>
      <c r="H83" s="166"/>
      <c r="I83" t="s" s="239">
        <v>3292</v>
      </c>
      <c r="J83" s="243">
        <f>G83/$G$98</f>
        <v>0.0499595889460344</v>
      </c>
      <c r="K83" s="166"/>
      <c r="L83" s="166"/>
      <c r="M83" s="166"/>
      <c r="N83" s="166"/>
    </row>
    <row r="84" ht="15.1" customHeight="1">
      <c r="A84" t="s" s="241">
        <v>3293</v>
      </c>
      <c r="B84" s="213">
        <f>N59/N73</f>
        <v>0.00711711292136957</v>
      </c>
      <c r="C84" s="189"/>
      <c r="D84" s="242">
        <v>33.47</v>
      </c>
      <c r="E84" s="242">
        <f>N59/N11</f>
        <v>94.27714285714291</v>
      </c>
      <c r="F84" s="242">
        <f>E84-D84</f>
        <v>60.8071428571429</v>
      </c>
      <c r="G84" s="242">
        <f>F84*N11</f>
        <v>851.300000000001</v>
      </c>
      <c r="H84" s="166"/>
      <c r="I84" t="s" s="239">
        <v>3293</v>
      </c>
      <c r="J84" s="243">
        <f>G84/$G$98</f>
        <v>0.0145453481770722</v>
      </c>
      <c r="K84" s="166"/>
      <c r="L84" s="166"/>
      <c r="M84" s="166"/>
      <c r="N84" s="166"/>
    </row>
    <row r="85" ht="15.1" customHeight="1">
      <c r="A85" t="s" s="241">
        <v>3294</v>
      </c>
      <c r="B85" s="213">
        <f>N60/N73</f>
        <v>0.0753380842979287</v>
      </c>
      <c r="C85" s="189"/>
      <c r="D85" s="242">
        <v>45.38</v>
      </c>
      <c r="E85" s="242">
        <f>N60/N12</f>
        <v>20.4861708211144</v>
      </c>
      <c r="F85" s="242">
        <f>E85-D85</f>
        <v>-24.8938291788856</v>
      </c>
      <c r="G85" s="242">
        <f>F85*N12</f>
        <v>-16977.5915</v>
      </c>
      <c r="H85" s="166"/>
      <c r="I85" t="s" s="239">
        <v>3294</v>
      </c>
      <c r="J85" s="243">
        <f>G85/$G$98</f>
        <v>-0.29007985384189</v>
      </c>
      <c r="K85" s="166"/>
      <c r="L85" s="166"/>
      <c r="M85" s="166"/>
      <c r="N85" s="166"/>
    </row>
    <row r="86" ht="15.1" customHeight="1">
      <c r="A86" t="s" s="241">
        <v>3295</v>
      </c>
      <c r="B86" s="213">
        <f>N61/N73</f>
        <v>0.0222415171035216</v>
      </c>
      <c r="C86" s="189"/>
      <c r="D86" s="242">
        <v>46.29</v>
      </c>
      <c r="E86" s="242">
        <f>N61/N13</f>
        <v>137.490833333333</v>
      </c>
      <c r="F86" s="242">
        <f>E86-D86</f>
        <v>91.20083333333299</v>
      </c>
      <c r="G86" s="242">
        <f>F86*N13</f>
        <v>2736.024999999990</v>
      </c>
      <c r="H86" s="166"/>
      <c r="I86" t="s" s="239">
        <v>3295</v>
      </c>
      <c r="J86" s="243">
        <f>G86/$G$98</f>
        <v>0.0467478400636365</v>
      </c>
      <c r="K86" s="166"/>
      <c r="L86" s="166"/>
      <c r="M86" s="166"/>
      <c r="N86" s="166"/>
    </row>
    <row r="87" ht="15.1" customHeight="1">
      <c r="A87" t="s" s="241">
        <v>3296</v>
      </c>
      <c r="B87" s="213">
        <f>N62/N73</f>
        <v>0.0287117766245461</v>
      </c>
      <c r="C87" s="189"/>
      <c r="D87" s="242">
        <v>45.42</v>
      </c>
      <c r="E87" s="242">
        <f>N62/N14</f>
        <v>96.8117272727273</v>
      </c>
      <c r="F87" s="242">
        <f>E87-D87</f>
        <v>51.3917272727273</v>
      </c>
      <c r="G87" s="242">
        <f>F87*N14</f>
        <v>2826.545</v>
      </c>
      <c r="H87" s="166"/>
      <c r="I87" t="s" s="239">
        <v>3296</v>
      </c>
      <c r="J87" s="243">
        <f>G87/$G$98</f>
        <v>0.0482944686516651</v>
      </c>
      <c r="K87" s="166"/>
      <c r="L87" s="166"/>
      <c r="M87" s="166"/>
      <c r="N87" s="166"/>
    </row>
    <row r="88" ht="15.1" customHeight="1">
      <c r="A88" t="s" s="241">
        <v>3297</v>
      </c>
      <c r="B88" s="213">
        <f>N63/N73</f>
        <v>0.161223033483296</v>
      </c>
      <c r="C88" s="189"/>
      <c r="D88" s="242">
        <v>60.23</v>
      </c>
      <c r="E88" s="242">
        <f>N63/N15</f>
        <v>85.1825356125356</v>
      </c>
      <c r="F88" s="242">
        <f>E88-D88</f>
        <v>24.9525356125356</v>
      </c>
      <c r="G88" s="242">
        <f>F88*N15</f>
        <v>8758.34</v>
      </c>
      <c r="H88" s="166"/>
      <c r="I88" t="s" s="239">
        <v>3297</v>
      </c>
      <c r="J88" s="243">
        <f>G88/$G$98</f>
        <v>0.149645371494395</v>
      </c>
      <c r="K88" s="166"/>
      <c r="L88" s="166"/>
      <c r="M88" s="166"/>
      <c r="N88" s="166"/>
    </row>
    <row r="89" ht="15.1" customHeight="1">
      <c r="A89" t="s" s="241">
        <v>3298</v>
      </c>
      <c r="B89" s="213">
        <f>N64/N73</f>
        <v>0.015771540675224</v>
      </c>
      <c r="C89" s="189"/>
      <c r="D89" s="242">
        <v>61.56</v>
      </c>
      <c r="E89" s="242">
        <f>N64/N16</f>
        <v>162.492083333333</v>
      </c>
      <c r="F89" s="242">
        <f>E89-D89</f>
        <v>100.932083333333</v>
      </c>
      <c r="G89" s="242">
        <f>F89*N16</f>
        <v>1816.777499999990</v>
      </c>
      <c r="H89" s="166"/>
      <c r="I89" t="s" s="239">
        <v>3298</v>
      </c>
      <c r="J89" s="243">
        <f>G89/$G$98</f>
        <v>0.031041537998086</v>
      </c>
      <c r="K89" s="166"/>
      <c r="L89" s="166"/>
      <c r="M89" s="166"/>
      <c r="N89" s="166"/>
    </row>
    <row r="90" ht="15.1" customHeight="1">
      <c r="A90" t="s" s="241">
        <v>3299</v>
      </c>
      <c r="B90" s="213">
        <f>N65/N73</f>
        <v>0.0339694286708322</v>
      </c>
      <c r="C90" s="189"/>
      <c r="D90" s="242">
        <v>60.69</v>
      </c>
      <c r="E90" s="242">
        <f>N65/N17</f>
        <v>161.530384615385</v>
      </c>
      <c r="F90" s="242">
        <f>E90-D90</f>
        <v>100.840384615385</v>
      </c>
      <c r="G90" s="242">
        <f>F90*N17</f>
        <v>3932.775000000020</v>
      </c>
      <c r="H90" s="166"/>
      <c r="I90" t="s" s="239">
        <v>3299</v>
      </c>
      <c r="J90" s="243">
        <f>G90/$G$98</f>
        <v>0.06719556170220289</v>
      </c>
      <c r="K90" s="166"/>
      <c r="L90" s="166"/>
      <c r="M90" s="166"/>
      <c r="N90" s="166"/>
    </row>
    <row r="91" ht="15.1" customHeight="1">
      <c r="A91" t="s" s="241">
        <v>3300</v>
      </c>
      <c r="B91" s="213">
        <f>N66/N73</f>
        <v>0.0693556555561291</v>
      </c>
      <c r="C91" s="189"/>
      <c r="D91" s="242">
        <v>80.09999999999999</v>
      </c>
      <c r="E91" s="242">
        <f>N66/N18</f>
        <v>151.319029411765</v>
      </c>
      <c r="F91" s="242">
        <f>E91-D91</f>
        <v>71.21902941176501</v>
      </c>
      <c r="G91" s="242">
        <f>F91*N18</f>
        <v>6053.617500000030</v>
      </c>
      <c r="H91" s="166"/>
      <c r="I91" t="s" s="239">
        <v>3300</v>
      </c>
      <c r="J91" s="243">
        <f>G91/$G$98</f>
        <v>0.103432367283352</v>
      </c>
      <c r="K91" s="166"/>
      <c r="L91" s="166"/>
      <c r="M91" s="166"/>
      <c r="N91" s="166"/>
    </row>
    <row r="92" ht="15.1" customHeight="1">
      <c r="A92" t="s" s="241">
        <v>3301</v>
      </c>
      <c r="B92" s="213">
        <f>N67/N73</f>
        <v>0.00539202672731818</v>
      </c>
      <c r="C92" s="189"/>
      <c r="D92" s="242">
        <v>81.01000000000001</v>
      </c>
      <c r="E92" s="242">
        <f>N67/N19</f>
        <v>199.992</v>
      </c>
      <c r="F92" s="242">
        <f>E92-D92</f>
        <v>118.982</v>
      </c>
      <c r="G92" s="242">
        <f>F92*N19</f>
        <v>594.91</v>
      </c>
      <c r="H92" s="166"/>
      <c r="I92" t="s" s="239">
        <v>3301</v>
      </c>
      <c r="J92" s="243">
        <f>G92/$G$98</f>
        <v>0.0101646576812193</v>
      </c>
      <c r="K92" s="166"/>
      <c r="L92" s="166"/>
      <c r="M92" s="166"/>
      <c r="N92" s="166"/>
    </row>
    <row r="93" ht="15.1" customHeight="1">
      <c r="A93" t="s" s="241">
        <v>3302</v>
      </c>
      <c r="B93" s="213">
        <f>N68/N73</f>
        <v>0.0141540701592102</v>
      </c>
      <c r="C93" s="189"/>
      <c r="D93" s="242">
        <v>80.14</v>
      </c>
      <c r="E93" s="242">
        <f>N68/N20</f>
        <v>218.74125</v>
      </c>
      <c r="F93" s="242">
        <f>E93-D93</f>
        <v>138.60125</v>
      </c>
      <c r="G93" s="242">
        <f>F93*N20</f>
        <v>1663.215</v>
      </c>
      <c r="H93" s="166"/>
      <c r="I93" t="s" s="239">
        <v>3302</v>
      </c>
      <c r="J93" s="243">
        <f>G93/$G$98</f>
        <v>0.028417762561176</v>
      </c>
      <c r="K93" s="166"/>
      <c r="L93" s="166"/>
      <c r="M93" s="166"/>
      <c r="N93" s="166"/>
    </row>
    <row r="94" ht="15.1" customHeight="1">
      <c r="A94" t="s" s="241">
        <v>3303</v>
      </c>
      <c r="B94" s="213">
        <f>N69/N73</f>
        <v>0.209126391320543</v>
      </c>
      <c r="C94" s="189"/>
      <c r="D94" s="242">
        <v>104.58</v>
      </c>
      <c r="E94" s="242">
        <f>N69/N21</f>
        <v>198.886279487179</v>
      </c>
      <c r="F94" s="242">
        <f>E94-D94</f>
        <v>94.306279487179</v>
      </c>
      <c r="G94" s="242">
        <f>F94*N21</f>
        <v>18389.7244999999</v>
      </c>
      <c r="H94" s="166"/>
      <c r="I94" t="s" s="239">
        <v>3303</v>
      </c>
      <c r="J94" s="243">
        <f>G94/$G$98</f>
        <v>0.314207618622029</v>
      </c>
      <c r="K94" s="166"/>
      <c r="L94" s="166"/>
      <c r="M94" s="166"/>
      <c r="N94" s="166"/>
    </row>
    <row r="95" ht="15.1" customHeight="1">
      <c r="A95" t="s" s="241">
        <v>3304</v>
      </c>
      <c r="B95" s="213">
        <f>N70/N73</f>
        <v>0.0384184465636568</v>
      </c>
      <c r="C95" s="189"/>
      <c r="D95" s="242">
        <v>104.62</v>
      </c>
      <c r="E95" s="242">
        <f>N70/N22</f>
        <v>284.9905</v>
      </c>
      <c r="F95" s="242">
        <f>E95-D95</f>
        <v>180.3705</v>
      </c>
      <c r="G95" s="242">
        <f>F95*N22</f>
        <v>4509.2625</v>
      </c>
      <c r="H95" s="166"/>
      <c r="I95" t="s" s="239">
        <v>3304</v>
      </c>
      <c r="J95" s="243">
        <f>G95/$G$98</f>
        <v>0.0770454517612064</v>
      </c>
      <c r="K95" s="166"/>
      <c r="L95" s="166"/>
      <c r="M95" s="166"/>
      <c r="N95" s="166"/>
    </row>
    <row r="96" ht="15.1" customHeight="1">
      <c r="A96" t="s" s="241">
        <v>3305</v>
      </c>
      <c r="B96" s="213">
        <f>N71/N73</f>
        <v>0.0541237570213939</v>
      </c>
      <c r="C96" s="189"/>
      <c r="D96" s="242">
        <v>184.46</v>
      </c>
      <c r="E96" s="242">
        <f>N71/N23</f>
        <v>436.405978260870</v>
      </c>
      <c r="F96" s="242">
        <f>E96-D96</f>
        <v>251.945978260870</v>
      </c>
      <c r="G96" s="242">
        <f>F96*N23</f>
        <v>5794.757500000010</v>
      </c>
      <c r="H96" s="166"/>
      <c r="I96" t="s" s="239">
        <v>3305</v>
      </c>
      <c r="J96" s="243">
        <f>G96/$G$98</f>
        <v>0.0990094742619529</v>
      </c>
      <c r="K96" s="166"/>
      <c r="L96" s="166"/>
      <c r="M96" s="166"/>
      <c r="N96" s="166"/>
    </row>
    <row r="97" ht="15.1" customHeight="1">
      <c r="A97" t="s" s="241">
        <v>3306</v>
      </c>
      <c r="B97" s="213">
        <f>N72/N73</f>
        <v>0.0530861412936938</v>
      </c>
      <c r="C97" s="189"/>
      <c r="D97" s="242"/>
      <c r="E97" s="242"/>
      <c r="F97" s="242">
        <f>G97/N24</f>
        <v>154.838709677419</v>
      </c>
      <c r="G97" s="242">
        <v>4800</v>
      </c>
      <c r="H97" s="166"/>
      <c r="I97" t="s" s="239">
        <v>3306</v>
      </c>
      <c r="J97" s="243">
        <f>G97/$G$98</f>
        <v>0.08201300510976919</v>
      </c>
      <c r="K97" s="166"/>
      <c r="L97" s="166"/>
      <c r="M97" s="166"/>
      <c r="N97" s="166"/>
    </row>
    <row r="98" ht="15.1" customHeight="1">
      <c r="A98" s="247"/>
      <c r="B98" s="213"/>
      <c r="C98" s="189"/>
      <c r="D98" s="242"/>
      <c r="E98" s="242"/>
      <c r="F98" s="242"/>
      <c r="G98" s="240">
        <f>SUM(G76:G97)</f>
        <v>58527.3029999999</v>
      </c>
      <c r="H98" s="166"/>
      <c r="I98" s="246"/>
      <c r="J98" s="243"/>
      <c r="K98" s="166"/>
      <c r="L98" s="166"/>
      <c r="M98" s="166"/>
      <c r="N98" s="166"/>
    </row>
  </sheetData>
  <mergeCells count="24">
    <mergeCell ref="A1:N1"/>
    <mergeCell ref="F49:I49"/>
    <mergeCell ref="F26:I26"/>
    <mergeCell ref="C31:C33"/>
    <mergeCell ref="C34:C36"/>
    <mergeCell ref="C37:C39"/>
    <mergeCell ref="C40:C42"/>
    <mergeCell ref="C43:C45"/>
    <mergeCell ref="C46:C47"/>
    <mergeCell ref="C28:C30"/>
    <mergeCell ref="E28:E30"/>
    <mergeCell ref="E31:E33"/>
    <mergeCell ref="E34:E36"/>
    <mergeCell ref="E46:E47"/>
    <mergeCell ref="E37:E39"/>
    <mergeCell ref="E40:E42"/>
    <mergeCell ref="E43:E45"/>
    <mergeCell ref="F37:F39"/>
    <mergeCell ref="F34:F36"/>
    <mergeCell ref="F31:F33"/>
    <mergeCell ref="F28:F30"/>
    <mergeCell ref="F40:F42"/>
    <mergeCell ref="F43:F45"/>
    <mergeCell ref="F46:F4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8.xml><?xml version="1.0" encoding="utf-8"?>
<worksheet xmlns:r="http://schemas.openxmlformats.org/officeDocument/2006/relationships" xmlns="http://schemas.openxmlformats.org/spreadsheetml/2006/main">
  <sheetPr>
    <pageSetUpPr fitToPage="1"/>
  </sheetPr>
  <dimension ref="A2:O117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" width="17.8125" style="413" customWidth="1"/>
    <col min="2" max="15" width="16.3516" style="413" customWidth="1"/>
    <col min="16" max="16384" width="16.3516" style="413" customWidth="1"/>
  </cols>
  <sheetData>
    <row r="1" ht="15.55" customHeight="1">
      <c r="A1" t="s" s="2">
        <v>6612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ht="15.1" customHeight="1">
      <c r="A2" t="s" s="153">
        <v>3236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155">
        <v>3237</v>
      </c>
      <c r="O2" s="414"/>
    </row>
    <row r="3" ht="15.1" customHeight="1">
      <c r="A3" t="s" s="157">
        <v>3238</v>
      </c>
      <c r="B3" s="158">
        <f>GETPIVOTDATA("Sum of Order Quantity",'January 2023'!P912,"Line Item Name","CC-AC-CCL")</f>
        <v>30</v>
      </c>
      <c r="C3" s="159">
        <f>GETPIVOTDATA("Sum of Order Quantity",'February 2023'!P523,"Line Item Name","CC-AC-CCL")</f>
        <v>43</v>
      </c>
      <c r="D3" s="159">
        <f>GETPIVOTDATA("Sum of Order Quantity",'March 2023'!P1251,"Line Item Name","CC-AC-CCL")</f>
        <v>71</v>
      </c>
      <c r="E3" s="159">
        <f>GETPIVOTDATA("Sum of Order Quantity",'April 2023'!P436,"Line Item Name","CC-AC-CCL")</f>
        <v>46</v>
      </c>
      <c r="F3" s="159">
        <f>GETPIVOTDATA("Sum of Order Quantity",'May 2023'!P1140,"Line Item Name","CC-AC-CCL")</f>
        <v>41</v>
      </c>
      <c r="G3" s="159">
        <f>GETPIVOTDATA("Sum of Order Quantity",'June 2023'!P500,"Line Item Name","CC-AC-CCL")</f>
        <v>45</v>
      </c>
      <c r="H3" s="159">
        <f>GETPIVOTDATA("Sum of Order Quantity",'July 2023'!P1024,"Line Item Name","CC-AC-CCL")</f>
        <v>22</v>
      </c>
      <c r="I3" s="159">
        <f>GETPIVOTDATA("Sum of Order Quantity",'August 2023'!P655,"Line Item Name","CC-AC-CCL")</f>
        <v>63</v>
      </c>
      <c r="J3" s="159">
        <f>GETPIVOTDATA("Sum of Order Quantity",'September 2023'!P599,"Line Item Name","CC-AC-CCL")</f>
        <v>40</v>
      </c>
      <c r="K3" s="159">
        <f>GETPIVOTDATA("Sum of Order Quantity",'October 2023'!P599,"Line Item Name","CC-AC-CCL")</f>
        <v>76</v>
      </c>
      <c r="L3" s="159">
        <f>GETPIVOTDATA("Sum of Order Quantity",'November 2023'!P454,"Line Item Name","CC-AC-CCL")</f>
        <v>27</v>
      </c>
      <c r="M3" s="159">
        <f>GETPIVOTDATA("Sum of Order Quantity",'Decemeber 2023'!P419,"Line Item Name","CC-AC-CCL")</f>
        <v>52</v>
      </c>
      <c r="N3" s="161">
        <f>SUM(B3:M3)</f>
        <v>556</v>
      </c>
      <c r="O3" s="415"/>
    </row>
    <row r="4" ht="15.1" customHeight="1">
      <c r="A4" t="s" s="163">
        <v>3239</v>
      </c>
      <c r="B4" s="164">
        <f>GETPIVOTDATA("Sum of Order Quantity",'January 2023'!P912,"Line Item Name","CC-AC-CTS")</f>
        <v>12</v>
      </c>
      <c r="C4" s="165">
        <f>GETPIVOTDATA("Sum of Order Quantity",'February 2023'!P523,"Line Item Name","CC-AC-CTS")</f>
        <v>24</v>
      </c>
      <c r="D4" s="165">
        <f>GETPIVOTDATA("Sum of Order Quantity",'March 2023'!P1251,"Line Item Name","CC-AC-CTS")</f>
        <v>39</v>
      </c>
      <c r="E4" s="165">
        <f>GETPIVOTDATA("Sum of Order Quantity",'April 2023'!P436,"Line Item Name","CC-AC-CTS")</f>
        <v>10</v>
      </c>
      <c r="F4" s="165">
        <f>GETPIVOTDATA("Sum of Order Quantity",'May 2023'!P1140,"Line Item Name","CC-AC-CTS")</f>
        <v>12</v>
      </c>
      <c r="G4" s="165">
        <f>GETPIVOTDATA("Sum of Order Quantity",'June 2023'!P500,"Line Item Name","CC-AC-CTS")</f>
        <v>15</v>
      </c>
      <c r="H4" s="165">
        <f>GETPIVOTDATA("Sum of Order Quantity",'July 2023'!P1024,"Line Item Name","CC-AC-CTS")</f>
        <v>8</v>
      </c>
      <c r="I4" s="165">
        <f>GETPIVOTDATA("Sum of Order Quantity",'August 2023'!P655,"Line Item Name","CC-AC-CTS")</f>
        <v>39</v>
      </c>
      <c r="J4" s="165">
        <f>GETPIVOTDATA("Sum of Order Quantity",'September 2023'!P599,"Line Item Name","CC-AC-CTS")</f>
        <v>14</v>
      </c>
      <c r="K4" s="165">
        <f>GETPIVOTDATA("Sum of Order Quantity",'October 2023'!P599,"Line Item Name","CC-AC-CTS")</f>
        <v>20</v>
      </c>
      <c r="L4" s="165">
        <f>GETPIVOTDATA("Sum of Order Quantity",'November 2023'!P454,"Line Item Name","CC-AC-CTS")</f>
        <v>6</v>
      </c>
      <c r="M4" s="165">
        <f>GETPIVOTDATA("Sum of Order Quantity",'Decemeber 2023'!P419,"Line Item Name","CC-AC-CTS")</f>
        <v>7</v>
      </c>
      <c r="N4" s="167">
        <f>SUM(B4:M4)</f>
        <v>206</v>
      </c>
      <c r="O4" s="416"/>
    </row>
    <row r="5" ht="15.1" customHeight="1">
      <c r="A5" t="s" s="163">
        <v>3240</v>
      </c>
      <c r="B5" s="164">
        <f>GETPIVOTDATA("Sum of Order Quantity",'January 2023'!P912,"Line Item Name","CC-F-DCHA")</f>
        <v>12</v>
      </c>
      <c r="C5" s="165">
        <f>GETPIVOTDATA("Sum of Order Quantity",'February 2023'!P523,"Line Item Name","CC-F-DCHA")</f>
        <v>1</v>
      </c>
      <c r="D5" s="165">
        <f>GETPIVOTDATA("Sum of Order Quantity",'March 2023'!P1251,"Line Item Name","CC-F-DCHA")</f>
        <v>17</v>
      </c>
      <c r="E5" s="165">
        <f>GETPIVOTDATA("Sum of Order Quantity",'April 2023'!P436,"Line Item Name","CC-F-DCHA")</f>
        <v>28</v>
      </c>
      <c r="F5" s="165">
        <f>GETPIVOTDATA("Sum of Order Quantity",'May 2023'!P1140,"Line Item Name","CC-F-DCHA-PYROTEK")</f>
        <v>16</v>
      </c>
      <c r="G5" s="165">
        <f>GETPIVOTDATA("Sum of Order Quantity",'June 2023'!P500,"Line Item Name","CC-F-DCHA")</f>
        <v>2</v>
      </c>
      <c r="H5" s="165">
        <f>GETPIVOTDATA("Sum of Order Quantity",'July 2023'!P1024,"Line Item Name","CC-F-DCHA-PYROTEK")+GETPIVOTDATA("Sum of Order Quantity",'July 2023'!P1024,"Line Item Name","CC-F-DCHA")</f>
        <v>85</v>
      </c>
      <c r="I5" s="165">
        <f>GETPIVOTDATA("Sum of Order Quantity",'August 2023'!P655,"Line Item Name","CC-F-DCHA")</f>
        <v>6</v>
      </c>
      <c r="J5" s="165">
        <f>GETPIVOTDATA("Sum of Order Quantity",'September 2023'!P599,"Line Item Name","CC-F-DCHA")</f>
        <v>56</v>
      </c>
      <c r="K5" s="165">
        <f>GETPIVOTDATA("Sum of Order Quantity",'October 2023'!P599,"Line Item Name","CC-F-DCHA")</f>
        <v>49</v>
      </c>
      <c r="L5" s="165">
        <f>GETPIVOTDATA("Sum of Order Quantity",'November 2023'!P454,"Line Item Name","CC-F-DCHA")</f>
        <v>27</v>
      </c>
      <c r="M5" s="165">
        <f>GETPIVOTDATA("Sum of Order Quantity",'Decemeber 2023'!P419,"Line Item Name","CC-F-DCHA")</f>
        <v>7</v>
      </c>
      <c r="N5" s="167">
        <f>SUM(B5:M5)</f>
        <v>306</v>
      </c>
      <c r="O5" s="417">
        <f>SUM(N5:N16)-N8</f>
        <v>3503</v>
      </c>
    </row>
    <row r="6" ht="15.1" customHeight="1">
      <c r="A6" t="s" s="163">
        <v>3241</v>
      </c>
      <c r="B6" s="164">
        <f>GETPIVOTDATA("Sum of Order Quantity",'January 2023'!P912,"Line Item Name","CC-F-HEA")</f>
        <v>11</v>
      </c>
      <c r="C6" s="165">
        <f>GETPIVOTDATA("Sum of Order Quantity",'February 2023'!P523,"Line Item Name","CC-F-HEA")</f>
        <v>18</v>
      </c>
      <c r="D6" s="165">
        <f>GETPIVOTDATA("Sum of Order Quantity",'March 2023'!P1251,"Line Item Name","CC-F-HEA")</f>
        <v>24</v>
      </c>
      <c r="E6" s="165">
        <f>GETPIVOTDATA("Sum of Order Quantity",'April 2023'!P436,"Line Item Name","CC-F-HEA")</f>
        <v>20</v>
      </c>
      <c r="F6" s="165">
        <f t="shared" si="44" ref="F6:M25">0</f>
        <v>0</v>
      </c>
      <c r="G6" s="165">
        <f>GETPIVOTDATA("Sum of Order Quantity",'June 2023'!P500,"Line Item Name","CC-F-HEA")</f>
        <v>5</v>
      </c>
      <c r="H6" s="165">
        <f>GETPIVOTDATA("Sum of Order Quantity",'July 2023'!P1024,"Line Item Name","CC-F-HEA-F")</f>
        <v>5</v>
      </c>
      <c r="I6" s="165">
        <f>SUM(GETPIVOTDATA("Sum of Order Quantity",'August 2023'!P655,"Line Item Name","CC-F-HEA-F"),GETPIVOTDATA("Sum of Order Quantity",'August 2023'!P655,"Line Item Name","CC-F-HEA"))</f>
        <v>26</v>
      </c>
      <c r="J6" s="165">
        <f>GETPIVOTDATA("Sum of Order Quantity",'September 2023'!P599,"Line Item Name","CC-F-HEA")</f>
        <v>44</v>
      </c>
      <c r="K6" s="165">
        <f>GETPIVOTDATA("Sum of Order Quantity",'October 2023'!P599,"Line Item Name","CC-F-HEA")</f>
        <v>32</v>
      </c>
      <c r="L6" s="165">
        <f>GETPIVOTDATA("Sum of Order Quantity",'November 2023'!P454,"Line Item Name","CC-F-HEA")</f>
        <v>20</v>
      </c>
      <c r="M6" s="165">
        <f>GETPIVOTDATA("Sum of Order Quantity",'Decemeber 2023'!P419,"Line Item Name","CC-F-HEA")</f>
        <v>7</v>
      </c>
      <c r="N6" s="167">
        <f>SUM(B6:M6)</f>
        <v>212</v>
      </c>
      <c r="O6" s="211"/>
    </row>
    <row r="7" ht="15.1" customHeight="1">
      <c r="A7" t="s" s="163">
        <v>3242</v>
      </c>
      <c r="B7" s="164">
        <f>0</f>
        <v>0</v>
      </c>
      <c r="C7" s="165">
        <f>GETPIVOTDATA("Sum of Order Quantity",'February 2023'!P523,"Line Item Name","CC-AC-RAA")</f>
        <v>33</v>
      </c>
      <c r="D7" s="165">
        <f>GETPIVOTDATA("Sum of Order Quantity",'March 2023'!P1251,"Line Item Name","CC-AC-RAA")</f>
        <v>26</v>
      </c>
      <c r="E7" s="165">
        <f>GETPIVOTDATA("Sum of Order Quantity",'April 2023'!P436,"Line Item Name","CC-AC-RAA")</f>
        <v>5</v>
      </c>
      <c r="F7" s="165">
        <f t="shared" si="44"/>
        <v>0</v>
      </c>
      <c r="G7" s="165">
        <f>GETPIVOTDATA("Sum of Order Quantity",'June 2023'!P500,"Line Item Name","CC-AC-RAA")</f>
        <v>29</v>
      </c>
      <c r="H7" s="165">
        <f>GETPIVOTDATA("Sum of Order Quantity",'July 2023'!P1024,"Line Item Name","CC-AC-RAA")</f>
        <v>18</v>
      </c>
      <c r="I7" s="165">
        <f>GETPIVOTDATA("Sum of Order Quantity",'August 2023'!P655,"Line Item Name","CC-AC-RAA")</f>
        <v>17</v>
      </c>
      <c r="J7" s="165">
        <f>GETPIVOTDATA("Sum of Order Quantity",'September 2023'!P599,"Line Item Name","CC-AC-RAA")</f>
        <v>4</v>
      </c>
      <c r="K7" s="165">
        <f>GETPIVOTDATA("Sum of Order Quantity",'October 2023'!P599,"Line Item Name","CC-AC-RAA")</f>
        <v>17</v>
      </c>
      <c r="L7" s="165">
        <f>GETPIVOTDATA("Sum of Order Quantity",'November 2023'!P454,"Line Item Name","CC-AC-RAA")</f>
        <v>6</v>
      </c>
      <c r="M7" s="165">
        <f t="shared" si="44"/>
        <v>0</v>
      </c>
      <c r="N7" s="167">
        <f>SUM(B7:M7)</f>
        <v>155</v>
      </c>
      <c r="O7" s="211"/>
    </row>
    <row r="8" ht="15.1" customHeight="1">
      <c r="A8" t="s" s="163">
        <v>3243</v>
      </c>
      <c r="B8" s="164">
        <f>GETPIVOTDATA("Sum of Order Quantity",'January 2023'!P912,"Line Item Name","CC-AC-4PM")</f>
        <v>13</v>
      </c>
      <c r="C8" s="165">
        <f>GETPIVOTDATA("Sum of Order Quantity",'February 2023'!P523,"Line Item Name","CC-AC-4PM")</f>
        <v>24</v>
      </c>
      <c r="D8" s="165">
        <f>GETPIVOTDATA("Sum of Order Quantity",'March 2023'!P1251,"Line Item Name","CC-AC-4PM")</f>
        <v>16</v>
      </c>
      <c r="E8" s="165">
        <f>GETPIVOTDATA("Sum of Order Quantity",'April 2023'!P436,"Line Item Name","CC-AC-4PM")</f>
        <v>7</v>
      </c>
      <c r="F8" s="165">
        <f>GETPIVOTDATA("Sum of Order Quantity",'May 2023'!P1140,"Line Item Name","CC-AC-4PM")</f>
        <v>3</v>
      </c>
      <c r="G8" s="165">
        <f>GETPIVOTDATA("Sum of Order Quantity",'June 2023'!P500,"Line Item Name","CC-AC-4PM")</f>
        <v>9</v>
      </c>
      <c r="H8" s="165">
        <f t="shared" si="44"/>
        <v>0</v>
      </c>
      <c r="I8" s="165">
        <f>GETPIVOTDATA("Sum of Order Quantity",'August 2023'!P655,"Line Item Name","CC-AC-4PM-QC")+GETPIVOTDATA("Sum of Order Quantity",'August 2023'!P655,"Line Item Name","CC-AC-4PM")</f>
        <v>8</v>
      </c>
      <c r="J8" s="165">
        <f>GETPIVOTDATA("Sum of Order Quantity",'September 2023'!P599,"Line Item Name","CC-AC-4PM")</f>
        <v>7</v>
      </c>
      <c r="K8" s="165">
        <f>GETPIVOTDATA("Sum of Order Quantity",'October 2023'!P599,"Line Item Name","CC-AC-4PM")</f>
        <v>24</v>
      </c>
      <c r="L8" s="165">
        <f>GETPIVOTDATA("Sum of Order Quantity",'November 2023'!P454,"Line Item Name","CC-AC-4PM")</f>
        <v>6</v>
      </c>
      <c r="M8" s="165">
        <f>GETPIVOTDATA("Sum of Order Quantity",'Decemeber 2023'!P419,"Line Item Name","CC-AC-4PM")</f>
        <v>39</v>
      </c>
      <c r="N8" s="167">
        <f>SUM(B8:M8)</f>
        <v>156</v>
      </c>
      <c r="O8" s="211"/>
    </row>
    <row r="9" ht="15.1" customHeight="1">
      <c r="A9" t="s" s="163">
        <v>3244</v>
      </c>
      <c r="B9" s="164">
        <f>GETPIVOTDATA("Sum of Order Quantity",'January 2023'!P912,"Line Item Name","CC-F-MFDCGAJIC")</f>
        <v>4</v>
      </c>
      <c r="C9" s="165">
        <f>GETPIVOTDATA("Sum of Order Quantity",'February 2023'!P523,"Line Item Name","CC-F-MFDCGAJIC")</f>
        <v>2</v>
      </c>
      <c r="D9" s="165">
        <f>GETPIVOTDATA("Sum of Order Quantity",'March 2023'!P1251,"Line Item Name","CC-F-MFDCGAJIC")</f>
        <v>10</v>
      </c>
      <c r="E9" s="165">
        <f>GETPIVOTDATA("Sum of Order Quantity",'April 2023'!P436,"Line Item Name","CC-F-MFDCGAJIC")</f>
        <v>3</v>
      </c>
      <c r="F9" s="165">
        <f>GETPIVOTDATA("Sum of Order Quantity",'May 2023'!P1140,"Line Item Name","CC-F-MFDCGAJIC")</f>
        <v>2</v>
      </c>
      <c r="G9" s="165">
        <f>GETPIVOTDATA("Sum of Order Quantity",'June 2023'!P500,"Line Item Name","CC-F-MFDCGAJIC")</f>
        <v>12</v>
      </c>
      <c r="H9" s="165">
        <f>GETPIVOTDATA("Sum of Order Quantity",'July 2023'!P1024,"Line Item Name","CC-F-MFDCGAJIC")</f>
        <v>1</v>
      </c>
      <c r="I9" s="165">
        <f>GETPIVOTDATA("Sum of Order Quantity",'August 2023'!P655,"Line Item Name","CC-F-MFDCGAJIC")</f>
        <v>5</v>
      </c>
      <c r="J9" s="165">
        <f t="shared" si="44"/>
        <v>0</v>
      </c>
      <c r="K9" s="165">
        <f>GETPIVOTDATA("Sum of Order Quantity",'October 2023'!P599,"Line Item Name","CC-F-MFDCGAJIC")</f>
        <v>12</v>
      </c>
      <c r="L9" s="165">
        <f>GETPIVOTDATA("Sum of Order Quantity",'November 2023'!P454,"Line Item Name","CC-F-MFDCGAJIC")</f>
        <v>20</v>
      </c>
      <c r="M9" s="165">
        <f>GETPIVOTDATA("Sum of Order Quantity",'Decemeber 2023'!P419,"Line Item Name","CC-F-MFDCGAJIC")</f>
        <v>29</v>
      </c>
      <c r="N9" s="167">
        <f>SUM(B9:M9)</f>
        <v>100</v>
      </c>
      <c r="O9" s="211"/>
    </row>
    <row r="10" ht="15.1" customHeight="1">
      <c r="A10" t="s" s="163">
        <v>3245</v>
      </c>
      <c r="B10" s="164">
        <f>0</f>
        <v>0</v>
      </c>
      <c r="C10" s="165">
        <f>SUM(GETPIVOTDATA("Sum of Order Quantity",'February 2023'!P523,"Line Item Name","CC-F-FQCSAEF"),GETPIVOTDATA("Sum of Order Quantity",'February 2023'!P523,"Line Item Name","CC-F-FQCNPTF"),GETPIVOTDATA("Sum of Order Quantity",'February 2023'!P523,"Line Item Name","CC-F-FQCBSPF"))</f>
        <v>685</v>
      </c>
      <c r="D10" s="165">
        <f>SUM(GETPIVOTDATA("Sum of Order Quantity",'March 2023'!P1251,"Line Item Name","CC-F-FQCNPTF"))</f>
        <v>5</v>
      </c>
      <c r="E10" s="165">
        <f>SUM(GETPIVOTDATA("Sum of Order Quantity",'April 2023'!P436,"Line Item Name","CC-F-FQCNPTF"))</f>
        <v>6</v>
      </c>
      <c r="F10" s="165">
        <f>SUM(GETPIVOTDATA("Sum of Order Quantity",'May 2023'!P1140,"Line Item Name","CC-F-FQCNPTF"))</f>
        <v>1</v>
      </c>
      <c r="G10" s="165">
        <f>SUM(GETPIVOTDATA("Sum of Order Quantity",'June 2023'!P500,"Line Item Name","CC-F-FQCBSPF"),GETPIVOTDATA("Sum of Order Quantity",'June 2023'!P500,"Line Item Name","CC-F-FQCNPTF"))</f>
        <v>9</v>
      </c>
      <c r="H10" s="165">
        <f>SUM(GETPIVOTDATA("Sum of Order Quantity",'July 2023'!P1024,"Line Item Name","CC-F-FQCNPTF"),GETPIVOTDATA("Sum of Order Quantity",'July 2023'!P1024,"Line Item Name","Female ISO-B Quick Connect 3/8" NPT"))</f>
        <v>143</v>
      </c>
      <c r="I10" s="165">
        <f>SUM(GETPIVOTDATA("Sum of Order Quantity",'August 2023'!P655,"Line Item Name","CC-F-FQCNPTF"))</f>
        <v>3</v>
      </c>
      <c r="J10" s="165">
        <f t="shared" si="100" ref="J10:L10">SUM(0)</f>
        <v>0</v>
      </c>
      <c r="K10" s="165">
        <f>SUM(GETPIVOTDATA("Sum of Order Quantity",'October 2023'!P599,"Line Item Name","CC-F-FQCNPTF"),GETPIVOTDATA("Sum of Order Quantity",'October 2023'!P599,"Line Item Name","CC-F-FQCBSPF"))</f>
        <v>8</v>
      </c>
      <c r="L10" s="165">
        <f t="shared" si="100"/>
        <v>0</v>
      </c>
      <c r="M10" s="165">
        <f>SUM(GETPIVOTDATA("Sum of Order Quantity",'Decemeber 2023'!P419,"Line Item Name","CC-F-FQCNPTF"))</f>
        <v>3</v>
      </c>
      <c r="N10" s="167">
        <f>SUM(B10:M10)</f>
        <v>863</v>
      </c>
      <c r="O10" s="211"/>
    </row>
    <row r="11" ht="15.1" customHeight="1">
      <c r="A11" t="s" s="163">
        <v>3246</v>
      </c>
      <c r="B11" s="164">
        <f>GETPIVOTDATA("Sum of Order Quantity",'January 2023'!P912,"Line Item Name","CC-F-MQCNPTM")</f>
        <v>5</v>
      </c>
      <c r="C11" s="165">
        <f>SUM(GETPIVOTDATA("Sum of Order Quantity",'February 2023'!P523,"Line Item Name","CC-F-MQCSAEF"),GETPIVOTDATA("Sum of Order Quantity",'February 2023'!P523,"Line Item Name","3/8” Male Quick Connect ISO-A x 3/8” BSPP Female"),GETPIVOTDATA("Sum of Order Quantity",'February 2023'!P523,"Line Item Name","CC-F-MQCNPTM"))</f>
        <v>753</v>
      </c>
      <c r="D11" s="165">
        <f>GETPIVOTDATA("Sum of Order Quantity",'March 2023'!P1251,"Line Item Name","CC-F-MQCBSPPF")+GETPIVOTDATA("Sum of Order Quantity",'March 2023'!P1251,"Line Item Name","CC-F-MQCNPTM")</f>
        <v>16</v>
      </c>
      <c r="E11" s="165">
        <f>GETPIVOTDATA("Sum of Order Quantity",'April 2023'!P436,"Line Item Name","CC-F-MQCNPTM")+GETPIVOTDATA("Sum of Order Quantity",'April 2023'!P436,"Line Item Name","3/8" Male Quick Connect ISO-A x 3/8" Female NPT")</f>
        <v>7</v>
      </c>
      <c r="F11" s="165">
        <f>SUM(GETPIVOTDATA("Sum of Order Quantity",'May 2023'!P1140,"Line Item Name","CC-F-MQCNPTM"))</f>
        <v>16</v>
      </c>
      <c r="G11" s="165">
        <f>SUM(GETPIVOTDATA("Sum of Order Quantity",'June 2023'!P500,"Line Item Name","CC-F-MQCNPTM"),GETPIVOTDATA("Sum of Order Quantity",'June 2023'!P500,"Line Item Name","CC-F-MQCBSPPF"))</f>
        <v>17</v>
      </c>
      <c r="H11" s="165">
        <f>SUM(GETPIVOTDATA("Sum of Order Quantity",'July 2023'!P1024,"Line Item Name","Male ISO-B Quick Connect (3/8" NPT)"),GETPIVOTDATA("Sum of Order Quantity",'July 2023'!P1024,"Line Item Name","CC-F-MQCNPTM"),GETPIVOTDATA("Sum of Order Quantity",'July 2023'!P1024,"Line Item Name","CC-F-MQCBSPPF"))</f>
        <v>83</v>
      </c>
      <c r="I11" s="165">
        <f>SUM(GETPIVOTDATA("Sum of Order Quantity",'August 2023'!P655,"Line Item Name","CC-F-MQCBSPPF"),GETPIVOTDATA("Sum of Order Quantity",'August 2023'!P655,"Line Item Name","CC-F-MQCNPTM"))</f>
        <v>4</v>
      </c>
      <c r="J11" s="165">
        <f>SUM(GETPIVOTDATA("Sum of Order Quantity",'September 2023'!P599,"Line Item Name","CC-F-MQCBSPPF"))</f>
        <v>4</v>
      </c>
      <c r="K11" s="165">
        <f>SUM(GETPIVOTDATA("Sum of Order Quantity",'October 2023'!P599,"Line Item Name","CC-F-MQCBSPPF"),GETPIVOTDATA("Sum of Order Quantity",'October 2023'!P599,"Line Item Name","3/8" Male Quick Connect ISO-A x 3/8" Female NPT"))</f>
        <v>3</v>
      </c>
      <c r="L11" s="165">
        <f>SUM(GETPIVOTDATA("Sum of Order Quantity",'November 2023'!P454,"Line Item Name","CC-F-MQCNPTM"),GETPIVOTDATA("Sum of Order Quantity",'November 2023'!P454,"Line Item Name","CC-F-MQCBSPPF"))</f>
        <v>17</v>
      </c>
      <c r="M11" s="165">
        <f>SUM(GETPIVOTDATA("Sum of Order Quantity",'Decemeber 2023'!P419,"Line Item Name","1/2" KZE 4-10 / ISO-A 7241 Male Quick Connect"),GETPIVOTDATA("Sum of Order Quantity",'Decemeber 2023'!P419,"Line Item Name","CC-F-MQCBSPPF"))</f>
        <v>10</v>
      </c>
      <c r="N11" s="167">
        <f>SUM(B11:M11)</f>
        <v>935</v>
      </c>
      <c r="O11" s="211"/>
    </row>
    <row r="12" ht="15.1" customHeight="1">
      <c r="A12" t="s" s="163">
        <v>3247</v>
      </c>
      <c r="B12" s="164">
        <v>0</v>
      </c>
      <c r="C12" s="165">
        <v>0</v>
      </c>
      <c r="D12" s="165">
        <v>0</v>
      </c>
      <c r="E12" s="165">
        <f>0</f>
        <v>0</v>
      </c>
      <c r="F12" s="165">
        <v>0</v>
      </c>
      <c r="G12" s="165">
        <v>0</v>
      </c>
      <c r="H12" s="165">
        <f>GETPIVOTDATA("Sum of Order Quantity",'July 2023'!P1024,"Line Item Name","CC-F-CGA-FQC")</f>
        <v>10</v>
      </c>
      <c r="I12" s="165">
        <f>GETPIVOTDATA("Sum of Order Quantity",'August 2023'!P655,"Line Item Name","CC-F-CGA-FQC")</f>
        <v>55</v>
      </c>
      <c r="J12" s="165">
        <v>0</v>
      </c>
      <c r="K12" s="165">
        <v>0</v>
      </c>
      <c r="L12" s="165">
        <f t="shared" si="44"/>
        <v>0</v>
      </c>
      <c r="M12" s="165">
        <v>0</v>
      </c>
      <c r="N12" s="167">
        <f>SUM(B12:M12)</f>
        <v>65</v>
      </c>
      <c r="O12" s="211"/>
    </row>
    <row r="13" ht="15.1" customHeight="1">
      <c r="A13" t="s" s="163">
        <v>3248</v>
      </c>
      <c r="B13" s="164">
        <v>0</v>
      </c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f>GETPIVOTDATA("Sum of Order Quantity",'July 2023'!P1024,"Line Item Name","CC-F-CGA-FQC")</f>
        <v>10</v>
      </c>
      <c r="I13" s="165">
        <f t="shared" si="44"/>
        <v>0</v>
      </c>
      <c r="J13" s="165">
        <v>0</v>
      </c>
      <c r="K13" s="165">
        <v>0</v>
      </c>
      <c r="L13" s="165">
        <v>0</v>
      </c>
      <c r="M13" s="165">
        <v>0</v>
      </c>
      <c r="N13" s="167">
        <f>SUM(B13:M13)</f>
        <v>10</v>
      </c>
      <c r="O13" s="211"/>
    </row>
    <row r="14" ht="15.1" customHeight="1">
      <c r="A14" t="s" s="163">
        <v>3249</v>
      </c>
      <c r="B14" s="164">
        <f>0</f>
        <v>0</v>
      </c>
      <c r="C14" s="165">
        <f>GETPIVOTDATA("Sum of Order Quantity",'February 2023'!P523,"Line Item Name"," CC-AC-CGAJIC-SET")</f>
        <v>7</v>
      </c>
      <c r="D14" s="165">
        <f>GETPIVOTDATA("Sum of Order Quantity",'March 2023'!P1251,"Line Item Name"," CC-AC-CGAJIC-SET")</f>
        <v>23</v>
      </c>
      <c r="E14" s="165">
        <f>GETPIVOTDATA("Sum of Order Quantity",'April 2023'!P436,"Line Item Name"," CC-AC-CGAJIC-SET")</f>
        <v>4</v>
      </c>
      <c r="F14" s="165">
        <f t="shared" si="44"/>
        <v>0</v>
      </c>
      <c r="G14" s="165">
        <v>0</v>
      </c>
      <c r="H14" s="165">
        <f>GETPIVOTDATA("Sum of Order Quantity",'July 2023'!P1024,"Line Item Name"," CC-AC-CGAJIC-SET")</f>
        <v>228</v>
      </c>
      <c r="I14" s="165">
        <f>GETPIVOTDATA("Sum of Order Quantity",'August 2023'!P655,"Line Item Name"," CC-AC-CGAJIC-SET")+GETPIVOTDATA("Sum of Order Quantity",'August 2023'!P655,"Line Item Name","CC-AC-CGA-INT-SET")</f>
        <v>102</v>
      </c>
      <c r="J14" s="165">
        <f>GETPIVOTDATA("Sum of Order Quantity",'September 2023'!P599,"Line Item Name"," CC-AC-CGAJIC-SET")</f>
        <v>1</v>
      </c>
      <c r="K14" s="165">
        <f>GETPIVOTDATA("Sum of Order Quantity",'October 2023'!P599,"Line Item Name"," CC-AC-CGAJIC-SET")</f>
        <v>6</v>
      </c>
      <c r="L14" s="165">
        <f t="shared" si="44"/>
        <v>0</v>
      </c>
      <c r="M14" s="165">
        <f>GETPIVOTDATA("Sum of Order Quantity",'Decemeber 2023'!P419,"Line Item Name"," CC-AC-CGAJIC-SET")</f>
        <v>21</v>
      </c>
      <c r="N14" s="167">
        <f>SUM(B14:M14)</f>
        <v>392</v>
      </c>
      <c r="O14" s="211"/>
    </row>
    <row r="15" ht="15.1" customHeight="1">
      <c r="A15" t="s" s="163">
        <v>3250</v>
      </c>
      <c r="B15" s="164">
        <f>GETPIVOTDATA("Sum of Order Quantity",'January 2023'!P912,"Line Item Name","CC-AC-CGANPT-SET")</f>
        <v>6</v>
      </c>
      <c r="C15" s="165">
        <f>GETPIVOTDATA("Sum of Order Quantity",'February 2023'!P523,"Line Item Name","CC-AC-CGANPT-SET")</f>
        <v>2</v>
      </c>
      <c r="D15" s="165">
        <f>GETPIVOTDATA("Sum of Order Quantity",'March 2023'!P1251,"Line Item Name","CC-AC-CGANPT-SET")</f>
        <v>13</v>
      </c>
      <c r="E15" s="165">
        <f>GETPIVOTDATA("Sum of Order Quantity",'April 2023'!P436,"Line Item Name","CC-AC-CGANPT-SET")</f>
        <v>5</v>
      </c>
      <c r="F15" s="165">
        <v>0</v>
      </c>
      <c r="G15" s="165">
        <v>0</v>
      </c>
      <c r="H15" s="165">
        <v>0</v>
      </c>
      <c r="I15" s="165">
        <f>GETPIVOTDATA("Sum of Order Quantity",'August 2023'!P655,"Line Item Name","CC-AC-CGANPT-SET")</f>
        <v>5</v>
      </c>
      <c r="J15" s="165">
        <f>SUM(GETPIVOTDATA("Sum of Order Quantity",'September 2023'!P599,"Line Item Name","CC-AC-CGANPT-SET"),GETPIVOTDATA("Sum of Order Quantity",'September 2023'!P599,"Line Item Name","CC-AC-CGA622NPT-SET"))</f>
        <v>16</v>
      </c>
      <c r="K15" s="165">
        <f>GETPIVOTDATA("Sum of Order Quantity",'October 2023'!P599,"Line Item Name","CC-AC-CGANPT-SET")</f>
        <v>40</v>
      </c>
      <c r="L15" s="165">
        <f>GETPIVOTDATA("Sum of Order Quantity",'November 2023'!P454,"Line Item Name","CC-AC-CGANPT-SET")</f>
        <v>2</v>
      </c>
      <c r="M15" s="165">
        <f>GETPIVOTDATA("Sum of Order Quantity",'Decemeber 2023'!P419,"Line Item Name","CC-AC-CGANPT-SET")</f>
        <v>3</v>
      </c>
      <c r="N15" s="167">
        <f>SUM(B15:M15)</f>
        <v>92</v>
      </c>
      <c r="O15" s="211"/>
    </row>
    <row r="16" ht="15.1" customHeight="1">
      <c r="A16" t="s" s="163">
        <v>3251</v>
      </c>
      <c r="B16" s="164">
        <f>GETPIVOTDATA("Sum of Order Quantity",'January 2023'!P912,"Line Item Name","CC-F-COT")</f>
        <v>37</v>
      </c>
      <c r="C16" s="165">
        <f>GETPIVOTDATA("Sum of Order Quantity",'February 2023'!P523,"Line Item Name","CC-F-COT")</f>
        <v>27</v>
      </c>
      <c r="D16" s="165">
        <f>GETPIVOTDATA("Sum of Order Quantity",'March 2023'!P1251,"Line Item Name","CC-F-COT")</f>
        <v>19</v>
      </c>
      <c r="E16" s="165">
        <f>GETPIVOTDATA("Sum of Order Quantity",'April 2023'!P436,"Line Item Name","CC-F-COT")</f>
        <v>30</v>
      </c>
      <c r="F16" s="165">
        <f>GETPIVOTDATA("Sum of Order Quantity",'May 2023'!P1140,"Line Item Name","CC-F-COT")</f>
        <v>31</v>
      </c>
      <c r="G16" s="165">
        <f>GETPIVOTDATA("Sum of Order Quantity",'June 2023'!P500,"Line Item Name","CC-F-COT")</f>
        <v>54</v>
      </c>
      <c r="H16" s="165">
        <f>GETPIVOTDATA("Sum of Order Quantity",'July 2023'!P1024,"Line Item Name","CC-F-COT")</f>
        <v>31</v>
      </c>
      <c r="I16" s="165">
        <f>GETPIVOTDATA("Sum of Order Quantity",'August 2023'!P655,"Line Item Name","CC-F-COT")</f>
        <v>31</v>
      </c>
      <c r="J16" s="165">
        <f>GETPIVOTDATA("Sum of Order Quantity",'September 2023'!P599,"Line Item Name","CC-F-COT")</f>
        <v>40</v>
      </c>
      <c r="K16" s="165">
        <f>GETPIVOTDATA("Sum of Order Quantity",'October 2023'!P599,"Line Item Name","CC-F-COT")</f>
        <v>42</v>
      </c>
      <c r="L16" s="165">
        <f>GETPIVOTDATA("Sum of Order Quantity",'November 2023'!P454,"Line Item Name","CC-F-COT")</f>
        <v>15</v>
      </c>
      <c r="M16" s="165">
        <f>GETPIVOTDATA("Sum of Order Quantity",'Decemeber 2023'!P419,"Line Item Name","CC-F-COT")</f>
        <v>16</v>
      </c>
      <c r="N16" s="167">
        <f>SUM(B16:M16)</f>
        <v>373</v>
      </c>
      <c r="O16" s="211"/>
    </row>
    <row r="17" ht="15.1" customHeight="1">
      <c r="A17" t="s" s="163">
        <v>3252</v>
      </c>
      <c r="B17" s="164">
        <f>GETPIVOTDATA("Sum of Order Quantity",'January 2023'!P912,"Line Item Name","CC-AC-ROR")</f>
        <v>233</v>
      </c>
      <c r="C17" s="165">
        <f>GETPIVOTDATA("Sum of Order Quantity",'February 2023'!P523,"Line Item Name","CC-AC-ROR")</f>
        <v>64</v>
      </c>
      <c r="D17" s="165">
        <f>GETPIVOTDATA("Sum of Order Quantity",'March 2023'!P1251,"Line Item Name","CC-AC-ROR")</f>
        <v>377</v>
      </c>
      <c r="E17" s="165">
        <f>GETPIVOTDATA("Sum of Order Quantity",'April 2023'!P436,"Line Item Name","CC-AC-ROR")</f>
        <v>33</v>
      </c>
      <c r="F17" s="165">
        <f>GETPIVOTDATA("Sum of Order Quantity",'May 2023'!P1140,"Line Item Name","CC-AC-ROR")</f>
        <v>11</v>
      </c>
      <c r="G17" s="165">
        <f>GETPIVOTDATA("Sum of Order Quantity",'June 2023'!P500,"Line Item Name","CC-AC-ROR")</f>
        <v>73</v>
      </c>
      <c r="H17" s="165">
        <f>GETPIVOTDATA("Sum of Order Quantity",'July 2023'!P1024,"Line Item Name","CC-AC-ROR")</f>
        <v>85</v>
      </c>
      <c r="I17" s="165">
        <f>GETPIVOTDATA("Sum of Order Quantity",'August 2023'!P655,"Line Item Name","CC-AC-ROR")</f>
        <v>15</v>
      </c>
      <c r="J17" s="165">
        <f>GETPIVOTDATA("Sum of Order Quantity",'September 2023'!P599,"Line Item Name","CC-AC-ROR")</f>
        <v>7</v>
      </c>
      <c r="K17" s="165">
        <f>GETPIVOTDATA("Sum of Order Quantity",'October 2023'!P599,"Line Item Name","CC-AC-ROR")</f>
        <v>21</v>
      </c>
      <c r="L17" s="165">
        <f t="shared" si="44"/>
        <v>0</v>
      </c>
      <c r="M17" s="165">
        <f>GETPIVOTDATA("Sum of Order Quantity",'Decemeber 2023'!P419,"Line Item Name","CC-AC-ROR")</f>
        <v>22</v>
      </c>
      <c r="N17" s="167">
        <f>SUM(B17:M17)</f>
        <v>941</v>
      </c>
      <c r="O17" s="416"/>
    </row>
    <row r="18" ht="15.1" customHeight="1">
      <c r="A18" t="s" s="163">
        <v>3253</v>
      </c>
      <c r="B18" s="164">
        <v>0</v>
      </c>
      <c r="C18" s="165">
        <v>0</v>
      </c>
      <c r="D18" s="165">
        <f>GETPIVOTDATA("Sum of Order Quantity",'March 2023'!P1251,"Line Item Name","CC-AC-ROR2")</f>
        <v>4</v>
      </c>
      <c r="E18" s="165">
        <f>0</f>
        <v>0</v>
      </c>
      <c r="F18" s="165">
        <f t="shared" si="44"/>
        <v>0</v>
      </c>
      <c r="G18" s="165">
        <f t="shared" si="44"/>
        <v>0</v>
      </c>
      <c r="H18" s="165">
        <f t="shared" si="44"/>
        <v>0</v>
      </c>
      <c r="I18" s="165">
        <f>GETPIVOTDATA("Sum of Order Quantity",'August 2023'!P655,"Line Item Name","CC-AC-ROR2")</f>
        <v>4</v>
      </c>
      <c r="J18" s="165">
        <f>GETPIVOTDATA("Sum of Order Quantity",'September 2023'!P599,"Line Item Name","CC-AC-ROR2")</f>
        <v>6</v>
      </c>
      <c r="K18" s="165">
        <f t="shared" si="44"/>
        <v>0</v>
      </c>
      <c r="L18" s="165">
        <f>GETPIVOTDATA("Sum of Order Quantity",'November 2023'!P454,"Line Item Name","CC-AC-ROR2")</f>
        <v>20</v>
      </c>
      <c r="M18" s="165">
        <f>GETPIVOTDATA("Sum of Order Quantity",'Decemeber 2023'!P419,"Line Item Name","CC-AC-ROR2")</f>
        <v>21</v>
      </c>
      <c r="N18" s="167">
        <f>SUM(B18:M18)</f>
        <v>55</v>
      </c>
      <c r="O18" s="416"/>
    </row>
    <row r="19" ht="15.1" customHeight="1">
      <c r="A19" t="s" s="163">
        <v>3254</v>
      </c>
      <c r="B19" s="164">
        <f>GETPIVOTDATA("Sum of Order Quantity",'January 2023'!P912,"Line Item Name","CC-AC-CTAT")</f>
        <v>87</v>
      </c>
      <c r="C19" s="165">
        <f>GETPIVOTDATA("Sum of Order Quantity",'February 2023'!P523,"Line Item Name","CC-AC-CTAT")</f>
        <v>81</v>
      </c>
      <c r="D19" s="165">
        <f>GETPIVOTDATA("Sum of Order Quantity",'March 2023'!P1251,"Line Item Name","CC-AC-CTAT")</f>
        <v>41</v>
      </c>
      <c r="E19" s="165">
        <f>GETPIVOTDATA("Sum of Order Quantity",'April 2023'!P436,"Line Item Name","CC-AC-CTAT")</f>
        <v>39</v>
      </c>
      <c r="F19" s="165">
        <f>GETPIVOTDATA("Sum of Order Quantity",'May 2023'!P1140,"Line Item Name","CC-AC-CTAT")</f>
        <v>38</v>
      </c>
      <c r="G19" s="165">
        <f>GETPIVOTDATA("Sum of Order Quantity",'June 2023'!P500,"Line Item Name","CC-AC-CTAT")</f>
        <v>48</v>
      </c>
      <c r="H19" s="165">
        <f>GETPIVOTDATA("Sum of Order Quantity",'July 2023'!P1024,"Line Item Name","CC-AC-CTAT")</f>
        <v>15</v>
      </c>
      <c r="I19" s="165">
        <f>GETPIVOTDATA("Sum of Order Quantity",'August 2023'!P655,"Line Item Name","CC-AC-CTAT")</f>
        <v>97</v>
      </c>
      <c r="J19" s="165">
        <f>GETPIVOTDATA("Sum of Order Quantity",'September 2023'!P599,"Line Item Name","CC-AC-CTAT")</f>
        <v>40</v>
      </c>
      <c r="K19" s="165">
        <f>GETPIVOTDATA("Sum of Order Quantity",'October 2023'!P599,"Line Item Name","CC-AC-CTAT")</f>
        <v>66</v>
      </c>
      <c r="L19" s="165">
        <f>GETPIVOTDATA("Sum of Order Quantity",'November 2023'!P454,"Line Item Name","CC-AC-CTAT")</f>
        <v>74</v>
      </c>
      <c r="M19" s="165">
        <f>GETPIVOTDATA("Sum of Order Quantity",'Decemeber 2023'!P419,"Line Item Name","CC-AC-CTAT")</f>
        <v>11</v>
      </c>
      <c r="N19" s="167">
        <f>SUM(B19:M19)</f>
        <v>637</v>
      </c>
      <c r="O19" s="416"/>
    </row>
    <row r="20" ht="15.1" customHeight="1">
      <c r="A20" t="s" s="163">
        <v>3255</v>
      </c>
      <c r="B20" s="164">
        <f>GETPIVOTDATA("Sum of Order Quantity",'January 2023'!P912,"Line Item Name","CC-WASH-01")+GETPIVOTDATA("Sum of Order Quantity",'January 2023'!P912,"Line Item Name","CC-WASH-10")*10</f>
        <v>800</v>
      </c>
      <c r="C20" s="165">
        <f>GETPIVOTDATA("Sum of Order Quantity",'February 2023'!P523,"Line Item Name","CC-WASH-10")*10</f>
        <v>1260</v>
      </c>
      <c r="D20" s="165">
        <f>GETPIVOTDATA("Sum of Order Quantity",'March 2023'!P1251,"Line Item Name","CC-WASH-01")+GETPIVOTDATA("Sum of Order Quantity",'March 2023'!P1251,"Line Item Name","CC-WASH-10")*10</f>
        <v>1960</v>
      </c>
      <c r="E20" s="165">
        <f>10*GETPIVOTDATA("Sum of Order Quantity",'April 2023'!P436,"Line Item Name","CC-WASH-10")</f>
        <v>1030</v>
      </c>
      <c r="F20" s="165">
        <f>GETPIVOTDATA("Sum of Order Quantity",'May 2023'!P1140,"Line Item Name","CC-WASH-01")+GETPIVOTDATA("Sum of Order Quantity",'May 2023'!P1140,"Line Item Name","CC-WASH-10")*10</f>
        <v>771</v>
      </c>
      <c r="G20" s="165">
        <f>GETPIVOTDATA("Sum of Order Quantity",'June 2023'!P500,"Line Item Name","CC-WASH-01")+GETPIVOTDATA("Sum of Order Quantity",'June 2023'!P500,"Line Item Name","CC-WASH-10")*10</f>
        <v>2070</v>
      </c>
      <c r="H20" s="165">
        <f>GETPIVOTDATA("Sum of Order Quantity",'July 2023'!P1024,"Line Item Name","CC-WASH-01")+GETPIVOTDATA("Sum of Order Quantity",'July 2023'!P1024,"Line Item Name","CC-WASH-10")*10</f>
        <v>4260</v>
      </c>
      <c r="I20" s="165">
        <f>GETPIVOTDATA("Sum of Order Quantity",'August 2023'!P655,"Line Item Name","CC-WASH-INT-01")+GETPIVOTDATA("Sum of Order Quantity",'August 2023'!P655,"Line Item Name","CC-WASH-01")+GETPIVOTDATA("Sum of Order Quantity",'August 2023'!P655,"Line Item Name","CC-WASH-10")*10</f>
        <v>2050</v>
      </c>
      <c r="J20" s="165">
        <f>GETPIVOTDATA("Sum of Order Quantity",'September 2023'!P599,"Line Item Name","CC-WASH-01")+GETPIVOTDATA("Sum of Order Quantity",'September 2023'!P599,"Line Item Name","CC-WASH-10")*10</f>
        <v>1900</v>
      </c>
      <c r="K20" s="165">
        <f>GETPIVOTDATA("Sum of Order Quantity",'October 2023'!P599,"Line Item Name","CC-WASH-01")+GETPIVOTDATA("Sum of Order Quantity",'October 2023'!P599,"Line Item Name","CC-WASH-10")*10</f>
        <v>2360</v>
      </c>
      <c r="L20" s="165">
        <f>GETPIVOTDATA("Sum of Order Quantity",'November 2023'!P454,"Line Item Name","CC-WASH-01")+GETPIVOTDATA("Sum of Order Quantity",'November 2023'!P454,"Line Item Name","CC-WASH-10")*10</f>
        <v>1070</v>
      </c>
      <c r="M20" s="165">
        <f>GETPIVOTDATA("Sum of Order Quantity",'Decemeber 2023'!P419,"Line Item Name","CC-WASH-01")+GETPIVOTDATA("Sum of Order Quantity",'Decemeber 2023'!P419,"Line Item Name","CC-WASH-10")*10</f>
        <v>1060</v>
      </c>
      <c r="N20" s="167">
        <f>SUM(B20:M20)</f>
        <v>20591</v>
      </c>
      <c r="O20" s="416"/>
    </row>
    <row r="21" ht="15.1" customHeight="1">
      <c r="A21" t="s" s="163">
        <v>3256</v>
      </c>
      <c r="B21" s="164">
        <f>GETPIVOTDATA("Sum of Order Quantity",'January 2023'!P912,"Line Item Name","CC-AC-OP")</f>
        <v>21</v>
      </c>
      <c r="C21" s="165">
        <f>GETPIVOTDATA("Sum of Order Quantity",'February 2023'!P523,"Line Item Name","CC-AC-OP")</f>
        <v>26</v>
      </c>
      <c r="D21" s="165">
        <f>GETPIVOTDATA("Sum of Order Quantity",'March 2023'!P1251,"Line Item Name","CC-AC-OP")</f>
        <v>18</v>
      </c>
      <c r="E21" s="165">
        <f>GETPIVOTDATA("Sum of Order Quantity",'April 2023'!P436,"Line Item Name","CC-AC-OP")</f>
        <v>21</v>
      </c>
      <c r="F21" s="165">
        <f>GETPIVOTDATA("Sum of Order Quantity",'May 2023'!P1140,"Line Item Name","CC-AC-OP")</f>
        <v>20</v>
      </c>
      <c r="G21" s="165">
        <f>GETPIVOTDATA("Sum of Order Quantity",'June 2023'!P500,"Line Item Name","CC-AC-OP")+GETPIVOTDATA("Sum of Order Quantity",'June 2023'!P500,"Line Item Name","CC-AC-OP-INT")</f>
        <v>44</v>
      </c>
      <c r="H21" s="165">
        <f>GETPIVOTDATA("Sum of Order Quantity",'July 2023'!P1024,"Line Item Name","CC-AC-OP")</f>
        <v>27</v>
      </c>
      <c r="I21" s="165">
        <f>GETPIVOTDATA("Sum of Order Quantity",'August 2023'!P655,"Line Item Name","CC-AC-OP")</f>
        <v>50</v>
      </c>
      <c r="J21" s="165">
        <f>GETPIVOTDATA("Sum of Order Quantity",'September 2023'!P599,"Line Item Name","CC-AC-OP")</f>
        <v>44</v>
      </c>
      <c r="K21" s="165">
        <f>GETPIVOTDATA("Sum of Order Quantity",'October 2023'!P599,"Line Item Name","CC-AC-OP")</f>
        <v>25</v>
      </c>
      <c r="L21" s="165">
        <f>GETPIVOTDATA("Sum of Order Quantity",'November 2023'!P454,"Line Item Name","CC-AC-OP")</f>
        <v>23</v>
      </c>
      <c r="M21" s="165">
        <f>GETPIVOTDATA("Sum of Order Quantity",'Decemeber 2023'!P419,"Line Item Name","CC-AC-OP")</f>
        <v>21</v>
      </c>
      <c r="N21" s="167">
        <f>SUM(B21:M21)</f>
        <v>340</v>
      </c>
      <c r="O21" s="416"/>
    </row>
    <row r="22" ht="15.1" customHeight="1">
      <c r="A22" t="s" s="163">
        <v>3257</v>
      </c>
      <c r="B22" s="164">
        <f>GETPIVOTDATA("Sum of Order Quantity",'January 2023'!P912,"Line Item Name","CC-AC-CLAMP")</f>
        <v>32</v>
      </c>
      <c r="C22" s="165">
        <f>GETPIVOTDATA("Sum of Order Quantity",'February 2023'!P523,"Line Item Name","CC-AC-CLAMP")</f>
        <v>14</v>
      </c>
      <c r="D22" s="165">
        <f>GETPIVOTDATA("Sum of Order Quantity",'March 2023'!P1251,"Line Item Name","CC-AC-CLAMP")</f>
        <v>26</v>
      </c>
      <c r="E22" s="165">
        <f>GETPIVOTDATA("Sum of Order Quantity",'April 2023'!P436,"Line Item Name","CC-AC-CLAMP")+GETPIVOTDATA("Sum of Order Quantity",'April 2023'!P436,"Line Item Name","CC-AC-BM-KIT")</f>
        <v>15</v>
      </c>
      <c r="F22" s="165">
        <f>SUM(GETPIVOTDATA("Sum of Order Quantity",'May 2023'!P1140,"Line Item Name","CC-AC-CLAMP"),GETPIVOTDATA("Sum of Order Quantity",'May 2023'!P1140,"Line Item Name","CC-AC-BM-KIT"),GETPIVOTDATA("Sum of Order Quantity",'May 2023'!P1140,"Line Item Name","Truss Clamps"))</f>
        <v>68</v>
      </c>
      <c r="G22" s="165">
        <f>SUM(GETPIVOTDATA("Sum of Order Quantity",'June 2023'!P500,"Line Item Name","CC-AC-CLAMP"),GETPIVOTDATA("Sum of Order Quantity",'June 2023'!P500,"Line Item Name","CC-AC-BM-KIT"))</f>
        <v>25</v>
      </c>
      <c r="H22" s="165">
        <f>SUM(GETPIVOTDATA("Sum of Order Quantity",'July 2023'!P1024,"Line Item Name","CC-AC-CLAMP"),GETPIVOTDATA("Sum of Order Quantity",'July 2023'!P1024,"Line Item Name","CC-AC-BM-KIT"),GETPIVOTDATA("Sum of Order Quantity",'July 2023'!P1024,"Line Item Name","CC-AC-TB-KIT"))</f>
        <v>54</v>
      </c>
      <c r="I22" s="165">
        <f>SUM(GETPIVOTDATA("Sum of Order Quantity",'August 2023'!P655,"Line Item Name","CC-AC-CLAMP"),GETPIVOTDATA("Sum of Order Quantity",'August 2023'!P655,"Line Item Name","CC-AC-BM-KIT"),GETPIVOTDATA("Sum of Order Quantity",'August 2023'!P655,"Line Item Name","CC-AC-TB-KIT"))</f>
        <v>74</v>
      </c>
      <c r="J22" s="165">
        <f>SUM(GETPIVOTDATA("Sum of Order Quantity",'September 2023'!P599,"Line Item Name","CC-AC-CLAMP"),GETPIVOTDATA("Sum of Order Quantity",'September 2023'!P599,"Line Item Name","CC-AC-BM-KIT"))</f>
        <v>30</v>
      </c>
      <c r="K22" s="165">
        <f>SUM(GETPIVOTDATA("Sum of Order Quantity",'October 2023'!P599,"Line Item Name","CC-AC-BM-KIT"),GETPIVOTDATA("Sum of Order Quantity",'October 2023'!P599,"Line Item Name","CC-AC-CLAMP"))</f>
        <v>6</v>
      </c>
      <c r="L22" s="165">
        <f>SUM(GETPIVOTDATA("Sum of Order Quantity",'November 2023'!P454,"Line Item Name","CC-AC-CLAMP"))</f>
        <v>11</v>
      </c>
      <c r="M22" s="165">
        <f>SUM(GETPIVOTDATA("Sum of Order Quantity",'Decemeber 2023'!P419,"Line Item Name","CC-AC-CLAMP"),GETPIVOTDATA("Sum of Order Quantity",'Decemeber 2023'!P419,"Line Item Name","CC-AC-CLAMP-CC2-KIT"),GETPIVOTDATA("Sum of Order Quantity",'Decemeber 2023'!P419,"Line Item Name","CC-AC-TB-KIT"))</f>
        <v>10</v>
      </c>
      <c r="N22" s="167">
        <f>SUM(B22:M22)</f>
        <v>365</v>
      </c>
      <c r="O22" s="416"/>
    </row>
    <row r="23" ht="15.1" customHeight="1">
      <c r="A23" t="s" s="163">
        <v>3258</v>
      </c>
      <c r="B23" s="164">
        <f>GETPIVOTDATA("Sum of Order Quantity",'January 2023'!P912,"Line Item Name","CC-CTC-20")</f>
        <v>18</v>
      </c>
      <c r="C23" s="165">
        <f>GETPIVOTDATA("Sum of Order Quantity",'February 2023'!P523,"Line Item Name","CC-CTC-20")</f>
        <v>38</v>
      </c>
      <c r="D23" s="165">
        <f>GETPIVOTDATA("Sum of Order Quantity",'March 2023'!P1251,"Line Item Name","CC-CTC-20")</f>
        <v>33</v>
      </c>
      <c r="E23" s="165">
        <f>GETPIVOTDATA("Sum of Order Quantity",'April 2023'!P436,"Line Item Name","CC-CTC-20")</f>
        <v>32</v>
      </c>
      <c r="F23" s="165">
        <f>GETPIVOTDATA("Sum of Order Quantity",'May 2023'!P1140,"Line Item Name","CC-CTC-20")</f>
        <v>15</v>
      </c>
      <c r="G23" s="165">
        <f>GETPIVOTDATA("Sum of Order Quantity",'June 2023'!P500,"Line Item Name","CC-CTC-20")</f>
        <v>12</v>
      </c>
      <c r="H23" s="165">
        <f>GETPIVOTDATA("Sum of Order Quantity",'July 2023'!P1024,"Line Item Name","CC-CTC-20")</f>
        <v>22</v>
      </c>
      <c r="I23" s="165">
        <f>GETPIVOTDATA("Sum of Order Quantity",'August 2023'!P655,"Line Item Name","CC-CTC-20")</f>
        <v>28</v>
      </c>
      <c r="J23" s="165">
        <f>GETPIVOTDATA("Sum of Order Quantity",'September 2023'!P599,"Line Item Name","CC-CTC-20")</f>
        <v>29</v>
      </c>
      <c r="K23" s="165">
        <f>GETPIVOTDATA("Sum of Order Quantity",'October 2023'!P599,"Line Item Name","CC-CTC-20")</f>
        <v>44</v>
      </c>
      <c r="L23" s="165">
        <f>GETPIVOTDATA("Sum of Order Quantity",'November 2023'!P454,"Line Item Name","CC-CTC-20")</f>
        <v>26</v>
      </c>
      <c r="M23" s="165">
        <f>GETPIVOTDATA("Sum of Order Quantity",'Decemeber 2023'!P419,"Line Item Name","CC-CTC-20")</f>
        <v>14</v>
      </c>
      <c r="N23" s="167">
        <f>SUM(B23:M23)</f>
        <v>311</v>
      </c>
      <c r="O23" s="417">
        <f>SUM(N23:N24)</f>
        <v>543</v>
      </c>
    </row>
    <row r="24" ht="15.1" customHeight="1">
      <c r="A24" t="s" s="163">
        <v>3259</v>
      </c>
      <c r="B24" s="164">
        <f>GETPIVOTDATA("Sum of Order Quantity",'January 2023'!P912,"Line Item Name","CC-CTC-50")</f>
        <v>26</v>
      </c>
      <c r="C24" s="165">
        <f>GETPIVOTDATA("Sum of Order Quantity",'February 2023'!P523,"Line Item Name","CC-CTC-50")</f>
        <v>20</v>
      </c>
      <c r="D24" s="165">
        <f>GETPIVOTDATA("Sum of Order Quantity",'March 2023'!P1251,"Line Item Name","CC-CTC-50")</f>
        <v>13</v>
      </c>
      <c r="E24" s="165">
        <f>GETPIVOTDATA("Sum of Order Quantity",'April 2023'!P436,"Line Item Name","CC-CTC-50")</f>
        <v>42</v>
      </c>
      <c r="F24" s="165">
        <f>GETPIVOTDATA("Sum of Order Quantity",'May 2023'!P1140,"Line Item Name","CC-CTC-50")</f>
        <v>35</v>
      </c>
      <c r="G24" s="165">
        <f>GETPIVOTDATA("Sum of Order Quantity",'June 2023'!P500,"Line Item Name","CC-CTC-50")</f>
        <v>7</v>
      </c>
      <c r="H24" s="165">
        <f>GETPIVOTDATA("Sum of Order Quantity",'July 2023'!P1024,"Line Item Name","CC-CTC-50")</f>
        <v>18</v>
      </c>
      <c r="I24" s="165">
        <f>GETPIVOTDATA("Sum of Order Quantity",'August 2023'!P655,"Line Item Name","CC-CTC-50")</f>
        <v>20</v>
      </c>
      <c r="J24" s="165">
        <f>GETPIVOTDATA("Sum of Order Quantity",'September 2023'!P599,"Line Item Name","CC-CTC-50")</f>
        <v>12</v>
      </c>
      <c r="K24" s="165">
        <f>GETPIVOTDATA("Sum of Order Quantity",'October 2023'!P599,"Line Item Name","CC-CTC-50")</f>
        <v>26</v>
      </c>
      <c r="L24" s="165">
        <f>GETPIVOTDATA("Sum of Order Quantity",'November 2023'!P454,"Line Item Name","CC-CTC-50")</f>
        <v>11</v>
      </c>
      <c r="M24" s="165">
        <f>GETPIVOTDATA("Sum of Order Quantity",'Decemeber 2023'!P419,"Line Item Name","CC-CTC-50")</f>
        <v>2</v>
      </c>
      <c r="N24" s="167">
        <f>SUM(B24:M24)</f>
        <v>232</v>
      </c>
      <c r="O24" s="211"/>
    </row>
    <row r="25" ht="15.1" customHeight="1">
      <c r="A25" t="s" s="163">
        <v>346</v>
      </c>
      <c r="B25" s="164">
        <f>GETPIVOTDATA("Sum of Order Quantity",'January 2023'!P912,"Line Item Name","CC-AC-TC")</f>
        <v>4</v>
      </c>
      <c r="C25" s="165">
        <f>GETPIVOTDATA("Sum of Order Quantity",'February 2023'!P523,"Line Item Name","CC-AC-TC")</f>
        <v>1</v>
      </c>
      <c r="D25" s="165">
        <f>0</f>
        <v>0</v>
      </c>
      <c r="E25" s="165">
        <f>0</f>
        <v>0</v>
      </c>
      <c r="F25" s="165">
        <f>GETPIVOTDATA("Sum of Order Quantity",'May 2023'!P1140,"Line Item Name","CC-AC-TC")</f>
        <v>9</v>
      </c>
      <c r="G25" s="165">
        <f t="shared" si="44"/>
        <v>0</v>
      </c>
      <c r="H25" s="165">
        <f>GETPIVOTDATA("Sum of Order Quantity",'July 2023'!P1024,"Line Item Name","CC-AC-TC")</f>
        <v>1</v>
      </c>
      <c r="I25" s="165">
        <f>GETPIVOTDATA("Sum of Order Quantity",'August 2023'!P655,"Line Item Name","CC-AC-TC")</f>
        <v>1</v>
      </c>
      <c r="J25" s="165">
        <f>GETPIVOTDATA("Sum of Order Quantity",'September 2023'!P599,"Line Item Name","CC-AC-TC")</f>
        <v>1</v>
      </c>
      <c r="K25" s="165">
        <f>GETPIVOTDATA("Sum of Order Quantity",'October 2023'!P599,"Line Item Name","CC-AC-TC")</f>
        <v>1</v>
      </c>
      <c r="L25" s="165">
        <f>GETPIVOTDATA("Sum of Order Quantity",'November 2023'!P454,"Line Item Name","CC-AC-TC")</f>
        <v>1</v>
      </c>
      <c r="M25" s="165">
        <f t="shared" si="44"/>
        <v>0</v>
      </c>
      <c r="N25" s="167">
        <f>SUM(B25:M25)</f>
        <v>19</v>
      </c>
      <c r="O25" s="416"/>
    </row>
    <row r="26" ht="15.1" customHeight="1">
      <c r="A26" t="s" s="163">
        <v>3260</v>
      </c>
      <c r="B26" s="164">
        <v>0</v>
      </c>
      <c r="C26" s="165">
        <v>0</v>
      </c>
      <c r="D26" s="165">
        <v>0</v>
      </c>
      <c r="E26" s="165">
        <v>0</v>
      </c>
      <c r="F26" s="165">
        <v>0</v>
      </c>
      <c r="G26" s="165">
        <v>0</v>
      </c>
      <c r="H26" s="165">
        <v>0</v>
      </c>
      <c r="I26" s="165">
        <v>0</v>
      </c>
      <c r="J26" s="165">
        <v>0</v>
      </c>
      <c r="K26" s="165">
        <v>0</v>
      </c>
      <c r="L26" s="165">
        <v>0</v>
      </c>
      <c r="M26" s="165">
        <v>0</v>
      </c>
      <c r="N26" s="167">
        <v>0</v>
      </c>
      <c r="O26" s="416"/>
    </row>
    <row r="27" ht="15.1" customHeight="1">
      <c r="A27" t="s" s="163">
        <v>3261</v>
      </c>
      <c r="B27" s="164">
        <v>0</v>
      </c>
      <c r="C27" s="165">
        <v>0</v>
      </c>
      <c r="D27" s="165">
        <v>0</v>
      </c>
      <c r="E27" s="165">
        <v>0</v>
      </c>
      <c r="F27" s="165">
        <v>0</v>
      </c>
      <c r="G27" s="165">
        <v>0</v>
      </c>
      <c r="H27" s="165">
        <v>0</v>
      </c>
      <c r="I27" s="165">
        <v>0</v>
      </c>
      <c r="J27" s="165">
        <f>GETPIVOTDATA("Sum of Order Quantity",'September 2023'!P599,"Line Item Name","CC-RC-2430")</f>
        <v>4</v>
      </c>
      <c r="K27" s="165">
        <f>GETPIVOTDATA("Sum of Order Quantity",'October 2023'!P599,"Line Item Name","CC-RC-2430")</f>
        <v>6</v>
      </c>
      <c r="L27" s="165">
        <f>GETPIVOTDATA("Sum of Order Quantity",'November 2023'!P454,"Line Item Name","CC-RC-2430")</f>
        <v>5</v>
      </c>
      <c r="M27" s="165">
        <f>GETPIVOTDATA("Sum of Order Quantity",'Decemeber 2023'!P419,"Line Item Name","CC-RC-2430")</f>
        <v>4</v>
      </c>
      <c r="N27" s="167">
        <f>SUM(B27:M27)</f>
        <v>19</v>
      </c>
      <c r="O27" s="416"/>
    </row>
    <row r="28" ht="15.1" customHeight="1">
      <c r="A28" t="s" s="163">
        <v>3262</v>
      </c>
      <c r="B28" s="164">
        <v>0</v>
      </c>
      <c r="C28" s="165">
        <v>0</v>
      </c>
      <c r="D28" s="165">
        <v>0</v>
      </c>
      <c r="E28" s="165">
        <v>0</v>
      </c>
      <c r="F28" s="165">
        <v>0</v>
      </c>
      <c r="G28" s="165">
        <v>0</v>
      </c>
      <c r="H28" s="165">
        <v>0</v>
      </c>
      <c r="I28" s="418">
        <v>1</v>
      </c>
      <c r="J28" s="419">
        <f>GETPIVOTDATA("Sum of Order Quantity",'September 2023'!P599,"Line Item Name","CC-AC-LA2")</f>
        <v>23</v>
      </c>
      <c r="K28" s="165">
        <f>GETPIVOTDATA("Sum of Order Quantity",'October 2023'!P599,"Line Item Name","CC-AC-LA2")</f>
        <v>10</v>
      </c>
      <c r="L28" s="165">
        <f>GETPIVOTDATA("Sum of Order Quantity",'November 2023'!P454,"Line Item Name","CC-AC-LA2")</f>
        <v>8</v>
      </c>
      <c r="M28" s="165">
        <f>GETPIVOTDATA("Sum of Order Quantity",'Decemeber 2023'!P419,"Line Item Name","CC-AC-LA2")</f>
        <v>8</v>
      </c>
      <c r="N28" s="167">
        <f>SUM(B28:M28)</f>
        <v>50</v>
      </c>
      <c r="O28" s="416"/>
    </row>
    <row r="29" ht="15.1" customHeight="1">
      <c r="A29" t="s" s="163">
        <v>63</v>
      </c>
      <c r="B29" s="164">
        <f>SUM(GETPIVOTDATA("Sum of Order Quantity",'January 2023'!P912,"Line Item Name","Shipping Fees"),GETPIVOTDATA("Sum of Order Quantity",'January 2023'!P912,"Line Item Name","Shipping Charges"))</f>
        <v>15</v>
      </c>
      <c r="C29" s="165">
        <f>GETPIVOTDATA("Sum of Order Quantity",'February 2023'!P523,"Line Item Name","Shipping Fees")+GETPIVOTDATA("Sum of Order Quantity",'February 2023'!P523,"Line Item Name","Shipping Charges")</f>
        <v>22</v>
      </c>
      <c r="D29" s="165">
        <f>SUM(GETPIVOTDATA("Sum of Order Quantity",'March 2023'!P1251,"Line Item Name","Shipping Charges"),GETPIVOTDATA("Sum of Order Quantity",'March 2023'!P1251,"Line Item Name","Shipping Fees"))</f>
        <v>14</v>
      </c>
      <c r="E29" s="165">
        <f>GETPIVOTDATA("Sum of Order Quantity",'April 2023'!P436,"Line Item Name","Shipping Charges")</f>
        <v>11</v>
      </c>
      <c r="F29" s="165">
        <f>SUM(GETPIVOTDATA("Sum of Order Quantity",'May 2023'!P1140,"Line Item Name","Shipping Charges"),GETPIVOTDATA("Sum of Order Quantity",'May 2023'!P1140,"Line Item Name","Shipping Fees"))</f>
        <v>23</v>
      </c>
      <c r="G29" s="165">
        <f>SUM(GETPIVOTDATA("Sum of Order Quantity",'June 2023'!P500,"Line Item Name","Shipping Charges"),GETPIVOTDATA("Sum of Order Quantity",'June 2023'!P500,"Line Item Name","Shipping Fees"))</f>
        <v>23</v>
      </c>
      <c r="H29" s="165">
        <f>SUM(GETPIVOTDATA("Sum of Order Quantity",'July 2023'!P1024,"Line Item Name","Shipping Fees"),GETPIVOTDATA("Sum of Order Quantity",'July 2023'!P1024,"Line Item Name","Shipping Charges"))</f>
        <v>26</v>
      </c>
      <c r="I29" s="165">
        <f>SUM(GETPIVOTDATA("Sum of Order Quantity",'August 2023'!P655,"Line Item Name","Shipping Fees"),GETPIVOTDATA("Sum of Order Quantity",'August 2023'!P655,"Line Item Name","Shipping Charges"))</f>
        <v>33</v>
      </c>
      <c r="J29" s="165">
        <f>SUM(GETPIVOTDATA("Sum of Order Quantity",'September 2023'!P599,"Line Item Name","Shipping Fees"),GETPIVOTDATA("Sum of Order Quantity",'September 2023'!P599,"Line Item Name","Shipping Charges"))</f>
        <v>27</v>
      </c>
      <c r="K29" s="165">
        <f>SUM(GETPIVOTDATA("Sum of Order Quantity",'October 2023'!P599,"Line Item Name","Shipping Charges"),GETPIVOTDATA("Sum of Order Quantity",'October 2023'!P599,"Line Item Name","Shipping Fees"))</f>
        <v>20</v>
      </c>
      <c r="L29" s="165">
        <f>SUM(GETPIVOTDATA("Sum of Order Quantity",'November 2023'!P454,"Line Item Name","Shipping Fees"),GETPIVOTDATA("Sum of Order Quantity",'November 2023'!P454,"Line Item Name","Shipping Charges"))</f>
        <v>22</v>
      </c>
      <c r="M29" s="165">
        <f>SUM(GETPIVOTDATA("Sum of Order Quantity",'Decemeber 2023'!P419,"Line Item Name","Shipping Charges"),GETPIVOTDATA("Sum of Order Quantity",'Decemeber 2023'!P419,"Line Item Name","Shipping Fees"))</f>
        <v>22</v>
      </c>
      <c r="N29" s="167">
        <f>SUM(B29:M29)</f>
        <v>258</v>
      </c>
      <c r="O29" s="416"/>
    </row>
    <row r="30" ht="15.1" customHeight="1">
      <c r="A30" t="s" s="163">
        <v>3263</v>
      </c>
      <c r="B30" s="164">
        <v>0</v>
      </c>
      <c r="C30" s="165">
        <v>0</v>
      </c>
      <c r="D30" s="165">
        <v>0</v>
      </c>
      <c r="E30" s="165">
        <v>0</v>
      </c>
      <c r="F30" s="165">
        <v>0</v>
      </c>
      <c r="G30" s="165">
        <v>0</v>
      </c>
      <c r="H30" s="165">
        <v>0</v>
      </c>
      <c r="I30" s="165">
        <v>0</v>
      </c>
      <c r="J30" s="165">
        <f>GETPIVOTDATA("Sum of Order Quantity",'September 2023'!P599,"Line Item Name","CC-RC-2430-PJI")</f>
        <v>8</v>
      </c>
      <c r="K30" s="165">
        <f>GETPIVOTDATA("Sum of Order Quantity",'October 2023'!P599,"Line Item Name","CC-RC-2430-PJI")</f>
        <v>15</v>
      </c>
      <c r="L30" s="165">
        <f>GETPIVOTDATA("Sum of Order Quantity",'November 2023'!P454,"Line Item Name","CC-RC-2430-PJI")</f>
        <v>12</v>
      </c>
      <c r="M30" s="165">
        <f>GETPIVOTDATA("Sum of Order Quantity",'Decemeber 2023'!P419,"Line Item Name","CC-RC-2430-PJI")</f>
        <v>12</v>
      </c>
      <c r="N30" s="167">
        <f>SUM(B30:M30)</f>
        <v>47</v>
      </c>
      <c r="O30" s="416"/>
    </row>
    <row r="31" ht="15.1" customHeight="1">
      <c r="A31" t="s" s="163">
        <v>3264</v>
      </c>
      <c r="B31" s="164">
        <v>0</v>
      </c>
      <c r="C31" s="165">
        <v>0</v>
      </c>
      <c r="D31" s="165">
        <v>0</v>
      </c>
      <c r="E31" s="165">
        <v>0</v>
      </c>
      <c r="F31" s="165">
        <v>0</v>
      </c>
      <c r="G31" s="165">
        <v>0</v>
      </c>
      <c r="H31" s="165">
        <v>0</v>
      </c>
      <c r="I31" s="165">
        <v>0</v>
      </c>
      <c r="J31" s="165">
        <f>GETPIVOTDATA("Sum of Order Quantity",'September 2023'!P599,"Line Item Name","CC-RC-2430-LAI")</f>
        <v>4</v>
      </c>
      <c r="K31" s="165">
        <f>GETPIVOTDATA("Sum of Order Quantity",'October 2023'!P599,"Line Item Name","CC-RC-2430-LAI")</f>
        <v>3</v>
      </c>
      <c r="L31" s="165">
        <f>GETPIVOTDATA("Sum of Order Quantity",'November 2023'!P454,"Line Item Name","CC-RC-2430-LAI")</f>
        <v>3</v>
      </c>
      <c r="M31" s="165">
        <v>0</v>
      </c>
      <c r="N31" s="167">
        <f>SUM(B31:M31)</f>
        <v>10</v>
      </c>
      <c r="O31" s="416"/>
    </row>
    <row r="32" ht="15.1" customHeight="1">
      <c r="A32" t="s" s="163">
        <v>3265</v>
      </c>
      <c r="B32" s="164">
        <v>0</v>
      </c>
      <c r="C32" s="165">
        <v>0</v>
      </c>
      <c r="D32" s="165">
        <v>0</v>
      </c>
      <c r="E32" s="165">
        <v>0</v>
      </c>
      <c r="F32" s="165">
        <v>0</v>
      </c>
      <c r="G32" s="165">
        <v>0</v>
      </c>
      <c r="H32" s="165">
        <v>0</v>
      </c>
      <c r="I32" s="165">
        <v>0</v>
      </c>
      <c r="J32" s="165">
        <v>0</v>
      </c>
      <c r="K32" s="165">
        <v>0</v>
      </c>
      <c r="L32" s="165">
        <v>0</v>
      </c>
      <c r="M32" s="165">
        <v>0</v>
      </c>
      <c r="N32" s="167">
        <f>SUM(B32:M32)</f>
        <v>0</v>
      </c>
      <c r="O32" s="416"/>
    </row>
    <row r="33" ht="15.1" customHeight="1">
      <c r="A33" s="171"/>
      <c r="B33" s="172"/>
      <c r="C33" s="173"/>
      <c r="D33" s="173"/>
      <c r="E33" s="173"/>
      <c r="F33" t="s" s="174">
        <v>3266</v>
      </c>
      <c r="G33" s="16"/>
      <c r="H33" s="16"/>
      <c r="I33" s="16"/>
      <c r="J33" s="173"/>
      <c r="K33" s="173"/>
      <c r="L33" s="173"/>
      <c r="M33" s="173"/>
      <c r="N33" s="175"/>
      <c r="O33" s="420"/>
    </row>
    <row r="34" ht="15.1" customHeight="1">
      <c r="A34" s="177"/>
      <c r="B34" t="s" s="178">
        <v>3267</v>
      </c>
      <c r="C34" s="179"/>
      <c r="D34" s="180"/>
      <c r="E34" s="179"/>
      <c r="F34" s="166"/>
      <c r="G34" s="166"/>
      <c r="H34" s="166"/>
      <c r="I34" s="166"/>
      <c r="J34" s="166"/>
      <c r="K34" s="166"/>
      <c r="L34" s="166"/>
      <c r="M34" s="166"/>
      <c r="N34" s="181"/>
      <c r="O34" s="421"/>
    </row>
    <row r="35" ht="15.1" customHeight="1">
      <c r="A35" t="s" s="183">
        <v>3238</v>
      </c>
      <c r="B35" s="184"/>
      <c r="C35" s="185"/>
      <c r="D35" s="186"/>
      <c r="E35" s="187"/>
      <c r="F35" s="188"/>
      <c r="G35" s="189"/>
      <c r="H35" s="189"/>
      <c r="I35" s="189"/>
      <c r="J35" s="189"/>
      <c r="K35" s="189"/>
      <c r="L35" s="189"/>
      <c r="M35" s="189"/>
      <c r="N35" s="190"/>
      <c r="O35" s="195"/>
    </row>
    <row r="36" ht="15.1" customHeight="1">
      <c r="A36" t="s" s="183">
        <v>3239</v>
      </c>
      <c r="B36" s="184"/>
      <c r="C36" s="192"/>
      <c r="D36" s="186"/>
      <c r="E36" s="192"/>
      <c r="F36" s="193"/>
      <c r="G36" s="189"/>
      <c r="H36" s="189"/>
      <c r="I36" s="189"/>
      <c r="J36" s="189"/>
      <c r="K36" s="189"/>
      <c r="L36" s="189"/>
      <c r="M36" s="189"/>
      <c r="N36" s="190"/>
      <c r="O36" s="195"/>
    </row>
    <row r="37" ht="15.1" customHeight="1">
      <c r="A37" t="s" s="183">
        <v>3240</v>
      </c>
      <c r="B37" s="184">
        <f>N5/O5</f>
        <v>0.08735369683128751</v>
      </c>
      <c r="C37" s="192"/>
      <c r="D37" s="194"/>
      <c r="E37" s="192"/>
      <c r="F37" s="192"/>
      <c r="G37" s="195"/>
      <c r="H37" s="189"/>
      <c r="I37" s="189"/>
      <c r="J37" s="189"/>
      <c r="K37" s="189"/>
      <c r="L37" s="189"/>
      <c r="M37" s="189"/>
      <c r="N37" s="190"/>
      <c r="O37" s="195"/>
    </row>
    <row r="38" ht="15.1" customHeight="1">
      <c r="A38" t="s" s="183">
        <v>3241</v>
      </c>
      <c r="B38" s="184">
        <f>N6/O5</f>
        <v>0.0605195546674279</v>
      </c>
      <c r="C38" s="185"/>
      <c r="D38" s="196"/>
      <c r="E38" s="187"/>
      <c r="F38" s="197"/>
      <c r="G38" s="189"/>
      <c r="H38" s="189"/>
      <c r="I38" s="189"/>
      <c r="J38" s="189"/>
      <c r="K38" s="189"/>
      <c r="L38" s="189"/>
      <c r="M38" s="189"/>
      <c r="N38" s="190"/>
      <c r="O38" s="195"/>
    </row>
    <row r="39" ht="15.1" customHeight="1">
      <c r="A39" t="s" s="183">
        <v>3242</v>
      </c>
      <c r="B39" s="198">
        <f>N7/O5</f>
        <v>0.0442477876106195</v>
      </c>
      <c r="C39" s="192"/>
      <c r="D39" s="196"/>
      <c r="E39" s="192"/>
      <c r="F39" s="193"/>
      <c r="G39" s="189"/>
      <c r="H39" s="189"/>
      <c r="I39" s="189"/>
      <c r="J39" s="189"/>
      <c r="K39" s="189"/>
      <c r="L39" s="189"/>
      <c r="M39" s="189"/>
      <c r="N39" s="190"/>
      <c r="O39" s="195"/>
    </row>
    <row r="40" ht="15.1" customHeight="1">
      <c r="A40" t="s" s="183">
        <v>3243</v>
      </c>
      <c r="B40" s="199"/>
      <c r="C40" s="192"/>
      <c r="D40" s="196"/>
      <c r="E40" s="192"/>
      <c r="F40" s="192"/>
      <c r="G40" s="195"/>
      <c r="H40" s="189"/>
      <c r="I40" s="189"/>
      <c r="J40" s="189"/>
      <c r="K40" s="189"/>
      <c r="L40" s="189"/>
      <c r="M40" s="189"/>
      <c r="N40" s="190"/>
      <c r="O40" s="195"/>
    </row>
    <row r="41" ht="15.1" customHeight="1">
      <c r="A41" t="s" s="183">
        <v>3244</v>
      </c>
      <c r="B41" s="199">
        <f>N9/O5</f>
        <v>0.0285469597487868</v>
      </c>
      <c r="C41" s="185"/>
      <c r="D41" s="196"/>
      <c r="E41" s="187"/>
      <c r="F41" s="200"/>
      <c r="G41" s="195"/>
      <c r="H41" s="189"/>
      <c r="I41" s="189"/>
      <c r="J41" s="189"/>
      <c r="K41" s="189"/>
      <c r="L41" s="189"/>
      <c r="M41" s="189"/>
      <c r="N41" s="190"/>
      <c r="O41" s="195"/>
    </row>
    <row r="42" ht="15.1" customHeight="1">
      <c r="A42" t="s" s="183">
        <v>3245</v>
      </c>
      <c r="B42" s="199">
        <f>N10/O5</f>
        <v>0.24636026263203</v>
      </c>
      <c r="C42" s="185"/>
      <c r="D42" s="196"/>
      <c r="E42" s="187"/>
      <c r="F42" s="200"/>
      <c r="G42" s="195"/>
      <c r="H42" s="189"/>
      <c r="I42" s="189"/>
      <c r="J42" s="189"/>
      <c r="K42" s="189"/>
      <c r="L42" s="189"/>
      <c r="M42" s="189"/>
      <c r="N42" s="190"/>
      <c r="O42" s="195"/>
    </row>
    <row r="43" ht="15.1" customHeight="1">
      <c r="A43" t="s" s="183">
        <v>3246</v>
      </c>
      <c r="B43" s="201">
        <f>N11/O5</f>
        <v>0.266914073651156</v>
      </c>
      <c r="C43" s="185"/>
      <c r="D43" s="202"/>
      <c r="E43" s="187"/>
      <c r="F43" s="203"/>
      <c r="G43" s="195"/>
      <c r="H43" s="189"/>
      <c r="I43" s="189"/>
      <c r="J43" s="189"/>
      <c r="K43" s="189"/>
      <c r="L43" s="189"/>
      <c r="M43" s="189"/>
      <c r="N43" s="190"/>
      <c r="O43" s="195"/>
    </row>
    <row r="44" ht="15.1" customHeight="1">
      <c r="A44" t="s" s="204">
        <v>3247</v>
      </c>
      <c r="B44" s="184">
        <f>N12/O5</f>
        <v>0.0185555238367114</v>
      </c>
      <c r="C44" s="192"/>
      <c r="D44" s="194"/>
      <c r="E44" s="192"/>
      <c r="F44" s="205"/>
      <c r="G44" s="195"/>
      <c r="H44" s="189"/>
      <c r="I44" s="189"/>
      <c r="J44" s="189"/>
      <c r="K44" s="189"/>
      <c r="L44" s="189"/>
      <c r="M44" s="189"/>
      <c r="N44" s="190"/>
      <c r="O44" s="195"/>
    </row>
    <row r="45" ht="15.1" customHeight="1">
      <c r="A45" t="s" s="206">
        <v>3248</v>
      </c>
      <c r="B45" s="184">
        <f>N13/O5</f>
        <v>0.00285469597487868</v>
      </c>
      <c r="C45" s="192"/>
      <c r="D45" s="196"/>
      <c r="E45" s="192"/>
      <c r="F45" s="192"/>
      <c r="G45" s="195"/>
      <c r="H45" s="189"/>
      <c r="I45" s="189"/>
      <c r="J45" s="189"/>
      <c r="K45" s="189"/>
      <c r="L45" s="189"/>
      <c r="M45" s="189"/>
      <c r="N45" s="190"/>
      <c r="O45" s="195"/>
    </row>
    <row r="46" ht="15.1" customHeight="1">
      <c r="A46" t="s" s="207">
        <v>3249</v>
      </c>
      <c r="B46" s="184">
        <f>N14/O5</f>
        <v>0.111904082215244</v>
      </c>
      <c r="C46" s="185"/>
      <c r="D46" s="196"/>
      <c r="E46" s="187"/>
      <c r="F46" s="200"/>
      <c r="G46" s="195"/>
      <c r="H46" s="189"/>
      <c r="I46" s="189"/>
      <c r="J46" s="189"/>
      <c r="K46" s="189"/>
      <c r="L46" s="189"/>
      <c r="M46" s="189"/>
      <c r="N46" s="190"/>
      <c r="O46" s="195"/>
    </row>
    <row r="47" ht="15.1" customHeight="1">
      <c r="A47" t="s" s="183">
        <v>3250</v>
      </c>
      <c r="B47" s="184">
        <f>N15/O5</f>
        <v>0.0262632029688838</v>
      </c>
      <c r="C47" s="192"/>
      <c r="D47" s="196"/>
      <c r="E47" s="192"/>
      <c r="F47" s="208"/>
      <c r="G47" s="189"/>
      <c r="H47" s="189"/>
      <c r="I47" s="189"/>
      <c r="J47" s="189"/>
      <c r="K47" s="189"/>
      <c r="L47" s="189"/>
      <c r="M47" s="189"/>
      <c r="N47" s="190"/>
      <c r="O47" s="195"/>
    </row>
    <row r="48" ht="15.1" customHeight="1">
      <c r="A48" t="s" s="183">
        <v>3251</v>
      </c>
      <c r="B48" s="184">
        <f>N16/O5</f>
        <v>0.106480159862975</v>
      </c>
      <c r="C48" s="192"/>
      <c r="D48" s="196"/>
      <c r="E48" s="192"/>
      <c r="F48" s="193"/>
      <c r="G48" s="189"/>
      <c r="H48" s="189"/>
      <c r="I48" s="189"/>
      <c r="J48" s="189"/>
      <c r="K48" s="189"/>
      <c r="L48" s="189"/>
      <c r="M48" s="189"/>
      <c r="N48" s="190"/>
      <c r="O48" s="195"/>
    </row>
    <row r="49" ht="15.1" customHeight="1">
      <c r="A49" t="s" s="183">
        <v>3252</v>
      </c>
      <c r="B49" s="198"/>
      <c r="C49" s="192"/>
      <c r="D49" s="202"/>
      <c r="E49" s="192"/>
      <c r="F49" s="192"/>
      <c r="G49" s="195"/>
      <c r="H49" s="189"/>
      <c r="I49" s="189"/>
      <c r="J49" s="189"/>
      <c r="K49" s="189"/>
      <c r="L49" s="189"/>
      <c r="M49" s="189"/>
      <c r="N49" s="190"/>
      <c r="O49" s="195"/>
    </row>
    <row r="50" ht="15.1" customHeight="1">
      <c r="A50" t="s" s="183">
        <v>3253</v>
      </c>
      <c r="B50" s="199"/>
      <c r="C50" s="192"/>
      <c r="D50" s="194"/>
      <c r="E50" s="192"/>
      <c r="F50" s="192"/>
      <c r="G50" s="195"/>
      <c r="H50" s="189"/>
      <c r="I50" s="189"/>
      <c r="J50" s="189"/>
      <c r="K50" s="189"/>
      <c r="L50" s="189"/>
      <c r="M50" s="189"/>
      <c r="N50" s="190"/>
      <c r="O50" s="195"/>
    </row>
    <row r="51" ht="15.1" customHeight="1">
      <c r="A51" t="s" s="183">
        <v>3269</v>
      </c>
      <c r="B51" s="199"/>
      <c r="C51" s="209"/>
      <c r="D51" s="196"/>
      <c r="E51" s="210"/>
      <c r="F51" s="200"/>
      <c r="G51" s="195"/>
      <c r="H51" s="189"/>
      <c r="I51" s="189"/>
      <c r="J51" s="189"/>
      <c r="K51" s="189"/>
      <c r="L51" s="189"/>
      <c r="M51" s="189"/>
      <c r="N51" s="190"/>
      <c r="O51" s="195"/>
    </row>
    <row r="52" ht="15.1" customHeight="1">
      <c r="A52" t="s" s="183">
        <v>3255</v>
      </c>
      <c r="B52" s="199"/>
      <c r="C52" s="170"/>
      <c r="D52" s="196"/>
      <c r="E52" s="170"/>
      <c r="F52" s="192"/>
      <c r="G52" s="195"/>
      <c r="H52" s="189"/>
      <c r="I52" s="189"/>
      <c r="J52" s="189"/>
      <c r="K52" s="189"/>
      <c r="L52" s="189"/>
      <c r="M52" s="189"/>
      <c r="N52" s="190"/>
      <c r="O52" s="195"/>
    </row>
    <row r="53" ht="15.1" customHeight="1">
      <c r="A53" t="s" s="183">
        <v>3257</v>
      </c>
      <c r="B53" s="199"/>
      <c r="C53" s="205"/>
      <c r="D53" s="196"/>
      <c r="E53" s="205"/>
      <c r="F53" s="192"/>
      <c r="G53" s="195"/>
      <c r="H53" s="189"/>
      <c r="I53" s="189"/>
      <c r="J53" s="189"/>
      <c r="K53" s="189"/>
      <c r="L53" s="189"/>
      <c r="M53" s="189"/>
      <c r="N53" s="190"/>
      <c r="O53" s="195"/>
    </row>
    <row r="54" ht="15.1" customHeight="1">
      <c r="A54" t="s" s="183">
        <v>3258</v>
      </c>
      <c r="B54" s="201">
        <f>N23/O23</f>
        <v>0.572744014732965</v>
      </c>
      <c r="C54" s="185"/>
      <c r="D54" s="196"/>
      <c r="E54" s="187"/>
      <c r="F54" s="200"/>
      <c r="G54" s="195"/>
      <c r="H54" s="189"/>
      <c r="I54" s="189"/>
      <c r="J54" s="189"/>
      <c r="K54" s="189"/>
      <c r="L54" s="189"/>
      <c r="M54" s="189"/>
      <c r="N54" s="190"/>
      <c r="O54" s="195"/>
    </row>
    <row r="55" ht="15.1" customHeight="1">
      <c r="A55" t="s" s="204">
        <v>3259</v>
      </c>
      <c r="B55" s="184">
        <f>N24/O23</f>
        <v>0.427255985267035</v>
      </c>
      <c r="C55" s="192"/>
      <c r="D55" s="202"/>
      <c r="E55" s="192"/>
      <c r="F55" s="208"/>
      <c r="G55" s="189"/>
      <c r="H55" s="189"/>
      <c r="I55" s="189"/>
      <c r="J55" s="189"/>
      <c r="K55" s="189"/>
      <c r="L55" s="189"/>
      <c r="M55" s="189"/>
      <c r="N55" s="190"/>
      <c r="O55" s="195"/>
    </row>
    <row r="56" ht="15.1" customHeight="1">
      <c r="A56" t="s" s="206">
        <v>346</v>
      </c>
      <c r="B56" s="184"/>
      <c r="C56" s="192"/>
      <c r="D56" s="186"/>
      <c r="E56" s="192"/>
      <c r="F56" s="211"/>
      <c r="G56" s="189"/>
      <c r="H56" s="189"/>
      <c r="I56" s="189"/>
      <c r="J56" s="189"/>
      <c r="K56" s="189"/>
      <c r="L56" s="189"/>
      <c r="M56" s="189"/>
      <c r="N56" s="190"/>
      <c r="O56" s="195"/>
    </row>
    <row r="57" ht="15.1" customHeight="1">
      <c r="A57" t="s" s="206">
        <v>3261</v>
      </c>
      <c r="B57" s="184"/>
      <c r="C57" s="192"/>
      <c r="D57" s="186"/>
      <c r="E57" s="192"/>
      <c r="F57" s="211"/>
      <c r="G57" s="189"/>
      <c r="H57" s="189"/>
      <c r="I57" s="189"/>
      <c r="J57" s="189"/>
      <c r="K57" s="189"/>
      <c r="L57" s="189"/>
      <c r="M57" s="189"/>
      <c r="N57" s="190"/>
      <c r="O57" s="195"/>
    </row>
    <row r="58" ht="15.1" customHeight="1">
      <c r="A58" t="s" s="206">
        <v>3262</v>
      </c>
      <c r="B58" s="184"/>
      <c r="C58" s="192"/>
      <c r="D58" s="186"/>
      <c r="E58" s="192"/>
      <c r="F58" s="211"/>
      <c r="G58" s="189"/>
      <c r="H58" s="189"/>
      <c r="I58" s="189"/>
      <c r="J58" s="189"/>
      <c r="K58" s="189"/>
      <c r="L58" s="189"/>
      <c r="M58" s="189"/>
      <c r="N58" s="190"/>
      <c r="O58" s="195"/>
    </row>
    <row r="59" ht="17.25" customHeight="1">
      <c r="A59" s="212"/>
      <c r="B59" s="213"/>
      <c r="C59" s="214"/>
      <c r="D59" s="215"/>
      <c r="E59" s="214"/>
      <c r="F59" t="s" s="216">
        <v>3270</v>
      </c>
      <c r="G59" s="16"/>
      <c r="H59" s="16"/>
      <c r="I59" s="16"/>
      <c r="J59" s="215"/>
      <c r="K59" s="215"/>
      <c r="L59" s="215"/>
      <c r="M59" s="215"/>
      <c r="N59" s="217"/>
      <c r="O59" s="422"/>
    </row>
    <row r="60" ht="15.1" customHeight="1">
      <c r="A60" s="219"/>
      <c r="B60" s="220">
        <v>45292</v>
      </c>
      <c r="C60" s="221">
        <v>45323</v>
      </c>
      <c r="D60" s="221">
        <v>45352</v>
      </c>
      <c r="E60" s="221">
        <v>45383</v>
      </c>
      <c r="F60" s="221">
        <v>45413</v>
      </c>
      <c r="G60" s="221">
        <v>45444</v>
      </c>
      <c r="H60" s="221">
        <v>45474</v>
      </c>
      <c r="I60" s="221">
        <v>45505</v>
      </c>
      <c r="J60" s="221">
        <v>45536</v>
      </c>
      <c r="K60" s="221">
        <v>45566</v>
      </c>
      <c r="L60" s="221">
        <v>45597</v>
      </c>
      <c r="M60" s="221">
        <v>45627</v>
      </c>
      <c r="N60" t="s" s="222">
        <v>3237</v>
      </c>
      <c r="O60" s="423"/>
    </row>
    <row r="61" ht="15.1" customHeight="1">
      <c r="A61" t="s" s="163">
        <v>3238</v>
      </c>
      <c r="B61" s="224">
        <f>GETPIVOTDATA("Sum of Total Line Item $",'January 2023'!R983,"Line Item Name","CC-AC-CCL")</f>
        <v>3263.728</v>
      </c>
      <c r="C61" s="225">
        <f>GETPIVOTDATA("Sum of Total Line Item $",'February 2023'!R610,"Line Item Name","CC-AC-CCL")</f>
        <v>4919.59</v>
      </c>
      <c r="D61" s="225">
        <f>GETPIVOTDATA("Sum of Total Line Item $",'March 2023'!R1329,"Line Item Name","CC-AC-CCL")</f>
        <v>7739.355</v>
      </c>
      <c r="E61" s="225">
        <f>GETPIVOTDATA("Sum of Total Line Item $",'April 2023'!R506,"Line Item Name","CC-AC-CCL")</f>
        <v>4559.605</v>
      </c>
      <c r="F61" s="225">
        <f>GETPIVOTDATA("Sum of Total Line Item $",'May 2023'!R1236,"Line Item Name","CC-AC-CCL")</f>
        <v>4409.6325</v>
      </c>
      <c r="G61" s="225">
        <f>GETPIVOTDATA("Sum of Total Line Item $",'June 2023'!R608,"Line Item Name","CC-AC-CCL")</f>
        <v>4649.6125</v>
      </c>
      <c r="H61" s="225">
        <f>GETPIVOTDATA("Sum of Total Line Item $",'July 2023'!R1133,"Line Item Name","CC-AC-CCL")</f>
        <v>2639.78</v>
      </c>
      <c r="I61" s="225">
        <f>GETPIVOTDATA("Sum of Total Line Item $",'August 2023'!R760,"Line Item Name","CC-AC-CCL")</f>
        <v>7103.408</v>
      </c>
      <c r="J61" s="225">
        <f>GETPIVOTDATA("Sum of Total Line Item $",'September 2023'!R716,"Line Item Name","CC-AC-CCL")</f>
        <v>4473.38</v>
      </c>
      <c r="K61" s="225">
        <f>GETPIVOTDATA("Sum of Total Line Item $",'October 2023'!R708,"Line Item Name","CC-AC-CCL")</f>
        <v>8549.2875</v>
      </c>
      <c r="L61" s="225">
        <f>GETPIVOTDATA("Sum of Total Line Item $",'November 2023'!R549,"Line Item Name","CC-AC-CCL")</f>
        <v>3059.745</v>
      </c>
      <c r="M61" s="225">
        <f>GETPIVOTDATA("Sum of Total Line Item $",'Decemeber 2023'!R527,"Line Item Name","CC-AC-CCL")</f>
        <v>5279.56</v>
      </c>
      <c r="N61" s="226">
        <f>SUM(B61:M61)</f>
        <v>60646.6835</v>
      </c>
      <c r="O61" s="424"/>
    </row>
    <row r="62" ht="15.1" customHeight="1">
      <c r="A62" t="s" s="163">
        <v>3239</v>
      </c>
      <c r="B62" s="224">
        <f>GETPIVOTDATA("Sum of Total Line Item $",'January 2023'!R983,"Line Item Name","CC-AC-CTS")</f>
        <v>549.89</v>
      </c>
      <c r="C62" s="225">
        <f>GETPIVOTDATA("Sum of Total Line Item $",'February 2023'!R610,"Line Item Name","CC-AC-CTS")</f>
        <v>1087.2825</v>
      </c>
      <c r="D62" s="225">
        <f>GETPIVOTDATA("Sum of Total Line Item $",'March 2023'!R1329,"Line Item Name","CC-AC-CTS")</f>
        <v>1724.655</v>
      </c>
      <c r="E62" s="225">
        <f>GETPIVOTDATA("Sum of Total Line Item $",'April 2023'!R506,"Line Item Name","CC-AC-CTS")</f>
        <v>499.9</v>
      </c>
      <c r="F62" s="225">
        <f>GETPIVOTDATA("Sum of Total Line Item $",'May 2023'!R1236,"Line Item Name","CC-AC-CTS")</f>
        <v>599.88</v>
      </c>
      <c r="G62" s="225">
        <f>GETPIVOTDATA("Sum of Total Line Item $",'June 2023'!R608,"Line Item Name","CC-AC-CTS")</f>
        <v>749.85</v>
      </c>
      <c r="H62" s="225">
        <f>GETPIVOTDATA("Sum of Total Line Item $",'July 2023'!R1133,"Line Item Name","CC-AC-CTS")</f>
        <v>349.93</v>
      </c>
      <c r="I62" s="225">
        <f>GETPIVOTDATA("Sum of Total Line Item $",'August 2023'!R760,"Line Item Name","CC-AC-CTS")</f>
        <v>1949.61</v>
      </c>
      <c r="J62" s="225">
        <f>GETPIVOTDATA("Sum of Total Line Item $",'September 2023'!R716,"Line Item Name","CC-AC-CTS")</f>
        <v>624.875</v>
      </c>
      <c r="K62" s="225">
        <f>GETPIVOTDATA("Sum of Total Line Item $",'October 2023'!R708,"Line Item Name","CC-AC-CTS")</f>
        <v>899.8200000000001</v>
      </c>
      <c r="L62" s="225">
        <f>GETPIVOTDATA("Sum of Total Line Item $",'November 2023'!R549,"Line Item Name","CC-AC-CTS")</f>
        <v>299.94</v>
      </c>
      <c r="M62" s="225">
        <f>GETPIVOTDATA("Sum of Total Line Item $",'Decemeber 2023'!R527,"Line Item Name","CC-AC-CTS")</f>
        <v>349.93</v>
      </c>
      <c r="N62" s="226">
        <f>SUM(B62:M62)</f>
        <v>9685.5625</v>
      </c>
      <c r="O62" s="424"/>
    </row>
    <row r="63" ht="15.1" customHeight="1">
      <c r="A63" t="s" s="163">
        <v>3240</v>
      </c>
      <c r="B63" s="228">
        <f>GETPIVOTDATA("Sum of Total Line Item $",'January 2023'!R983,"Line Item Name","CC-F-DCHA")</f>
        <v>269.91</v>
      </c>
      <c r="C63" s="225">
        <f>GETPIVOTDATA("Sum of Total Line Item $",'February 2023'!R610,"Line Item Name","CC-F-DCHA")</f>
        <v>29.99</v>
      </c>
      <c r="D63" s="225">
        <f>GETPIVOTDATA("Sum of Total Line Item $",'March 2023'!R1329,"Line Item Name","CC-F-DCHA")</f>
        <v>434.855</v>
      </c>
      <c r="E63" s="225">
        <f>GETPIVOTDATA("Sum of Total Line Item $",'April 2023'!R506,"Line Item Name","CC-F-DCHA")</f>
        <v>479.84</v>
      </c>
      <c r="F63" s="225">
        <f>GETPIVOTDATA("Sum of Total Line Item $",'May 2023'!R1236,"Line Item Name","CC-F-DCHA-PYROTEK")</f>
        <v>359.88</v>
      </c>
      <c r="G63" s="225">
        <f>GETPIVOTDATA("Sum of Total Line Item $",'June 2023'!R608,"Line Item Name","CC-F-DCHA")</f>
        <v>59.98</v>
      </c>
      <c r="H63" s="225">
        <f>GETPIVOTDATA("Sum of Total Line Item $",'July 2023'!R1133,"Line Item Name","CC-F-DCHA")+GETPIVOTDATA("Sum of Total Line Item $",'July 2023'!R1133,"Line Item Name","CC-F-DCHA-PYROTEK")</f>
        <v>1911.8625</v>
      </c>
      <c r="I63" s="225">
        <f>GETPIVOTDATA("Sum of Total Line Item $",'August 2023'!R760,"Line Item Name","CC-F-DCHA")</f>
        <v>142.4525</v>
      </c>
      <c r="J63" s="225">
        <f>GETPIVOTDATA("Sum of Total Line Item $",'September 2023'!R716,"Line Item Name","CC-F-DCHA")</f>
        <v>1327.0575</v>
      </c>
      <c r="K63" s="225">
        <f>GETPIVOTDATA("Sum of Total Line Item $",'October 2023'!R708,"Line Item Name","CC-F-DCHA")</f>
        <v>1139.62</v>
      </c>
      <c r="L63" s="225">
        <f>GETPIVOTDATA("Sum of Total Line Item $",'November 2023'!R549,"Line Item Name","CC-F-DCHA")</f>
        <v>682.2725</v>
      </c>
      <c r="M63" s="225">
        <f>GETPIVOTDATA("Sum of Total Line Item $",'Decemeber 2023'!R527,"Line Item Name","CC-F-DCHA")</f>
        <v>209.93</v>
      </c>
      <c r="N63" s="226">
        <f>SUM(B63:M63)</f>
        <v>7047.65</v>
      </c>
      <c r="O63" s="424"/>
    </row>
    <row r="64" ht="15.1" customHeight="1">
      <c r="A64" t="s" s="163">
        <v>3241</v>
      </c>
      <c r="B64" s="224">
        <f>GETPIVOTDATA("Sum of Total Line Item $",'January 2023'!R983,"Line Item Name","CC-F-HEA")</f>
        <v>189.905</v>
      </c>
      <c r="C64" s="225">
        <f>GETPIVOTDATA("Sum of Total Line Item $",'February 2023'!R610,"Line Item Name","CC-F-HEA")</f>
        <v>339.83</v>
      </c>
      <c r="D64" s="225">
        <f>GETPIVOTDATA("Sum of Total Line Item $",'March 2023'!R1329,"Line Item Name","CC-F-HEA")</f>
        <v>479.76</v>
      </c>
      <c r="E64" s="225">
        <f>GETPIVOTDATA("Sum of Total Line Item $",'April 2023'!R506,"Line Item Name","CC-F-HEA")</f>
        <v>299.88</v>
      </c>
      <c r="F64" s="225">
        <f t="shared" si="366" ref="F64:L73">0</f>
        <v>0</v>
      </c>
      <c r="G64" s="225">
        <f>GETPIVOTDATA("Sum of Total Line Item $",'June 2023'!R608,"Line Item Name","CC-F-HEA")</f>
        <v>99.95</v>
      </c>
      <c r="H64" s="225">
        <f>GETPIVOTDATA("Sum of Total Line Item $",'July 2023'!R1133,"Line Item Name","CC-F-HEA-F")</f>
        <v>93.71250000000001</v>
      </c>
      <c r="I64" s="225">
        <f>GETPIVOTDATA("Sum of Total Line Item $",'August 2023'!R760,"Line Item Name","CC-F-HEA")</f>
        <v>389.805</v>
      </c>
      <c r="J64" s="225">
        <f>GETPIVOTDATA("Sum of Total Line Item $",'September 2023'!R716,"Line Item Name","CC-F-HEA")</f>
        <v>754.6224999999999</v>
      </c>
      <c r="K64" s="225">
        <f>GETPIVOTDATA("Sum of Total Line Item $",'October 2023'!R708,"Line Item Name","CC-F-HEA")</f>
        <v>589.705</v>
      </c>
      <c r="L64" s="225">
        <f>GETPIVOTDATA("Sum of Total Line Item $",'November 2023'!R549,"Line Item Name","CC-F-HEA")</f>
        <v>364.8175</v>
      </c>
      <c r="M64" s="225">
        <f>GETPIVOTDATA("Sum of Total Line Item $",'Decemeber 2023'!R527,"Line Item Name","CC-F-HEA")</f>
        <v>139.93</v>
      </c>
      <c r="N64" s="226">
        <f>SUM(B64:M64)</f>
        <v>3741.9175</v>
      </c>
      <c r="O64" s="424"/>
    </row>
    <row r="65" ht="15.1" customHeight="1">
      <c r="A65" t="s" s="163">
        <v>3242</v>
      </c>
      <c r="B65" s="224">
        <f>0</f>
        <v>0</v>
      </c>
      <c r="C65" s="225">
        <f>GETPIVOTDATA("Sum of Total Line Item $",'February 2023'!R610,"Line Item Name","CC-AC-RAA")</f>
        <v>1249.75</v>
      </c>
      <c r="D65" s="225">
        <f>GETPIVOTDATA("Sum of Total Line Item $",'March 2023'!R1329,"Line Item Name","CC-AC-RAA")</f>
        <v>1149.77</v>
      </c>
      <c r="E65" s="225">
        <f>GETPIVOTDATA("Sum of Total Line Item $",'April 2023'!R506,"Line Item Name","CC-AC-RAA")</f>
        <v>199.96</v>
      </c>
      <c r="F65" s="225">
        <v>0</v>
      </c>
      <c r="G65" s="225">
        <f>GETPIVOTDATA("Sum of Total Line Item $",'June 2023'!R608,"Line Item Name","CC-AC-RAA")</f>
        <v>1174.765</v>
      </c>
      <c r="H65" s="225">
        <f>GETPIVOTDATA("Sum of Total Line Item $",'July 2023'!R1133,"Line Item Name","CC-AC-RAA")</f>
        <v>696.74</v>
      </c>
      <c r="I65" s="225">
        <f>GETPIVOTDATA("Sum of Total Line Item $",'August 2023'!R760,"Line Item Name","CC-AC-RAA")</f>
        <v>649.87</v>
      </c>
      <c r="J65" s="225">
        <f>GETPIVOTDATA("Sum of Total Line Item $",'September 2023'!R716,"Line Item Name","CC-AC-RAA")</f>
        <v>199.96</v>
      </c>
      <c r="K65" s="225">
        <f>GETPIVOTDATA("Sum of Total Line Item $",'October 2023'!R708,"Line Item Name","CC-AC-RAA")</f>
        <v>637.3724999999999</v>
      </c>
      <c r="L65" s="225">
        <f>GETPIVOTDATA("Sum of Total Line Item $",'November 2023'!R549,"Line Item Name","CC-AC-RAA")</f>
        <v>299.94</v>
      </c>
      <c r="M65" s="225">
        <v>0</v>
      </c>
      <c r="N65" s="226">
        <f>SUM(B65:M65)</f>
        <v>6258.1275</v>
      </c>
      <c r="O65" s="424"/>
    </row>
    <row r="66" ht="15.1" customHeight="1">
      <c r="A66" t="s" s="163">
        <v>3243</v>
      </c>
      <c r="B66" s="224">
        <f>GETPIVOTDATA("Sum of Total Line Item $",'January 2023'!R983,"Line Item Name","CC-AC-4PM")</f>
        <v>1799.9</v>
      </c>
      <c r="C66" s="225">
        <f>GETPIVOTDATA("Sum of Total Line Item $",'February 2023'!R610,"Line Item Name","CC-AC-4PM")</f>
        <v>3689.795</v>
      </c>
      <c r="D66" s="225">
        <f>GETPIVOTDATA("Sum of Total Line Item $",'March 2023'!R1329,"Line Item Name","CC-AC-4PM")</f>
        <v>2429.865</v>
      </c>
      <c r="E66" s="225">
        <f>GETPIVOTDATA("Sum of Total Line Item $",'April 2023'!R506,"Line Item Name","CC-AC-4PM")</f>
        <v>1259.93</v>
      </c>
      <c r="F66" s="225">
        <f>GETPIVOTDATA("Sum of Total Line Item $",'May 2023'!R1236,"Line Item Name","CC-AC-4PM")</f>
        <v>449.975</v>
      </c>
      <c r="G66" s="225">
        <f>GETPIVOTDATA("Sum of Total Line Item $",'June 2023'!R608,"Line Item Name","CC-AC-4PM")</f>
        <v>1394.9225</v>
      </c>
      <c r="H66" s="225">
        <f t="shared" si="366"/>
        <v>0</v>
      </c>
      <c r="I66" s="225">
        <f>GETPIVOTDATA("Sum of Total Line Item $",'August 2023'!R760,"Line Item Name","CC-AC-4PM-QC")+GETPIVOTDATA("Sum of Total Line Item $",'August 2023'!R760,"Line Item Name","CC-AC-4PM")</f>
        <v>1492.4375</v>
      </c>
      <c r="J66" s="225">
        <f>GETPIVOTDATA("Sum of Total Line Item $",'September 2023'!R716,"Line Item Name","CC-AC-4PM")</f>
        <v>1259.93</v>
      </c>
      <c r="K66" s="225">
        <f>GETPIVOTDATA("Sum of Total Line Item $",'October 2023'!R708,"Line Item Name","CC-AC-4PM")</f>
        <v>3914.7825</v>
      </c>
      <c r="L66" s="225">
        <f>GETPIVOTDATA("Sum of Total Line Item $",'November 2023'!R549,"Line Item Name","CC-AC-4PM")</f>
        <v>1079.94</v>
      </c>
      <c r="M66" s="225">
        <f>GETPIVOTDATA("Sum of Total Line Item $",'Decemeber 2023'!R527,"Line Item Name","CC-AC-4PM")</f>
        <v>6296.53</v>
      </c>
      <c r="N66" s="226">
        <f>SUM(B66:M66)</f>
        <v>25068.0075</v>
      </c>
      <c r="O66" s="424"/>
    </row>
    <row r="67" ht="15.1" customHeight="1">
      <c r="A67" t="s" s="163">
        <v>3244</v>
      </c>
      <c r="B67" s="224">
        <f>GETPIVOTDATA("Sum of Total Line Item $",'January 2023'!R983,"Line Item Name","CC-F-MFDCGAJIC")</f>
        <v>79.95999999999999</v>
      </c>
      <c r="C67" s="225">
        <f>GETPIVOTDATA("Sum of Total Line Item $",'February 2023'!R610,"Line Item Name","CC-F-MFDCGAJIC")</f>
        <v>39.98</v>
      </c>
      <c r="D67" s="225">
        <f>GETPIVOTDATA("Sum of Total Line Item $",'March 2023'!R1329,"Line Item Name","CC-F-MFDCGAJIC")</f>
        <v>199.9</v>
      </c>
      <c r="E67" s="225">
        <f>GETPIVOTDATA("Sum of Total Line Item $",'April 2023'!R506,"Line Item Name","CC-F-MFDCGAJIC")</f>
        <v>59.97</v>
      </c>
      <c r="F67" s="225">
        <f>GETPIVOTDATA("Sum of Total Line Item $",'May 2023'!R1236,"Line Item Name","CC-F-MFDCGAJIC")</f>
        <v>29.985</v>
      </c>
      <c r="G67" s="225">
        <f>GETPIVOTDATA("Sum of Total Line Item $",'June 2023'!R608,"Line Item Name","CC-F-MFDCGAJIC")</f>
        <v>239.88</v>
      </c>
      <c r="H67" s="225">
        <f>GETPIVOTDATA("Sum of Total Line Item $",'July 2023'!R1133,"Line Item Name","CC-F-MFDCGAJIC")</f>
        <v>19.99</v>
      </c>
      <c r="I67" s="225">
        <f>GETPIVOTDATA("Sum of Total Line Item $",'August 2023'!R760,"Line Item Name","CC-F-MFDCGAJIC")</f>
        <v>99.95</v>
      </c>
      <c r="J67" s="225">
        <v>0</v>
      </c>
      <c r="K67" s="225">
        <f>GETPIVOTDATA("Sum of Total Line Item $",'October 2023'!R708,"Line Item Name","CC-F-MFDCGAJIC")</f>
        <v>179.91</v>
      </c>
      <c r="L67" s="225">
        <f>GETPIVOTDATA("Sum of Total Line Item $",'November 2023'!R549,"Line Item Name","CC-F-MFDCGAJIC")</f>
        <v>364.8175</v>
      </c>
      <c r="M67" s="225">
        <f>GETPIVOTDATA("Sum of Total Line Item $",'Decemeber 2023'!R527,"Line Item Name","CC-F-MFDCGAJIC")</f>
        <v>493.51</v>
      </c>
      <c r="N67" s="226">
        <f>SUM(B67:M67)</f>
        <v>1807.8525</v>
      </c>
      <c r="O67" s="424"/>
    </row>
    <row r="68" ht="15.1" customHeight="1">
      <c r="A68" t="s" s="163">
        <v>3245</v>
      </c>
      <c r="B68" s="224">
        <f>0</f>
        <v>0</v>
      </c>
      <c r="C68" s="225">
        <f>SUM(GETPIVOTDATA("Sum of Total Line Item $",'February 2023'!R610,"Line Item Name","CC-F-FQCBSPF"),GETPIVOTDATA("Sum of Total Line Item $",'February 2023'!R610,"Line Item Name","CC-F-FQCNPTF"),GETPIVOTDATA("Sum of Total Line Item $",'February 2023'!R610,"Line Item Name","CC-F-FQCSAEF"))</f>
        <v>1003.03</v>
      </c>
      <c r="D68" s="225">
        <f>SUM(GETPIVOTDATA("Sum of Total Line Item $",'March 2023'!R1329,"Line Item Name","CC-F-FQCNPTF"))</f>
        <v>124.95</v>
      </c>
      <c r="E68" s="225">
        <f>SUM(GETPIVOTDATA("Sum of Total Line Item $",'April 2023'!R506,"Line Item Name","CC-F-FQCNPTF"))</f>
        <v>0</v>
      </c>
      <c r="F68" s="225">
        <f>GETPIVOTDATA("Sum of Total Line Item $",'May 2023'!R1236,"Line Item Name","CC-F-FQCNPTF")</f>
        <v>24.99</v>
      </c>
      <c r="G68" s="225">
        <f>SUM(GETPIVOTDATA("Sum of Total Line Item $",'June 2023'!R608,"Line Item Name","CC-F-FQCNPTF"),GETPIVOTDATA("Sum of Total Line Item $",'June 2023'!R608,"Line Item Name","CC-F-FQCBSPF"))</f>
        <v>149.9325</v>
      </c>
      <c r="H68" s="225">
        <f>SUM(GETPIVOTDATA("Sum of Total Line Item $",'July 2023'!R1133,"Line Item Name","CC-F-FQCNPTF"),GETPIVOTDATA("Sum of Total Line Item $",'July 2023'!R1133,"Line Item Name","Female ISO-B Quick Connect 3/8" NPT"))</f>
        <v>1585.9682625</v>
      </c>
      <c r="I68" s="225">
        <f>SUM(GETPIVOTDATA("Sum of Total Line Item $",'August 2023'!R760,"Line Item Name","CC-F-FQCNPTF"))</f>
        <v>74.97</v>
      </c>
      <c r="J68" s="225">
        <v>0</v>
      </c>
      <c r="K68" s="225">
        <f>SUM(GETPIVOTDATA("Sum of Total Line Item $",'October 2023'!R708,"Line Item Name","CC-F-FQCBSPF"))</f>
        <v>37.485</v>
      </c>
      <c r="L68" s="225">
        <f t="shared" si="366"/>
        <v>0</v>
      </c>
      <c r="M68" s="225">
        <f>GETPIVOTDATA("Sum of Total Line Item $",'Decemeber 2023'!R527,"Line Item Name","CC-F-FQCNPTF")</f>
        <v>56.2275</v>
      </c>
      <c r="N68" s="226">
        <f>SUM(B68:M68)</f>
        <v>3057.5532625</v>
      </c>
      <c r="O68" s="424"/>
    </row>
    <row r="69" ht="15.1" customHeight="1">
      <c r="A69" t="s" s="163">
        <v>3246</v>
      </c>
      <c r="B69" s="224">
        <f>SUM(GETPIVOTDATA("Sum of Total Line Item $",'January 2023'!R983,"Line Item Name","CC-F-MQCNPTM"))</f>
        <v>74.95</v>
      </c>
      <c r="C69" s="225">
        <f>SUM(GETPIVOTDATA("Sum of Total Line Item $",'February 2023'!R610,"Line Item Name","CC-F-MQCSAEF"),GETPIVOTDATA("Sum of Total Line Item $",'February 2023'!R610,"Line Item Name","CC-F-MQCNPTM"),GETPIVOTDATA("Sum of Total Line Item $",'February 2023'!R610,"Line Item Name","3/8” Male Quick Connect ISO-A x 3/8” BSPP Female"))</f>
        <v>472.665</v>
      </c>
      <c r="D69" s="225">
        <f>SUM(GETPIVOTDATA("Sum of Total Line Item $",'March 2023'!R1329,"Line Item Name","CC-F-MQCBSPPF"),GETPIVOTDATA("Sum of Total Line Item $",'March 2023'!R1329,"Line Item Name","CC-F-MQCNPTM"))</f>
        <v>89.94</v>
      </c>
      <c r="E69" s="225">
        <f>0</f>
        <v>0</v>
      </c>
      <c r="F69" s="225">
        <f>GETPIVOTDATA("Sum of Total Line Item $",'May 2023'!R1236,"Line Item Name","CC-F-MQCNPTM")</f>
        <v>239.84</v>
      </c>
      <c r="G69" s="225">
        <f>SUM(GETPIVOTDATA("Sum of Total Line Item $",'June 2023'!R608,"Line Item Name","CC-F-MQCNPTM"),GETPIVOTDATA("Sum of Total Line Item $",'June 2023'!R608,"Line Item Name","CC-F-MQCBSPPF"))</f>
        <v>209.86</v>
      </c>
      <c r="H69" s="225">
        <f>SUM(GETPIVOTDATA("Sum of Total Line Item $",'July 2023'!R1133,"Line Item Name","CC-F-MQCNPTM"),GETPIVOTDATA("Sum of Total Line Item $",'July 2023'!R1133,"Line Item Name","Male ISO-B Quick Connect (3/8" NPT)"))</f>
        <v>674.98</v>
      </c>
      <c r="I69" s="225">
        <f>SUM(GETPIVOTDATA("Sum of Total Line Item $",'August 2023'!R760,"Line Item Name","CC-F-MQCNPTM"))</f>
        <v>29.98</v>
      </c>
      <c r="J69" s="225">
        <f>GETPIVOTDATA("Sum of Total Line Item $",'September 2023'!R716,"Line Item Name","CC-F-MQCBSPPF")</f>
        <v>0</v>
      </c>
      <c r="K69" s="225">
        <f>GETPIVOTDATA("Sum of Total Line Item $",'October 2023'!R708,"Line Item Name","CC-F-MQCBSPPF")</f>
        <v>18.99</v>
      </c>
      <c r="L69" s="225">
        <f>SUM(GETPIVOTDATA("Sum of Total Line Item $",'November 2023'!R549,"Line Item Name","CC-F-MQCNPTM"),GETPIVOTDATA("Sum of Total Line Item $",'November 2023'!R549,"Line Item Name","CC-F-MQCBSPPF"))</f>
        <v>319.87</v>
      </c>
      <c r="M69" s="225">
        <f>GETPIVOTDATA("Sum of Total Line Item $",'Decemeber 2023'!R527,"Line Item Name","1/2" KZE 4-10 / ISO-A 7241 Male Quick Connect")</f>
        <v>36</v>
      </c>
      <c r="N69" s="226">
        <f>SUM(B69:M69)</f>
        <v>2167.075</v>
      </c>
      <c r="O69" s="424"/>
    </row>
    <row r="70" ht="15.1" customHeight="1">
      <c r="A70" t="s" s="163">
        <v>3247</v>
      </c>
      <c r="B70" s="224">
        <v>0</v>
      </c>
      <c r="C70" s="225">
        <v>0</v>
      </c>
      <c r="D70" s="225">
        <f>0</f>
        <v>0</v>
      </c>
      <c r="E70" s="225">
        <f>0</f>
        <v>0</v>
      </c>
      <c r="F70" s="225">
        <f t="shared" si="366"/>
        <v>0</v>
      </c>
      <c r="G70" s="225">
        <f t="shared" si="366"/>
        <v>0</v>
      </c>
      <c r="H70" s="225">
        <f>GETPIVOTDATA("Sum of Total Line Item $",'July 2023'!R1133,"Line Item Name","CC-F-CGA-FQC")</f>
        <v>487.425</v>
      </c>
      <c r="I70" s="225">
        <f>GETPIVOTDATA("Sum of Total Line Item $",'August 2023'!R760,"Line Item Name","CC-F-CGA-FQC")</f>
        <v>2680.8375</v>
      </c>
      <c r="J70" s="189">
        <v>0</v>
      </c>
      <c r="K70" s="225">
        <v>0</v>
      </c>
      <c r="L70" s="225">
        <v>0</v>
      </c>
      <c r="M70" s="225">
        <v>0</v>
      </c>
      <c r="N70" s="225">
        <f>SUM(B70:M70)</f>
        <v>3168.2625</v>
      </c>
      <c r="O70" s="225"/>
    </row>
    <row r="71" ht="15.1" customHeight="1">
      <c r="A71" t="s" s="163">
        <v>3248</v>
      </c>
      <c r="B71" s="224">
        <v>0</v>
      </c>
      <c r="C71" s="225">
        <v>0</v>
      </c>
      <c r="D71" s="225">
        <v>0</v>
      </c>
      <c r="E71" s="225">
        <v>0</v>
      </c>
      <c r="F71" s="225">
        <v>0</v>
      </c>
      <c r="G71" s="225">
        <v>0</v>
      </c>
      <c r="H71" s="225">
        <f>GETPIVOTDATA("Sum of Total Line Item $",'July 2023'!R1133,"Line Item Name","CC-F-CGA-MQC")</f>
        <v>974.85</v>
      </c>
      <c r="I71" s="225">
        <v>0</v>
      </c>
      <c r="J71" s="189">
        <v>0</v>
      </c>
      <c r="K71" s="225">
        <v>0</v>
      </c>
      <c r="L71" s="225">
        <v>0</v>
      </c>
      <c r="M71" s="225">
        <v>0</v>
      </c>
      <c r="N71" s="225">
        <f>SUM(B71:M71)</f>
        <v>974.85</v>
      </c>
      <c r="O71" s="225"/>
    </row>
    <row r="72" ht="15.1" customHeight="1">
      <c r="A72" t="s" s="163">
        <v>3249</v>
      </c>
      <c r="B72" s="224">
        <v>0</v>
      </c>
      <c r="C72" s="225">
        <f>GETPIVOTDATA("Sum of Total Line Item $",'February 2023'!R610,"Line Item Name"," CC-AC-CGAJIC-SET")</f>
        <v>160.93</v>
      </c>
      <c r="D72" s="225">
        <f>GETPIVOTDATA("Sum of Total Line Item $",'March 2023'!R1329,"Line Item Name"," CC-AC-CGAJIC-SET")</f>
        <v>321.86</v>
      </c>
      <c r="E72" s="225">
        <f>GETPIVOTDATA("Sum of Total Line Item $",'April 2023'!R506,"Line Item Name"," CC-AC-CGAJIC-SET")</f>
        <v>0</v>
      </c>
      <c r="F72" s="225">
        <f t="shared" si="366"/>
        <v>0</v>
      </c>
      <c r="G72" s="225">
        <v>0</v>
      </c>
      <c r="H72" s="225">
        <f>GETPIVOTDATA("Sum of Total Line Item $",'July 2023'!R1133,"Line Item Name"," CC-AC-CGAJIC-SET")</f>
        <v>3097.94</v>
      </c>
      <c r="I72" s="225">
        <f>GETPIVOTDATA("Sum of Total Line Item $",'August 2023'!R760,"Line Item Name"," CC-AC-CGAJIC-SET")+GETPIVOTDATA("Sum of Total Line Item $",'August 2023'!R760,"Line Item Name","CC-AC-CGA-INT-SET")</f>
        <v>3374.25</v>
      </c>
      <c r="J72" s="225">
        <f>GETPIVOTDATA("Sum of Total Line Item $",'September 2023'!R716,"Line Item Name"," CC-AC-CGAJIC-SET")</f>
        <v>22.99</v>
      </c>
      <c r="K72" s="225">
        <f>GETPIVOTDATA("Sum of Total Line Item $",'October 2023'!R708,"Line Item Name"," CC-AC-CGAJIC-SET")</f>
        <v>34.485</v>
      </c>
      <c r="L72" s="225">
        <v>0</v>
      </c>
      <c r="M72" s="225">
        <f>GETPIVOTDATA("Sum of Total Line Item $",'Decemeber 2023'!R527,"Line Item Name"," CC-AC-CGAJIC-SET")</f>
        <v>137.94</v>
      </c>
      <c r="N72" s="225">
        <f>SUM(B72:M72)</f>
        <v>7150.395</v>
      </c>
      <c r="O72" s="225"/>
    </row>
    <row r="73" ht="15.1" customHeight="1">
      <c r="A73" t="s" s="163">
        <v>3250</v>
      </c>
      <c r="B73" s="224">
        <f>GETPIVOTDATA("Sum of Total Line Item $",'January 2023'!R983,"Line Item Name","CC-AC-CGANPT-SET")</f>
        <v>137.94</v>
      </c>
      <c r="C73" s="225">
        <f>GETPIVOTDATA("Sum of Total Line Item $",'February 2023'!R610,"Line Item Name","CC-AC-CGANPT-SET")</f>
        <v>45.98</v>
      </c>
      <c r="D73" s="225">
        <f>GETPIVOTDATA("Sum of Total Line Item $",'March 2023'!R1329,"Line Item Name","CC-AC-CGANPT-SET")</f>
        <v>229.9</v>
      </c>
      <c r="E73" s="225">
        <f>GETPIVOTDATA("Sum of Total Line Item $",'April 2023'!R506,"Line Item Name","CC-AC-CGANPT-SET")</f>
        <v>91.95999999999999</v>
      </c>
      <c r="F73" s="225">
        <v>0</v>
      </c>
      <c r="G73" s="225">
        <v>0</v>
      </c>
      <c r="H73" s="225">
        <f t="shared" si="366"/>
        <v>0</v>
      </c>
      <c r="I73" s="225">
        <f>GETPIVOTDATA("Sum of Total Line Item $",'August 2023'!R760,"Line Item Name","CC-AC-CGANPT-SET")</f>
        <v>114.95</v>
      </c>
      <c r="J73" s="225">
        <f>GETPIVOTDATA("Sum of Total Line Item $",'September 2023'!R716,"Line Item Name","CC-AC-CGA622NPT-SET")</f>
        <v>400.02</v>
      </c>
      <c r="K73" s="225">
        <f>GETPIVOTDATA("Sum of Total Line Item $",'October 2023'!R708,"Line Item Name","CC-AC-CGANPT-SET")</f>
        <v>400</v>
      </c>
      <c r="L73" s="225">
        <f>GETPIVOTDATA("Sum of Total Line Item $",'November 2023'!R549,"Line Item Name","CC-AC-CGANPT-SET")</f>
        <v>45.98</v>
      </c>
      <c r="M73" s="225">
        <f>GETPIVOTDATA("Sum of Total Line Item $",'Decemeber 2023'!R527,"Line Item Name","CC-AC-CGANPT-SET")</f>
        <v>68.97</v>
      </c>
      <c r="N73" s="225">
        <f>SUM(B73:M73)</f>
        <v>1535.7</v>
      </c>
      <c r="O73" s="225"/>
    </row>
    <row r="74" ht="15.1" customHeight="1">
      <c r="A74" t="s" s="163">
        <v>3251</v>
      </c>
      <c r="B74" s="224">
        <f>GETPIVOTDATA("Sum of Total Line Item $",'January 2023'!R983,"Line Item Name","CC-F-COT")</f>
        <v>0</v>
      </c>
      <c r="C74" s="225">
        <f>GETPIVOTDATA("Sum of Total Line Item $",'February 2023'!R610,"Line Item Name","CC-F-COT")</f>
        <v>269.865</v>
      </c>
      <c r="D74" s="225">
        <f>GETPIVOTDATA("Sum of Total Line Item $",'March 2023'!R1329,"Line Item Name","CC-F-COT")</f>
        <v>0</v>
      </c>
      <c r="E74" s="225">
        <f>GETPIVOTDATA("Sum of Total Line Item $",'April 2023'!R506,"Line Item Name","CC-F-COT")</f>
        <v>39.98</v>
      </c>
      <c r="F74" s="225">
        <f>GETPIVOTDATA("Sum of Total Line Item $",'May 2023'!R1236,"Line Item Name","CC-F-COT")</f>
        <v>0</v>
      </c>
      <c r="G74" s="225">
        <f>GETPIVOTDATA("Sum of Total Line Item $",'June 2023'!R608,"Line Item Name","CC-F-COT")</f>
        <v>359.82</v>
      </c>
      <c r="H74" s="225">
        <f>GETPIVOTDATA("Sum of Total Line Item $",'July 2023'!R1133,"Line Item Name","CC-F-COT")</f>
        <v>0</v>
      </c>
      <c r="I74" s="225">
        <f>GETPIVOTDATA("Sum of Total Line Item $",'August 2023'!R760,"Line Item Name","CC-F-COT")</f>
        <v>39.98</v>
      </c>
      <c r="J74" s="225">
        <f>GETPIVOTDATA("Sum of Total Line Item $",'September 2023'!R716,"Line Item Name","CC-F-COT")</f>
        <v>19.99</v>
      </c>
      <c r="K74" s="225">
        <f>GETPIVOTDATA("Sum of Total Line Item $",'October 2023'!R708,"Line Item Name","CC-F-COT")</f>
        <v>279.86</v>
      </c>
      <c r="L74" s="225">
        <f>GETPIVOTDATA("Sum of Total Line Item $",'November 2023'!R549,"Line Item Name","CC-F-COT")</f>
        <v>39.98</v>
      </c>
      <c r="M74" s="225">
        <f>GETPIVOTDATA("Sum of Total Line Item $",'Decemeber 2023'!R527,"Line Item Name","CC-F-COT")</f>
        <v>149.925</v>
      </c>
      <c r="N74" s="225">
        <f>SUM(B74:M74)</f>
        <v>1199.4</v>
      </c>
      <c r="O74" s="225"/>
    </row>
    <row r="75" ht="15.1" customHeight="1">
      <c r="A75" t="s" s="163">
        <v>3252</v>
      </c>
      <c r="B75" s="224">
        <f>GETPIVOTDATA("Sum of Total Line Item $",'January 2023'!R983,"Line Item Name","CC-AC-ROR")</f>
        <v>340.29</v>
      </c>
      <c r="C75" s="225">
        <f>GETPIVOTDATA("Sum of Total Line Item $",'February 2023'!R610,"Line Item Name","CC-AC-ROR")</f>
        <v>87.56</v>
      </c>
      <c r="D75" s="225">
        <f>GETPIVOTDATA("Sum of Total Line Item $",'March 2023'!R1329,"Line Item Name","CC-AC-ROR")</f>
        <v>593.02</v>
      </c>
      <c r="E75" s="225">
        <f>GETPIVOTDATA("Sum of Total Line Item $",'April 2023'!R506,"Line Item Name","CC-AC-ROR")</f>
        <v>15.92</v>
      </c>
      <c r="F75" s="225">
        <f>GETPIVOTDATA("Sum of Total Line Item $",'May 2023'!R1236,"Line Item Name","CC-AC-ROR")</f>
        <v>9.949999999999999</v>
      </c>
      <c r="G75" s="225">
        <f>GETPIVOTDATA("Sum of Total Line Item $",'June 2023'!R608,"Line Item Name","CC-AC-ROR")</f>
        <v>41.79</v>
      </c>
      <c r="H75" s="225">
        <f>GETPIVOTDATA("Sum of Total Line Item $",'July 2023'!R1133,"Line Item Name","CC-AC-ROR")</f>
        <v>4.3</v>
      </c>
      <c r="I75" s="225">
        <f>GETPIVOTDATA("Sum of Total Line Item $",'August 2023'!R760,"Line Item Name","CC-AC-ROR")</f>
        <v>13.93</v>
      </c>
      <c r="J75" s="225">
        <f>GETPIVOTDATA("Sum of Total Line Item $",'September 2023'!R716,"Line Item Name","CC-AC-ROR")</f>
        <v>13.93</v>
      </c>
      <c r="K75" s="225">
        <f>GETPIVOTDATA("Sum of Total Line Item $",'October 2023'!R708,"Line Item Name","CC-AC-ROR")</f>
        <v>11.94</v>
      </c>
      <c r="L75" s="225">
        <v>0</v>
      </c>
      <c r="M75" s="225">
        <f>GETPIVOTDATA("Sum of Total Line Item $",'Decemeber 2023'!R527,"Line Item Name","CC-AC-ROR")</f>
        <v>35.82</v>
      </c>
      <c r="N75" s="225">
        <f>SUM(B75:M75)</f>
        <v>1168.45</v>
      </c>
      <c r="O75" s="225"/>
    </row>
    <row r="76" ht="15.1" customHeight="1">
      <c r="A76" t="s" s="163">
        <v>3253</v>
      </c>
      <c r="B76" s="224">
        <v>0</v>
      </c>
      <c r="C76" s="225">
        <v>0</v>
      </c>
      <c r="D76" s="225">
        <f>GETPIVOTDATA("Sum of Total Line Item $",'March 2023'!R1329,"Line Item Name","CC-AC-ROR2")</f>
        <v>0</v>
      </c>
      <c r="E76" s="225">
        <v>0</v>
      </c>
      <c r="F76" s="225">
        <v>0</v>
      </c>
      <c r="G76" s="225">
        <v>0</v>
      </c>
      <c r="H76" s="225">
        <v>0</v>
      </c>
      <c r="I76" s="225">
        <f>GETPIVOTDATA("Sum of Total Line Item $",'August 2023'!R760,"Line Item Name","CC-AC-ROR2")</f>
        <v>1.99</v>
      </c>
      <c r="J76" s="225">
        <f>GETPIVOTDATA("Sum of Total Line Item $",'September 2023'!R716,"Line Item Name","CC-AC-ROR2")</f>
        <v>11.94</v>
      </c>
      <c r="K76" s="225">
        <v>0</v>
      </c>
      <c r="L76" s="225">
        <f>GETPIVOTDATA("Sum of Total Line Item $",'November 2023'!R549,"Line Item Name","CC-AC-ROR2")</f>
        <v>19.9</v>
      </c>
      <c r="M76" s="225">
        <f>GETPIVOTDATA("Sum of Total Line Item $",'Decemeber 2023'!R527,"Line Item Name","CC-AC-ROR2")</f>
        <v>19.9</v>
      </c>
      <c r="N76" s="225">
        <f>SUM(B76:M76)</f>
        <v>53.73</v>
      </c>
      <c r="O76" s="225"/>
    </row>
    <row r="77" ht="15.1" customHeight="1">
      <c r="A77" t="s" s="163">
        <v>3269</v>
      </c>
      <c r="B77" s="224">
        <f>GETPIVOTDATA("Sum of Total Line Item $",'January 2023'!R983,"Line Item Name","CC-AC-CTAT")</f>
        <v>251.41</v>
      </c>
      <c r="C77" s="225">
        <f>GETPIVOTDATA("Sum of Total Line Item $",'February 2023'!R610,"Line Item Name","CC-AC-CTAT")</f>
        <v>204.795</v>
      </c>
      <c r="D77" s="225">
        <f>SUM(GETPIVOTDATA("Sum of Total Line Item $",'March 2023'!R1329,"Line Item Name","CC-AC-CTAT-INT"),GETPIVOTDATA("Sum of Total Line Item $",'March 2023'!R1329,"Line Item Name","CC-AC-CTAT"))</f>
        <v>359.64</v>
      </c>
      <c r="E77" s="225">
        <f>GETPIVOTDATA("Sum of Total Line Item $",'April 2023'!R506,"Line Item Name","CC-AC-CTAT")</f>
        <v>139.86</v>
      </c>
      <c r="F77" s="225">
        <f>GETPIVOTDATA("Sum of Total Line Item $",'May 2023'!R1236,"Line Item Name","CC-AC-CTAT")</f>
        <v>229.77</v>
      </c>
      <c r="G77" s="225">
        <f>GETPIVOTDATA("Sum of Total Line Item $",'June 2023'!R608,"Line Item Name","CC-AC-CTAT")</f>
        <v>199.8</v>
      </c>
      <c r="H77" s="225">
        <f>GETPIVOTDATA("Sum of Total Line Item $",'July 2023'!R1133,"Line Item Name","CC-AC-CTAT")</f>
        <v>9.99</v>
      </c>
      <c r="I77" s="225">
        <f>GETPIVOTDATA("Sum of Total Line Item $",'August 2023'!R760,"Line Item Name","CC-AC-CTAT")</f>
        <v>389.61</v>
      </c>
      <c r="J77" s="225">
        <f>GETPIVOTDATA("Sum of Total Line Item $",'September 2023'!R716,"Line Item Name","CC-AC-CTAT")</f>
        <v>234.765</v>
      </c>
      <c r="K77" s="225">
        <f>GETPIVOTDATA("Sum of Total Line Item $",'October 2023'!R708,"Line Item Name","CC-AC-CTAT")</f>
        <v>439.56</v>
      </c>
      <c r="L77" s="225">
        <f>GETPIVOTDATA("Sum of Total Line Item $",'November 2023'!R549,"Line Item Name","CC-AC-CTAT")</f>
        <v>179.82</v>
      </c>
      <c r="M77" s="225">
        <f>GETPIVOTDATA("Sum of Total Line Item $",'Decemeber 2023'!R527,"Line Item Name","CC-AC-CTAT")</f>
        <v>69.93000000000001</v>
      </c>
      <c r="N77" s="225">
        <f>SUM(B77:M77)</f>
        <v>2708.95</v>
      </c>
      <c r="O77" s="225"/>
    </row>
    <row r="78" ht="15.1" customHeight="1">
      <c r="A78" t="s" s="163">
        <v>3255</v>
      </c>
      <c r="B78" s="224">
        <f>SUM(GETPIVOTDATA("Sum of Total Line Item $",'January 2023'!R983,"Line Item Name","CC-WASH-10"))</f>
        <v>145.51</v>
      </c>
      <c r="C78" s="225">
        <f>SUM(GETPIVOTDATA("Sum of Total Line Item $",'February 2023'!R610,"Line Item Name","CC-WASH-10"))</f>
        <v>573.41</v>
      </c>
      <c r="D78" s="225">
        <f>SUM(GETPIVOTDATA("Sum of Total Line Item $",'March 2023'!R1329,"Line Item Name","CC-WASH-01"),GETPIVOTDATA("Sum of Total Line Item $",'March 2023'!R1329,"Line Item Name","CC-WASH-10"))</f>
        <v>995.675</v>
      </c>
      <c r="E78" s="225">
        <f>SUM(GETPIVOTDATA("Sum of Total Line Item $",'April 2023'!R506,"Line Item Name","CC-WASH-10"))</f>
        <v>373.3325</v>
      </c>
      <c r="F78" s="225">
        <f>GETPIVOTDATA("Sum of Total Line Item $",'May 2023'!R1236,"Line Item Name","CC-WASH-10")</f>
        <v>415.54</v>
      </c>
      <c r="G78" s="225">
        <f>GETPIVOTDATA("Sum of Total Line Item $",'June 2023'!R608,"Line Item Name","CC-WASH-01")+GETPIVOTDATA("Sum of Total Line Item $",'June 2023'!R608,"Line Item Name","CC-WASH-10")</f>
        <v>593.59</v>
      </c>
      <c r="H78" s="225">
        <f>SUM(GETPIVOTDATA("Sum of Total Line Item $",'July 2023'!R1133,"Line Item Name","CC-WASH-10"),GETPIVOTDATA("Sum of Total Line Item $",'July 2023'!R1133,"Line Item Name","CC-WASH-01"))</f>
        <v>975.66</v>
      </c>
      <c r="I78" s="225">
        <f>SUM(GETPIVOTDATA("Sum of Total Line Item $",'August 2023'!R760,"Line Item Name","CC-WASH-10"),GETPIVOTDATA("Sum of Total Line Item $",'August 2023'!R760,"Line Item Name","CC-WASH-INT-01"))</f>
        <v>927.58</v>
      </c>
      <c r="J78" s="225">
        <f>GETPIVOTDATA("Sum of Total Line Item $",'September 2023'!R716,"Line Item Name","CC-WASH-01")+GETPIVOTDATA("Sum of Total Line Item $",'September 2023'!R716,"Line Item Name","CC-WASH-10")</f>
        <v>908.27</v>
      </c>
      <c r="K78" s="225">
        <f>GETPIVOTDATA("Sum of Total Line Item $",'October 2023'!R708,"Line Item Name","CC-WASH-01")+GETPIVOTDATA("Sum of Total Line Item $",'October 2023'!R708,"Line Item Name","CC-WASH-10")</f>
        <v>1173.7775</v>
      </c>
      <c r="L78" s="225">
        <f>GETPIVOTDATA("Sum of Total Line Item $",'November 2023'!R549,"Line Item Name","CC-WASH-10")</f>
        <v>382.59</v>
      </c>
      <c r="M78" s="225">
        <f>GETPIVOTDATA("Sum of Total Line Item $",'Decemeber 2023'!R527,"Line Item Name","CC-WASH-01")+GETPIVOTDATA("Sum of Total Line Item $",'Decemeber 2023'!R527,"Line Item Name","CC-WASH-10")</f>
        <v>579.48</v>
      </c>
      <c r="N78" s="225">
        <f>SUM(B78:M78)</f>
        <v>8044.415</v>
      </c>
      <c r="O78" s="225"/>
    </row>
    <row r="79" ht="15.1" customHeight="1">
      <c r="A79" t="s" s="163">
        <v>3256</v>
      </c>
      <c r="B79" s="224">
        <f>GETPIVOTDATA("Sum of Total Line Item $",'January 2023'!R983,"Line Item Name","CC-AC-OP")</f>
        <v>45</v>
      </c>
      <c r="C79" s="225">
        <f>GETPIVOTDATA("Sum of Total Line Item $",'February 2023'!R610,"Line Item Name","CC-AC-OP")</f>
        <v>30</v>
      </c>
      <c r="D79" s="225">
        <f>GETPIVOTDATA("Sum of Total Line Item $",'March 2023'!R1329,"Line Item Name","CC-AC-OP")+GETPIVOTDATA("Sum of Total Line Item $",'March 2023'!R1329,"Line Item Name","CC-AC-OP-INT")</f>
        <v>45</v>
      </c>
      <c r="E79" s="225">
        <f>GETPIVOTDATA("Sum of Total Line Item $",'April 2023'!R506,"Line Item Name","CC-AC-OP")</f>
        <v>45</v>
      </c>
      <c r="F79" s="225">
        <f>GETPIVOTDATA("Sum of Total Line Item $",'May 2023'!R1236,"Line Item Name","CC-AC-OP")</f>
        <v>30</v>
      </c>
      <c r="G79" s="225">
        <f>GETPIVOTDATA("Sum of Total Line Item $",'June 2023'!R608,"Line Item Name","CC-AC-OP")</f>
        <v>120</v>
      </c>
      <c r="H79" s="225">
        <f>GETPIVOTDATA("Sum of Total Line Item $",'July 2023'!R1133,"Line Item Name","CC-AC-OP")</f>
        <v>15</v>
      </c>
      <c r="I79" s="225">
        <f>GETPIVOTDATA("Sum of Total Line Item $",'August 2023'!R760,"Line Item Name","CC-AC-OP")</f>
        <v>105</v>
      </c>
      <c r="J79" s="225">
        <f>GETPIVOTDATA("Sum of Total Line Item $",'September 2023'!R716,"Line Item Name","CC-AC-OP")</f>
        <v>345</v>
      </c>
      <c r="K79" s="225">
        <f>GETPIVOTDATA("Sum of Total Line Item $",'October 2023'!R708,"Line Item Name","CC-AC-OP")</f>
        <v>15</v>
      </c>
      <c r="L79" s="225">
        <f>GETPIVOTDATA("Sum of Total Line Item $",'November 2023'!R549,"Line Item Name","CC-AC-OP")</f>
        <v>45</v>
      </c>
      <c r="M79" s="225">
        <f>GETPIVOTDATA("Sum of Total Line Item $",'Decemeber 2023'!R527,"Line Item Name","CC-AC-OP")</f>
        <v>60</v>
      </c>
      <c r="N79" s="225">
        <f>SUM(B79:M79)</f>
        <v>900</v>
      </c>
      <c r="O79" s="225"/>
    </row>
    <row r="80" ht="15.1" customHeight="1">
      <c r="A80" t="s" s="163">
        <v>3257</v>
      </c>
      <c r="B80" s="224">
        <f>SUM(GETPIVOTDATA("Sum of Total Line Item $",'January 2023'!R983,"Line Item Name","CC-AC-CLAMP"))</f>
        <v>839.72</v>
      </c>
      <c r="C80" s="225">
        <f>SUM(GETPIVOTDATA("Sum of Total Line Item $",'February 2023'!R610,"Line Item Name","CC-AC-CLAMP"))</f>
        <v>419.86</v>
      </c>
      <c r="D80" s="225">
        <f>SUM(GETPIVOTDATA("Sum of Total Line Item $",'March 2023'!R1329,"Line Item Name","CC-AC-CLAMP"))</f>
        <v>344.885</v>
      </c>
      <c r="E80" s="225">
        <f>SUM(GETPIVOTDATA("Sum of Total Line Item $",'April 2023'!R506,"Line Item Name","CC-AC-CLAMP"))</f>
        <v>179.94</v>
      </c>
      <c r="F80" s="225">
        <f>SUM(GETPIVOTDATA("Sum of Total Line Item $",'May 2023'!R1236,"Line Item Name","CC-AC-BM-KIT"),GETPIVOTDATA("Sum of Total Line Item $",'May 2023'!R1236,"Line Item Name","Truss Clamps"),GETPIVOTDATA("Sum of Total Line Item $",'May 2023'!R1236,"Line Item Name","CC-AC-CLAMP"))</f>
        <v>734.785</v>
      </c>
      <c r="G80" s="225">
        <f>SUM(GETPIVOTDATA("Sum of Total Line Item $",'June 2023'!R608,"Line Item Name","CC-AC-CLAMP"))</f>
        <v>419.86</v>
      </c>
      <c r="H80" s="225">
        <f>SUM(GETPIVOTDATA("Sum of Total Line Item $",'July 2023'!R1133,"Line Item Name","CC-AC-TB-KIT"),GETPIVOTDATA("Sum of Total Line Item $",'July 2023'!R1133,"Line Item Name","CC-AC-CLAMP"))</f>
        <v>989.67</v>
      </c>
      <c r="I80" s="225">
        <f>SUM(GETPIVOTDATA("Sum of Total Line Item $",'August 2023'!R760,"Line Item Name","CC-AC-CLAMP"))</f>
        <v>884.705</v>
      </c>
      <c r="J80" s="225">
        <f>SUM(GETPIVOTDATA("Sum of Total Line Item $",'September 2023'!R716,"Line Item Name","CC-AC-CLAMP"))</f>
        <v>329.89</v>
      </c>
      <c r="K80" s="225">
        <f>GETPIVOTDATA("Sum of Total Line Item $",'October 2023'!R708,"Line Item Name","CC-AC-CLAMP")</f>
        <v>89.97</v>
      </c>
      <c r="L80" s="225">
        <f>GETPIVOTDATA("Sum of Total Line Item $",'November 2023'!R549,"Line Item Name","CC-AC-CLAMP")</f>
        <v>239.92</v>
      </c>
      <c r="M80" s="225">
        <f>GETPIVOTDATA("Sum of Total Line Item $",'Decemeber 2023'!R527,"Line Item Name","CC-AC-CLAMP-CC2-KIT")+GETPIVOTDATA("Sum of Total Line Item $",'Decemeber 2023'!R527,"Line Item Name","CC-AC-CLAMP")</f>
        <v>194.935</v>
      </c>
      <c r="N80" s="225">
        <f>SUM(B80:M80)</f>
        <v>5668.14</v>
      </c>
      <c r="O80" s="225"/>
    </row>
    <row r="81" ht="15.1" customHeight="1">
      <c r="A81" t="s" s="163">
        <v>3258</v>
      </c>
      <c r="B81" s="224">
        <f>GETPIVOTDATA("Sum of Total Line Item $",'January 2023'!R983,"Line Item Name","CC-CTC-20")</f>
        <v>887.3200000000001</v>
      </c>
      <c r="C81" s="225">
        <f>GETPIVOTDATA("Sum of Total Line Item $",'February 2023'!R610,"Line Item Name","CC-CTC-20")</f>
        <v>1774.6425</v>
      </c>
      <c r="D81" s="225">
        <f>GETPIVOTDATA("Sum of Total Line Item $",'March 2023'!R1329,"Line Item Name","CC-CTC-20")</f>
        <v>1649.67</v>
      </c>
      <c r="E81" s="225">
        <f>GETPIVOTDATA("Sum of Total Line Item $",'April 2023'!R506,"Line Item Name","CC-CTC-20")</f>
        <v>1537.1925</v>
      </c>
      <c r="F81" s="225">
        <f>GETPIVOTDATA("Sum of Total Line Item $",'May 2023'!R1236,"Line Item Name","CC-CTC-20")</f>
        <v>649.87</v>
      </c>
      <c r="G81" s="225">
        <f>GETPIVOTDATA("Sum of Total Line Item $",'June 2023'!R608,"Line Item Name","CC-CTC-20")</f>
        <v>599.88</v>
      </c>
      <c r="H81" s="225">
        <f>GETPIVOTDATA("Sum of Total Line Item $",'July 2023'!R1133,"Line Item Name","CC-CTC-20")</f>
        <v>946.67</v>
      </c>
      <c r="I81" s="225">
        <f>GETPIVOTDATA("Sum of Total Line Item $",'August 2023'!R760,"Line Item Name","CC-CTC-20")</f>
        <v>1287.24</v>
      </c>
      <c r="J81" s="225">
        <f>GETPIVOTDATA("Sum of Total Line Item $",'September 2023'!R716,"Line Item Name","CC-CTC-20")</f>
        <v>1412.21</v>
      </c>
      <c r="K81" s="225">
        <f>GETPIVOTDATA("Sum of Total Line Item $",'October 2023'!R708,"Line Item Name","CC-CTC-20")</f>
        <v>1924.615</v>
      </c>
      <c r="L81" s="225">
        <f>GETPIVOTDATA("Sum of Total Line Item $",'November 2023'!R549,"Line Item Name","CC-CTC-20")</f>
        <v>1299.74</v>
      </c>
      <c r="M81" s="225">
        <f>GETPIVOTDATA("Sum of Total Line Item $",'Decemeber 2023'!R527,"Line Item Name","CC-CTC-20")</f>
        <v>699.86</v>
      </c>
      <c r="N81" s="225">
        <f>SUM(B81:M81)</f>
        <v>14668.91</v>
      </c>
      <c r="O81" s="225"/>
    </row>
    <row r="82" ht="15.1" customHeight="1">
      <c r="A82" t="s" s="163">
        <v>3259</v>
      </c>
      <c r="B82" s="224">
        <f>GETPIVOTDATA("Sum of Total Line Item $",'January 2023'!R983,"Line Item Name","CC-CTC-50")</f>
        <v>1319.78</v>
      </c>
      <c r="C82" s="225">
        <f>GETPIVOTDATA("Sum of Total Line Item $",'February 2023'!R610,"Line Item Name","CC-CTC-50")</f>
        <v>974.8375</v>
      </c>
      <c r="D82" s="225">
        <f>GETPIVOTDATA("Sum of Total Line Item $",'March 2023'!R1329,"Line Item Name","CC-CTC-50")</f>
        <v>779.87</v>
      </c>
      <c r="E82" s="225">
        <f>GETPIVOTDATA("Sum of Total Line Item $",'April 2023'!R506,"Line Item Name","CC-CTC-50")</f>
        <v>2429.595</v>
      </c>
      <c r="F82" s="225">
        <f>GETPIVOTDATA("Sum of Total Line Item $",'May 2023'!R1236,"Line Item Name","CC-CTC-50")</f>
        <v>1979.67</v>
      </c>
      <c r="G82" s="225">
        <f>GETPIVOTDATA("Sum of Total Line Item $",'June 2023'!R608,"Line Item Name","CC-CTC-50")</f>
        <v>419.93</v>
      </c>
      <c r="H82" s="225">
        <f>GETPIVOTDATA("Sum of Total Line Item $",'July 2023'!R1133,"Line Item Name","CC-CTC-50")</f>
        <v>1060.02</v>
      </c>
      <c r="I82" s="225">
        <f>GETPIVOTDATA("Sum of Total Line Item $",'August 2023'!R760,"Line Item Name","CC-CTC-50")</f>
        <v>989.835</v>
      </c>
      <c r="J82" s="225">
        <f>GETPIVOTDATA("Sum of Total Line Item $",'September 2023'!R716,"Line Item Name","CC-CTC-50")</f>
        <v>614.8975</v>
      </c>
      <c r="K82" s="225">
        <f>GETPIVOTDATA("Sum of Total Line Item $",'October 2023'!R708,"Line Item Name","CC-CTC-50")</f>
        <v>1379.77</v>
      </c>
      <c r="L82" s="225">
        <f>GETPIVOTDATA("Sum of Total Line Item $",'November 2023'!R549,"Line Item Name","CC-CTC-50")</f>
        <v>659.89</v>
      </c>
      <c r="M82" s="225">
        <f>GETPIVOTDATA("Sum of Total Line Item $",'Decemeber 2023'!R527,"Line Item Name","CC-CTC-50")</f>
        <v>119.98</v>
      </c>
      <c r="N82" s="225">
        <f>SUM(B82:M82)</f>
        <v>12728.075</v>
      </c>
      <c r="O82" s="225"/>
    </row>
    <row r="83" ht="15.1" customHeight="1">
      <c r="A83" t="s" s="163">
        <v>346</v>
      </c>
      <c r="B83" s="224">
        <f>GETPIVOTDATA("Sum of Total Line Item $",'January 2023'!R983,"Line Item Name","CC-AC-TC")</f>
        <v>871.62</v>
      </c>
      <c r="C83" s="225">
        <f>GETPIVOTDATA("Sum of Total Line Item $",'February 2023'!R610,"Line Item Name","CC-AC-TC")</f>
        <v>219.99</v>
      </c>
      <c r="D83" s="225">
        <f>0</f>
        <v>0</v>
      </c>
      <c r="E83" s="225">
        <v>0</v>
      </c>
      <c r="F83" s="225">
        <f>GETPIVOTDATA("Sum of Total Line Item $",'May 2023'!R1236,"Line Item Name","CC-AC-TC")</f>
        <v>1539.93</v>
      </c>
      <c r="G83" s="225">
        <v>0</v>
      </c>
      <c r="H83" s="225">
        <f>GETPIVOTDATA("Sum of Total Line Item $",'July 2023'!R1133,"Line Item Name","CC-AC-TC")</f>
        <v>164.9925</v>
      </c>
      <c r="I83" s="225">
        <f>GETPIVOTDATA("Sum of Total Line Item $",'August 2023'!R760,"Line Item Name","CC-AC-TC")</f>
        <v>219.99</v>
      </c>
      <c r="J83" s="225">
        <f>GETPIVOTDATA("Sum of Total Line Item $",'September 2023'!R716,"Line Item Name","CC-AC-TC")</f>
        <v>219.99</v>
      </c>
      <c r="K83" s="225">
        <f>GETPIVOTDATA("Sum of Total Line Item $",'October 2023'!R708,"Line Item Name","CC-AC-TC")</f>
        <v>219.99</v>
      </c>
      <c r="L83" s="225">
        <f>GETPIVOTDATA("Sum of Total Line Item $",'November 2023'!R549,"Line Item Name","CC-AC-TC")</f>
        <v>219.99</v>
      </c>
      <c r="M83" s="225">
        <v>0</v>
      </c>
      <c r="N83" s="225">
        <f>SUM(B83:M83)</f>
        <v>3676.4925</v>
      </c>
      <c r="O83" s="225"/>
    </row>
    <row r="84" ht="15.1" customHeight="1">
      <c r="A84" t="s" s="163">
        <v>3260</v>
      </c>
      <c r="B84" s="224">
        <v>0</v>
      </c>
      <c r="C84" s="225">
        <v>0</v>
      </c>
      <c r="D84" s="225">
        <v>0</v>
      </c>
      <c r="E84" s="225">
        <v>0</v>
      </c>
      <c r="F84" s="225">
        <v>0</v>
      </c>
      <c r="G84" s="225">
        <v>0</v>
      </c>
      <c r="H84" s="225">
        <v>0</v>
      </c>
      <c r="I84" s="225">
        <v>0</v>
      </c>
      <c r="J84" s="225">
        <v>0</v>
      </c>
      <c r="K84" s="225">
        <v>0</v>
      </c>
      <c r="L84" s="225">
        <v>0</v>
      </c>
      <c r="M84" s="225">
        <v>0</v>
      </c>
      <c r="N84" s="225">
        <f>SUM(B84:M84)</f>
        <v>0</v>
      </c>
      <c r="O84" s="225"/>
    </row>
    <row r="85" ht="15.1" customHeight="1">
      <c r="A85" t="s" s="163">
        <v>3261</v>
      </c>
      <c r="B85" s="224">
        <v>0</v>
      </c>
      <c r="C85" s="225">
        <v>0</v>
      </c>
      <c r="D85" s="225">
        <v>0</v>
      </c>
      <c r="E85" s="225">
        <v>0</v>
      </c>
      <c r="F85" s="225">
        <v>0</v>
      </c>
      <c r="G85" s="225">
        <v>0</v>
      </c>
      <c r="H85" s="225">
        <v>0</v>
      </c>
      <c r="I85" s="225">
        <v>0</v>
      </c>
      <c r="J85" s="225">
        <f>GETPIVOTDATA("Sum of Total Line Item $",'September 2023'!R716,"Line Item Name","CC-RC-2430")</f>
        <v>4799.97</v>
      </c>
      <c r="K85" s="225">
        <f>GETPIVOTDATA("Sum of Total Line Item $",'October 2023'!R708,"Line Item Name","CC-RC-2430")+GETPIVOTDATA("Sum of Total Line Item $",'October 2023'!R708,"Line Item Name","CC-RC-2430-LAI")+GETPIVOTDATA("Sum of Total Line Item $",'October 2023'!R708,"Line Item Name","CC-RC-2430-PJI")+GETPIVOTDATA("Sum of Total Line Item $",'October 2023'!R708,"Line Item Name","CC-RC-2430-TTI")</f>
        <v>7199.775</v>
      </c>
      <c r="L85" s="225">
        <f>GETPIVOTDATA("Sum of Total Line Item $",'November 2023'!R549,"Line Item Name","CC-RC-2430")</f>
        <v>5999.9625</v>
      </c>
      <c r="M85" s="225">
        <f>GETPIVOTDATA("Sum of Total Line Item $",'Decemeber 2023'!R527,"Line Item Name","CC-RC-2430")</f>
        <v>4799.97</v>
      </c>
      <c r="N85" s="225">
        <f>SUM(B85:M85)</f>
        <v>22799.6775</v>
      </c>
      <c r="O85" s="225"/>
    </row>
    <row r="86" ht="15.1" customHeight="1">
      <c r="A86" t="s" s="163">
        <v>3262</v>
      </c>
      <c r="B86" s="224">
        <v>0</v>
      </c>
      <c r="C86" s="225">
        <v>0</v>
      </c>
      <c r="D86" s="225">
        <v>0</v>
      </c>
      <c r="E86" s="225">
        <v>0</v>
      </c>
      <c r="F86" s="225">
        <v>0</v>
      </c>
      <c r="G86" s="225">
        <v>0</v>
      </c>
      <c r="H86" s="225">
        <v>0</v>
      </c>
      <c r="I86" s="225">
        <v>0</v>
      </c>
      <c r="J86" s="225">
        <f>GETPIVOTDATA("Sum of Total Line Item $",'September 2023'!R716,"Line Item Name","CC-AC-LA2")</f>
        <v>13599.83</v>
      </c>
      <c r="K86" s="225">
        <f>GETPIVOTDATA("Sum of Total Line Item $",'October 2023'!R708,"Line Item Name","CC-AC-LA2")</f>
        <v>6199.9225</v>
      </c>
      <c r="L86" s="225">
        <f>GETPIVOTDATA("Sum of Total Line Item $",'November 2023'!R549,"Line Item Name","CC-AC-LA2")</f>
        <v>4799.94</v>
      </c>
      <c r="M86" s="225">
        <f>GETPIVOTDATA("Sum of Total Line Item $",'Decemeber 2023'!R527,"Line Item Name","CC-AC-LA2")</f>
        <v>4799.94</v>
      </c>
      <c r="N86" s="225">
        <f>SUM(B86:M86)</f>
        <v>29399.6325</v>
      </c>
      <c r="O86" s="225"/>
    </row>
    <row r="87" ht="15.1" customHeight="1">
      <c r="A87" t="s" s="163">
        <v>63</v>
      </c>
      <c r="B87" s="224">
        <f>SUM(GETPIVOTDATA("Sum of Total Line Item $",'January 2023'!R983,"Line Item Name","Shipping Charges"),GETPIVOTDATA("Sum of Total Line Item $",'January 2023'!R983,"Line Item Name","Shipping Fees"))</f>
        <v>2302.96</v>
      </c>
      <c r="C87" s="225">
        <f>SUM(GETPIVOTDATA("Sum of Total Line Item $",'February 2023'!R610,"Line Item Name","Shipping Charges"),GETPIVOTDATA("Sum of Total Line Item $",'February 2023'!R610,"Line Item Name","Shipping Fees"))</f>
        <v>3312.59</v>
      </c>
      <c r="D87" s="225">
        <f>SUM(GETPIVOTDATA("Sum of Total Line Item $",'March 2023'!R1329,"Line Item Name","Shipping Charges"),GETPIVOTDATA("Sum of Total Line Item $",'March 2023'!R1329,"Line Item Name","Shipping Fees"))</f>
        <v>1250.36</v>
      </c>
      <c r="E87" s="225">
        <f>SUM(GETPIVOTDATA("Sum of Total Line Item $",'April 2023'!R506,"Line Item Name","Shipping Charges"),GETPIVOTDATA("Sum of Total Line Item $",'April 2023'!R506,"Line Item Name","Shipping Fees"))</f>
        <v>1105.34</v>
      </c>
      <c r="F87" s="225">
        <f>SUM(GETPIVOTDATA("Sum of Total Line Item $",'May 2023'!R1236,"Line Item Name","Shipping Charges"),GETPIVOTDATA("Sum of Total Line Item $",'May 2023'!R1236,"Line Item Name","Shipping Fees"))</f>
        <v>4447.11</v>
      </c>
      <c r="G87" s="225">
        <f>SUM(GETPIVOTDATA("Sum of Total Line Item $",'June 2023'!R608,"Line Item Name","Shipping Charges"),GETPIVOTDATA("Sum of Total Line Item $",'June 2023'!R608,"Line Item Name","Shipping Fees"))</f>
        <v>3166.45</v>
      </c>
      <c r="H87" s="225">
        <f>SUM(GETPIVOTDATA("Sum of Total Line Item $",'July 2023'!R1133,"Line Item Name","Shipping Charges"),GETPIVOTDATA("Sum of Total Line Item $",'July 2023'!R1133,"Line Item Name","Shipping Fees"))</f>
        <v>2941.89</v>
      </c>
      <c r="I87" s="225">
        <f>SUM(GETPIVOTDATA("Sum of Total Line Item $",'August 2023'!R760,"Line Item Name","Shipping Charges"),GETPIVOTDATA("Sum of Total Line Item $",'August 2023'!R760,"Line Item Name","Shipping Fees"))</f>
        <v>7213.65</v>
      </c>
      <c r="J87" s="225">
        <f>SUM(GETPIVOTDATA("Sum of Total Line Item $",'September 2023'!R716,"Line Item Name","Shipping Fees"),GETPIVOTDATA("Sum of Total Line Item $",'September 2023'!R716,"Line Item Name","Shipping Charges"))</f>
        <v>2606</v>
      </c>
      <c r="K87" s="225">
        <f>SUM(GETPIVOTDATA("Sum of Total Line Item $",'October 2023'!R708,"Line Item Name","Shipping Fees"),GETPIVOTDATA("Sum of Total Line Item $",'October 2023'!R708,"Line Item Name","Shipping Charges"))</f>
        <v>1415.5</v>
      </c>
      <c r="L87" s="225">
        <f>SUM(GETPIVOTDATA("Sum of Total Line Item $",'November 2023'!R549,"Line Item Name","Shipping Charges"),GETPIVOTDATA("Sum of Total Line Item $",'November 2023'!R549,"Line Item Name","Shipping Fees"))</f>
        <v>2647.93</v>
      </c>
      <c r="M87" s="225">
        <f>SUM(GETPIVOTDATA("Sum of Total Line Item $",'Decemeber 2023'!R527,"Line Item Name","Shipping Fees"),GETPIVOTDATA("Sum of Total Line Item $",'Decemeber 2023'!R527,"Line Item Name","Shipping Charges"))</f>
        <v>1443.47</v>
      </c>
      <c r="N87" s="225">
        <f>SUM(B87:M87)</f>
        <v>33853.25</v>
      </c>
      <c r="O87" s="225"/>
    </row>
    <row r="88" ht="15.1" customHeight="1">
      <c r="A88" t="s" s="229">
        <v>3237</v>
      </c>
      <c r="B88" s="230">
        <f>SUM(B61:B83)</f>
        <v>11066.833</v>
      </c>
      <c r="C88" s="231">
        <f>SUM(C61:C83)</f>
        <v>17593.7825</v>
      </c>
      <c r="D88" s="231">
        <f>SUM(D61:D83)</f>
        <v>19692.57</v>
      </c>
      <c r="E88" s="231">
        <f>SUM(E61:E83)</f>
        <v>12211.865</v>
      </c>
      <c r="F88" s="231">
        <f>SUM(F61:F83)</f>
        <v>11703.6975</v>
      </c>
      <c r="G88" s="231">
        <f>SUM(G61:G83)</f>
        <v>11483.4225</v>
      </c>
      <c r="H88" s="231">
        <f>SUM(H61:H83)</f>
        <v>16699.4807625</v>
      </c>
      <c r="I88" s="231">
        <f>SUM(I61:I83)</f>
        <v>22962.3805</v>
      </c>
      <c r="J88" s="231">
        <f>SUM(J61:J83)</f>
        <v>13173.7175</v>
      </c>
      <c r="K88" s="231">
        <f>SUM(K61:K83)</f>
        <v>21935.94</v>
      </c>
      <c r="L88" s="231">
        <f>SUM(L61:L83)</f>
        <v>9604.1525</v>
      </c>
      <c r="M88" s="231">
        <f>SUM(M61:M83)</f>
        <v>14998.3575</v>
      </c>
      <c r="N88" s="231">
        <f>SUM(N61:N83)</f>
        <v>183126.1992625</v>
      </c>
      <c r="O88" t="s" s="232">
        <v>3271</v>
      </c>
    </row>
    <row r="89" ht="15.1" customHeight="1">
      <c r="A89" s="233"/>
      <c r="B89" s="234"/>
      <c r="C89" s="235"/>
      <c r="D89" s="235"/>
      <c r="E89" s="235"/>
      <c r="F89" s="235"/>
      <c r="G89" s="235"/>
      <c r="H89" s="235"/>
      <c r="I89" s="235"/>
      <c r="J89" s="235"/>
      <c r="K89" s="235"/>
      <c r="L89" s="235"/>
      <c r="M89" s="235"/>
      <c r="N89" s="235"/>
      <c r="O89" s="235"/>
    </row>
    <row r="90" ht="15.1" customHeight="1">
      <c r="A90" t="s" s="236">
        <v>3272</v>
      </c>
      <c r="B90" t="s" s="237">
        <v>3273</v>
      </c>
      <c r="C90" s="166"/>
      <c r="D90" t="s" s="238">
        <v>3274</v>
      </c>
      <c r="E90" t="s" s="238">
        <v>3275</v>
      </c>
      <c r="F90" t="s" s="238">
        <v>3276</v>
      </c>
      <c r="G90" t="s" s="238">
        <v>6610</v>
      </c>
      <c r="H90" s="166"/>
      <c r="I90" t="s" s="239">
        <v>6611</v>
      </c>
      <c r="J90" t="s" s="238">
        <v>3322</v>
      </c>
      <c r="K90" s="166"/>
      <c r="L90" s="166"/>
      <c r="M90" s="166"/>
      <c r="N90" s="166"/>
      <c r="O90" s="166"/>
    </row>
    <row r="91" ht="15.1" customHeight="1">
      <c r="A91" t="s" s="241">
        <v>3238</v>
      </c>
      <c r="B91" s="213">
        <f>N61/N88</f>
        <v>0.331174259850535</v>
      </c>
      <c r="C91" s="189"/>
      <c r="D91" s="242">
        <v>46.39</v>
      </c>
      <c r="E91" s="242">
        <f>N61/N3</f>
        <v>109.076768884892</v>
      </c>
      <c r="F91" s="242">
        <f>E91-D91</f>
        <v>62.686768884892</v>
      </c>
      <c r="G91" s="242">
        <f>F91*N3</f>
        <v>34853.8435</v>
      </c>
      <c r="H91" s="166"/>
      <c r="I91" t="s" s="239">
        <v>3238</v>
      </c>
      <c r="J91" s="243">
        <f>G91/$G$117</f>
        <v>0.315232968395133</v>
      </c>
      <c r="K91" s="166"/>
      <c r="L91" s="166"/>
      <c r="M91" s="166"/>
      <c r="N91" s="166"/>
      <c r="O91" s="166"/>
    </row>
    <row r="92" ht="15.1" customHeight="1">
      <c r="A92" t="s" s="241">
        <v>3239</v>
      </c>
      <c r="B92" s="213">
        <f>N62/N88</f>
        <v>0.0528900973154385</v>
      </c>
      <c r="C92" s="189"/>
      <c r="D92" s="242">
        <v>6.7</v>
      </c>
      <c r="E92" s="242">
        <f>N62/N4</f>
        <v>47.0172936893204</v>
      </c>
      <c r="F92" s="242">
        <f>E92-D92</f>
        <v>40.3172936893204</v>
      </c>
      <c r="G92" s="242">
        <f>F92*N4</f>
        <v>8305.362499999999</v>
      </c>
      <c r="H92" s="166"/>
      <c r="I92" t="s" s="239">
        <v>3239</v>
      </c>
      <c r="J92" s="243">
        <f>G92/$G$117</f>
        <v>0.07511722701321651</v>
      </c>
      <c r="K92" s="166"/>
      <c r="L92" s="166"/>
      <c r="M92" s="166"/>
      <c r="N92" s="166"/>
      <c r="O92" s="166"/>
    </row>
    <row r="93" ht="15.1" customHeight="1">
      <c r="A93" t="s" s="241">
        <v>3240</v>
      </c>
      <c r="B93" s="213">
        <f>N63/N88</f>
        <v>0.0384852087160813</v>
      </c>
      <c r="C93" s="189"/>
      <c r="D93" s="242">
        <v>7.74</v>
      </c>
      <c r="E93" s="242">
        <f>N63/N5</f>
        <v>23.0315359477124</v>
      </c>
      <c r="F93" s="242">
        <f>E93-D93</f>
        <v>15.2915359477124</v>
      </c>
      <c r="G93" s="242">
        <f>F93*N5</f>
        <v>4679.209999999990</v>
      </c>
      <c r="H93" s="166"/>
      <c r="I93" t="s" s="239">
        <v>3240</v>
      </c>
      <c r="J93" s="243">
        <f>G93/$G$117</f>
        <v>0.0423207632192468</v>
      </c>
      <c r="K93" s="166"/>
      <c r="L93" s="166"/>
      <c r="M93" s="166"/>
      <c r="N93" s="166"/>
      <c r="O93" s="166"/>
    </row>
    <row r="94" ht="15.1" customHeight="1">
      <c r="A94" t="s" s="241">
        <v>3241</v>
      </c>
      <c r="B94" s="213">
        <f>N64/N88</f>
        <v>0.0204335453641791</v>
      </c>
      <c r="C94" s="189"/>
      <c r="D94" s="242">
        <v>6.86</v>
      </c>
      <c r="E94" s="242">
        <f>N64/N6</f>
        <v>17.650554245283</v>
      </c>
      <c r="F94" s="242">
        <f>E94-D94</f>
        <v>10.790554245283</v>
      </c>
      <c r="G94" s="242">
        <f>F94*N6</f>
        <v>2287.5975</v>
      </c>
      <c r="H94" s="166"/>
      <c r="I94" t="s" s="239">
        <v>3279</v>
      </c>
      <c r="J94" s="243">
        <f>G94/$G$117</f>
        <v>0.0206900036840495</v>
      </c>
      <c r="K94" s="166"/>
      <c r="L94" s="166"/>
      <c r="M94" s="166"/>
      <c r="N94" s="166"/>
      <c r="O94" s="166"/>
    </row>
    <row r="95" ht="15.1" customHeight="1">
      <c r="A95" t="s" s="241">
        <v>3242</v>
      </c>
      <c r="B95" s="213">
        <f>N65/N88</f>
        <v>0.0341738512850876</v>
      </c>
      <c r="C95" s="189"/>
      <c r="D95" s="242">
        <v>11.94</v>
      </c>
      <c r="E95" s="242">
        <f>N65/N7</f>
        <v>40.3750161290323</v>
      </c>
      <c r="F95" s="242">
        <f>E95-D95</f>
        <v>28.4350161290323</v>
      </c>
      <c r="G95" s="242">
        <f>F95*N7</f>
        <v>4407.427500000010</v>
      </c>
      <c r="H95" s="166"/>
      <c r="I95" t="s" s="239">
        <v>3242</v>
      </c>
      <c r="J95" s="243">
        <f>G95/$G$117</f>
        <v>0.0398626468214715</v>
      </c>
      <c r="K95" s="166"/>
      <c r="L95" s="166"/>
      <c r="M95" s="166"/>
      <c r="N95" s="166"/>
      <c r="O95" s="166"/>
    </row>
    <row r="96" ht="15.1" customHeight="1">
      <c r="A96" t="s" s="241">
        <v>3243</v>
      </c>
      <c r="B96" s="213">
        <f>N66/N88</f>
        <v>0.136889246874318</v>
      </c>
      <c r="C96" s="189"/>
      <c r="D96" s="242">
        <v>48.12</v>
      </c>
      <c r="E96" s="242">
        <f>N66/N8</f>
        <v>160.692355769231</v>
      </c>
      <c r="F96" s="242">
        <f>E96-D96</f>
        <v>112.572355769231</v>
      </c>
      <c r="G96" s="242">
        <f>F96*N8</f>
        <v>17561.2875</v>
      </c>
      <c r="H96" s="166"/>
      <c r="I96" t="s" s="239">
        <v>3243</v>
      </c>
      <c r="J96" s="243">
        <f>G96/$G$117</f>
        <v>0.15883174512634</v>
      </c>
      <c r="K96" s="166"/>
      <c r="L96" s="166"/>
      <c r="M96" s="166"/>
      <c r="N96" s="166"/>
      <c r="O96" s="166"/>
    </row>
    <row r="97" ht="15.1" customHeight="1">
      <c r="A97" t="s" s="241">
        <v>3244</v>
      </c>
      <c r="B97" s="213">
        <f>N67/N88</f>
        <v>0.009872167430333419</v>
      </c>
      <c r="C97" s="189"/>
      <c r="D97" s="242">
        <v>7.83</v>
      </c>
      <c r="E97" s="242">
        <f>N67/N9</f>
        <v>18.078525</v>
      </c>
      <c r="F97" s="242">
        <f>E97-D97</f>
        <v>10.248525</v>
      </c>
      <c r="G97" s="242">
        <f>F97*N9</f>
        <v>1024.8525</v>
      </c>
      <c r="H97" s="166"/>
      <c r="I97" t="s" s="239">
        <v>3244</v>
      </c>
      <c r="J97" s="243">
        <f>G97/$G$117</f>
        <v>0.009269201422281379</v>
      </c>
      <c r="K97" s="166"/>
      <c r="L97" s="166"/>
      <c r="M97" s="166"/>
      <c r="N97" s="166"/>
      <c r="O97" s="166"/>
    </row>
    <row r="98" ht="15.1" customHeight="1">
      <c r="A98" t="s" s="241">
        <v>3245</v>
      </c>
      <c r="B98" s="213">
        <f>N68/N88</f>
        <v>0.0166964272442371</v>
      </c>
      <c r="C98" s="189"/>
      <c r="D98" s="242">
        <v>3.75</v>
      </c>
      <c r="E98" s="242">
        <f>N68/N10</f>
        <v>3.54293541425261</v>
      </c>
      <c r="F98" s="242">
        <f>E98-D98</f>
        <v>-0.20706458574739</v>
      </c>
      <c r="G98" s="242">
        <f>F98*N11</f>
        <v>-193.605387673810</v>
      </c>
      <c r="H98" s="166"/>
      <c r="I98" t="s" s="239">
        <v>3245</v>
      </c>
      <c r="J98" s="243">
        <f>G98/$G$117</f>
        <v>-0.00175104938006925</v>
      </c>
      <c r="K98" s="166"/>
      <c r="L98" s="166"/>
      <c r="M98" s="166"/>
      <c r="N98" s="166"/>
      <c r="O98" s="166"/>
    </row>
    <row r="99" ht="15.1" customHeight="1">
      <c r="A99" t="s" s="241">
        <v>3246</v>
      </c>
      <c r="B99" s="213">
        <f>N68/N88</f>
        <v>0.0166964272442371</v>
      </c>
      <c r="C99" s="189"/>
      <c r="D99" s="242">
        <v>1.5</v>
      </c>
      <c r="E99" s="242">
        <f>N69/N11</f>
        <v>2.31772727272727</v>
      </c>
      <c r="F99" s="242">
        <f>E99-D99</f>
        <v>0.81772727272727</v>
      </c>
      <c r="G99" s="242">
        <f>F99*N12</f>
        <v>53.1522727272726</v>
      </c>
      <c r="H99" s="166"/>
      <c r="I99" t="s" s="239">
        <v>3246</v>
      </c>
      <c r="J99" s="243">
        <f>G99/$G$117</f>
        <v>0.000480731736480248</v>
      </c>
      <c r="K99" s="166"/>
      <c r="L99" s="166"/>
      <c r="M99" s="166"/>
      <c r="N99" s="166"/>
      <c r="O99" s="166"/>
    </row>
    <row r="100" ht="15.1" customHeight="1">
      <c r="A100" t="s" s="241">
        <v>3247</v>
      </c>
      <c r="B100" s="213">
        <f>N70/N88</f>
        <v>0.0173009788482449</v>
      </c>
      <c r="C100" s="189"/>
      <c r="D100" s="242">
        <v>16.19</v>
      </c>
      <c r="E100" s="242">
        <f>N70/N12</f>
        <v>48.7425</v>
      </c>
      <c r="F100" s="242">
        <f>E100-D100</f>
        <v>32.5525</v>
      </c>
      <c r="G100" s="242">
        <f>F100*N12</f>
        <v>2115.9125</v>
      </c>
      <c r="H100" s="166"/>
      <c r="I100" t="s" s="239">
        <v>3247</v>
      </c>
      <c r="J100" s="243">
        <f>G100/$G$117</f>
        <v>0.019137211603058</v>
      </c>
      <c r="K100" s="166"/>
      <c r="L100" s="166"/>
      <c r="M100" s="166"/>
      <c r="N100" s="166"/>
      <c r="O100" s="166"/>
    </row>
    <row r="101" ht="15.1" customHeight="1">
      <c r="A101" t="s" s="241">
        <v>3248</v>
      </c>
      <c r="B101" s="213">
        <f>N71/N88</f>
        <v>0.00532337810715229</v>
      </c>
      <c r="C101" s="189"/>
      <c r="D101" s="242">
        <v>15.94</v>
      </c>
      <c r="E101" s="242">
        <f>N71/N13</f>
        <v>97.485</v>
      </c>
      <c r="F101" s="242">
        <f>E101-D101</f>
        <v>81.545</v>
      </c>
      <c r="G101" s="242">
        <f>F101*N13</f>
        <v>815.45</v>
      </c>
      <c r="H101" s="166"/>
      <c r="I101" t="s" s="239">
        <v>3248</v>
      </c>
      <c r="J101" s="243">
        <f>G101/$G$117</f>
        <v>0.00737527624687392</v>
      </c>
      <c r="K101" s="166"/>
      <c r="L101" s="166"/>
      <c r="M101" s="166"/>
      <c r="N101" s="166"/>
      <c r="O101" s="166"/>
    </row>
    <row r="102" ht="15.1" customHeight="1">
      <c r="A102" t="s" s="241">
        <v>3249</v>
      </c>
      <c r="B102" s="213">
        <f>N72/N88</f>
        <v>0.0390462698881789</v>
      </c>
      <c r="C102" s="189"/>
      <c r="D102" s="242">
        <v>7.24</v>
      </c>
      <c r="E102" s="242">
        <f>N72/N14</f>
        <v>18.2408035714286</v>
      </c>
      <c r="F102" s="242">
        <f>E102-D102</f>
        <v>11.0008035714286</v>
      </c>
      <c r="G102" s="242">
        <f>F102*N14</f>
        <v>4312.315000000010</v>
      </c>
      <c r="H102" s="166"/>
      <c r="I102" t="s" s="239">
        <v>3249</v>
      </c>
      <c r="J102" s="243">
        <f>G102/$G$117</f>
        <v>0.0390024089625828</v>
      </c>
      <c r="K102" s="166"/>
      <c r="L102" s="166"/>
      <c r="M102" s="166"/>
      <c r="N102" s="166"/>
      <c r="O102" s="166"/>
    </row>
    <row r="103" ht="15.1" customHeight="1">
      <c r="A103" t="s" s="241">
        <v>3250</v>
      </c>
      <c r="B103" s="213">
        <f>N73/N88</f>
        <v>0.00838602016633715</v>
      </c>
      <c r="C103" s="189"/>
      <c r="D103" s="242">
        <v>5.67</v>
      </c>
      <c r="E103" s="242">
        <f>N73/N15</f>
        <v>16.6923913043478</v>
      </c>
      <c r="F103" s="242">
        <f>E103-D103</f>
        <v>11.0223913043478</v>
      </c>
      <c r="G103" s="242">
        <f>F103*N15</f>
        <v>1014.06</v>
      </c>
      <c r="H103" s="166"/>
      <c r="I103" t="s" s="239">
        <v>3250</v>
      </c>
      <c r="J103" s="243">
        <f>G103/$G$117</f>
        <v>0.009171589467048829</v>
      </c>
      <c r="K103" s="166"/>
      <c r="L103" s="166"/>
      <c r="M103" s="166"/>
      <c r="N103" s="166"/>
      <c r="O103" s="166"/>
    </row>
    <row r="104" ht="15.1" customHeight="1">
      <c r="A104" t="s" s="241">
        <v>3251</v>
      </c>
      <c r="B104" s="213">
        <f>N74/N88</f>
        <v>0.00654958168099549</v>
      </c>
      <c r="C104" s="16"/>
      <c r="D104" s="235">
        <v>3.16</v>
      </c>
      <c r="E104" s="242">
        <f>N74/N16</f>
        <v>3.21554959785523</v>
      </c>
      <c r="F104" s="242">
        <f>E104-D104</f>
        <v>0.05554959785523</v>
      </c>
      <c r="G104" s="242">
        <f>F104*N17</f>
        <v>52.2721715817714</v>
      </c>
      <c r="H104" s="16"/>
      <c r="I104" t="s" s="239">
        <v>3251</v>
      </c>
      <c r="J104" s="243">
        <f>G104/$G$117</f>
        <v>0.000472771727806189</v>
      </c>
      <c r="K104" s="166"/>
      <c r="L104" s="166"/>
      <c r="M104" s="166"/>
      <c r="N104" s="166"/>
      <c r="O104" s="166"/>
    </row>
    <row r="105" ht="15.1" customHeight="1">
      <c r="A105" t="s" s="241">
        <v>3252</v>
      </c>
      <c r="B105" s="213">
        <f>N75/N88</f>
        <v>0.0063805725489071</v>
      </c>
      <c r="C105" s="189"/>
      <c r="D105" s="242">
        <v>0.04</v>
      </c>
      <c r="E105" s="242">
        <f>N75/N17</f>
        <v>1.24171094580234</v>
      </c>
      <c r="F105" s="242">
        <f>E105-D105</f>
        <v>1.20171094580234</v>
      </c>
      <c r="G105" s="242">
        <f>F105*N17</f>
        <v>1130.81</v>
      </c>
      <c r="H105" s="166"/>
      <c r="I105" t="s" s="239">
        <v>3252</v>
      </c>
      <c r="J105" s="243">
        <f>G105/$G$117</f>
        <v>0.0102275260687075</v>
      </c>
      <c r="K105" s="166"/>
      <c r="L105" s="166"/>
      <c r="M105" s="166"/>
      <c r="N105" s="166"/>
      <c r="O105" s="166"/>
    </row>
    <row r="106" ht="15.1" customHeight="1">
      <c r="A106" t="s" s="241">
        <v>3253</v>
      </c>
      <c r="B106" s="213">
        <f>N76/N88</f>
        <v>0.000293404221877512</v>
      </c>
      <c r="C106" s="189"/>
      <c r="D106" s="242">
        <v>0.1</v>
      </c>
      <c r="E106" s="242">
        <f>N76/N18</f>
        <v>0.9769090909090909</v>
      </c>
      <c r="F106" s="242">
        <f>E106-D106</f>
        <v>0.876909090909091</v>
      </c>
      <c r="G106" s="242">
        <f>F106*N18</f>
        <v>48.23</v>
      </c>
      <c r="H106" s="166"/>
      <c r="I106" t="s" s="239">
        <v>3253</v>
      </c>
      <c r="J106" s="243">
        <f>G106/$G$117</f>
        <v>0.000436212610689471</v>
      </c>
      <c r="K106" s="166"/>
      <c r="L106" s="166"/>
      <c r="M106" s="166"/>
      <c r="N106" s="166"/>
      <c r="O106" s="166"/>
    </row>
    <row r="107" ht="15.1" customHeight="1">
      <c r="A107" t="s" s="241">
        <v>3269</v>
      </c>
      <c r="B107" s="213">
        <f>N77/N88</f>
        <v>0.0147928041476845</v>
      </c>
      <c r="C107" s="189"/>
      <c r="D107" s="242">
        <v>1.59</v>
      </c>
      <c r="E107" s="242">
        <f>N77/N19</f>
        <v>4.25266875981162</v>
      </c>
      <c r="F107" s="242">
        <f>E107-D107</f>
        <v>2.66266875981162</v>
      </c>
      <c r="G107" s="242">
        <f>F107*N19</f>
        <v>1696.12</v>
      </c>
      <c r="H107" s="166"/>
      <c r="I107" t="s" s="239">
        <v>3269</v>
      </c>
      <c r="J107" s="243">
        <f>G107/$G$117</f>
        <v>0.0153404298827001</v>
      </c>
      <c r="K107" s="166"/>
      <c r="L107" s="166"/>
      <c r="M107" s="166"/>
      <c r="N107" s="166"/>
      <c r="O107" s="166"/>
    </row>
    <row r="108" ht="15.1" customHeight="1">
      <c r="A108" t="s" s="241">
        <v>3280</v>
      </c>
      <c r="B108" s="213">
        <f>N78/N88</f>
        <v>0.0439282583944684</v>
      </c>
      <c r="C108" s="189"/>
      <c r="D108" s="242">
        <v>0.05</v>
      </c>
      <c r="E108" s="242">
        <f>N78/N20</f>
        <v>0.39067626632995</v>
      </c>
      <c r="F108" s="242">
        <f>E108-D108</f>
        <v>0.34067626632995</v>
      </c>
      <c r="G108" s="242">
        <f>F108*N20</f>
        <v>7014.865</v>
      </c>
      <c r="H108" s="166"/>
      <c r="I108" t="s" s="239">
        <v>3255</v>
      </c>
      <c r="J108" s="243">
        <f>G108/$G$117</f>
        <v>0.0634454193506986</v>
      </c>
      <c r="K108" s="166"/>
      <c r="L108" s="166"/>
      <c r="M108" s="166"/>
      <c r="N108" s="166"/>
      <c r="O108" s="166"/>
    </row>
    <row r="109" ht="15.1" customHeight="1">
      <c r="A109" t="s" s="241">
        <v>3256</v>
      </c>
      <c r="B109" s="213">
        <f>N79/N88</f>
        <v>0.00491464358253789</v>
      </c>
      <c r="C109" s="189"/>
      <c r="D109" s="242">
        <v>4.7</v>
      </c>
      <c r="E109" s="242">
        <f>N79/N21</f>
        <v>2.64705882352941</v>
      </c>
      <c r="F109" s="242">
        <f>E109-D109</f>
        <v>-2.05294117647059</v>
      </c>
      <c r="G109" s="242">
        <f>F109*N21</f>
        <v>-698.000000000001</v>
      </c>
      <c r="H109" s="166"/>
      <c r="I109" t="s" s="239">
        <v>3256</v>
      </c>
      <c r="J109" s="243">
        <f>G109/$G$117</f>
        <v>-0.00631300854781777</v>
      </c>
      <c r="K109" s="166"/>
      <c r="L109" s="166"/>
      <c r="M109" s="166"/>
      <c r="N109" s="166"/>
      <c r="O109" s="166"/>
    </row>
    <row r="110" ht="15.1" customHeight="1">
      <c r="A110" t="s" s="241">
        <v>3257</v>
      </c>
      <c r="B110" s="213">
        <f>N79/N88</f>
        <v>0.00491464358253789</v>
      </c>
      <c r="C110" s="189"/>
      <c r="D110" s="242">
        <v>19.37</v>
      </c>
      <c r="E110" s="242">
        <f>N80/N22</f>
        <v>15.5291506849315</v>
      </c>
      <c r="F110" s="242">
        <f>E110-D110</f>
        <v>-3.8408493150685</v>
      </c>
      <c r="G110" s="242">
        <f>F110*N22</f>
        <v>-1401.91</v>
      </c>
      <c r="H110" s="166"/>
      <c r="I110" t="s" s="239">
        <v>3257</v>
      </c>
      <c r="J110" s="243">
        <f>G110/$G$117</f>
        <v>-0.0126794696465203</v>
      </c>
      <c r="K110" s="166"/>
      <c r="L110" s="166"/>
      <c r="M110" s="166"/>
      <c r="N110" s="166"/>
      <c r="O110" s="166"/>
    </row>
    <row r="111" ht="15.1" customHeight="1">
      <c r="A111" t="s" s="241">
        <v>3258</v>
      </c>
      <c r="B111" s="213">
        <f>N81/N88</f>
        <v>0.0801027382159176</v>
      </c>
      <c r="C111" s="189"/>
      <c r="D111" s="242">
        <v>10.92</v>
      </c>
      <c r="E111" s="242">
        <f>N81/N23</f>
        <v>47.1669131832797</v>
      </c>
      <c r="F111" s="242">
        <f>E111-D111</f>
        <v>36.2469131832797</v>
      </c>
      <c r="G111" s="242">
        <f>F111*N23</f>
        <v>11272.79</v>
      </c>
      <c r="H111" s="166"/>
      <c r="I111" t="s" s="239">
        <v>3258</v>
      </c>
      <c r="J111" s="243">
        <f>G111/$G$117</f>
        <v>0.101955902045494</v>
      </c>
      <c r="K111" s="166"/>
      <c r="L111" s="166"/>
      <c r="M111" s="166"/>
      <c r="N111" s="166"/>
      <c r="O111" s="166"/>
    </row>
    <row r="112" ht="15.1" customHeight="1">
      <c r="A112" t="s" s="241">
        <v>3259</v>
      </c>
      <c r="B112" s="213">
        <f>N82/N88</f>
        <v>0.06950439124090101</v>
      </c>
      <c r="C112" s="189"/>
      <c r="D112" s="242">
        <v>19.36</v>
      </c>
      <c r="E112" s="242">
        <f>N82/N24</f>
        <v>54.8623922413793</v>
      </c>
      <c r="F112" s="242">
        <f>E112-D112</f>
        <v>35.5023922413793</v>
      </c>
      <c r="G112" s="242">
        <f>F112*N24</f>
        <v>8236.555</v>
      </c>
      <c r="H112" s="166"/>
      <c r="I112" t="s" s="239">
        <v>3259</v>
      </c>
      <c r="J112" s="243">
        <f>G112/$G$117</f>
        <v>0.0744949027501019</v>
      </c>
      <c r="K112" s="166"/>
      <c r="L112" s="166"/>
      <c r="M112" s="166"/>
      <c r="N112" s="166"/>
      <c r="O112" s="166"/>
    </row>
    <row r="113" ht="15.1" customHeight="1">
      <c r="A113" t="s" s="241">
        <v>346</v>
      </c>
      <c r="B113" s="213">
        <f>N83/N88</f>
        <v>0.0200762780793041</v>
      </c>
      <c r="C113" s="189"/>
      <c r="D113" s="242">
        <v>89.45999999999999</v>
      </c>
      <c r="E113" s="242">
        <f>N83/N25</f>
        <v>193.499605263158</v>
      </c>
      <c r="F113" s="242">
        <f>E113-D113</f>
        <v>104.039605263158</v>
      </c>
      <c r="G113" s="242">
        <f>F113*N25</f>
        <v>1976.7525</v>
      </c>
      <c r="H113" s="166"/>
      <c r="I113" t="s" s="239">
        <v>346</v>
      </c>
      <c r="J113" s="243">
        <f>G113/$G$117</f>
        <v>0.01787858944043</v>
      </c>
      <c r="K113" s="166"/>
      <c r="L113" s="166"/>
      <c r="M113" s="166"/>
      <c r="N113" s="166"/>
      <c r="O113" s="166"/>
    </row>
    <row r="114" ht="15.1" customHeight="1">
      <c r="A114" t="s" s="241">
        <v>3261</v>
      </c>
      <c r="B114" s="213"/>
      <c r="C114" s="189"/>
      <c r="D114" s="242">
        <v>847</v>
      </c>
      <c r="E114" s="242">
        <f>N85/N27</f>
        <v>1199.983026315790</v>
      </c>
      <c r="F114" s="242">
        <f>E114-D114</f>
        <v>352.983026315790</v>
      </c>
      <c r="G114" s="242">
        <f>F114*N27</f>
        <v>6706.677500000010</v>
      </c>
      <c r="H114" s="166"/>
      <c r="I114" t="s" s="239">
        <v>3261</v>
      </c>
      <c r="J114" s="243">
        <f>G114/$G$117</f>
        <v>0.0606580406661277</v>
      </c>
      <c r="K114" s="166"/>
      <c r="L114" s="166"/>
      <c r="M114" s="166"/>
      <c r="N114" s="166"/>
      <c r="O114" s="166"/>
    </row>
    <row r="115" ht="15.1" customHeight="1">
      <c r="A115" t="s" s="241">
        <v>3262</v>
      </c>
      <c r="B115" s="213"/>
      <c r="C115" s="189"/>
      <c r="D115" s="242">
        <v>248.1</v>
      </c>
      <c r="E115" s="242">
        <f>N86/N28</f>
        <v>587.99265</v>
      </c>
      <c r="F115" s="242">
        <f>E115-D115</f>
        <v>339.89265</v>
      </c>
      <c r="G115" s="242">
        <f>F115*N28</f>
        <v>16994.6325</v>
      </c>
      <c r="H115" s="166"/>
      <c r="I115" t="s" s="239">
        <v>3262</v>
      </c>
      <c r="J115" s="243">
        <f>G115/$G$117</f>
        <v>0.153706676560919</v>
      </c>
      <c r="K115" s="166"/>
      <c r="L115" s="166"/>
      <c r="M115" s="166"/>
      <c r="N115" s="166"/>
      <c r="O115" s="166"/>
    </row>
    <row r="116" ht="15.1" customHeight="1">
      <c r="A116" t="s" s="244">
        <v>3281</v>
      </c>
      <c r="B116" s="245">
        <f>N87/(N88+N87)</f>
        <v>0.156020536115587</v>
      </c>
      <c r="C116" s="189"/>
      <c r="D116" s="242"/>
      <c r="E116" s="242">
        <f>N87/N29</f>
        <v>131.214147286822</v>
      </c>
      <c r="F116" s="242"/>
      <c r="G116" s="242"/>
      <c r="H116" s="166"/>
      <c r="I116" s="246"/>
      <c r="J116" s="243"/>
      <c r="K116" s="166"/>
      <c r="L116" s="166"/>
      <c r="M116" s="166"/>
      <c r="N116" s="166"/>
      <c r="O116" s="166"/>
    </row>
    <row r="117" ht="15.1" customHeight="1">
      <c r="A117" s="247"/>
      <c r="B117" s="213"/>
      <c r="C117" s="189"/>
      <c r="D117" s="242"/>
      <c r="E117" s="242"/>
      <c r="F117" t="s" s="248">
        <v>3282</v>
      </c>
      <c r="G117" s="240">
        <f>SUM(G91:G113)</f>
        <v>110565.350056635</v>
      </c>
      <c r="H117" s="166"/>
      <c r="I117" s="246"/>
      <c r="J117" s="243"/>
      <c r="K117" s="166"/>
      <c r="L117" s="166"/>
      <c r="M117" s="166"/>
      <c r="N117" s="166"/>
      <c r="O117" s="166"/>
    </row>
  </sheetData>
  <mergeCells count="5">
    <mergeCell ref="A1:O1"/>
    <mergeCell ref="F59:I59"/>
    <mergeCell ref="F33:I33"/>
    <mergeCell ref="O23:O24"/>
    <mergeCell ref="O5:O16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9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6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6719" style="425" customWidth="1"/>
    <col min="15" max="16384" width="16.3516" style="425" customWidth="1"/>
  </cols>
  <sheetData>
    <row r="1" ht="15.55" customHeight="1">
      <c r="A1" t="s" s="2">
        <v>6613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0">
        <v>3332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251">
        <v>3333</v>
      </c>
    </row>
    <row r="3" ht="15.1" customHeight="1">
      <c r="A3" t="s" s="157">
        <v>49</v>
      </c>
      <c r="B3" s="158">
        <f>SUM(GETPIVOTDATA("Sum of Order Quantity",'January 2023'!P912,"Line Item Name","CC-PROJ-5-110"))</f>
        <v>49</v>
      </c>
      <c r="C3" s="159">
        <f>SUM(GETPIVOTDATA("Sum of Order Quantity",'February 2023'!P523,"Line Item Name","CC-PROJ-5-110"))</f>
        <v>24</v>
      </c>
      <c r="D3" s="159">
        <f>SUM(GETPIVOTDATA("Sum of Order Quantity",'March 2023'!P1251,"Line Item Name","CC-PROJ-5-110"))</f>
        <v>31</v>
      </c>
      <c r="E3" s="159">
        <f>SUM(GETPIVOTDATA("Sum of Order Quantity",'April 2023'!P436,"Line Item Name","CC-PROJ-5-110"))</f>
        <v>47</v>
      </c>
      <c r="F3" s="159">
        <f>SUM(GETPIVOTDATA("Sum of Order Quantity",'May 2023'!P1140,"Line Item Name","CC-PROJ-5-110"),GETPIVOTDATA("Sum of Order Quantity",'May 2023'!P1140,"Line Item Name","CC-PROJ-5-220"))</f>
        <v>36</v>
      </c>
      <c r="G3" s="159">
        <f>SUM(GETPIVOTDATA("Sum of Order Quantity",'June 2023'!P500,"Line Item Name","CC-PROJ-5-110"),GETPIVOTDATA("Sum of Order Quantity",'June 2023'!P500,"Line Item Name","CC-PROJ-3-110"),GETPIVOTDATA("Sum of Order Quantity",'June 2023'!P500,"Line Item Name","CC-PROJ-5-220"))</f>
        <v>34</v>
      </c>
      <c r="H3" s="159">
        <f>SUM(GETPIVOTDATA("Sum of Order Quantity",'July 2023'!P1024,"Line Item Name","CC-PROJ-5-110"),GETPIVOTDATA("Sum of Order Quantity",'July 2023'!P1024,"Line Item Name","CC-PROJ-5-110-JIC"))</f>
        <v>44</v>
      </c>
      <c r="I3" s="159">
        <f>SUM(GETPIVOTDATA("Sum of Order Quantity",'August 2023'!P655,"Line Item Name","CC-PROJ-5-110"),GETPIVOTDATA("Sum of Order Quantity",'August 2023'!P655,"Line Item Name","CC-PROJ-5-110-JIC"))</f>
        <v>78</v>
      </c>
      <c r="J3" s="159">
        <f>SUM(GETPIVOTDATA("Sum of Order Quantity",'September 2023'!P599,"Line Item Name","CC-PROJ-5-220"),GETPIVOTDATA("Sum of Order Quantity",'September 2023'!P599,"Line Item Name","CC-PROJ-5-110-JIC"))</f>
        <v>35</v>
      </c>
      <c r="K3" s="159">
        <f>SUM(GETPIVOTDATA("Sum of Order Quantity",'October 2023'!P599,"Line Item Name","CC-PROJ-5-110"),GETPIVOTDATA("Sum of Order Quantity",'October 2023'!P599,"Line Item Name","CC-PROJ-5-220-JIC"))</f>
        <v>23</v>
      </c>
      <c r="L3" s="159">
        <f>SUM(GETPIVOTDATA("Sum of Order Quantity",'November 2023'!P454,"Line Item Name","CC-PROJ-5-110"),GETPIVOTDATA("Sum of Order Quantity",'November 2023'!P454,"Line Item Name","CC-PROJ-5-110-JIC"))</f>
        <v>19</v>
      </c>
      <c r="M3" s="159">
        <f>SUM(GETPIVOTDATA("Sum of Order Quantity",'Decemeber 2023'!P419,"Line Item Name","CC-PROJ-5-110"))</f>
        <v>8</v>
      </c>
      <c r="N3" s="252">
        <f>SUM(B3:M3)</f>
        <v>428</v>
      </c>
    </row>
    <row r="4" ht="15.1" customHeight="1">
      <c r="A4" t="s" s="163">
        <v>3334</v>
      </c>
      <c r="B4" s="164">
        <f>SUM(GETPIVOTDATA("Sum of Order Quantity",'January 2023'!P912,"Line Item Name","CC-QJ-5-110"))</f>
        <v>13</v>
      </c>
      <c r="C4" s="165">
        <f>SUM(GETPIVOTDATA("Sum of Order Quantity",'February 2023'!P523,"Line Item Name","CC-QJ-5-110"),GETPIVOTDATA("Sum of Order Quantity",'February 2023'!P523,"Line Item Name","CC-QJ-5-220"))</f>
        <v>19</v>
      </c>
      <c r="D4" s="165">
        <f>SUM(GETPIVOTDATA("Sum of Order Quantity",'March 2023'!P1251,"Line Item Name","CC-QJ-5-110"))</f>
        <v>1</v>
      </c>
      <c r="E4" s="165">
        <v>0</v>
      </c>
      <c r="F4" s="165">
        <v>0</v>
      </c>
      <c r="G4" s="165">
        <f>SUM(GETPIVOTDATA("Sum of Order Quantity",'June 2023'!P500,"Line Item Name","CC-QJ-5-110"))</f>
        <v>2</v>
      </c>
      <c r="H4" s="165">
        <f>SUM(GETPIVOTDATA("Sum of Order Quantity",'July 2023'!P1024,"Line Item Name","CC-QJ-5-110-JIC"))</f>
        <v>15</v>
      </c>
      <c r="I4" s="165">
        <f>SUM(GETPIVOTDATA("Sum of Order Quantity",'August 2023'!P655,"Line Item Name","CC-QJ-5-110"),GETPIVOTDATA("Sum of Order Quantity",'August 2023'!P655,"Line Item Name","CC-QJ-5-110-JIC"))</f>
        <v>9</v>
      </c>
      <c r="J4" s="165">
        <f>SUM(GETPIVOTDATA("Sum of Order Quantity",'September 2023'!P599,"Line Item Name","CC-QJ-5-110"))</f>
        <v>7</v>
      </c>
      <c r="K4" s="165">
        <f>SUM(GETPIVOTDATA("Sum of Order Quantity",'October 2023'!P599,"Line Item Name","CC-QJ-5-110"),GETPIVOTDATA("Sum of Order Quantity",'October 2023'!P599,"Line Item Name","CC-QJ-5-110-JIC"))</f>
        <v>13</v>
      </c>
      <c r="L4" s="165">
        <f>SUM(GETPIVOTDATA("Sum of Order Quantity",'November 2023'!P454,"Line Item Name","CC-QJ-5-110-JIC"),GETPIVOTDATA("Sum of Order Quantity",'November 2023'!P454,"Line Item Name","CC-QJ-5-110"))</f>
        <v>17</v>
      </c>
      <c r="M4" s="165">
        <v>0</v>
      </c>
      <c r="N4" s="253">
        <f>SUM(B4:M4)</f>
        <v>96</v>
      </c>
    </row>
    <row r="5" ht="15.1" customHeight="1">
      <c r="A5" t="s" s="163">
        <v>3335</v>
      </c>
      <c r="B5" s="164">
        <f>SUM(GETPIVOTDATA("Sum of Order Quantity",'January 2023'!P912,"Line Item Name","CC-MJMKII-3-110"),GETPIVOTDATA("Sum of Order Quantity",'January 2023'!P912,"Line Item Name","CC-MJMKII-5-110"))</f>
        <v>18</v>
      </c>
      <c r="C5" s="165">
        <f>SUM(GETPIVOTDATA("Sum of Order Quantity",'February 2023'!P523,"Line Item Name","CC-MJMKII-3-110"),GETPIVOTDATA("Sum of Order Quantity",'February 2023'!P523,"Line Item Name","CC-MJMKII-5-110"))</f>
        <v>54</v>
      </c>
      <c r="D5" s="165">
        <f>SUM(GETPIVOTDATA("Sum of Order Quantity",'March 2023'!P1251,"Line Item Name","CC-MJMKII-5-110"),GETPIVOTDATA("Sum of Order Quantity",'March 2023'!P1251,"Line Item Name","CC-MJMKII-3-110"))</f>
        <v>29</v>
      </c>
      <c r="E5" s="165">
        <f>SUM(GETPIVOTDATA("Sum of Order Quantity",'April 2023'!P436,"Line Item Name","CC-MJMKII-5-110"),GETPIVOTDATA("Sum of Order Quantity",'April 2023'!P436,"Line Item Name","CC-MJMKII-3-110"))</f>
        <v>24</v>
      </c>
      <c r="F5" s="165">
        <f>SUM(GETPIVOTDATA("Sum of Order Quantity",'May 2023'!P1140,"Line Item Name","CC-MJMKII-3-110"),GETPIVOTDATA("Sum of Order Quantity",'May 2023'!P1140,"Line Item Name","CC-MJMKII-5-110"))</f>
        <v>22</v>
      </c>
      <c r="G5" s="165">
        <f>SUM(GETPIVOTDATA("Sum of Order Quantity",'June 2023'!P500,"Line Item Name","CC-MJMKII-3-110"))</f>
        <v>20</v>
      </c>
      <c r="H5" s="165">
        <f>SUM(GETPIVOTDATA("Sum of Order Quantity",'July 2023'!P1024,"Line Item Name","CC-MJMKII-3-110"),GETPIVOTDATA("Sum of Order Quantity",'July 2023'!P1024,"Line Item Name","CC-MJMKII-5-110"))</f>
        <v>17</v>
      </c>
      <c r="I5" s="165">
        <f>SUM(GETPIVOTDATA("Sum of Order Quantity",'August 2023'!P655,"Line Item Name","CC-MJMKII-3-110"),GETPIVOTDATA("Sum of Order Quantity",'August 2023'!P655,"Line Item Name","CC-MJMKII-5-110"))</f>
        <v>26</v>
      </c>
      <c r="J5" s="165">
        <f>SUM(GETPIVOTDATA("Sum of Order Quantity",'September 2023'!P599,"Line Item Name","CC-MJMKII-5-110"),GETPIVOTDATA("Sum of Order Quantity",'September 2023'!P599,"Line Item Name","CC-MJMKII-3-110"))</f>
        <v>16</v>
      </c>
      <c r="K5" s="165">
        <f>SUM(GETPIVOTDATA("Sum of Order Quantity",'October 2023'!P599,"Line Item Name","CC-MJMKII-3-110"),GETPIVOTDATA("Sum of Order Quantity",'October 2023'!P599,"Line Item Name","CC-MJMKII-5-110"))</f>
        <v>20</v>
      </c>
      <c r="L5" s="165">
        <f>SUM(GETPIVOTDATA("Sum of Order Quantity",'November 2023'!P454,"Line Item Name","CC-MJMKII-3-110"),GETPIVOTDATA("Sum of Order Quantity",'November 2023'!P454,"Line Item Name","CC-MJMKII-5-110"))</f>
        <v>23</v>
      </c>
      <c r="M5" s="165">
        <f>SUM(GETPIVOTDATA("Sum of Order Quantity",'Decemeber 2023'!P419,"Line Item Name","CC-MJMKII-3-110"),GETPIVOTDATA("Sum of Order Quantity",'Decemeber 2023'!P419,"Line Item Name","CC-MJMKII-5-110"))</f>
        <v>16</v>
      </c>
      <c r="N5" s="253">
        <f>SUM(B5:M5)</f>
        <v>285</v>
      </c>
    </row>
    <row r="6" ht="15.1" customHeight="1">
      <c r="A6" t="s" s="163">
        <v>3336</v>
      </c>
      <c r="B6" s="164">
        <v>0</v>
      </c>
      <c r="C6" s="165">
        <v>0</v>
      </c>
      <c r="D6" s="165">
        <f>SUM(GETPIVOTDATA("Sum of Order Quantity",'March 2023'!P1251,"Line Item Name","CC-CC2-220"),GETPIVOTDATA("Sum of Order Quantity",'March 2023'!P1251,"Line Item Name","CC-CC2-110"))</f>
        <v>18</v>
      </c>
      <c r="E6" s="165">
        <f>SUM(GETPIVOTDATA("Sum of Order Quantity",'April 2023'!P436,"Line Item Name","CC-CC2-110"))</f>
        <v>9</v>
      </c>
      <c r="F6" s="165">
        <f>SUM(GETPIVOTDATA("Sum of Order Quantity",'May 2023'!P1140,"Line Item Name","CC-CC2-110"),GETPIVOTDATA("Sum of Order Quantity",'May 2023'!P1140,"Line Item Name","CC-CC2-220"))</f>
        <v>36</v>
      </c>
      <c r="G6" s="165">
        <f>SUM(GETPIVOTDATA("Sum of Order Quantity",'June 2023'!P500,"Line Item Name","CC-CC2-110"))</f>
        <v>15</v>
      </c>
      <c r="H6" s="165">
        <f>SUM(GETPIVOTDATA("Sum of Order Quantity",'July 2023'!P1024,"Line Item Name","CC-CC2-220"),GETPIVOTDATA("Sum of Order Quantity",'July 2023'!P1024,"Line Item Name","CC-CC2-110"))</f>
        <v>30</v>
      </c>
      <c r="I6" s="165">
        <f>SUM(GETPIVOTDATA("Sum of Order Quantity",'August 2023'!P655,"Line Item Name","CC-CC2-110-JIC"),GETPIVOTDATA("Sum of Order Quantity",'August 2023'!P655,"Line Item Name","CC-CC2-110"))</f>
        <v>42</v>
      </c>
      <c r="J6" s="165">
        <f>SUM(GETPIVOTDATA("Sum of Order Quantity",'September 2023'!P599,"Line Item Name","CC-CC2-110"),GETPIVOTDATA("Sum of Order Quantity",'September 2023'!P599,"Line Item Name","CC-CC2-110-JIC"))</f>
        <v>19</v>
      </c>
      <c r="K6" s="165">
        <f>SUM(GETPIVOTDATA("Sum of Order Quantity",'October 2023'!P599,"Line Item Name","CC-CC2-110"),GETPIVOTDATA("Sum of Order Quantity",'October 2023'!P599,"Line Item Name","CC-CC2-110-JIC"))</f>
        <v>3</v>
      </c>
      <c r="L6" s="165">
        <f>SUM(GETPIVOTDATA("Sum of Order Quantity",'November 2023'!P454,"Line Item Name","CC-CC2-110"),GETPIVOTDATA("Sum of Order Quantity",'November 2023'!P454,"Line Item Name","CC-CC2-110-JIC"))</f>
        <v>7</v>
      </c>
      <c r="M6" s="165">
        <f>SUM(GETPIVOTDATA("Sum of Order Quantity",'Decemeber 2023'!P419,"Line Item Name","CC-CC2-110"))+GETPIVOTDATA("Sum of Order Quantity",'Decemeber 2023'!P419,"Line Item Name","CC-CC2-110-JIC")</f>
        <v>8</v>
      </c>
      <c r="N6" s="253">
        <f>SUM(B6:M6)</f>
        <v>187</v>
      </c>
    </row>
    <row r="7" ht="15.1" customHeight="1">
      <c r="A7" t="s" s="163">
        <v>3237</v>
      </c>
      <c r="B7" s="254">
        <f>SUM(B3:B6)</f>
        <v>80</v>
      </c>
      <c r="C7" s="253">
        <f>SUM(C3:C6)</f>
        <v>97</v>
      </c>
      <c r="D7" s="253">
        <f>SUM(D3:D6)</f>
        <v>79</v>
      </c>
      <c r="E7" s="253">
        <f>SUM(E3:E6)</f>
        <v>80</v>
      </c>
      <c r="F7" s="253">
        <f>SUM(F3:F6)</f>
        <v>94</v>
      </c>
      <c r="G7" s="253">
        <f>SUM(G3:G6)</f>
        <v>71</v>
      </c>
      <c r="H7" s="253">
        <f>SUM(H3:H6)</f>
        <v>106</v>
      </c>
      <c r="I7" s="253">
        <f>SUM(I3:I6)</f>
        <v>155</v>
      </c>
      <c r="J7" s="253">
        <f>SUM(J3:J6)</f>
        <v>77</v>
      </c>
      <c r="K7" s="253">
        <f>SUM(K3:K6)</f>
        <v>59</v>
      </c>
      <c r="L7" s="253">
        <f>SUM(L3:L6)</f>
        <v>66</v>
      </c>
      <c r="M7" s="253">
        <f>SUM(M3:M6)</f>
        <v>32</v>
      </c>
      <c r="N7" s="253">
        <f>SUM(N3:N6)</f>
        <v>996</v>
      </c>
    </row>
    <row r="8" ht="15.1" customHeight="1">
      <c r="A8" s="255"/>
      <c r="B8" s="172"/>
      <c r="C8" s="173"/>
      <c r="D8" s="173"/>
      <c r="E8" s="173"/>
      <c r="F8" t="s" s="174">
        <v>3266</v>
      </c>
      <c r="G8" s="16"/>
      <c r="H8" s="16"/>
      <c r="I8" s="16"/>
      <c r="J8" s="173"/>
      <c r="K8" s="173"/>
      <c r="L8" s="173"/>
      <c r="M8" s="173"/>
      <c r="N8" s="173"/>
    </row>
    <row r="9" ht="15.1" customHeight="1">
      <c r="A9" t="s" s="304">
        <v>3272</v>
      </c>
      <c r="B9" s="305">
        <f>SUM(N3:N6)</f>
        <v>996</v>
      </c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</row>
    <row r="10" ht="15.1" customHeight="1">
      <c r="A10" t="s" s="304">
        <v>3337</v>
      </c>
      <c r="B10" s="306">
        <f>N3/B9</f>
        <v>0.429718875502008</v>
      </c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</row>
    <row r="11" ht="15.1" customHeight="1">
      <c r="A11" t="s" s="304">
        <v>3338</v>
      </c>
      <c r="B11" s="306">
        <f>N4/B9</f>
        <v>0.0963855421686747</v>
      </c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</row>
    <row r="12" ht="15.1" customHeight="1">
      <c r="A12" t="s" s="304">
        <v>3339</v>
      </c>
      <c r="B12" s="306">
        <f>N5/B9</f>
        <v>0.286144578313253</v>
      </c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</row>
    <row r="13" ht="15.1" customHeight="1">
      <c r="A13" t="s" s="304">
        <v>3340</v>
      </c>
      <c r="B13" s="306">
        <f>N6/B9</f>
        <v>0.187751004016064</v>
      </c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</row>
    <row r="14" ht="15.1" customHeight="1">
      <c r="A14" s="247"/>
      <c r="B14" s="307"/>
      <c r="C14" s="215"/>
      <c r="D14" s="215"/>
      <c r="E14" s="215"/>
      <c r="F14" t="s" s="216">
        <v>3270</v>
      </c>
      <c r="G14" s="16"/>
      <c r="H14" s="16"/>
      <c r="I14" s="16"/>
      <c r="J14" s="215"/>
      <c r="K14" s="215"/>
      <c r="L14" s="215"/>
      <c r="M14" s="215"/>
      <c r="N14" s="215"/>
    </row>
    <row r="15" ht="15.1" customHeight="1">
      <c r="A15" s="308"/>
      <c r="B15" s="309">
        <v>45292</v>
      </c>
      <c r="C15" s="310">
        <v>45323</v>
      </c>
      <c r="D15" s="310">
        <v>45352</v>
      </c>
      <c r="E15" s="310">
        <v>45383</v>
      </c>
      <c r="F15" s="310">
        <v>45413</v>
      </c>
      <c r="G15" s="310">
        <v>45444</v>
      </c>
      <c r="H15" s="310">
        <v>45474</v>
      </c>
      <c r="I15" s="310">
        <v>45505</v>
      </c>
      <c r="J15" s="310">
        <v>45536</v>
      </c>
      <c r="K15" s="310">
        <v>45566</v>
      </c>
      <c r="L15" s="310">
        <v>45597</v>
      </c>
      <c r="M15" s="310">
        <v>45627</v>
      </c>
      <c r="N15" t="s" s="311">
        <v>3341</v>
      </c>
    </row>
    <row r="16" ht="15.1" customHeight="1">
      <c r="A16" t="s" s="163">
        <v>49</v>
      </c>
      <c r="B16" s="224">
        <f>SUM(GETPIVOTDATA("Sum of Total Line Item $",'January 2023'!R983,"Line Item Name","CC-PROJ-5-110"))</f>
        <v>49284.7455</v>
      </c>
      <c r="C16" s="225">
        <f>SUM(GETPIVOTDATA("Sum of Total Line Item $",'February 2023'!R610,"Line Item Name","CC-PROJ-5-110"))</f>
        <v>28599.78</v>
      </c>
      <c r="D16" s="225">
        <f>SUM(GETPIVOTDATA("Sum of Total Line Item $",'March 2023'!R1329,"Line Item Name","CC-PROJ-5-110"))</f>
        <v>35954.715</v>
      </c>
      <c r="E16" s="225">
        <f>SUM(GETPIVOTDATA("Sum of Total Line Item $",'April 2023'!R506,"Line Item Name","CC-PROJ-5-110"))</f>
        <v>47234.7975</v>
      </c>
      <c r="F16" s="225">
        <f>SUM(GETPIVOTDATA("Sum of Total Line Item $",'May 2023'!R1236,"Line Item Name","CC-PROJ-5-110"),GETPIVOTDATA("Sum of Total Line Item $",'May 2023'!R1236,"Line Item Name","CC-PROJ-5-220"))</f>
        <v>36874.7925</v>
      </c>
      <c r="G16" s="225">
        <f>SUM(GETPIVOTDATA("Sum of Total Line Item $",'June 2023'!R608,"Line Item Name","CC-PROJ-5-110"),GETPIVOTDATA("Sum of Total Line Item $",'June 2023'!R608,"Line Item Name","CC-PROJ-3-110"),GETPIVOTDATA("Sum of Total Line Item $",'June 2023'!R608,"Line Item Name","CC-PROJ-5-220"))</f>
        <v>42119.676</v>
      </c>
      <c r="H16" s="225">
        <f>SUM(GETPIVOTDATA("Sum of Total Line Item $",'July 2023'!R1133,"Line Item Name","CC-PROJ-5-110"),GETPIVOTDATA("Sum of Total Line Item $",'July 2023'!R1133,"Line Item Name","CC-PROJ-5-110-JIC"))</f>
        <v>44474.7825</v>
      </c>
      <c r="I16" s="225">
        <f>SUM(GETPIVOTDATA("Sum of Total Line Item $",'August 2023'!R760,"Line Item Name","CC-PROJ-5-110"),GETPIVOTDATA("Sum of Total Line Item $",'August 2023'!R760,"Line Item Name","CC-PROJ-5-110-JIC"),GETPIVOTDATA("Sum of Total Line Item $",'August 2023'!R760,"Line Item Name","CC-PROJ-5-220-JIC"))</f>
        <v>80074.7025</v>
      </c>
      <c r="J16" s="225">
        <f>SUM(GETPIVOTDATA("Sum of Total Line Item $",'September 2023'!R716,"Line Item Name","CC-PROJ-5-220"),GETPIVOTDATA("Sum of Total Line Item $",'September 2023'!R716,"Line Item Name","CC-PROJ-5-110"),GETPIVOTDATA("Sum of Total Line Item $",'September 2023'!R716,"Line Item Name","CC-PROJ-5-110-JIC"))</f>
        <v>52899.78</v>
      </c>
      <c r="K16" s="225">
        <f>SUM(GETPIVOTDATA("Sum of Total Line Item $",'October 2023'!R708,"Line Item Name","CC-PROJ-5-110"),GETPIVOTDATA("Sum of Total Line Item $",'October 2023'!R708,"Line Item Name","CC-PROJ-5-220-JIC"))</f>
        <v>26024.8275</v>
      </c>
      <c r="L16" s="225">
        <f>SUM(GETPIVOTDATA("Sum of Total Line Item $",'November 2023'!R549,"Line Item Name","CC-PROJ-5-110"),GETPIVOTDATA("Sum of Total Line Item $",'November 2023'!R549,"Line Item Name","CC-PROJ-5-110-JIC"))</f>
        <v>19374.8925</v>
      </c>
      <c r="M16" s="225">
        <f>SUM(GETPIVOTDATA("Sum of Total Line Item $",'Decemeber 2023'!R527,"Line Item Name","CC-PROJ-5-110"))</f>
        <v>10399.92</v>
      </c>
      <c r="N16" s="231">
        <f>SUM(B16:M16)</f>
        <v>473317.4115</v>
      </c>
    </row>
    <row r="17" ht="15.1" customHeight="1">
      <c r="A17" t="s" s="163">
        <v>3334</v>
      </c>
      <c r="B17" s="224">
        <f>SUM(GETPIVOTDATA("Sum of Total Line Item $",'January 2023'!R983,"Line Item Name","CC-QJ-5-110"))</f>
        <v>23249.907</v>
      </c>
      <c r="C17" s="225">
        <f>SUM(GETPIVOTDATA("Sum of Total Line Item $",'February 2023'!R610,"Line Item Name","CC-QJ-5-110"),GETPIVOTDATA("Sum of Total Line Item $",'February 2023'!R610,"Line Item Name","CC-QJ-5-220"))</f>
        <v>33999.8965</v>
      </c>
      <c r="D17" s="225">
        <f>SUM(GETPIVOTDATA("Sum of Total Line Item $",'March 2023'!R1329,"Line Item Name","CC-QJ-5-110"))</f>
        <v>1874.9925</v>
      </c>
      <c r="E17" s="225">
        <v>0</v>
      </c>
      <c r="F17" s="225">
        <v>0</v>
      </c>
      <c r="G17" s="225">
        <f>SUM(GETPIVOTDATA("Sum of Total Line Item $",'June 2023'!R608,"Line Item Name","CC-QJ-5-110"))</f>
        <v>4999.98</v>
      </c>
      <c r="H17" s="225">
        <f>SUM(GETPIVOTDATA("Sum of Total Line Item $",'July 2023'!R1133,"Line Item Name","CC-QJ-5-110"),GETPIVOTDATA("Sum of Total Line Item $",'July 2023'!R1133,"Line Item Name","CC-QJ-5-110-JIC"))</f>
        <v>50024.835</v>
      </c>
      <c r="I17" s="225">
        <f>SUM(GETPIVOTDATA("Sum of Total Line Item $",'August 2023'!R760,"Line Item Name","CC-QJ-5-110"),GETPIVOTDATA("Sum of Total Line Item $",'August 2023'!R760,"Line Item Name","CC-QJ-5-110-JIC"))</f>
        <v>18249.94</v>
      </c>
      <c r="J17" s="225">
        <f>SUM(GETPIVOTDATA("Sum of Total Line Item $",'September 2023'!R716,"Line Item Name","CC-QJ-5-110"))</f>
        <v>10049.985</v>
      </c>
      <c r="K17" s="225">
        <f>SUM(GETPIVOTDATA("Sum of Total Line Item $",'October 2023'!R708,"Line Item Name","CC-QJ-5-110-JIC"),GETPIVOTDATA("Sum of Total Line Item $",'October 2023'!R708,"Line Item Name","CC-QJ-5-110"))</f>
        <v>20825</v>
      </c>
      <c r="L17" s="225">
        <f>SUM(GETPIVOTDATA("Sum of Total Line Item $",'November 2023'!R549,"Line Item Name","CC-QJ-5-110"),GETPIVOTDATA("Sum of Total Line Item $",'November 2023'!R549,"Line Item Name","CC-QJ-5-110-JIC"))</f>
        <v>36074.925</v>
      </c>
      <c r="M17" s="225">
        <v>0</v>
      </c>
      <c r="N17" s="231">
        <f>SUM(B17:M17)</f>
        <v>199349.461</v>
      </c>
    </row>
    <row r="18" ht="15.1" customHeight="1">
      <c r="A18" t="s" s="163">
        <v>3335</v>
      </c>
      <c r="B18" s="224">
        <f>SUM(GETPIVOTDATA("Sum of Total Line Item $",'January 2023'!R983,"Line Item Name","CC-MJMKII-3-110"),GETPIVOTDATA("Sum of Total Line Item $",'January 2023'!R983,"Line Item Name","CC-MJMKII-5-110"))</f>
        <v>15354.82</v>
      </c>
      <c r="C18" s="225">
        <f>SUM(GETPIVOTDATA("Sum of Total Line Item $",'February 2023'!R610,"Line Item Name","CC-MJMKII-3-110"),GETPIVOTDATA("Sum of Total Line Item $",'February 2023'!R610,"Line Item Name","CC-MJMKII-5-110"))</f>
        <v>37954.555</v>
      </c>
      <c r="D18" s="225">
        <f>SUM(GETPIVOTDATA("Sum of Total Line Item $",'March 2023'!R1329,"Line Item Name","CC-MJMKII-3-110"),GETPIVOTDATA("Sum of Total Line Item $",'March 2023'!R1329,"Line Item Name","CC-MJMKII-5-110"))</f>
        <v>21429.75</v>
      </c>
      <c r="E18" s="225">
        <f>SUM(GETPIVOTDATA("Sum of Total Line Item $",'April 2023'!R506,"Line Item Name","CC-MJMKII-5-110"),GETPIVOTDATA("Sum of Total Line Item $",'April 2023'!R506,"Line Item Name","CC-MJMKII-3-110"))</f>
        <v>20699.76</v>
      </c>
      <c r="F18" s="225">
        <f>SUM(GETPIVOTDATA("Sum of Total Line Item $",'May 2023'!R1236,"Line Item Name","CC-MJMKII-3-110"),GETPIVOTDATA("Sum of Total Line Item $",'May 2023'!R1236,"Line Item Name","CC-MJMKII-5-110"))</f>
        <v>18304.785</v>
      </c>
      <c r="G18" s="225">
        <f>SUM(GETPIVOTDATA("Sum of Total Line Item $",'June 2023'!R608,"Line Item Name","CC-MJMKII-3-110"))</f>
        <v>16149.81</v>
      </c>
      <c r="H18" s="225">
        <f>SUM(GETPIVOTDATA("Sum of Total Line Item $",'July 2023'!R1133,"Line Item Name","CC-MJMKII-3-110"),GETPIVOTDATA("Sum of Total Line Item $",'July 2023'!R1133,"Line Item Name","CC-MJMKII-5-110"))</f>
        <v>13659.84</v>
      </c>
      <c r="I18" s="225">
        <f>SUM(GETPIVOTDATA("Sum of Total Line Item $",'August 2023'!R760,"Line Item Name","CC-MJMKII-5-110"),GETPIVOTDATA("Sum of Total Line Item $",'August 2023'!R760,"Line Item Name","CC-MJMKII-3-110"))</f>
        <v>19297.776</v>
      </c>
      <c r="J18" s="225">
        <f>SUM(GETPIVOTDATA("Sum of Total Line Item $",'September 2023'!R716,"Line Item Name","CC-MJMKII-5-110"),GETPIVOTDATA("Sum of Total Line Item $",'September 2023'!R716,"Line Item Name","CC-MJMKII-3-110"))</f>
        <v>11449.89</v>
      </c>
      <c r="K18" s="225">
        <f>SUM(GETPIVOTDATA("Sum of Total Line Item $",'October 2023'!R708,"Line Item Name","CC-MJMKII-3-110"),GETPIVOTDATA("Sum of Total Line Item $",'October 2023'!R708,"Line Item Name","CC-MJMKII-5-110"))</f>
        <v>17119.8</v>
      </c>
      <c r="L18" s="225">
        <f>SUM(GETPIVOTDATA("Sum of Total Line Item $",'November 2023'!R549,"Line Item Name","CC-MJMKII-3-110"),GETPIVOTDATA("Sum of Total Line Item $",'November 2023'!R549,"Line Item Name","CC-MJMKII-5-110"))</f>
        <v>18234.785</v>
      </c>
      <c r="M18" s="225">
        <f>SUM(GETPIVOTDATA("Sum of Total Line Item $",'Decemeber 2023'!R527,"Line Item Name","CC-MJMKII-3-110"),GETPIVOTDATA("Sum of Total Line Item $",'Decemeber 2023'!R527,"Line Item Name","CC-MJMKII-5-110"))</f>
        <v>13204.845</v>
      </c>
      <c r="N18" s="231">
        <f>SUM(B18:M18)</f>
        <v>222860.416</v>
      </c>
    </row>
    <row r="19" ht="15.1" customHeight="1">
      <c r="A19" t="s" s="163">
        <v>3336</v>
      </c>
      <c r="B19" s="224">
        <v>0</v>
      </c>
      <c r="C19" s="225">
        <v>0</v>
      </c>
      <c r="D19" s="225">
        <f>SUM(GETPIVOTDATA("Sum of Total Line Item $",'March 2023'!R1329,"Line Item Name","CC-CC2-110"),GETPIVOTDATA("Sum of Total Line Item $",'March 2023'!R1329,"Line Item Name","CC-CC2-220"))</f>
        <v>8499.83</v>
      </c>
      <c r="E19" s="225">
        <f>SUM(GETPIVOTDATA("Sum of Total Line Item $",'April 2023'!R506,"Line Item Name","CC-CC2-110"))</f>
        <v>3999.92</v>
      </c>
      <c r="F19" s="225">
        <f>SUM(GETPIVOTDATA("Sum of Total Line Item $",'May 2023'!R1236,"Line Item Name","CC-CC2-220"),GETPIVOTDATA("Sum of Total Line Item $",'May 2023'!R1236,"Line Item Name","CC-CC2-110"))</f>
        <v>15499.69</v>
      </c>
      <c r="G19" s="225">
        <f>SUM(GETPIVOTDATA("Sum of Total Line Item $",'June 2023'!R608,"Line Item Name","CC-CC2-110"))</f>
        <v>6249.875</v>
      </c>
      <c r="H19" s="225">
        <f>GETPIVOTDATA("Sum of Total Line Item $",'July 2023'!R1133,"Line Item Name","CC-CC2-110")+GETPIVOTDATA("Sum of Total Line Item $",'July 2023'!R1133,"Line Item Name","CC-CC2-220")</f>
        <v>12249.755</v>
      </c>
      <c r="I19" s="225">
        <f>SUM(GETPIVOTDATA("Sum of Total Line Item $",'August 2023'!R760,"Line Item Name","CC-CC2-110-JIC"),GETPIVOTDATA("Sum of Total Line Item $",'August 2023'!R760,"Line Item Name","CC-CC2-110"))</f>
        <v>17999.715</v>
      </c>
      <c r="J19" s="225">
        <f>SUM(GETPIVOTDATA("Sum of Total Line Item $",'September 2023'!R716,"Line Item Name","CC-CC2-110-JIC"),GETPIVOTDATA("Sum of Total Line Item $",'September 2023'!R716,"Line Item Name","CC-CC2-110"))</f>
        <v>8999.82</v>
      </c>
      <c r="K19" s="225">
        <f>SUM(GETPIVOTDATA("Sum of Total Line Item $",'October 2023'!R708,"Line Item Name","CC-CC2-110-JIC"),GETPIVOTDATA("Sum of Total Line Item $",'October 2023'!R708,"Line Item Name","CC-CC2-110"))</f>
        <v>1249.975</v>
      </c>
      <c r="L19" s="225">
        <f>SUM(GETPIVOTDATA("Sum of Total Line Item $",'November 2023'!R549,"Line Item Name","CC-CC2-110"),GETPIVOTDATA("Sum of Total Line Item $",'November 2023'!R549,"Line Item Name","CC-CC2-110-JIC"))</f>
        <v>3499.93</v>
      </c>
      <c r="M19" s="225">
        <f>SUM(GETPIVOTDATA("Sum of Total Line Item $",'Decemeber 2023'!R527,"Line Item Name","CC-CC2-110"),GETPIVOTDATA("Sum of Total Line Item $",'Decemeber 2023'!R527,"Line Item Name","CC-CC2-110-JIC"))</f>
        <v>3249.935</v>
      </c>
      <c r="N19" s="231">
        <f>SUM(B19:M19)</f>
        <v>81498.445000000007</v>
      </c>
    </row>
    <row r="20" ht="15.1" customHeight="1">
      <c r="A20" t="s" s="163">
        <v>3237</v>
      </c>
      <c r="B20" s="230">
        <f>SUM(B16:B19)</f>
        <v>87889.4725</v>
      </c>
      <c r="C20" s="231">
        <f>SUM(C16:C19)</f>
        <v>100554.2315</v>
      </c>
      <c r="D20" s="231">
        <f>SUM(D16:D19)</f>
        <v>67759.287500000006</v>
      </c>
      <c r="E20" s="231">
        <f>SUM(E16:E19)</f>
        <v>71934.477499999994</v>
      </c>
      <c r="F20" s="231">
        <f>SUM(F16:F19)</f>
        <v>70679.2675</v>
      </c>
      <c r="G20" s="231">
        <f>SUM(G16:G19)</f>
        <v>69519.341</v>
      </c>
      <c r="H20" s="231">
        <f>SUM(H16:H19)</f>
        <v>120409.2125</v>
      </c>
      <c r="I20" s="231">
        <f>SUM(I16:I19)</f>
        <v>135622.1335</v>
      </c>
      <c r="J20" s="231">
        <f>SUM(J16:J19)</f>
        <v>83399.475000000006</v>
      </c>
      <c r="K20" s="231">
        <f>SUM(K16:K19)</f>
        <v>65219.6025</v>
      </c>
      <c r="L20" s="231">
        <f>SUM(L16:L19)</f>
        <v>77184.5325</v>
      </c>
      <c r="M20" s="231">
        <f>SUM(M16:M19)</f>
        <v>26854.7</v>
      </c>
      <c r="N20" s="231">
        <f>SUM(N16:N19)</f>
        <v>977025.7335</v>
      </c>
    </row>
    <row r="21" ht="15.1" customHeight="1">
      <c r="A21" s="247"/>
      <c r="B21" s="300"/>
      <c r="C21" s="240"/>
      <c r="D21" s="240"/>
      <c r="E21" s="240"/>
      <c r="F21" s="240"/>
      <c r="G21" s="240"/>
      <c r="H21" s="240"/>
      <c r="I21" s="240"/>
      <c r="J21" s="240"/>
      <c r="K21" s="240"/>
      <c r="L21" s="240"/>
      <c r="M21" s="240"/>
      <c r="N21" s="240"/>
    </row>
    <row r="22" ht="15.1" customHeight="1">
      <c r="A22" t="s" s="241">
        <v>3272</v>
      </c>
      <c r="B22" s="300">
        <v>977025.73</v>
      </c>
      <c r="C22" s="231"/>
      <c r="D22" t="s" s="301">
        <v>3274</v>
      </c>
      <c r="E22" t="s" s="301">
        <v>3275</v>
      </c>
      <c r="F22" t="s" s="301">
        <v>3342</v>
      </c>
      <c r="G22" t="s" s="301">
        <v>6610</v>
      </c>
      <c r="H22" s="312"/>
      <c r="I22" t="s" s="238">
        <v>6611</v>
      </c>
      <c r="J22" s="313">
        <f>SUM(G23:G26)</f>
        <v>649400.083499999</v>
      </c>
      <c r="K22" s="312"/>
      <c r="L22" s="312"/>
      <c r="M22" s="312"/>
      <c r="N22" s="312"/>
    </row>
    <row r="23" ht="15.1" customHeight="1">
      <c r="A23" t="s" s="241">
        <v>49</v>
      </c>
      <c r="B23" s="302">
        <f>N16/B22</f>
        <v>0.48444723303244</v>
      </c>
      <c r="C23" s="231"/>
      <c r="D23" s="225">
        <v>326.04</v>
      </c>
      <c r="E23" s="225">
        <f>N16/N3</f>
        <v>1105.881802570090</v>
      </c>
      <c r="F23" s="225">
        <f>E23-D23</f>
        <v>779.841802570090</v>
      </c>
      <c r="G23" s="225">
        <f>F23*N3</f>
        <v>333772.291499999</v>
      </c>
      <c r="H23" s="225"/>
      <c r="I23" t="s" s="239">
        <v>3337</v>
      </c>
      <c r="J23" s="314">
        <f>G23/J22</f>
        <v>0.5139702010832889</v>
      </c>
      <c r="K23" s="225"/>
      <c r="L23" s="225"/>
      <c r="M23" s="225"/>
      <c r="N23" s="225"/>
    </row>
    <row r="24" ht="15.1" customHeight="1">
      <c r="A24" t="s" s="241">
        <v>3334</v>
      </c>
      <c r="B24" s="302">
        <f>N17/B22</f>
        <v>0.204037063588899</v>
      </c>
      <c r="C24" s="231"/>
      <c r="D24" s="225">
        <v>731.24</v>
      </c>
      <c r="E24" s="225">
        <f>N17/N4</f>
        <v>2076.556885416670</v>
      </c>
      <c r="F24" s="225">
        <f>E24-D24</f>
        <v>1345.316885416670</v>
      </c>
      <c r="G24" s="225">
        <f>F24*N4</f>
        <v>129150.421</v>
      </c>
      <c r="H24" s="225"/>
      <c r="I24" t="s" s="239">
        <v>3338</v>
      </c>
      <c r="J24" s="314">
        <f>G24/J22</f>
        <v>0.198876508151851</v>
      </c>
      <c r="K24" s="225"/>
      <c r="L24" s="225"/>
      <c r="M24" s="225"/>
      <c r="N24" s="225"/>
    </row>
    <row r="25" ht="15.1" customHeight="1">
      <c r="A25" t="s" s="241">
        <v>3335</v>
      </c>
      <c r="B25" s="302">
        <f>N18/B22</f>
        <v>0.228100866903474</v>
      </c>
      <c r="C25" s="231"/>
      <c r="D25" s="225">
        <v>291.4</v>
      </c>
      <c r="E25" s="225">
        <f>N18/N5</f>
        <v>781.966371929825</v>
      </c>
      <c r="F25" s="225">
        <f>E25-D25</f>
        <v>490.566371929825</v>
      </c>
      <c r="G25" s="225">
        <f>F25*N5</f>
        <v>139811.416</v>
      </c>
      <c r="H25" s="225"/>
      <c r="I25" t="s" s="239">
        <v>3339</v>
      </c>
      <c r="J25" s="314">
        <f>G25/J22</f>
        <v>0.215293190672958</v>
      </c>
      <c r="K25" s="225"/>
      <c r="L25" s="225"/>
      <c r="M25" s="225"/>
      <c r="N25" s="225"/>
    </row>
    <row r="26" ht="15.1" customHeight="1">
      <c r="A26" t="s" s="241">
        <v>3336</v>
      </c>
      <c r="B26" s="302">
        <f>N19/B22</f>
        <v>0.0834148400574875</v>
      </c>
      <c r="C26" s="231"/>
      <c r="D26" s="225">
        <v>186.27</v>
      </c>
      <c r="E26" s="225">
        <f>N19/N6</f>
        <v>435.820561497326</v>
      </c>
      <c r="F26" s="225">
        <f>E26-D26</f>
        <v>249.550561497326</v>
      </c>
      <c r="G26" s="225">
        <f>F26*N6</f>
        <v>46665.955</v>
      </c>
      <c r="H26" s="225"/>
      <c r="I26" t="s" s="239">
        <v>3340</v>
      </c>
      <c r="J26" s="314">
        <f>G26/J22</f>
        <v>0.0718601000919029</v>
      </c>
      <c r="K26" s="225"/>
      <c r="L26" s="225"/>
      <c r="M26" s="225"/>
      <c r="N26" s="225"/>
    </row>
  </sheetData>
  <mergeCells count="3">
    <mergeCell ref="A1:N1"/>
    <mergeCell ref="F14:I14"/>
    <mergeCell ref="F8:I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22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426" customWidth="1"/>
    <col min="15" max="16384" width="16.3516" style="426" customWidth="1"/>
  </cols>
  <sheetData>
    <row r="1" ht="15.55" customHeight="1">
      <c r="A1" t="s" s="2">
        <v>6614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0">
        <v>3324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251">
        <v>3237</v>
      </c>
    </row>
    <row r="3" ht="15.1" customHeight="1">
      <c r="A3" t="s" s="157">
        <v>3325</v>
      </c>
      <c r="B3" s="158">
        <f>GETPIVOTDATA("Sum of Order Quantity",'January 2023'!P912,"Line Item Name","CC-TB-35")</f>
        <v>19</v>
      </c>
      <c r="C3" s="159">
        <f>GETPIVOTDATA("Sum of Order Quantity",'February 2023'!P523,"Line Item Name","CC-TB-35")</f>
        <v>32</v>
      </c>
      <c r="D3" s="159">
        <f>GETPIVOTDATA("Sum of Order Quantity",'March 2023'!P1251,"Line Item Name","CC-TB-35")</f>
        <v>18</v>
      </c>
      <c r="E3" s="159">
        <f>GETPIVOTDATA("Sum of Order Quantity",'April 2023'!P436,"Line Item Name","CC-TB-35")</f>
        <v>23</v>
      </c>
      <c r="F3" s="159">
        <f>GETPIVOTDATA("Sum of Order Quantity",'May 2023'!P1140,"Line Item Name","CC-TB-35")</f>
        <v>33</v>
      </c>
      <c r="G3" s="159">
        <f>GETPIVOTDATA("Sum of Order Quantity",'June 2023'!P500,"Line Item Name","CC-TB-35")</f>
        <v>26</v>
      </c>
      <c r="H3" s="159">
        <f>GETPIVOTDATA("Sum of Order Quantity",'July 2023'!P1024,"Line Item Name","CC-TB-35")</f>
        <v>26</v>
      </c>
      <c r="I3" s="159">
        <f>GETPIVOTDATA("Sum of Order Quantity",'August 2023'!P655,"Line Item Name","CC-TB-35")</f>
        <v>38</v>
      </c>
      <c r="J3" s="159">
        <f>GETPIVOTDATA("Sum of Order Quantity",'September 2023'!P599,"Line Item Name","CC-TB-35")</f>
        <v>56</v>
      </c>
      <c r="K3" s="159">
        <f>GETPIVOTDATA("Sum of Order Quantity",'October 2023'!P599,"Line Item Name","CC-TB-35")</f>
        <v>32</v>
      </c>
      <c r="L3" s="159">
        <f>GETPIVOTDATA("Sum of Order Quantity",'November 2023'!P454,"Line Item Name","CC-TB-35")</f>
        <v>32</v>
      </c>
      <c r="M3" s="159">
        <f>GETPIVOTDATA("Sum of Order Quantity",'Decemeber 2023'!P419,"Line Item Name","CC-TB-35")</f>
        <v>16</v>
      </c>
      <c r="N3" s="252">
        <f>SUM(B3:M3)</f>
        <v>351</v>
      </c>
    </row>
    <row r="4" ht="15.1" customHeight="1">
      <c r="A4" t="s" s="163">
        <v>2525</v>
      </c>
      <c r="B4" s="164">
        <f>GETPIVOTDATA("Sum of Order Quantity",'January 2023'!P912,"Line Item Name","CC-SS-35")</f>
        <v>14</v>
      </c>
      <c r="C4" s="165">
        <f>GETPIVOTDATA("Sum of Order Quantity",'February 2023'!P523,"Line Item Name","CC-SS-35")</f>
        <v>15</v>
      </c>
      <c r="D4" s="165">
        <f>GETPIVOTDATA("Sum of Order Quantity",'March 2023'!P1251,"Line Item Name","CC-SS-35")</f>
        <v>9</v>
      </c>
      <c r="E4" s="165">
        <f>GETPIVOTDATA("Sum of Order Quantity",'April 2023'!P436,"Line Item Name","CC-SS-35")</f>
        <v>11</v>
      </c>
      <c r="F4" s="165">
        <f>GETPIVOTDATA("Sum of Order Quantity",'May 2023'!P1140,"Line Item Name","CC-SS-35")</f>
        <v>14</v>
      </c>
      <c r="G4" s="165">
        <f>GETPIVOTDATA("Sum of Order Quantity",'June 2023'!P500,"Line Item Name","CC-SS-35")</f>
        <v>5</v>
      </c>
      <c r="H4" s="165">
        <f>GETPIVOTDATA("Sum of Order Quantity",'July 2023'!P1024,"Line Item Name","CC-SS-35")</f>
        <v>7</v>
      </c>
      <c r="I4" s="165">
        <f>GETPIVOTDATA("Sum of Order Quantity",'August 2023'!P655,"Line Item Name","CC-SS-35")</f>
        <v>6</v>
      </c>
      <c r="J4" s="165">
        <f>GETPIVOTDATA("Sum of Order Quantity",'September 2023'!P599,"Line Item Name","CC-SS-35")</f>
        <v>6</v>
      </c>
      <c r="K4" s="165">
        <f>GETPIVOTDATA("Sum of Order Quantity",'October 2023'!P599,"Line Item Name","CC-SS-35")</f>
        <v>5</v>
      </c>
      <c r="L4" s="165">
        <f>GETPIVOTDATA("Sum of Order Quantity",'November 2023'!P454,"Line Item Name","CC-SS-35")</f>
        <v>19</v>
      </c>
      <c r="M4" s="165">
        <f>GETPIVOTDATA("Sum of Order Quantity",'Decemeber 2023'!P419,"Line Item Name","CC-SS-35")</f>
        <v>6</v>
      </c>
      <c r="N4" s="253">
        <f>SUM(B4:M4)</f>
        <v>117</v>
      </c>
    </row>
    <row r="5" ht="15.1" customHeight="1">
      <c r="A5" t="s" s="163">
        <v>3326</v>
      </c>
      <c r="B5" s="164">
        <f>GETPIVOTDATA("Sum of Order Quantity",'January 2023'!P912,"Line Item Name","CC-SM-5")</f>
        <v>5</v>
      </c>
      <c r="C5" s="165">
        <f>GETPIVOTDATA("Sum of Order Quantity",'February 2023'!P523,"Line Item Name","CC-SM-5")</f>
        <v>8</v>
      </c>
      <c r="D5" s="165">
        <f>GETPIVOTDATA("Sum of Order Quantity",'March 2023'!P1251,"Line Item Name","CC-SM-5")</f>
        <v>4</v>
      </c>
      <c r="E5" s="165">
        <f>GETPIVOTDATA("Sum of Order Quantity",'April 2023'!P436,"Line Item Name","CC-SM-5")</f>
        <v>1</v>
      </c>
      <c r="F5" s="165">
        <f>GETPIVOTDATA("Sum of Order Quantity",'May 2023'!P1140,"Line Item Name","CC-SM-5")</f>
        <v>2</v>
      </c>
      <c r="G5" s="165">
        <f>GETPIVOTDATA("Sum of Order Quantity",'June 2023'!P500,"Line Item Name","CC-SM-5")</f>
        <v>4</v>
      </c>
      <c r="H5" s="165">
        <f t="shared" si="32" ref="H5:M16">0</f>
        <v>0</v>
      </c>
      <c r="I5" s="165">
        <f>GETPIVOTDATA("Sum of Order Quantity",'August 2023'!P655,"Line Item Name","CC-SM-5")</f>
        <v>7</v>
      </c>
      <c r="J5" s="165">
        <f>GETPIVOTDATA("Sum of Order Quantity",'September 2023'!P599,"Line Item Name","CC-SM-5")</f>
        <v>1</v>
      </c>
      <c r="K5" s="165">
        <f>GETPIVOTDATA("Sum of Order Quantity",'October 2023'!P599,"Line Item Name","CC-SM-5")</f>
        <v>2</v>
      </c>
      <c r="L5" s="165">
        <f>GETPIVOTDATA("Sum of Order Quantity",'November 2023'!P454,"Line Item Name","CC-SM-3")</f>
        <v>1</v>
      </c>
      <c r="M5" s="165">
        <f t="shared" si="32"/>
        <v>0</v>
      </c>
      <c r="N5" s="253">
        <f>SUM(B5:M5)</f>
        <v>35</v>
      </c>
    </row>
    <row r="6" ht="15.1" customHeight="1">
      <c r="A6" t="s" s="163">
        <v>3237</v>
      </c>
      <c r="B6" s="164">
        <f>SUM(B3:B5)</f>
        <v>38</v>
      </c>
      <c r="C6" s="165">
        <f>SUM(C3:C5)</f>
        <v>55</v>
      </c>
      <c r="D6" s="165">
        <f>SUM(D3:D5)</f>
        <v>31</v>
      </c>
      <c r="E6" s="165">
        <f>SUM(E3:E5)</f>
        <v>35</v>
      </c>
      <c r="F6" s="165">
        <f>SUM(F3:F5)</f>
        <v>49</v>
      </c>
      <c r="G6" s="165">
        <f>SUM(G3:G5)</f>
        <v>35</v>
      </c>
      <c r="H6" s="165">
        <f>SUM(H3:H5)</f>
        <v>33</v>
      </c>
      <c r="I6" s="165">
        <f>SUM(I3:I5)</f>
        <v>51</v>
      </c>
      <c r="J6" s="165">
        <f>SUM(J3:J5)</f>
        <v>63</v>
      </c>
      <c r="K6" s="165">
        <f>SUM(K3:K5)</f>
        <v>39</v>
      </c>
      <c r="L6" s="165">
        <f>SUM(L3:L5)</f>
        <v>52</v>
      </c>
      <c r="M6" s="165">
        <f>SUM(M3:M5)</f>
        <v>22</v>
      </c>
      <c r="N6" s="253">
        <f>SUM(N3:N5)</f>
        <v>503</v>
      </c>
    </row>
    <row r="7" ht="15.1" customHeight="1">
      <c r="A7" s="255"/>
      <c r="B7" s="172"/>
      <c r="C7" s="173"/>
      <c r="D7" s="173"/>
      <c r="E7" s="173"/>
      <c r="F7" t="s" s="174">
        <v>3266</v>
      </c>
      <c r="G7" s="16"/>
      <c r="H7" s="16"/>
      <c r="I7" s="16"/>
      <c r="J7" s="173"/>
      <c r="K7" s="173"/>
      <c r="L7" s="173"/>
      <c r="M7" s="173"/>
      <c r="N7" s="173"/>
    </row>
    <row r="8" ht="15.1" customHeight="1">
      <c r="A8" t="s" s="291">
        <v>3272</v>
      </c>
      <c r="B8" s="292">
        <v>503</v>
      </c>
      <c r="C8" s="166"/>
      <c r="D8" s="166"/>
      <c r="E8" s="166"/>
      <c r="F8" s="166"/>
      <c r="G8" s="166"/>
      <c r="H8" s="166"/>
      <c r="I8" s="166"/>
      <c r="J8" s="166"/>
      <c r="K8" s="166"/>
      <c r="L8" s="166"/>
      <c r="M8" s="166"/>
      <c r="N8" s="166"/>
    </row>
    <row r="9" ht="15.1" customHeight="1">
      <c r="A9" t="s" s="291">
        <v>3327</v>
      </c>
      <c r="B9" s="293">
        <f>N3/B8</f>
        <v>0.6978131212723661</v>
      </c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</row>
    <row r="10" ht="15.1" customHeight="1">
      <c r="A10" t="s" s="291">
        <v>3328</v>
      </c>
      <c r="B10" s="293">
        <f>N4/B8</f>
        <v>0.232604373757455</v>
      </c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</row>
    <row r="11" ht="15.1" customHeight="1">
      <c r="A11" t="s" s="291">
        <v>3329</v>
      </c>
      <c r="B11" s="293">
        <f>N5/B8</f>
        <v>0.0695825049701789</v>
      </c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</row>
    <row r="12" ht="17.25" customHeight="1">
      <c r="A12" s="247"/>
      <c r="B12" s="294"/>
      <c r="C12" s="215"/>
      <c r="D12" s="215"/>
      <c r="E12" s="215"/>
      <c r="F12" t="s" s="216">
        <v>3270</v>
      </c>
      <c r="G12" s="16"/>
      <c r="H12" s="16"/>
      <c r="I12" s="16"/>
      <c r="J12" s="215"/>
      <c r="K12" s="215"/>
      <c r="L12" s="215"/>
      <c r="M12" s="215"/>
      <c r="N12" s="215"/>
    </row>
    <row r="13" ht="15.1" customHeight="1">
      <c r="A13" s="286"/>
      <c r="B13" s="220">
        <v>45292</v>
      </c>
      <c r="C13" s="221">
        <v>45323</v>
      </c>
      <c r="D13" s="221">
        <v>45352</v>
      </c>
      <c r="E13" s="221">
        <v>45383</v>
      </c>
      <c r="F13" s="221">
        <v>45413</v>
      </c>
      <c r="G13" s="221">
        <v>45444</v>
      </c>
      <c r="H13" s="221">
        <v>45474</v>
      </c>
      <c r="I13" s="221">
        <v>45505</v>
      </c>
      <c r="J13" s="221">
        <v>45536</v>
      </c>
      <c r="K13" s="221">
        <v>45566</v>
      </c>
      <c r="L13" s="221">
        <v>45597</v>
      </c>
      <c r="M13" s="221">
        <v>45627</v>
      </c>
      <c r="N13" t="s" s="295">
        <v>3237</v>
      </c>
    </row>
    <row r="14" ht="15.1" customHeight="1">
      <c r="A14" t="s" s="288">
        <v>3325</v>
      </c>
      <c r="B14" s="224">
        <f>GETPIVOTDATA("Sum of Total Line Item $",'January 2023'!R983,"Line Item Name","CC-TB-35")</f>
        <v>6999.825</v>
      </c>
      <c r="C14" s="225">
        <f>GETPIVOTDATA("Sum of Total Line Item $",'February 2023'!R610,"Line Item Name","CC-TB-35")</f>
        <v>11059.7235</v>
      </c>
      <c r="D14" s="225">
        <f>GETPIVOTDATA("Sum of Total Line Item $",'March 2023'!R1329,"Line Item Name","CC-TB-35")</f>
        <v>6659.8335</v>
      </c>
      <c r="E14" s="225">
        <f>GETPIVOTDATA("Sum of Total Line Item $",'April 2023'!R506,"Line Item Name","CC-TB-35")</f>
        <v>8699.782499999999</v>
      </c>
      <c r="F14" s="296">
        <f>GETPIVOTDATA("Sum of Total Line Item $",'May 2023'!R1236,"Line Item Name","CC-TB-35")</f>
        <v>12399.69</v>
      </c>
      <c r="G14" s="225">
        <f>GETPIVOTDATA("Sum of Total Line Item $",'June 2023'!R608,"Line Item Name","CC-TB-35")</f>
        <v>8929.785</v>
      </c>
      <c r="H14" s="225">
        <f>GETPIVOTDATA("Sum of Total Line Item $",'July 2023'!R1133,"Line Item Name","CC-TB-35")</f>
        <v>9899.752500000001</v>
      </c>
      <c r="I14" s="225">
        <f>GETPIVOTDATA("Sum of Total Line Item $",'August 2023'!R760,"Line Item Name","CC-TB-35")</f>
        <v>14129.655</v>
      </c>
      <c r="J14" s="225">
        <f>GETPIVOTDATA("Sum of Total Line Item $",'September 2023'!R716,"Line Item Name","CC-TB-35")</f>
        <v>20129.505</v>
      </c>
      <c r="K14" s="225">
        <f>GETPIVOTDATA("Sum of Total Line Item $",'October 2023'!R708,"Line Item Name","CC-TB-35")</f>
        <v>12499.6875</v>
      </c>
      <c r="L14" s="225">
        <f>GETPIVOTDATA("Sum of Total Line Item $",'November 2023'!R549,"Line Item Name","CC-TB-35")</f>
        <v>11674.705</v>
      </c>
      <c r="M14" s="225">
        <f>GETPIVOTDATA("Sum of Total Line Item $",'Decemeber 2023'!R527,"Line Item Name","CC-TB-35")</f>
        <v>6199.845</v>
      </c>
      <c r="N14" s="231">
        <f>SUM(B14:M14)</f>
        <v>129281.7895</v>
      </c>
    </row>
    <row r="15" ht="15.1" customHeight="1">
      <c r="A15" t="s" s="288">
        <v>2525</v>
      </c>
      <c r="B15" s="224">
        <f>GETPIVOTDATA("Sum of Total Line Item $",'January 2023'!R983,"Line Item Name","CC-SS-35")</f>
        <v>12599.895</v>
      </c>
      <c r="C15" s="225">
        <f>GETPIVOTDATA("Sum of Total Line Item $",'February 2023'!R610,"Line Item Name","CC-SS-35")</f>
        <v>16199.865</v>
      </c>
      <c r="D15" s="225">
        <f>GETPIVOTDATA("Sum of Total Line Item $",'March 2023'!R1329,"Line Item Name","CC-SS-35")</f>
        <v>10799.91</v>
      </c>
      <c r="E15" s="225">
        <f>GETPIVOTDATA("Sum of Total Line Item $",'April 2023'!R506,"Line Item Name","CC-SS-35")</f>
        <v>11999.9</v>
      </c>
      <c r="F15" s="296">
        <f>GETPIVOTDATA("Sum of Total Line Item $",'May 2023'!R1236,"Line Item Name","CC-SS-35")</f>
        <v>14099.8825</v>
      </c>
      <c r="G15" s="225">
        <f>GETPIVOTDATA("Sum of Total Line Item $",'June 2023'!R608,"Line Item Name","CC-SS-35")</f>
        <v>5099.9575</v>
      </c>
      <c r="H15" s="225">
        <f>GETPIVOTDATA("Sum of Total Line Item $",'July 2023'!R1133,"Line Item Name","CC-SS-35")</f>
        <v>7199.94</v>
      </c>
      <c r="I15" s="225">
        <f>GETPIVOTDATA("Sum of Total Line Item $",'August 2023'!R760,"Line Item Name","CC-SS-35")</f>
        <v>6599.945</v>
      </c>
      <c r="J15" s="225">
        <f>GETPIVOTDATA("Sum of Total Line Item $",'September 2023'!R716,"Line Item Name","CC-SS-35")</f>
        <v>6299.9475</v>
      </c>
      <c r="K15" s="225">
        <f>GETPIVOTDATA("Sum of Total Line Item $",'October 2023'!R708,"Line Item Name","CC-SS-35")</f>
        <v>5099.9575</v>
      </c>
      <c r="L15" s="225">
        <f>GETPIVOTDATA("Sum of Total Line Item $",'November 2023'!R549,"Line Item Name","CC-SS-35")</f>
        <v>18899.8425</v>
      </c>
      <c r="M15" s="225">
        <f>GETPIVOTDATA("Sum of Total Line Item $",'Decemeber 2023'!R527,"Line Item Name","CC-SS-35")</f>
        <v>6779.9435</v>
      </c>
      <c r="N15" s="231">
        <f>SUM(B15:M15)</f>
        <v>121678.986</v>
      </c>
    </row>
    <row r="16" ht="15.1" customHeight="1">
      <c r="A16" t="s" s="288">
        <v>3326</v>
      </c>
      <c r="B16" s="224">
        <f>GETPIVOTDATA("Sum of Total Line Item $",'January 2023'!R983,"Line Item Name","CC-SM-5")</f>
        <v>15299.95</v>
      </c>
      <c r="C16" s="225">
        <f>GETPIVOTDATA("Sum of Total Line Item $",'February 2023'!R610,"Line Item Name","CC-SM-5")</f>
        <v>21999.9225</v>
      </c>
      <c r="D16" s="225">
        <f>GETPIVOTDATA("Sum of Total Line Item $",'March 2023'!R1329,"Line Item Name","CC-SM-5")</f>
        <v>8899.969999999999</v>
      </c>
      <c r="E16" s="225">
        <f>GETPIVOTDATA("Sum of Total Line Item $",'April 2023'!R506,"Line Item Name","CC-SM-5")</f>
        <v>3199.99</v>
      </c>
      <c r="F16" s="296">
        <f>GETPIVOTDATA("Sum of Total Line Item $",'May 2023'!R1236,"Line Item Name","CC-SM-5")</f>
        <v>4799.985</v>
      </c>
      <c r="G16" s="225">
        <f>GETPIVOTDATA("Sum of Total Line Item $",'June 2023'!R608,"Line Item Name","CC-SM-5")</f>
        <v>10699.96</v>
      </c>
      <c r="H16" s="225">
        <f t="shared" si="32"/>
        <v>0</v>
      </c>
      <c r="I16" s="225">
        <f>GETPIVOTDATA("Sum of Total Line Item $",'August 2023'!R760,"Line Item Name","CC-SM-5")</f>
        <v>19599.93</v>
      </c>
      <c r="J16" s="225">
        <f>GETPIVOTDATA("Sum of Total Line Item $",'September 2023'!R716,"Line Item Name","CC-SM-5")</f>
        <v>2499.99</v>
      </c>
      <c r="K16" s="225">
        <f>GETPIVOTDATA("Sum of Total Line Item $",'October 2023'!R708,"Line Item Name","CC-SM-5")</f>
        <v>4999.98</v>
      </c>
      <c r="L16" s="225">
        <f>GETPIVOTDATA("Sum of Total Line Item $",'November 2023'!R549,"Line Item Name","CC-SM-3")</f>
        <v>2399.9925</v>
      </c>
      <c r="M16" s="225">
        <v>0</v>
      </c>
      <c r="N16" s="231">
        <f>SUM(B16:M16)</f>
        <v>94399.67</v>
      </c>
    </row>
    <row r="17" ht="15.1" customHeight="1">
      <c r="A17" t="s" s="288">
        <v>3237</v>
      </c>
      <c r="B17" s="230">
        <f>SUM(B14:B16)</f>
        <v>34899.67</v>
      </c>
      <c r="C17" s="231">
        <f>SUM(C14:C16)</f>
        <v>49259.511</v>
      </c>
      <c r="D17" s="231">
        <f>SUM(D14:D16)</f>
        <v>26359.7135</v>
      </c>
      <c r="E17" s="231">
        <f>SUM(E14:E16)</f>
        <v>23899.6725</v>
      </c>
      <c r="F17" s="231">
        <f>SUM(F14:F16)</f>
        <v>31299.5575</v>
      </c>
      <c r="G17" s="231">
        <f>SUM(G14:G16)</f>
        <v>24729.7025</v>
      </c>
      <c r="H17" s="231">
        <f>SUM(H14:H16)</f>
        <v>17099.6925</v>
      </c>
      <c r="I17" s="231">
        <f>SUM(I14:I16)</f>
        <v>40329.53</v>
      </c>
      <c r="J17" s="231">
        <f>SUM(J14:J16)</f>
        <v>28929.4425</v>
      </c>
      <c r="K17" s="231">
        <f>SUM(K14:K16)</f>
        <v>22599.625</v>
      </c>
      <c r="L17" s="231">
        <f>SUM(L14:L16)</f>
        <v>32974.54</v>
      </c>
      <c r="M17" s="231">
        <f>SUM(M14:M16)</f>
        <v>12979.7885</v>
      </c>
      <c r="N17" s="231">
        <f>SUM(N14:N16)</f>
        <v>345360.4455</v>
      </c>
    </row>
    <row r="18" ht="15.1" customHeight="1">
      <c r="A18" s="247"/>
      <c r="B18" s="298"/>
      <c r="C18" s="246"/>
      <c r="D18" s="246"/>
      <c r="E18" s="246"/>
      <c r="F18" s="246"/>
      <c r="G18" s="246"/>
      <c r="H18" s="246"/>
      <c r="I18" s="246"/>
      <c r="J18" s="246"/>
      <c r="K18" s="246"/>
      <c r="L18" s="246"/>
      <c r="M18" s="246"/>
      <c r="N18" s="299"/>
    </row>
    <row r="19" ht="15.1" customHeight="1">
      <c r="A19" t="s" s="241">
        <v>3272</v>
      </c>
      <c r="B19" s="300">
        <v>345360.45</v>
      </c>
      <c r="C19" s="231"/>
      <c r="D19" t="s" s="301">
        <v>3274</v>
      </c>
      <c r="E19" t="s" s="301">
        <v>3275</v>
      </c>
      <c r="F19" t="s" s="301">
        <v>3330</v>
      </c>
      <c r="G19" t="s" s="301">
        <v>6610</v>
      </c>
      <c r="H19" s="231"/>
      <c r="I19" t="s" s="239">
        <v>6611</v>
      </c>
      <c r="J19" s="240">
        <f>SUM(G20:G22)</f>
        <v>236722.5455</v>
      </c>
      <c r="K19" s="289"/>
      <c r="L19" s="289"/>
      <c r="M19" s="289"/>
      <c r="N19" s="297"/>
    </row>
    <row r="20" ht="15.1" customHeight="1">
      <c r="A20" t="s" s="241">
        <v>3325</v>
      </c>
      <c r="B20" s="302">
        <f>N14/B19</f>
        <v>0.374338722051121</v>
      </c>
      <c r="C20" s="231"/>
      <c r="D20" s="231">
        <v>134.24</v>
      </c>
      <c r="E20" s="231">
        <f>N14/N3</f>
        <v>368.324186609687</v>
      </c>
      <c r="F20" s="231">
        <f>E20-D20</f>
        <v>234.084186609687</v>
      </c>
      <c r="G20" s="231">
        <f>F20*N3</f>
        <v>82163.5495000001</v>
      </c>
      <c r="H20" s="231"/>
      <c r="I20" t="s" s="239">
        <v>3327</v>
      </c>
      <c r="J20" s="243">
        <f>G20/J19</f>
        <v>0.347087977304638</v>
      </c>
      <c r="K20" s="289"/>
      <c r="L20" s="289"/>
      <c r="M20" s="289"/>
      <c r="N20" s="297"/>
    </row>
    <row r="21" ht="15.1" customHeight="1">
      <c r="A21" t="s" s="241">
        <v>2525</v>
      </c>
      <c r="B21" s="302">
        <f>N15/B19</f>
        <v>0.352324610417898</v>
      </c>
      <c r="C21" s="231"/>
      <c r="D21" s="231">
        <v>337.18</v>
      </c>
      <c r="E21" s="231">
        <f>N15/N4</f>
        <v>1039.991333333330</v>
      </c>
      <c r="F21" s="231">
        <f>E21-D21</f>
        <v>702.811333333330</v>
      </c>
      <c r="G21" s="231">
        <f>F21*N4</f>
        <v>82228.9259999996</v>
      </c>
      <c r="H21" s="231"/>
      <c r="I21" t="s" s="239">
        <v>3328</v>
      </c>
      <c r="J21" s="243">
        <f>G21/J19</f>
        <v>0.347364150830321</v>
      </c>
      <c r="K21" s="289"/>
      <c r="L21" s="289"/>
      <c r="M21" s="289"/>
      <c r="N21" s="297"/>
    </row>
    <row r="22" ht="15.1" customHeight="1">
      <c r="A22" t="s" s="241">
        <v>3326</v>
      </c>
      <c r="B22" s="302">
        <f>N16/B19</f>
        <v>0.273336654501116</v>
      </c>
      <c r="C22" s="231"/>
      <c r="D22" s="231">
        <v>630.5599999999999</v>
      </c>
      <c r="E22" s="231">
        <f>N16/N5</f>
        <v>2697.133428571430</v>
      </c>
      <c r="F22" s="231">
        <f>E22-D22</f>
        <v>2066.573428571430</v>
      </c>
      <c r="G22" s="231">
        <f>F22*N5</f>
        <v>72330.070000000094</v>
      </c>
      <c r="H22" s="231"/>
      <c r="I22" t="s" s="239">
        <v>3329</v>
      </c>
      <c r="J22" s="243">
        <f>G22/J19</f>
        <v>0.30554787186504</v>
      </c>
      <c r="K22" s="289"/>
      <c r="L22" s="289"/>
      <c r="M22" s="289"/>
      <c r="N22" s="297"/>
    </row>
  </sheetData>
  <mergeCells count="3">
    <mergeCell ref="A1:N1"/>
    <mergeCell ref="F12:I12"/>
    <mergeCell ref="F7:I7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N33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5.4" customHeight="1" outlineLevelRow="0" outlineLevelCol="0"/>
  <cols>
    <col min="1" max="14" width="16.3516" style="427" customWidth="1"/>
    <col min="15" max="16384" width="16.3516" style="427" customWidth="1"/>
  </cols>
  <sheetData>
    <row r="1" ht="15.55" customHeight="1">
      <c r="A1" t="s" s="2">
        <v>6615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ht="15.1" customHeight="1">
      <c r="A2" t="s" s="250">
        <v>3344</v>
      </c>
      <c r="B2" s="154">
        <v>45292</v>
      </c>
      <c r="C2" s="154">
        <v>45323</v>
      </c>
      <c r="D2" s="154">
        <v>45352</v>
      </c>
      <c r="E2" s="154">
        <v>45383</v>
      </c>
      <c r="F2" s="154">
        <v>45413</v>
      </c>
      <c r="G2" s="154">
        <v>45444</v>
      </c>
      <c r="H2" s="154">
        <v>45474</v>
      </c>
      <c r="I2" s="154">
        <v>45505</v>
      </c>
      <c r="J2" s="154">
        <v>45536</v>
      </c>
      <c r="K2" s="154">
        <v>45566</v>
      </c>
      <c r="L2" s="154">
        <v>45597</v>
      </c>
      <c r="M2" s="154">
        <v>45627</v>
      </c>
      <c r="N2" t="s" s="251">
        <v>3237</v>
      </c>
    </row>
    <row r="3" ht="15.1" customHeight="1">
      <c r="A3" t="s" s="157">
        <v>3345</v>
      </c>
      <c r="B3" s="158">
        <f>GETPIVOTDATA("Sum of Order Quantity",'January 2023'!P912,"Line Item Name","CC-HCCMKII-08-NC")</f>
        <v>15</v>
      </c>
      <c r="C3" s="159">
        <f>GETPIVOTDATA("Sum of Order Quantity",'February 2023'!P523,"Line Item Name","CC-HCCMKII-08-NC")</f>
        <v>7</v>
      </c>
      <c r="D3" s="159">
        <f>GETPIVOTDATA("Sum of Order Quantity",'March 2023'!P1251,"Line Item Name","CC-HCCMKII-08-NC")</f>
        <v>19</v>
      </c>
      <c r="E3" s="159">
        <f>GETPIVOTDATA("Sum of Order Quantity",'April 2023'!P436,"Line Item Name","CC-HCCMKII-05-NC")+GETPIVOTDATA("Sum of Order Quantity",'April 2023'!P436,"Line Item Name","CC-HCCMKII-08-NC")</f>
        <v>12</v>
      </c>
      <c r="F3" s="159">
        <f>GETPIVOTDATA("Sum of Order Quantity",'May 2023'!P1140,"Line Item Name","CC-HCCMKII-08-NC")</f>
        <v>15</v>
      </c>
      <c r="G3" s="159">
        <f>GETPIVOTDATA("Sum of Order Quantity",'June 2023'!P500,"Line Item Name","CC-HCCMKII-08-NC")</f>
        <v>29</v>
      </c>
      <c r="H3" s="159">
        <f>GETPIVOTDATA("Sum of Order Quantity",'July 2023'!P1024,"Line Item Name","CC-HCCMKII-08-NC")</f>
        <v>9</v>
      </c>
      <c r="I3" s="159">
        <f>GETPIVOTDATA("Sum of Order Quantity",'August 2023'!P655,"Line Item Name","CC-HCCMKII-08-NC")</f>
        <v>15</v>
      </c>
      <c r="J3" s="159">
        <f>GETPIVOTDATA("Sum of Order Quantity",'September 2023'!P599,"Line Item Name","CC-HCCMKII-08-NC")</f>
        <v>18</v>
      </c>
      <c r="K3" s="159">
        <f>GETPIVOTDATA("Sum of Order Quantity",'October 2023'!P599,"Line Item Name","CC-HCCMKII-08-NC")</f>
        <v>11</v>
      </c>
      <c r="L3" s="159">
        <f>GETPIVOTDATA("Sum of Order Quantity",'November 2023'!P454,"Line Item Name","CC-HCCMKII-08-NC")</f>
        <v>10</v>
      </c>
      <c r="M3" s="159">
        <f>GETPIVOTDATA("Sum of Order Quantity",'Decemeber 2023'!P419,"Line Item Name","CC-HCCMKII-08-NC")</f>
        <v>17</v>
      </c>
      <c r="N3" s="252">
        <f>SUM(B3:M3)</f>
        <v>177</v>
      </c>
    </row>
    <row r="4" ht="15.1" customHeight="1">
      <c r="A4" t="s" s="163">
        <v>3346</v>
      </c>
      <c r="B4" s="164">
        <f>GETPIVOTDATA("Sum of Order Quantity",'January 2023'!P912,"Line Item Name","CC-HCCMKII-08-TC")</f>
        <v>7</v>
      </c>
      <c r="C4" s="165">
        <f>GETPIVOTDATA("Sum of Order Quantity",'February 2023'!P523,"Line Item Name","CC-HCCMKII-08-TC")</f>
        <v>6</v>
      </c>
      <c r="D4" s="165">
        <f>GETPIVOTDATA("Sum of Order Quantity",'March 2023'!P1251,"Line Item Name","CC-HCCMKII-08-TC")</f>
        <v>9</v>
      </c>
      <c r="E4" s="165">
        <f>GETPIVOTDATA("Sum of Order Quantity",'April 2023'!P436,"Line Item Name","CC-HCCMKII-08-TC")</f>
        <v>7</v>
      </c>
      <c r="F4" s="165">
        <f>GETPIVOTDATA("Sum of Order Quantity",'May 2023'!P1140,"Line Item Name","CC-HCCMKII-08-TC")</f>
        <v>5</v>
      </c>
      <c r="G4" s="165">
        <f>GETPIVOTDATA("Sum of Order Quantity",'June 2023'!P500,"Line Item Name","CC-HCCMKII-08-TC")</f>
        <v>5</v>
      </c>
      <c r="H4" s="165">
        <f>GETPIVOTDATA("Sum of Order Quantity",'July 2023'!P1024,"Line Item Name","CC-HCCMKII-08-TC")</f>
        <v>2</v>
      </c>
      <c r="I4" s="165">
        <f>GETPIVOTDATA("Sum of Order Quantity",'August 2023'!P655,"Line Item Name","CC-HCCMKII-08-TC")</f>
        <v>9</v>
      </c>
      <c r="J4" s="165">
        <f>GETPIVOTDATA("Sum of Order Quantity",'September 2023'!P599,"Line Item Name","CC-HCCMKII-08-TC")</f>
        <v>6</v>
      </c>
      <c r="K4" s="165">
        <f>GETPIVOTDATA("Sum of Order Quantity",'October 2023'!P599,"Line Item Name","CC-HCCMKII-08-TC")</f>
        <v>8</v>
      </c>
      <c r="L4" s="165">
        <f>GETPIVOTDATA("Sum of Order Quantity",'November 2023'!P454,"Line Item Name","CC-HCCMKII-08-TC")</f>
        <v>5</v>
      </c>
      <c r="M4" s="165">
        <f>GETPIVOTDATA("Sum of Order Quantity",'Decemeber 2023'!P419,"Line Item Name","CC-HCCMKII-08-TC")</f>
        <v>1</v>
      </c>
      <c r="N4" s="253">
        <f>SUM(B4:M4)</f>
        <v>70</v>
      </c>
    </row>
    <row r="5" ht="15.1" customHeight="1">
      <c r="A5" t="s" s="163">
        <v>3347</v>
      </c>
      <c r="B5" s="164">
        <f>GETPIVOTDATA("Sum of Order Quantity",'January 2023'!P912,"Line Item Name","CC-HCCMKII-15-TC")</f>
        <v>10</v>
      </c>
      <c r="C5" s="165">
        <f>GETPIVOTDATA("Sum of Order Quantity",'February 2023'!P523,"Line Item Name","CC-HCCMKII-15-NC")</f>
        <v>14</v>
      </c>
      <c r="D5" s="165">
        <f>GETPIVOTDATA("Sum of Order Quantity",'March 2023'!P1251,"Line Item Name","CC-HCCMKII-15-NC")</f>
        <v>6</v>
      </c>
      <c r="E5" s="165">
        <f>GETPIVOTDATA("Sum of Order Quantity",'April 2023'!P436,"Line Item Name","CC-HCCMKII-15-NC")</f>
        <v>13</v>
      </c>
      <c r="F5" s="165">
        <f>GETPIVOTDATA("Sum of Order Quantity",'May 2023'!P1140,"Line Item Name","CC-HCCMKII-15-NC")</f>
        <v>8</v>
      </c>
      <c r="G5" s="165">
        <f>GETPIVOTDATA("Sum of Order Quantity",'June 2023'!P500,"Line Item Name","CC-HCCMKII-15-NC")</f>
        <v>5</v>
      </c>
      <c r="H5" s="165">
        <f>GETPIVOTDATA("Sum of Order Quantity",'July 2023'!P1024,"Line Item Name","CC-HCCMKII-15-NC")</f>
        <v>14</v>
      </c>
      <c r="I5" s="165">
        <f>GETPIVOTDATA("Sum of Order Quantity",'August 2023'!P655,"Line Item Name","CC-HCCMKII-15-NC")</f>
        <v>16</v>
      </c>
      <c r="J5" s="165">
        <f>GETPIVOTDATA("Sum of Order Quantity",'September 2023'!P599,"Line Item Name","CC-HCCMKII-15-NC")</f>
        <v>9</v>
      </c>
      <c r="K5" s="165">
        <f>GETPIVOTDATA("Sum of Order Quantity",'October 2023'!P599,"Line Item Name","CC-HCCMKII-15-NC")</f>
        <v>9</v>
      </c>
      <c r="L5" s="165">
        <f>GETPIVOTDATA("Sum of Order Quantity",'November 2023'!P454,"Line Item Name","CC-HCCMKII-15-NC")</f>
        <v>7</v>
      </c>
      <c r="M5" s="165">
        <f>GETPIVOTDATA("Sum of Order Quantity",'Decemeber 2023'!P419,"Line Item Name","CC-HCCMKII-15-NC")</f>
        <v>4</v>
      </c>
      <c r="N5" s="253">
        <f>SUM(B5:M5)</f>
        <v>115</v>
      </c>
    </row>
    <row r="6" ht="15.1" customHeight="1">
      <c r="A6" t="s" s="163">
        <v>3348</v>
      </c>
      <c r="B6" s="164">
        <f>GETPIVOTDATA("Sum of Order Quantity",'January 2023'!P912,"Line Item Name","CC-HCCMKII-15-TC")</f>
        <v>10</v>
      </c>
      <c r="C6" s="165">
        <f>GETPIVOTDATA("Sum of Order Quantity",'February 2023'!P523,"Line Item Name","CC-HCCMKII-15-TC")</f>
        <v>11</v>
      </c>
      <c r="D6" s="165">
        <f>0</f>
        <v>0</v>
      </c>
      <c r="E6" s="165">
        <f>GETPIVOTDATA("Sum of Order Quantity",'April 2023'!P436,"Line Item Name","CC-HCCMKII-15-TC")</f>
        <v>9</v>
      </c>
      <c r="F6" s="165">
        <f>GETPIVOTDATA("Sum of Order Quantity",'May 2023'!P1140,"Line Item Name","CC-HCCMKII-15-TC")</f>
        <v>15</v>
      </c>
      <c r="G6" s="165">
        <f>GETPIVOTDATA("Sum of Order Quantity",'June 2023'!P500,"Line Item Name","CC-HCCMKII-15-TC")</f>
        <v>11</v>
      </c>
      <c r="H6" s="165">
        <f>GETPIVOTDATA("Sum of Order Quantity",'July 2023'!P1024,"Line Item Name","CC-HCCMKII-15-TC")</f>
        <v>6</v>
      </c>
      <c r="I6" s="165">
        <f>GETPIVOTDATA("Sum of Order Quantity",'August 2023'!P655,"Line Item Name","CC-HCCMKII-15-TC")</f>
        <v>21</v>
      </c>
      <c r="J6" s="165">
        <f>GETPIVOTDATA("Sum of Order Quantity",'September 2023'!P599,"Line Item Name","CC-HCCMKII-15-TC")</f>
        <v>10</v>
      </c>
      <c r="K6" s="165">
        <f>GETPIVOTDATA("Sum of Order Quantity",'October 2023'!P599,"Line Item Name","CC-HCCMKII-15-TC")</f>
        <v>11</v>
      </c>
      <c r="L6" s="165">
        <f>GETPIVOTDATA("Sum of Order Quantity",'November 2023'!P454,"Line Item Name","CC-HCCMKII-15-TC")</f>
        <v>3</v>
      </c>
      <c r="M6" s="165">
        <f>GETPIVOTDATA("Sum of Order Quantity",'Decemeber 2023'!P419,"Line Item Name","CC-HCCMKII-15-TC")</f>
        <v>3</v>
      </c>
      <c r="N6" s="253">
        <f>SUM(B6:M6)</f>
        <v>110</v>
      </c>
    </row>
    <row r="7" ht="15.1" customHeight="1">
      <c r="A7" t="s" s="163">
        <v>3237</v>
      </c>
      <c r="B7" s="254">
        <f>SUM(B3:B6)</f>
        <v>42</v>
      </c>
      <c r="C7" s="253">
        <f>SUM(C3:C6)</f>
        <v>38</v>
      </c>
      <c r="D7" s="253">
        <f>SUM(D3:D6)</f>
        <v>34</v>
      </c>
      <c r="E7" s="253">
        <f>SUM(E3:E6)</f>
        <v>41</v>
      </c>
      <c r="F7" s="253">
        <f>SUM(F3:F6)</f>
        <v>43</v>
      </c>
      <c r="G7" s="253">
        <f>SUM(G3:G6)</f>
        <v>50</v>
      </c>
      <c r="H7" s="253">
        <f>SUM(H3:H6)</f>
        <v>31</v>
      </c>
      <c r="I7" s="253">
        <f>SUM(I3:I6)</f>
        <v>61</v>
      </c>
      <c r="J7" s="253">
        <f>SUM(J3:J6)</f>
        <v>43</v>
      </c>
      <c r="K7" s="253">
        <f>SUM(K3:K6)</f>
        <v>39</v>
      </c>
      <c r="L7" s="253">
        <f>SUM(L3:L6)</f>
        <v>25</v>
      </c>
      <c r="M7" s="253">
        <f>SUM(M3:M6)</f>
        <v>25</v>
      </c>
      <c r="N7" s="253">
        <f>SUM(N3:N6)</f>
        <v>472</v>
      </c>
    </row>
    <row r="8" ht="15.1" customHeight="1">
      <c r="A8" s="255"/>
      <c r="B8" s="172"/>
      <c r="C8" s="173"/>
      <c r="D8" s="173"/>
      <c r="E8" s="173"/>
      <c r="F8" t="s" s="174">
        <v>3266</v>
      </c>
      <c r="G8" s="16"/>
      <c r="H8" s="16"/>
      <c r="I8" s="16"/>
      <c r="J8" s="173"/>
      <c r="K8" s="173"/>
      <c r="L8" s="173"/>
      <c r="M8" s="173"/>
      <c r="N8" s="173"/>
    </row>
    <row r="9" ht="15.1" customHeight="1">
      <c r="A9" t="s" s="291">
        <v>3272</v>
      </c>
      <c r="B9" s="292">
        <v>472</v>
      </c>
      <c r="C9" s="166"/>
      <c r="D9" s="166"/>
      <c r="E9" s="166"/>
      <c r="F9" s="166"/>
      <c r="G9" s="166"/>
      <c r="H9" s="166"/>
      <c r="I9" s="166"/>
      <c r="J9" s="166"/>
      <c r="K9" s="166"/>
      <c r="L9" s="166"/>
      <c r="M9" s="166"/>
      <c r="N9" s="166"/>
    </row>
    <row r="10" ht="15.1" customHeight="1">
      <c r="A10" t="s" s="291">
        <v>3345</v>
      </c>
      <c r="B10" s="293">
        <f>N3/B9</f>
        <v>0.375</v>
      </c>
      <c r="C10" s="166"/>
      <c r="D10" s="166"/>
      <c r="E10" s="166"/>
      <c r="F10" s="166"/>
      <c r="G10" s="166"/>
      <c r="H10" s="166"/>
      <c r="I10" s="166"/>
      <c r="J10" s="166"/>
      <c r="K10" s="166"/>
      <c r="L10" s="166"/>
      <c r="M10" s="166"/>
      <c r="N10" s="166"/>
    </row>
    <row r="11" ht="15.1" customHeight="1">
      <c r="A11" t="s" s="291">
        <v>3346</v>
      </c>
      <c r="B11" s="293">
        <f>N4/B9</f>
        <v>0.148305084745763</v>
      </c>
      <c r="C11" s="166"/>
      <c r="D11" s="166"/>
      <c r="E11" s="166"/>
      <c r="F11" s="166"/>
      <c r="G11" s="166"/>
      <c r="H11" s="166"/>
      <c r="I11" s="166"/>
      <c r="J11" s="166"/>
      <c r="K11" s="166"/>
      <c r="L11" s="166"/>
      <c r="M11" s="166"/>
      <c r="N11" s="166"/>
    </row>
    <row r="12" ht="15.1" customHeight="1">
      <c r="A12" t="s" s="291">
        <v>3347</v>
      </c>
      <c r="B12" s="293">
        <f>N5/B9</f>
        <v>0.24364406779661</v>
      </c>
      <c r="C12" s="166"/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</row>
    <row r="13" ht="15.1" customHeight="1">
      <c r="A13" t="s" s="291">
        <v>3348</v>
      </c>
      <c r="B13" s="293">
        <f>N6/B9</f>
        <v>0.233050847457627</v>
      </c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</row>
    <row r="14" ht="17.25" customHeight="1">
      <c r="A14" s="247"/>
      <c r="B14" s="213"/>
      <c r="C14" s="215"/>
      <c r="D14" s="215"/>
      <c r="E14" s="215"/>
      <c r="F14" t="s" s="216">
        <v>3270</v>
      </c>
      <c r="G14" s="16"/>
      <c r="H14" s="16"/>
      <c r="I14" s="16"/>
      <c r="J14" s="215"/>
      <c r="K14" s="215"/>
      <c r="L14" s="215"/>
      <c r="M14" s="215"/>
      <c r="N14" s="215"/>
    </row>
    <row r="15" ht="15.1" customHeight="1">
      <c r="A15" s="286"/>
      <c r="B15" s="220">
        <v>45292</v>
      </c>
      <c r="C15" s="221">
        <v>45323</v>
      </c>
      <c r="D15" s="221">
        <v>45352</v>
      </c>
      <c r="E15" s="221">
        <v>45383</v>
      </c>
      <c r="F15" s="221">
        <v>45413</v>
      </c>
      <c r="G15" s="221">
        <v>45444</v>
      </c>
      <c r="H15" s="221">
        <v>45474</v>
      </c>
      <c r="I15" s="221">
        <v>45505</v>
      </c>
      <c r="J15" s="221">
        <v>45536</v>
      </c>
      <c r="K15" s="221">
        <v>45566</v>
      </c>
      <c r="L15" s="221">
        <v>45597</v>
      </c>
      <c r="M15" s="221">
        <v>45627</v>
      </c>
      <c r="N15" t="s" s="287">
        <v>3237</v>
      </c>
    </row>
    <row r="16" ht="15.1" customHeight="1">
      <c r="A16" t="s" s="163">
        <v>3345</v>
      </c>
      <c r="B16" s="224">
        <f>GETPIVOTDATA("Sum of Total Line Item $",'January 2023'!R983,"Line Item Name","CC-HCCMKII-08-NC")</f>
        <v>5119.853</v>
      </c>
      <c r="C16" s="225">
        <f>GETPIVOTDATA("Sum of Total Line Item $",'February 2023'!R610,"Line Item Name","CC-HCCMKII-08-NC")</f>
        <v>2424.93</v>
      </c>
      <c r="D16" s="225">
        <f>GETPIVOTDATA("Sum of Total Line Item $",'March 2023'!R1329,"Line Item Name","CC-HCCMKII-08-NC")</f>
        <v>6504.812</v>
      </c>
      <c r="E16" s="225">
        <f>GETPIVOTDATA("Sum of Total Line Item $",'April 2023'!R506,"Line Item Name","CC-HCCMKII-08-NC")+214</f>
        <v>4038.89</v>
      </c>
      <c r="F16" s="225">
        <f>GETPIVOTDATA("Sum of Total Line Item $",'May 2023'!R1236,"Line Item Name","CC-HCCMKII-08-NC")</f>
        <v>5249.85</v>
      </c>
      <c r="G16" s="225">
        <f>GETPIVOTDATA("Sum of Total Line Item $",'June 2023'!R608,"Line Item Name","CC-HCCMKII-08-NC")</f>
        <v>8749.75</v>
      </c>
      <c r="H16" s="225">
        <f>GETPIVOTDATA("Sum of Total Line Item $",'July 2023'!R1133,"Line Item Name","CC-HCCMKII-08-NC")</f>
        <v>3054.912</v>
      </c>
      <c r="I16" s="225">
        <f>GETPIVOTDATA("Sum of Total Line Item $",'August 2023'!R760,"Line Item Name","CC-HCCMKII-08-NC")</f>
        <v>5237.35</v>
      </c>
      <c r="J16" s="225">
        <f>GETPIVOTDATA("Sum of Total Line Item $",'September 2023'!R716,"Line Item Name","CC-HCCMKII-08-NC")</f>
        <v>6224.82</v>
      </c>
      <c r="K16" s="225">
        <f>GETPIVOTDATA("Sum of Total Line Item $",'October 2023'!R708,"Line Item Name","CC-HCCMKII-08-NC")</f>
        <v>3849.89</v>
      </c>
      <c r="L16" s="225">
        <f>GETPIVOTDATA("Sum of Total Line Item $",'November 2023'!R549,"Line Item Name","CC-HCCMKII-08-NC")</f>
        <v>3299.905</v>
      </c>
      <c r="M16" s="225">
        <f>GETPIVOTDATA("Sum of Total Line Item $",'Decemeber 2023'!R527,"Line Item Name","CC-HCCMKII-08-NC")</f>
        <v>5687.3375</v>
      </c>
      <c r="N16" s="231">
        <f>SUM(B16:M16)</f>
        <v>59442.2995</v>
      </c>
    </row>
    <row r="17" ht="15.1" customHeight="1">
      <c r="A17" t="s" s="163">
        <v>3346</v>
      </c>
      <c r="B17" s="224">
        <f>GETPIVOTDATA("Sum of Total Line Item $",'January 2023'!R983,"Line Item Name","CC-HCCMKII-08-TC")</f>
        <v>3849.93</v>
      </c>
      <c r="C17" s="225">
        <f>GETPIVOTDATA("Sum of Total Line Item $",'February 2023'!R610,"Line Item Name","CC-HCCMKII-08-TC")</f>
        <v>3299.94</v>
      </c>
      <c r="D17" s="225">
        <f>GETPIVOTDATA("Sum of Total Line Item $",'March 2023'!R1329,"Line Item Name","CC-HCCMKII-08-TC")</f>
        <v>4649.915</v>
      </c>
      <c r="E17" s="225">
        <f>GETPIVOTDATA("Sum of Total Line Item $",'April 2023'!R506,"Line Item Name","CC-HCCMKII-08-TC")</f>
        <v>3849.93</v>
      </c>
      <c r="F17" s="225">
        <f>GETPIVOTDATA("Sum of Total Line Item $",'May 2023'!R1236,"Line Item Name","CC-HCCMKII-08-TC")</f>
        <v>2694.951</v>
      </c>
      <c r="G17" s="225">
        <f>GETPIVOTDATA("Sum of Total Line Item $",'June 2023'!R608,"Line Item Name","CC-HCCMKII-08-TC")</f>
        <v>2612.4525</v>
      </c>
      <c r="H17" s="225">
        <f>GETPIVOTDATA("Sum of Total Line Item $",'July 2023'!R1133,"Line Item Name","CC-HCCMKII-08-TC")</f>
        <v>1099.98</v>
      </c>
      <c r="I17" s="225">
        <f>GETPIVOTDATA("Sum of Total Line Item $",'August 2023'!R760,"Line Item Name","CC-HCCMKII-08-TC")</f>
        <v>4949.91</v>
      </c>
      <c r="J17" s="225">
        <f>GETPIVOTDATA("Sum of Total Line Item $",'September 2023'!R716,"Line Item Name","CC-HCCMKII-08-TC")</f>
        <v>3299.94</v>
      </c>
      <c r="K17" s="225">
        <f>GETPIVOTDATA("Sum of Total Line Item $",'October 2023'!R708,"Line Item Name","CC-HCCMKII-08-TC")</f>
        <v>4374.92</v>
      </c>
      <c r="L17" s="225">
        <f>GETPIVOTDATA("Sum of Total Line Item $",'November 2023'!R549,"Line Item Name","CC-HCCMKII-08-TC")</f>
        <v>2749.95</v>
      </c>
      <c r="M17" s="225">
        <f>GETPIVOTDATA("Sum of Total Line Item $",'Decemeber 2023'!R527,"Line Item Name","CC-HCCMKII-08-TC")</f>
        <v>549.99</v>
      </c>
      <c r="N17" s="231">
        <f>SUM(B17:M17)</f>
        <v>37981.8085</v>
      </c>
    </row>
    <row r="18" ht="15.1" customHeight="1">
      <c r="A18" t="s" s="163">
        <v>3347</v>
      </c>
      <c r="B18" s="224">
        <f>GETPIVOTDATA("Sum of Total Line Item $",'January 2023'!R983,"Line Item Name","CC-HCCMKII-15-NC")</f>
        <v>3054.923</v>
      </c>
      <c r="C18" s="225">
        <f>GETPIVOTDATA("Sum of Total Line Item $",'February 2023'!R610,"Line Item Name","CC-HCCMKII-15-NC")</f>
        <v>5187.37</v>
      </c>
      <c r="D18" s="225">
        <f>GETPIVOTDATA("Sum of Total Line Item $",'March 2023'!R1329,"Line Item Name","CC-HCCMKII-15-NC")</f>
        <v>2399.94</v>
      </c>
      <c r="E18" s="225">
        <f>GETPIVOTDATA("Sum of Total Line Item $",'April 2023'!R506,"Line Item Name","CC-HCCMKII-15-NC")</f>
        <v>4759.881</v>
      </c>
      <c r="F18" s="225">
        <f>GETPIVOTDATA("Sum of Total Line Item $",'May 2023'!R1236,"Line Item Name","CC-HCCMKII-15-NC")</f>
        <v>2994.9245</v>
      </c>
      <c r="G18" s="225">
        <f>GETPIVOTDATA("Sum of Total Line Item $",'June 2023'!R608,"Line Item Name","CC-HCCMKII-15-NC")</f>
        <v>1834.9535</v>
      </c>
      <c r="H18" s="225">
        <f>GETPIVOTDATA("Sum of Total Line Item $",'July 2023'!R1133,"Line Item Name","CC-HCCMKII-15-NC")</f>
        <v>5591.52</v>
      </c>
      <c r="I18" s="225">
        <f>GETPIVOTDATA("Sum of Total Line Item $",'August 2023'!R760,"Line Item Name","CC-HCCMKII-15-NC")+399.99</f>
        <v>6709.831</v>
      </c>
      <c r="J18" s="225">
        <f>GETPIVOTDATA("Sum of Total Line Item $",'September 2023'!R716,"Line Item Name","CC-HCCMKII-15-NC")</f>
        <v>3599.91</v>
      </c>
      <c r="K18" s="225">
        <f>GETPIVOTDATA("Sum of Total Line Item $",'October 2023'!R708,"Line Item Name","CC-HCCMKII-15-NC")</f>
        <v>3599.91</v>
      </c>
      <c r="L18" s="225">
        <f>GETPIVOTDATA("Sum of Total Line Item $",'November 2023'!R549,"Line Item Name","CC-HCCMKII-15-NC")</f>
        <v>2799.93</v>
      </c>
      <c r="M18" s="225">
        <f>GETPIVOTDATA("Sum of Total Line Item $",'Decemeber 2023'!R527,"Line Item Name","CC-HCCMKII-15-NC")</f>
        <v>1567.43</v>
      </c>
      <c r="N18" s="231">
        <f>SUM(B18:M18)</f>
        <v>44100.523</v>
      </c>
    </row>
    <row r="19" ht="15.1" customHeight="1">
      <c r="A19" t="s" s="163">
        <v>3348</v>
      </c>
      <c r="B19" s="224">
        <f>GETPIVOTDATA("Sum of Total Line Item $",'January 2023'!R983,"Line Item Name","CC-HCCMKII-15-TC")</f>
        <v>5912.4</v>
      </c>
      <c r="C19" s="225">
        <f>GETPIVOTDATA("Sum of Total Line Item $",'February 2023'!R610,"Line Item Name","CC-HCCMKII-15-TC")</f>
        <v>5809.8925</v>
      </c>
      <c r="D19" s="225">
        <f>GETPIVOTDATA("Sum of Total Line Item $",'March 2023'!R1329,"Line Item Name","CC-HCCMKII-15-TC")</f>
        <v>6274.895</v>
      </c>
      <c r="E19" s="225">
        <f>GETPIVOTDATA("Sum of Total Line Item $",'April 2023'!R506,"Line Item Name","CC-HCCMKII-15-TC")</f>
        <v>5399.91</v>
      </c>
      <c r="F19" s="225">
        <f>GETPIVOTDATA("Sum of Total Line Item $",'May 2023'!R1236,"Line Item Name","CC-HCCMKII-15-TC")</f>
        <v>8599.855</v>
      </c>
      <c r="G19" s="225">
        <f>GETPIVOTDATA("Sum of Total Line Item $",'June 2023'!R608,"Line Item Name","CC-HCCMKII-15-TC")</f>
        <v>6574.89</v>
      </c>
      <c r="H19" s="225">
        <f>GETPIVOTDATA("Sum of Total Line Item $",'July 2023'!R1133,"Line Item Name","CC-HCCMKII-15-TC")</f>
        <v>3599.94</v>
      </c>
      <c r="I19" s="225">
        <f>GETPIVOTDATA("Sum of Total Line Item $",'August 2023'!R760,"Line Item Name","CC-HCCMKII-15-TC")</f>
        <v>10949.8175</v>
      </c>
      <c r="J19" s="225">
        <f>GETPIVOTDATA("Sum of Total Line Item $",'September 2023'!R716,"Line Item Name","CC-HCCMKII-15-TC")</f>
        <v>5968.64</v>
      </c>
      <c r="K19" s="225">
        <f>GETPIVOTDATA("Sum of Total Line Item $",'October 2023'!R708,"Line Item Name","CC-HCCMKII-15-TC")</f>
        <v>6449.8925</v>
      </c>
      <c r="L19" s="225">
        <f>GETPIVOTDATA("Sum of Total Line Item $",'November 2023'!R549,"Line Item Name","CC-HCCMKII-15-TC")</f>
        <v>1799.97</v>
      </c>
      <c r="M19" s="225">
        <f>GETPIVOTDATA("Sum of Total Line Item $",'Decemeber 2023'!R527,"Line Item Name","CC-HCCMKII-15-TC")</f>
        <v>1799.97</v>
      </c>
      <c r="N19" s="231">
        <f>SUM(B19:M19)</f>
        <v>69140.072499999995</v>
      </c>
    </row>
    <row r="20" ht="15.1" customHeight="1">
      <c r="A20" t="s" s="288">
        <v>3237</v>
      </c>
      <c r="B20" s="412">
        <f>SUM(B16:B19)</f>
        <v>17937.106</v>
      </c>
      <c r="C20" s="297">
        <f>SUM(C16:C19)</f>
        <v>16722.1325</v>
      </c>
      <c r="D20" s="297">
        <f>SUM(D16:D19)</f>
        <v>19829.562</v>
      </c>
      <c r="E20" s="297">
        <f>SUM(E16:E19)</f>
        <v>18048.611</v>
      </c>
      <c r="F20" s="297">
        <f>SUM(F16:F19)</f>
        <v>19539.5805</v>
      </c>
      <c r="G20" s="297">
        <f>SUM(G16:G19)</f>
        <v>19772.046</v>
      </c>
      <c r="H20" s="297">
        <f>SUM(H16:H19)</f>
        <v>13346.352</v>
      </c>
      <c r="I20" s="297">
        <f>SUM(I16:I19)</f>
        <v>27846.9085</v>
      </c>
      <c r="J20" s="297">
        <f>SUM(J16:J19)</f>
        <v>19093.31</v>
      </c>
      <c r="K20" s="297">
        <f>SUM(K16:K19)</f>
        <v>18274.6125</v>
      </c>
      <c r="L20" s="297">
        <f>SUM(L16:L19)</f>
        <v>10649.755</v>
      </c>
      <c r="M20" s="297">
        <f>SUM(M16:M19)</f>
        <v>9604.727500000001</v>
      </c>
      <c r="N20" s="231">
        <f>SUM(N16:N19)</f>
        <v>210664.7035</v>
      </c>
    </row>
    <row r="21" ht="15.1" customHeight="1">
      <c r="A21" s="247"/>
      <c r="B21" s="234"/>
      <c r="C21" s="235"/>
      <c r="D21" s="235"/>
      <c r="E21" s="235"/>
      <c r="F21" s="235"/>
      <c r="G21" s="235"/>
      <c r="H21" s="235"/>
      <c r="I21" s="235"/>
      <c r="J21" s="235"/>
      <c r="K21" s="235"/>
      <c r="L21" s="235"/>
      <c r="M21" s="235"/>
      <c r="N21" s="235"/>
    </row>
    <row r="22" ht="15.1" customHeight="1">
      <c r="A22" t="s" s="241">
        <v>3272</v>
      </c>
      <c r="B22" s="300">
        <v>210050.71</v>
      </c>
      <c r="C22" s="166"/>
      <c r="D22" t="s" s="301">
        <v>3274</v>
      </c>
      <c r="E22" t="s" s="301">
        <v>3275</v>
      </c>
      <c r="F22" t="s" s="301">
        <v>3349</v>
      </c>
      <c r="G22" t="s" s="301">
        <v>6610</v>
      </c>
      <c r="H22" s="166"/>
      <c r="I22" t="s" s="239">
        <v>6611</v>
      </c>
      <c r="J22" s="240">
        <f>SUM(G23:G26)</f>
        <v>126807.0635</v>
      </c>
      <c r="K22" s="166"/>
      <c r="L22" s="166"/>
      <c r="M22" s="166"/>
      <c r="N22" s="166"/>
    </row>
    <row r="23" ht="15.1" customHeight="1">
      <c r="A23" t="s" s="241">
        <v>3345</v>
      </c>
      <c r="B23" s="213">
        <f>N16/B22</f>
        <v>0.282990233644057</v>
      </c>
      <c r="C23" s="166"/>
      <c r="D23" s="225">
        <v>143.62</v>
      </c>
      <c r="E23" s="225">
        <f>N16/N3</f>
        <v>335.832200564972</v>
      </c>
      <c r="F23" s="225">
        <f>E23-D23</f>
        <v>192.212200564972</v>
      </c>
      <c r="G23" s="225">
        <f>F23*N3</f>
        <v>34021.5595</v>
      </c>
      <c r="H23" s="166"/>
      <c r="I23" t="s" s="239">
        <v>3345</v>
      </c>
      <c r="J23" s="243">
        <f>G23/J22</f>
        <v>0.268293883329299</v>
      </c>
      <c r="K23" s="166"/>
      <c r="L23" s="166"/>
      <c r="M23" s="166"/>
      <c r="N23" s="166"/>
    </row>
    <row r="24" ht="15.1" customHeight="1">
      <c r="A24" t="s" s="241">
        <v>3346</v>
      </c>
      <c r="B24" s="213">
        <f>N17/B22</f>
        <v>0.180822090532329</v>
      </c>
      <c r="C24" s="166"/>
      <c r="D24" s="225">
        <v>219.06</v>
      </c>
      <c r="E24" s="225">
        <f>N17/N4</f>
        <v>542.597264285714</v>
      </c>
      <c r="F24" s="225">
        <f>E24-D24</f>
        <v>323.537264285714</v>
      </c>
      <c r="G24" s="225">
        <f>F24*N4</f>
        <v>22647.6085</v>
      </c>
      <c r="H24" s="166"/>
      <c r="I24" t="s" s="239">
        <v>3346</v>
      </c>
      <c r="J24" s="243">
        <f>G24/J22</f>
        <v>0.178598950838413</v>
      </c>
      <c r="K24" s="166"/>
      <c r="L24" s="166"/>
      <c r="M24" s="166"/>
      <c r="N24" s="166"/>
    </row>
    <row r="25" ht="15.1" customHeight="1">
      <c r="A25" t="s" s="241">
        <v>3347</v>
      </c>
      <c r="B25" s="213">
        <f>N18/B22</f>
        <v>0.209951792117246</v>
      </c>
      <c r="C25" s="166"/>
      <c r="D25" s="225">
        <v>153.84</v>
      </c>
      <c r="E25" s="225">
        <f>N18/N5</f>
        <v>383.482808695652</v>
      </c>
      <c r="F25" s="225">
        <f>E25-D25</f>
        <v>229.642808695652</v>
      </c>
      <c r="G25" s="225">
        <f>F25*N5</f>
        <v>26408.923</v>
      </c>
      <c r="H25" s="166"/>
      <c r="I25" t="s" s="239">
        <v>3347</v>
      </c>
      <c r="J25" s="243">
        <f>G25/J22</f>
        <v>0.208260662072661</v>
      </c>
      <c r="K25" s="166"/>
      <c r="L25" s="166"/>
      <c r="M25" s="166"/>
      <c r="N25" s="166"/>
    </row>
    <row r="26" ht="15.1" customHeight="1">
      <c r="A26" t="s" s="241">
        <v>3348</v>
      </c>
      <c r="B26" s="213">
        <f>N19/B22</f>
        <v>0.329158956425332</v>
      </c>
      <c r="C26" s="166"/>
      <c r="D26" s="225">
        <v>231.01</v>
      </c>
      <c r="E26" s="225">
        <f>N19/N6</f>
        <v>628.546113636364</v>
      </c>
      <c r="F26" s="225">
        <f>E26-D26</f>
        <v>397.536113636364</v>
      </c>
      <c r="G26" s="225">
        <f>F26*N6</f>
        <v>43728.9725</v>
      </c>
      <c r="H26" s="166"/>
      <c r="I26" t="s" s="239">
        <v>3348</v>
      </c>
      <c r="J26" s="243">
        <f>G26/J22</f>
        <v>0.344846503759627</v>
      </c>
      <c r="K26" s="166"/>
      <c r="L26" s="166"/>
      <c r="M26" s="166"/>
      <c r="N26" s="166"/>
    </row>
    <row r="27" ht="15.1" customHeight="1">
      <c r="A27" s="247"/>
      <c r="B27" s="213"/>
      <c r="C27" s="166"/>
      <c r="D27" s="225"/>
      <c r="E27" s="225"/>
      <c r="F27" s="225"/>
      <c r="G27" s="225"/>
      <c r="H27" s="166"/>
      <c r="I27" s="246"/>
      <c r="J27" s="243"/>
      <c r="K27" s="166"/>
      <c r="L27" s="166"/>
      <c r="M27" s="166"/>
      <c r="N27" s="166"/>
    </row>
    <row r="28" ht="15.1" customHeight="1">
      <c r="A28" s="428"/>
      <c r="B28" s="429"/>
      <c r="C28" s="430"/>
      <c r="D28" s="431"/>
      <c r="E28" s="431"/>
      <c r="F28" t="s" s="432">
        <v>6616</v>
      </c>
      <c r="G28" s="16"/>
      <c r="H28" s="16"/>
      <c r="I28" s="16"/>
      <c r="J28" s="433"/>
      <c r="K28" s="430"/>
      <c r="L28" s="430"/>
      <c r="M28" s="430"/>
      <c r="N28" s="430"/>
    </row>
    <row r="29" ht="15.1" customHeight="1">
      <c r="A29" s="434"/>
      <c r="B29" t="s" s="435">
        <v>6617</v>
      </c>
      <c r="C29" t="s" s="432">
        <v>6618</v>
      </c>
      <c r="D29" t="s" s="432">
        <v>6619</v>
      </c>
      <c r="E29" t="s" s="432">
        <v>3320</v>
      </c>
      <c r="F29" t="s" s="432">
        <v>6620</v>
      </c>
      <c r="G29" t="s" s="432">
        <v>6621</v>
      </c>
      <c r="H29" t="s" s="432">
        <v>6622</v>
      </c>
      <c r="I29" s="436"/>
      <c r="J29" s="437"/>
      <c r="K29" s="436"/>
      <c r="L29" s="436"/>
      <c r="M29" s="436"/>
      <c r="N29" s="436"/>
    </row>
    <row r="30" ht="15.1" customHeight="1">
      <c r="A30" t="s" s="438">
        <v>3345</v>
      </c>
      <c r="B30" s="439">
        <f>N3</f>
        <v>177</v>
      </c>
      <c r="C30" s="440">
        <f>B10</f>
        <v>0.375</v>
      </c>
      <c r="D30" s="441">
        <f>N16</f>
        <v>59442.2995</v>
      </c>
      <c r="E30" s="440">
        <f>B23</f>
        <v>0.282990233644057</v>
      </c>
      <c r="F30" s="441">
        <f>F23</f>
        <v>192.212200564972</v>
      </c>
      <c r="G30" s="441">
        <f>G23</f>
        <v>34021.5595</v>
      </c>
      <c r="H30" s="440">
        <f>J23</f>
        <v>0.268293883329299</v>
      </c>
      <c r="I30" s="442"/>
      <c r="J30" s="443"/>
      <c r="K30" s="442"/>
      <c r="L30" s="442"/>
      <c r="M30" s="442"/>
      <c r="N30" s="442"/>
    </row>
    <row r="31" ht="15.1" customHeight="1">
      <c r="A31" t="s" s="438">
        <v>3346</v>
      </c>
      <c r="B31" s="439">
        <f>N4</f>
        <v>70</v>
      </c>
      <c r="C31" s="440">
        <f>B11</f>
        <v>0.148305084745763</v>
      </c>
      <c r="D31" s="441">
        <f>N17</f>
        <v>37981.8085</v>
      </c>
      <c r="E31" s="440">
        <f>B24</f>
        <v>0.180822090532329</v>
      </c>
      <c r="F31" s="441">
        <f>F24</f>
        <v>323.537264285714</v>
      </c>
      <c r="G31" s="441">
        <f>G24</f>
        <v>22647.6085</v>
      </c>
      <c r="H31" s="440">
        <f>J24</f>
        <v>0.178598950838413</v>
      </c>
      <c r="I31" s="442"/>
      <c r="J31" s="442"/>
      <c r="K31" s="442"/>
      <c r="L31" s="442"/>
      <c r="M31" s="442"/>
      <c r="N31" s="442"/>
    </row>
    <row r="32" ht="15.1" customHeight="1">
      <c r="A32" t="s" s="438">
        <v>3347</v>
      </c>
      <c r="B32" s="439">
        <f>N5</f>
        <v>115</v>
      </c>
      <c r="C32" s="440">
        <f>B12</f>
        <v>0.24364406779661</v>
      </c>
      <c r="D32" s="441">
        <f>N18</f>
        <v>44100.523</v>
      </c>
      <c r="E32" s="440">
        <f>B25</f>
        <v>0.209951792117246</v>
      </c>
      <c r="F32" s="441">
        <f>F25</f>
        <v>229.642808695652</v>
      </c>
      <c r="G32" s="441">
        <f>G25</f>
        <v>26408.923</v>
      </c>
      <c r="H32" s="440">
        <f>J25</f>
        <v>0.208260662072661</v>
      </c>
      <c r="I32" s="442"/>
      <c r="J32" s="442"/>
      <c r="K32" s="442"/>
      <c r="L32" s="442"/>
      <c r="M32" s="442"/>
      <c r="N32" s="442"/>
    </row>
    <row r="33" ht="15.1" customHeight="1">
      <c r="A33" t="s" s="438">
        <v>3348</v>
      </c>
      <c r="B33" s="439">
        <f>N6</f>
        <v>110</v>
      </c>
      <c r="C33" s="440">
        <f>B13</f>
        <v>0.233050847457627</v>
      </c>
      <c r="D33" s="441">
        <f>N19</f>
        <v>69140.072499999995</v>
      </c>
      <c r="E33" s="440">
        <f>B26</f>
        <v>0.329158956425332</v>
      </c>
      <c r="F33" s="441">
        <f>F26</f>
        <v>397.536113636364</v>
      </c>
      <c r="G33" s="441">
        <f>G26</f>
        <v>43728.9725</v>
      </c>
      <c r="H33" s="440">
        <f>J26</f>
        <v>0.344846503759627</v>
      </c>
      <c r="I33" s="442"/>
      <c r="J33" s="442"/>
      <c r="K33" s="442"/>
      <c r="L33" s="442"/>
      <c r="M33" s="442"/>
      <c r="N33" s="442"/>
    </row>
  </sheetData>
  <mergeCells count="4">
    <mergeCell ref="A1:N1"/>
    <mergeCell ref="F14:I14"/>
    <mergeCell ref="F8:I8"/>
    <mergeCell ref="F28:I28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